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12"/>
  <workbookPr defaultThemeVersion="124226"/>
  <mc:AlternateContent xmlns:mc="http://schemas.openxmlformats.org/markup-compatibility/2006">
    <mc:Choice Requires="x15">
      <x15ac:absPath xmlns:x15ac="http://schemas.microsoft.com/office/spreadsheetml/2010/11/ac" url="C:\Users\laxma\Downloads\VETALL-18881\"/>
    </mc:Choice>
  </mc:AlternateContent>
  <xr:revisionPtr revIDLastSave="14" documentId="13_ncr:1_{96D53A68-7F5F-45CA-938D-7EB8219F2B5C}" xr6:coauthVersionLast="47" xr6:coauthVersionMax="47" xr10:uidLastSave="{4341291C-8FE4-45F9-B594-5D2441F2808F}"/>
  <bookViews>
    <workbookView xWindow="-120" yWindow="-120" windowWidth="38640" windowHeight="21120" xr2:uid="{00000000-000D-0000-FFFF-FFFF00000000}"/>
  </bookViews>
  <sheets>
    <sheet name="Sheet1" sheetId="1" r:id="rId1"/>
  </sheets>
  <definedNames>
    <definedName name="_xlnm._FilterDatabase" localSheetId="0" hidden="1">Sheet1!$A$1:$T$3752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52" i="1" l="1"/>
  <c r="B3752" i="1"/>
  <c r="C3751" i="1"/>
  <c r="B3751" i="1"/>
  <c r="C3750" i="1"/>
  <c r="B3750" i="1"/>
  <c r="C3749" i="1"/>
  <c r="B3749" i="1"/>
  <c r="C3748" i="1"/>
  <c r="B3748" i="1"/>
  <c r="C3747" i="1"/>
  <c r="B3747" i="1"/>
  <c r="C3746" i="1"/>
  <c r="B3746" i="1"/>
  <c r="C3745" i="1"/>
  <c r="B3745" i="1"/>
  <c r="C3744" i="1"/>
  <c r="B3744" i="1"/>
  <c r="C3743" i="1"/>
  <c r="B3743" i="1"/>
  <c r="C3742" i="1"/>
  <c r="B3742" i="1"/>
  <c r="C3741" i="1"/>
  <c r="B3741" i="1"/>
  <c r="C3740" i="1"/>
  <c r="B3740" i="1"/>
  <c r="C3739" i="1"/>
  <c r="B3739" i="1"/>
  <c r="C3738" i="1"/>
  <c r="B3738" i="1"/>
  <c r="C3737" i="1"/>
  <c r="B3737" i="1"/>
  <c r="C3736" i="1"/>
  <c r="B3736" i="1"/>
  <c r="C3735" i="1"/>
  <c r="B3735" i="1"/>
  <c r="C3734" i="1"/>
  <c r="B3734" i="1"/>
  <c r="C3733" i="1"/>
  <c r="B3733" i="1"/>
  <c r="C3732" i="1"/>
  <c r="B3732" i="1"/>
  <c r="C3731" i="1"/>
  <c r="B3731" i="1"/>
  <c r="C3730" i="1"/>
  <c r="B3730" i="1"/>
  <c r="C3729" i="1"/>
  <c r="B3729" i="1"/>
  <c r="C3728" i="1"/>
  <c r="B3728" i="1"/>
  <c r="C3727" i="1"/>
  <c r="B3727" i="1"/>
  <c r="C3726" i="1"/>
  <c r="B3726" i="1"/>
  <c r="C3725" i="1"/>
  <c r="B3725" i="1"/>
  <c r="C3724" i="1"/>
  <c r="B3724" i="1"/>
  <c r="C3723" i="1"/>
  <c r="B3723" i="1"/>
  <c r="C3722" i="1"/>
  <c r="B3722" i="1"/>
  <c r="C3721" i="1"/>
  <c r="B3721" i="1"/>
  <c r="C3720" i="1"/>
  <c r="B3720" i="1"/>
  <c r="C3719" i="1"/>
  <c r="B3719" i="1"/>
  <c r="C3718" i="1"/>
  <c r="B3718" i="1"/>
  <c r="C3717" i="1"/>
  <c r="B3717" i="1"/>
  <c r="C3716" i="1"/>
  <c r="B3716" i="1"/>
  <c r="C3715" i="1"/>
  <c r="B3715" i="1"/>
  <c r="C3714" i="1"/>
  <c r="B3714" i="1"/>
  <c r="C3713" i="1"/>
  <c r="B3713" i="1"/>
  <c r="C3712" i="1"/>
  <c r="B3712" i="1"/>
  <c r="C3711" i="1"/>
  <c r="B3711" i="1"/>
  <c r="C3710" i="1"/>
  <c r="B3710" i="1"/>
  <c r="C3709" i="1"/>
  <c r="B3709" i="1"/>
  <c r="C3708" i="1"/>
  <c r="B3708" i="1"/>
  <c r="C3707" i="1"/>
  <c r="B3707" i="1"/>
  <c r="C3706" i="1"/>
  <c r="B3706" i="1"/>
  <c r="C3705" i="1"/>
  <c r="B3705" i="1"/>
  <c r="C3704" i="1"/>
  <c r="B3704" i="1"/>
  <c r="C3703" i="1"/>
  <c r="B3703" i="1"/>
  <c r="C3702" i="1"/>
  <c r="B3702" i="1"/>
  <c r="C3701" i="1"/>
  <c r="B3701" i="1"/>
  <c r="C3700" i="1"/>
  <c r="B3700" i="1"/>
  <c r="C3699" i="1"/>
  <c r="B3699" i="1"/>
  <c r="C3698" i="1"/>
  <c r="B3698" i="1"/>
  <c r="C3697" i="1"/>
  <c r="B3697" i="1"/>
  <c r="C3696" i="1"/>
  <c r="B3696" i="1"/>
  <c r="C3695" i="1"/>
  <c r="B3695" i="1"/>
  <c r="C3694" i="1"/>
  <c r="B3694" i="1"/>
  <c r="C3693" i="1"/>
  <c r="B3693" i="1"/>
  <c r="C3692" i="1"/>
  <c r="B3692" i="1"/>
  <c r="C3691" i="1"/>
  <c r="B3691" i="1"/>
  <c r="C3690" i="1"/>
  <c r="B3690" i="1"/>
  <c r="C3689" i="1"/>
  <c r="B3689" i="1"/>
  <c r="C3688" i="1"/>
  <c r="B3688" i="1"/>
  <c r="C3687" i="1"/>
  <c r="B3687" i="1"/>
  <c r="C3686" i="1"/>
  <c r="B3686" i="1"/>
  <c r="C3685" i="1"/>
  <c r="B3685" i="1"/>
  <c r="C3684" i="1"/>
  <c r="B3684" i="1"/>
  <c r="C3683" i="1"/>
  <c r="B3683" i="1"/>
  <c r="C3682" i="1"/>
  <c r="B3682" i="1"/>
  <c r="C3681" i="1"/>
  <c r="B3681" i="1"/>
  <c r="C3680" i="1"/>
  <c r="B3680" i="1"/>
  <c r="C3679" i="1"/>
  <c r="B3679" i="1"/>
  <c r="C3678" i="1"/>
  <c r="B3678" i="1"/>
  <c r="C3677" i="1"/>
  <c r="B3677" i="1"/>
  <c r="C3676" i="1"/>
  <c r="B3676" i="1"/>
  <c r="C3675" i="1"/>
  <c r="B3675" i="1"/>
  <c r="C3674" i="1"/>
  <c r="B3674" i="1"/>
  <c r="C3673" i="1"/>
  <c r="B3673" i="1"/>
  <c r="C3672" i="1"/>
  <c r="B3672" i="1"/>
  <c r="C3671" i="1"/>
  <c r="B3671" i="1"/>
  <c r="C3670" i="1"/>
  <c r="B3670" i="1"/>
  <c r="C3669" i="1"/>
  <c r="B3669" i="1"/>
  <c r="C3668" i="1"/>
  <c r="B3668" i="1"/>
  <c r="C3667" i="1"/>
  <c r="B3667" i="1"/>
  <c r="C3666" i="1"/>
  <c r="B3666" i="1"/>
  <c r="C3665" i="1"/>
  <c r="B3665" i="1"/>
  <c r="C3664" i="1"/>
  <c r="B3664" i="1"/>
  <c r="C3663" i="1"/>
  <c r="B3663" i="1"/>
  <c r="C3662" i="1"/>
  <c r="B3662" i="1"/>
  <c r="C3661" i="1"/>
  <c r="B3661" i="1"/>
  <c r="C3660" i="1"/>
  <c r="B3660" i="1"/>
  <c r="C3659" i="1"/>
  <c r="B3659" i="1"/>
  <c r="C3658" i="1"/>
  <c r="B3658" i="1"/>
  <c r="C3657" i="1"/>
  <c r="B3657" i="1"/>
  <c r="C3656" i="1"/>
  <c r="B3656" i="1"/>
  <c r="C3655" i="1"/>
  <c r="B3655" i="1"/>
  <c r="C3654" i="1"/>
  <c r="B3654" i="1"/>
  <c r="C3653" i="1"/>
  <c r="B3653" i="1"/>
  <c r="C3652" i="1"/>
  <c r="B3652" i="1"/>
  <c r="C3651" i="1"/>
  <c r="B3651" i="1"/>
  <c r="C3650" i="1"/>
  <c r="B3650" i="1"/>
  <c r="C3649" i="1"/>
  <c r="B3649" i="1"/>
  <c r="C3648" i="1"/>
  <c r="B3648" i="1"/>
  <c r="C3647" i="1"/>
  <c r="B3647" i="1"/>
  <c r="C3646" i="1"/>
  <c r="B3646" i="1"/>
  <c r="C3645" i="1"/>
  <c r="B3645" i="1"/>
  <c r="C3644" i="1"/>
  <c r="B3644" i="1"/>
  <c r="C3643" i="1"/>
  <c r="B3643" i="1"/>
  <c r="C3642" i="1"/>
  <c r="B3642" i="1"/>
  <c r="C3641" i="1"/>
  <c r="B3641" i="1"/>
  <c r="C3640" i="1"/>
  <c r="B3640" i="1"/>
  <c r="C3639" i="1"/>
  <c r="B3639" i="1"/>
  <c r="C3638" i="1"/>
  <c r="B3638" i="1"/>
  <c r="C3637" i="1"/>
  <c r="B3637" i="1"/>
  <c r="C3636" i="1"/>
  <c r="B3636" i="1"/>
  <c r="C3635" i="1"/>
  <c r="B3635" i="1"/>
  <c r="C3634" i="1"/>
  <c r="B3634" i="1"/>
  <c r="C3633" i="1"/>
  <c r="B3633" i="1"/>
  <c r="C3632" i="1"/>
  <c r="B3632" i="1"/>
  <c r="C3631" i="1"/>
  <c r="B3631" i="1"/>
  <c r="C3630" i="1"/>
  <c r="B3630" i="1"/>
  <c r="C3629" i="1"/>
  <c r="B3629" i="1"/>
  <c r="C3628" i="1"/>
  <c r="B3628" i="1"/>
  <c r="C3627" i="1"/>
  <c r="B3627" i="1"/>
  <c r="C3626" i="1"/>
  <c r="B3626" i="1"/>
  <c r="C3625" i="1"/>
  <c r="B3625" i="1"/>
  <c r="C3624" i="1"/>
  <c r="B3624" i="1"/>
  <c r="C3623" i="1"/>
  <c r="B3623" i="1"/>
  <c r="C3622" i="1"/>
  <c r="B3622" i="1"/>
  <c r="C3621" i="1"/>
  <c r="B3621" i="1"/>
  <c r="C3620" i="1"/>
  <c r="B3620" i="1"/>
  <c r="C3619" i="1"/>
  <c r="B3619" i="1"/>
  <c r="C3618" i="1"/>
  <c r="B3618" i="1"/>
  <c r="C3617" i="1"/>
  <c r="B3617" i="1"/>
  <c r="C3616" i="1"/>
  <c r="B3616" i="1"/>
  <c r="C3615" i="1"/>
  <c r="B3615" i="1"/>
  <c r="C3614" i="1"/>
  <c r="B3614" i="1"/>
  <c r="C3613" i="1"/>
  <c r="B3613" i="1"/>
  <c r="C3612" i="1"/>
  <c r="B3612" i="1"/>
  <c r="C3611" i="1"/>
  <c r="B3611" i="1"/>
  <c r="C3610" i="1"/>
  <c r="B3610" i="1"/>
  <c r="C3609" i="1"/>
  <c r="B3609" i="1"/>
  <c r="C3608" i="1"/>
  <c r="B3608" i="1"/>
  <c r="C3607" i="1"/>
  <c r="B3607" i="1"/>
  <c r="C3606" i="1"/>
  <c r="B3606" i="1"/>
  <c r="C3605" i="1"/>
  <c r="B3605" i="1"/>
  <c r="C3604" i="1"/>
  <c r="B3604" i="1"/>
  <c r="C3603" i="1"/>
  <c r="B3603" i="1"/>
  <c r="C3602" i="1"/>
  <c r="B3602" i="1"/>
  <c r="C3601" i="1"/>
  <c r="B3601" i="1"/>
  <c r="C3600" i="1"/>
  <c r="B3600" i="1"/>
  <c r="C3599" i="1"/>
  <c r="B3599" i="1"/>
  <c r="C3598" i="1"/>
  <c r="B3598" i="1"/>
  <c r="C3597" i="1"/>
  <c r="B3597" i="1"/>
  <c r="C3596" i="1"/>
  <c r="B3596" i="1"/>
  <c r="C3595" i="1"/>
  <c r="B3595" i="1"/>
  <c r="C3594" i="1"/>
  <c r="B3594" i="1"/>
  <c r="C3593" i="1"/>
  <c r="B3593" i="1"/>
  <c r="C3592" i="1"/>
  <c r="B3592" i="1"/>
  <c r="C3591" i="1"/>
  <c r="B3591" i="1"/>
  <c r="C3590" i="1"/>
  <c r="B3590" i="1"/>
  <c r="C3589" i="1"/>
  <c r="B3589" i="1"/>
  <c r="C3588" i="1"/>
  <c r="B3588" i="1"/>
  <c r="C3587" i="1"/>
  <c r="B3587" i="1"/>
  <c r="C3586" i="1"/>
  <c r="B3586" i="1"/>
  <c r="C3585" i="1"/>
  <c r="B3585" i="1"/>
  <c r="C3584" i="1"/>
  <c r="B3584" i="1"/>
  <c r="C3583" i="1"/>
  <c r="B3583" i="1"/>
  <c r="C3582" i="1"/>
  <c r="B3582" i="1"/>
  <c r="C3581" i="1"/>
  <c r="B3581" i="1"/>
  <c r="C3580" i="1"/>
  <c r="B3580" i="1"/>
  <c r="C3579" i="1"/>
  <c r="B3579" i="1"/>
  <c r="C3578" i="1"/>
  <c r="B3578" i="1"/>
  <c r="C3577" i="1"/>
  <c r="B3577" i="1"/>
  <c r="C3576" i="1"/>
  <c r="B3576" i="1"/>
  <c r="C3575" i="1"/>
  <c r="B3575" i="1"/>
  <c r="C3574" i="1"/>
  <c r="B3574" i="1"/>
  <c r="C3573" i="1"/>
  <c r="B3573" i="1"/>
  <c r="C3572" i="1"/>
  <c r="B3572" i="1"/>
  <c r="C3571" i="1"/>
  <c r="B3571" i="1"/>
  <c r="C3570" i="1"/>
  <c r="B3570" i="1"/>
  <c r="C3569" i="1"/>
  <c r="B3569" i="1"/>
  <c r="C3568" i="1"/>
  <c r="B3568" i="1"/>
  <c r="C3567" i="1"/>
  <c r="B3567" i="1"/>
  <c r="C3566" i="1"/>
  <c r="B3566" i="1"/>
  <c r="C3565" i="1"/>
  <c r="B3565" i="1"/>
  <c r="C3564" i="1"/>
  <c r="B3564" i="1"/>
  <c r="C3563" i="1"/>
  <c r="B3563" i="1"/>
  <c r="C3562" i="1"/>
  <c r="B3562" i="1"/>
  <c r="C3561" i="1"/>
  <c r="B3561" i="1"/>
  <c r="C3560" i="1"/>
  <c r="B3560" i="1"/>
  <c r="C3559" i="1"/>
  <c r="B3559" i="1"/>
  <c r="C3558" i="1"/>
  <c r="B3558" i="1"/>
  <c r="C3557" i="1"/>
  <c r="B3557" i="1"/>
  <c r="C3556" i="1"/>
  <c r="B3556" i="1"/>
  <c r="C3555" i="1"/>
  <c r="B3555" i="1"/>
  <c r="C3554" i="1"/>
  <c r="B3554" i="1"/>
  <c r="C3553" i="1"/>
  <c r="B3553" i="1"/>
  <c r="C3552" i="1"/>
  <c r="B3552" i="1"/>
  <c r="C3551" i="1"/>
  <c r="B3551" i="1"/>
  <c r="C3550" i="1"/>
  <c r="B3550" i="1"/>
  <c r="C3549" i="1"/>
  <c r="B3549" i="1"/>
  <c r="C3548" i="1"/>
  <c r="B3548" i="1"/>
  <c r="C3547" i="1"/>
  <c r="B3547" i="1"/>
  <c r="C3546" i="1"/>
  <c r="B3546" i="1"/>
  <c r="C3545" i="1"/>
  <c r="B3545" i="1"/>
  <c r="C3544" i="1"/>
  <c r="B3544" i="1"/>
  <c r="C3543" i="1"/>
  <c r="B3543" i="1"/>
  <c r="C3542" i="1"/>
  <c r="B3542" i="1"/>
  <c r="C3541" i="1"/>
  <c r="B3541" i="1"/>
  <c r="C3540" i="1"/>
  <c r="B3540" i="1"/>
  <c r="C3539" i="1"/>
  <c r="B3539" i="1"/>
  <c r="C3538" i="1"/>
  <c r="B3538" i="1"/>
  <c r="C3537" i="1"/>
  <c r="B3537" i="1"/>
  <c r="C3536" i="1"/>
  <c r="B3536" i="1"/>
  <c r="C3535" i="1"/>
  <c r="B3535" i="1"/>
  <c r="C3534" i="1"/>
  <c r="B3534" i="1"/>
  <c r="C3533" i="1"/>
  <c r="B3533" i="1"/>
  <c r="C3532" i="1"/>
  <c r="B3532" i="1"/>
  <c r="C3531" i="1"/>
  <c r="B3531" i="1"/>
  <c r="C3530" i="1"/>
  <c r="B3530" i="1"/>
  <c r="C3529" i="1"/>
  <c r="B3529" i="1"/>
  <c r="C3528" i="1"/>
  <c r="B3528" i="1"/>
  <c r="C3527" i="1"/>
  <c r="B3527" i="1"/>
  <c r="C3526" i="1"/>
  <c r="B3526" i="1"/>
  <c r="C3525" i="1"/>
  <c r="B3525" i="1"/>
  <c r="C3524" i="1"/>
  <c r="B3524" i="1"/>
  <c r="C3523" i="1"/>
  <c r="B3523" i="1"/>
  <c r="C3522" i="1"/>
  <c r="B3522" i="1"/>
  <c r="C3521" i="1"/>
  <c r="B3521" i="1"/>
  <c r="C3520" i="1"/>
  <c r="B3520" i="1"/>
  <c r="C3519" i="1"/>
  <c r="B3519" i="1"/>
  <c r="C3518" i="1"/>
  <c r="B3518" i="1"/>
  <c r="C3517" i="1"/>
  <c r="B3517" i="1"/>
  <c r="C3516" i="1"/>
  <c r="B3516" i="1"/>
  <c r="C3515" i="1"/>
  <c r="B3515" i="1"/>
  <c r="C3514" i="1"/>
  <c r="B3514" i="1"/>
  <c r="C3513" i="1"/>
  <c r="B3513" i="1"/>
  <c r="C3512" i="1"/>
  <c r="B3512" i="1"/>
  <c r="C3511" i="1"/>
  <c r="B3511" i="1"/>
  <c r="C3510" i="1"/>
  <c r="B3510" i="1"/>
  <c r="C3509" i="1"/>
  <c r="B3509" i="1"/>
  <c r="C3508" i="1"/>
  <c r="B3508" i="1"/>
  <c r="C3507" i="1"/>
  <c r="B3507" i="1"/>
  <c r="C3506" i="1"/>
  <c r="B3506" i="1"/>
  <c r="C3505" i="1"/>
  <c r="B3505" i="1"/>
  <c r="C3504" i="1"/>
  <c r="B3504" i="1"/>
  <c r="C3503" i="1"/>
  <c r="B3503" i="1"/>
  <c r="C3502" i="1"/>
  <c r="B3502" i="1"/>
  <c r="C3501" i="1"/>
  <c r="B3501" i="1"/>
  <c r="C3500" i="1"/>
  <c r="B3500" i="1"/>
  <c r="C3499" i="1"/>
  <c r="B3499" i="1"/>
  <c r="C3498" i="1"/>
  <c r="B3498" i="1"/>
  <c r="C3497" i="1"/>
  <c r="B3497" i="1"/>
  <c r="C3496" i="1"/>
  <c r="B3496" i="1"/>
  <c r="C3495" i="1"/>
  <c r="B3495" i="1"/>
  <c r="C3494" i="1"/>
  <c r="B3494" i="1"/>
  <c r="C3493" i="1"/>
  <c r="B3493" i="1"/>
  <c r="C3492" i="1"/>
  <c r="B3492" i="1"/>
  <c r="C3491" i="1"/>
  <c r="B3491" i="1"/>
  <c r="C3490" i="1"/>
  <c r="B3490" i="1"/>
  <c r="C3489" i="1"/>
  <c r="B3489" i="1"/>
  <c r="C3488" i="1"/>
  <c r="B3488" i="1"/>
  <c r="C3487" i="1"/>
  <c r="B3487" i="1"/>
  <c r="C3486" i="1"/>
  <c r="B3486" i="1"/>
  <c r="C3485" i="1"/>
  <c r="B3485" i="1"/>
  <c r="C3484" i="1"/>
  <c r="B3484" i="1"/>
  <c r="C3483" i="1"/>
  <c r="B3483" i="1"/>
  <c r="C3482" i="1"/>
  <c r="B3482" i="1"/>
  <c r="C3481" i="1"/>
  <c r="B3481" i="1"/>
  <c r="C3480" i="1"/>
  <c r="B3480" i="1"/>
  <c r="C3479" i="1"/>
  <c r="B3479" i="1"/>
  <c r="C3478" i="1"/>
  <c r="B3478" i="1"/>
  <c r="C3477" i="1"/>
  <c r="B3477" i="1"/>
  <c r="C3476" i="1"/>
  <c r="B3476" i="1"/>
  <c r="C3475" i="1"/>
  <c r="B3475" i="1"/>
  <c r="C3474" i="1"/>
  <c r="B3474" i="1"/>
  <c r="C3473" i="1"/>
  <c r="B3473" i="1"/>
  <c r="C3472" i="1"/>
  <c r="B3472" i="1"/>
  <c r="C3471" i="1"/>
  <c r="B3471" i="1"/>
  <c r="C3470" i="1"/>
  <c r="B3470" i="1"/>
  <c r="C3469" i="1"/>
  <c r="B3469" i="1"/>
  <c r="C3468" i="1"/>
  <c r="B3468" i="1"/>
  <c r="C3467" i="1"/>
  <c r="B3467" i="1"/>
  <c r="C3466" i="1"/>
  <c r="B3466" i="1"/>
  <c r="C3465" i="1"/>
  <c r="B3465" i="1"/>
  <c r="C3464" i="1"/>
  <c r="B3464" i="1"/>
  <c r="C3463" i="1"/>
  <c r="B3463" i="1"/>
  <c r="C3462" i="1"/>
  <c r="B3462" i="1"/>
  <c r="C3461" i="1"/>
  <c r="B3461" i="1"/>
  <c r="C3460" i="1"/>
  <c r="B3460" i="1"/>
  <c r="C3459" i="1"/>
  <c r="B3459" i="1"/>
  <c r="C3458" i="1"/>
  <c r="B3458" i="1"/>
  <c r="C3457" i="1"/>
  <c r="B3457" i="1"/>
  <c r="C3456" i="1"/>
  <c r="B3456" i="1"/>
  <c r="C3455" i="1"/>
  <c r="B3455" i="1"/>
  <c r="C3454" i="1"/>
  <c r="B3454" i="1"/>
  <c r="C3453" i="1"/>
  <c r="B3453" i="1"/>
  <c r="C3452" i="1"/>
  <c r="B3452" i="1"/>
  <c r="C3451" i="1"/>
  <c r="B3451" i="1"/>
  <c r="C3450" i="1"/>
  <c r="B3450" i="1"/>
  <c r="C3449" i="1"/>
  <c r="B3449" i="1"/>
  <c r="C3448" i="1"/>
  <c r="B3448" i="1"/>
  <c r="C3447" i="1"/>
  <c r="B3447" i="1"/>
  <c r="C3446" i="1"/>
  <c r="B3446" i="1"/>
  <c r="C3445" i="1"/>
  <c r="B3445" i="1"/>
  <c r="C3444" i="1"/>
  <c r="B3444" i="1"/>
  <c r="C3443" i="1"/>
  <c r="B3443" i="1"/>
  <c r="C3442" i="1"/>
  <c r="B3442" i="1"/>
  <c r="C3441" i="1"/>
  <c r="B3441" i="1"/>
  <c r="C3440" i="1"/>
  <c r="B3440" i="1"/>
  <c r="C3439" i="1"/>
  <c r="B3439" i="1"/>
  <c r="C3438" i="1"/>
  <c r="B3438" i="1"/>
  <c r="C3437" i="1"/>
  <c r="B3437" i="1"/>
  <c r="C3436" i="1"/>
  <c r="B3436" i="1"/>
  <c r="C3435" i="1"/>
  <c r="B3435" i="1"/>
  <c r="C3434" i="1"/>
  <c r="B3434" i="1"/>
  <c r="C3433" i="1"/>
  <c r="B3433" i="1"/>
  <c r="C3432" i="1"/>
  <c r="B3432" i="1"/>
  <c r="C3431" i="1"/>
  <c r="B3431" i="1"/>
  <c r="C3430" i="1"/>
  <c r="B3430" i="1"/>
  <c r="C3429" i="1"/>
  <c r="B3429" i="1"/>
  <c r="C3428" i="1"/>
  <c r="B3428" i="1"/>
  <c r="C3427" i="1"/>
  <c r="B3427" i="1"/>
  <c r="C3426" i="1"/>
  <c r="B3426" i="1"/>
  <c r="C3425" i="1"/>
  <c r="B3425" i="1"/>
  <c r="C3424" i="1"/>
  <c r="B3424" i="1"/>
  <c r="C3423" i="1"/>
  <c r="B3423" i="1"/>
  <c r="C3422" i="1"/>
  <c r="B3422" i="1"/>
  <c r="C3421" i="1"/>
  <c r="B3421" i="1"/>
  <c r="C3420" i="1"/>
  <c r="B3420" i="1"/>
  <c r="C3419" i="1"/>
  <c r="B3419" i="1"/>
  <c r="C3418" i="1"/>
  <c r="B3418" i="1"/>
  <c r="C3417" i="1"/>
  <c r="B3417" i="1"/>
  <c r="C3416" i="1"/>
  <c r="B3416" i="1"/>
  <c r="C3415" i="1"/>
  <c r="B3415" i="1"/>
  <c r="C3414" i="1"/>
  <c r="B3414" i="1"/>
  <c r="C3413" i="1"/>
  <c r="B3413" i="1"/>
  <c r="C3412" i="1"/>
  <c r="B3412" i="1"/>
  <c r="C3411" i="1"/>
  <c r="B3411" i="1"/>
  <c r="C3410" i="1"/>
  <c r="B3410" i="1"/>
  <c r="C3409" i="1"/>
  <c r="B3409" i="1"/>
  <c r="C3408" i="1"/>
  <c r="B3408" i="1"/>
  <c r="C3407" i="1"/>
  <c r="B3407" i="1"/>
  <c r="C3406" i="1"/>
  <c r="B3406" i="1"/>
  <c r="C3405" i="1"/>
  <c r="B3405" i="1"/>
  <c r="C3404" i="1"/>
  <c r="B3404" i="1"/>
  <c r="C3403" i="1"/>
  <c r="B3403" i="1"/>
  <c r="C3402" i="1"/>
  <c r="B3402" i="1"/>
  <c r="C3401" i="1"/>
  <c r="B3401" i="1"/>
  <c r="C3400" i="1"/>
  <c r="B3400" i="1"/>
  <c r="C3399" i="1"/>
  <c r="B3399" i="1"/>
  <c r="C3398" i="1"/>
  <c r="B3398" i="1"/>
  <c r="C3397" i="1"/>
  <c r="B3397" i="1"/>
  <c r="C3396" i="1"/>
  <c r="B3396" i="1"/>
  <c r="C3395" i="1"/>
  <c r="B3395" i="1"/>
  <c r="C3394" i="1"/>
  <c r="B3394" i="1"/>
  <c r="C3393" i="1"/>
  <c r="B3393" i="1"/>
  <c r="C3392" i="1"/>
  <c r="B3392" i="1"/>
  <c r="C3391" i="1"/>
  <c r="B3391" i="1"/>
  <c r="C3390" i="1"/>
  <c r="B3390" i="1"/>
  <c r="C3389" i="1"/>
  <c r="B3389" i="1"/>
  <c r="C3388" i="1"/>
  <c r="B3388" i="1"/>
  <c r="C3387" i="1"/>
  <c r="B3387" i="1"/>
  <c r="C3386" i="1"/>
  <c r="B3386" i="1"/>
  <c r="C3385" i="1"/>
  <c r="B3385" i="1"/>
  <c r="C3384" i="1"/>
  <c r="B3384" i="1"/>
  <c r="C3383" i="1"/>
  <c r="B3383" i="1"/>
  <c r="C3382" i="1"/>
  <c r="B3382" i="1"/>
  <c r="C3381" i="1"/>
  <c r="B3381" i="1"/>
  <c r="C3380" i="1"/>
  <c r="B3380" i="1"/>
  <c r="C3379" i="1"/>
  <c r="B3379" i="1"/>
  <c r="C3378" i="1"/>
  <c r="B3378" i="1"/>
  <c r="C3377" i="1"/>
  <c r="B3377" i="1"/>
  <c r="C3376" i="1"/>
  <c r="B3376" i="1"/>
  <c r="C3375" i="1"/>
  <c r="B3375" i="1"/>
  <c r="C3374" i="1"/>
  <c r="B3374" i="1"/>
  <c r="C3373" i="1"/>
  <c r="B3373" i="1"/>
  <c r="C3372" i="1"/>
  <c r="B3372" i="1"/>
  <c r="C3371" i="1"/>
  <c r="B3371" i="1"/>
  <c r="C3370" i="1"/>
  <c r="B3370" i="1"/>
  <c r="C3369" i="1"/>
  <c r="B3369" i="1"/>
  <c r="C3368" i="1"/>
  <c r="B3368" i="1"/>
  <c r="C3367" i="1"/>
  <c r="B3367" i="1"/>
  <c r="C3366" i="1"/>
  <c r="B3366" i="1"/>
  <c r="C3365" i="1"/>
  <c r="B3365" i="1"/>
  <c r="C3364" i="1"/>
  <c r="B3364" i="1"/>
  <c r="C3363" i="1"/>
  <c r="B3363" i="1"/>
  <c r="C3362" i="1"/>
  <c r="B3362" i="1"/>
  <c r="C3361" i="1"/>
  <c r="B3361" i="1"/>
  <c r="C3360" i="1"/>
  <c r="B3360" i="1"/>
  <c r="C3359" i="1"/>
  <c r="B3359" i="1"/>
  <c r="C3358" i="1"/>
  <c r="B3358" i="1"/>
  <c r="C3357" i="1"/>
  <c r="B3357" i="1"/>
  <c r="C3356" i="1"/>
  <c r="B3356" i="1"/>
  <c r="C3355" i="1"/>
  <c r="B3355" i="1"/>
  <c r="C3354" i="1"/>
  <c r="B3354" i="1"/>
  <c r="C3353" i="1"/>
  <c r="B3353" i="1"/>
  <c r="C3352" i="1"/>
  <c r="B3352" i="1"/>
  <c r="C3351" i="1"/>
  <c r="B3351" i="1"/>
  <c r="C3350" i="1"/>
  <c r="B3350" i="1"/>
  <c r="C3349" i="1"/>
  <c r="B3349" i="1"/>
  <c r="C3348" i="1"/>
  <c r="B3348" i="1"/>
  <c r="C3347" i="1"/>
  <c r="B3347" i="1"/>
  <c r="C3346" i="1"/>
  <c r="B3346" i="1"/>
  <c r="C3345" i="1"/>
  <c r="B3345" i="1"/>
  <c r="C3344" i="1"/>
  <c r="B3344" i="1"/>
  <c r="C3343" i="1"/>
  <c r="B3343" i="1"/>
  <c r="C3342" i="1"/>
  <c r="B3342" i="1"/>
  <c r="C3341" i="1"/>
  <c r="B3341" i="1"/>
  <c r="C3340" i="1"/>
  <c r="B3340" i="1"/>
  <c r="C3339" i="1"/>
  <c r="B3339" i="1"/>
  <c r="C3338" i="1"/>
  <c r="B3338" i="1"/>
  <c r="C3337" i="1"/>
  <c r="B3337" i="1"/>
  <c r="C3336" i="1"/>
  <c r="B3336" i="1"/>
  <c r="C3335" i="1"/>
  <c r="B3335" i="1"/>
  <c r="C3334" i="1"/>
  <c r="B3334" i="1"/>
  <c r="C3333" i="1"/>
  <c r="B3333" i="1"/>
  <c r="C3332" i="1"/>
  <c r="B3332" i="1"/>
  <c r="C3331" i="1"/>
  <c r="B3331" i="1"/>
  <c r="C3330" i="1"/>
  <c r="B3330" i="1"/>
  <c r="C3329" i="1"/>
  <c r="B3329" i="1"/>
  <c r="C3328" i="1"/>
  <c r="B3328" i="1"/>
  <c r="C3327" i="1"/>
  <c r="B3327" i="1"/>
  <c r="C3326" i="1"/>
  <c r="B3326" i="1"/>
  <c r="C3325" i="1"/>
  <c r="B3325" i="1"/>
  <c r="C3324" i="1"/>
  <c r="B3324" i="1"/>
  <c r="C3323" i="1"/>
  <c r="B3323" i="1"/>
  <c r="C3322" i="1"/>
  <c r="B3322" i="1"/>
  <c r="C3321" i="1"/>
  <c r="B3321" i="1"/>
  <c r="C3320" i="1"/>
  <c r="B3320" i="1"/>
  <c r="C3319" i="1"/>
  <c r="B3319" i="1"/>
  <c r="C3318" i="1"/>
  <c r="B3318" i="1"/>
  <c r="C3317" i="1"/>
  <c r="B3317" i="1"/>
  <c r="C3316" i="1"/>
  <c r="B3316" i="1"/>
  <c r="C3315" i="1"/>
  <c r="B3315" i="1"/>
  <c r="C3314" i="1"/>
  <c r="B3314" i="1"/>
  <c r="C3313" i="1"/>
  <c r="B3313" i="1"/>
  <c r="C3312" i="1"/>
  <c r="B3312" i="1"/>
  <c r="C3311" i="1"/>
  <c r="B3311" i="1"/>
  <c r="C3310" i="1"/>
  <c r="B3310" i="1"/>
  <c r="C3309" i="1"/>
  <c r="B3309" i="1"/>
  <c r="C3308" i="1"/>
  <c r="B3308" i="1"/>
  <c r="C3307" i="1"/>
  <c r="B3307" i="1"/>
  <c r="C3306" i="1"/>
  <c r="B3306" i="1"/>
  <c r="C3305" i="1"/>
  <c r="B3305" i="1"/>
  <c r="C3304" i="1"/>
  <c r="B3304" i="1"/>
  <c r="C3303" i="1"/>
  <c r="B3303" i="1"/>
  <c r="C3302" i="1"/>
  <c r="B3302" i="1"/>
  <c r="C3301" i="1"/>
  <c r="B3301" i="1"/>
  <c r="C3300" i="1"/>
  <c r="B3300" i="1"/>
  <c r="C3299" i="1"/>
  <c r="B3299" i="1"/>
  <c r="C3298" i="1"/>
  <c r="B3298" i="1"/>
  <c r="C3297" i="1"/>
  <c r="B3297" i="1"/>
  <c r="C3296" i="1"/>
  <c r="B3296" i="1"/>
  <c r="C3295" i="1"/>
  <c r="B3295" i="1"/>
  <c r="C3294" i="1"/>
  <c r="B3294" i="1"/>
  <c r="C3293" i="1"/>
  <c r="B3293" i="1"/>
  <c r="C3292" i="1"/>
  <c r="B3292" i="1"/>
  <c r="C3291" i="1"/>
  <c r="B3291" i="1"/>
  <c r="C3290" i="1"/>
  <c r="B3290" i="1"/>
  <c r="C3289" i="1"/>
  <c r="B3289" i="1"/>
  <c r="C3288" i="1"/>
  <c r="B3288" i="1"/>
  <c r="C3287" i="1"/>
  <c r="B3287" i="1"/>
  <c r="C3286" i="1"/>
  <c r="B3286" i="1"/>
  <c r="C3285" i="1"/>
  <c r="B3285" i="1"/>
  <c r="C3284" i="1"/>
  <c r="B3284" i="1"/>
  <c r="C3283" i="1"/>
  <c r="B3283" i="1"/>
  <c r="C3282" i="1"/>
  <c r="B3282" i="1"/>
  <c r="C3281" i="1"/>
  <c r="B3281" i="1"/>
  <c r="C3280" i="1"/>
  <c r="B3280" i="1"/>
  <c r="C3279" i="1"/>
  <c r="B3279" i="1"/>
  <c r="C3278" i="1"/>
  <c r="B3278" i="1"/>
  <c r="C3277" i="1"/>
  <c r="B3277" i="1"/>
  <c r="C3276" i="1"/>
  <c r="B3276" i="1"/>
  <c r="C3275" i="1"/>
  <c r="B3275" i="1"/>
  <c r="C3274" i="1"/>
  <c r="B3274" i="1"/>
  <c r="C3273" i="1"/>
  <c r="B3273" i="1"/>
  <c r="C3272" i="1"/>
  <c r="B3272" i="1"/>
  <c r="C3271" i="1"/>
  <c r="B3271" i="1"/>
  <c r="C3270" i="1"/>
  <c r="B3270" i="1"/>
  <c r="C3269" i="1"/>
  <c r="B3269" i="1"/>
  <c r="C3268" i="1"/>
  <c r="B3268" i="1"/>
  <c r="C3267" i="1"/>
  <c r="B3267" i="1"/>
  <c r="C3266" i="1"/>
  <c r="B3266" i="1"/>
  <c r="C3265" i="1"/>
  <c r="B3265" i="1"/>
  <c r="C3264" i="1"/>
  <c r="B3264" i="1"/>
  <c r="C3263" i="1"/>
  <c r="B3263" i="1"/>
  <c r="C3262" i="1"/>
  <c r="B3262" i="1"/>
  <c r="C3261" i="1"/>
  <c r="B3261" i="1"/>
  <c r="C3260" i="1"/>
  <c r="B3260" i="1"/>
  <c r="C3259" i="1"/>
  <c r="B3259" i="1"/>
  <c r="C3258" i="1"/>
  <c r="B3258" i="1"/>
  <c r="C3257" i="1"/>
  <c r="B3257" i="1"/>
  <c r="C3256" i="1"/>
  <c r="B3256" i="1"/>
  <c r="C3255" i="1"/>
  <c r="B3255" i="1"/>
  <c r="C3254" i="1"/>
  <c r="B3254" i="1"/>
  <c r="C3253" i="1"/>
  <c r="B3253" i="1"/>
  <c r="C3252" i="1"/>
  <c r="B3252" i="1"/>
  <c r="C3251" i="1"/>
  <c r="B3251" i="1"/>
  <c r="C3250" i="1"/>
  <c r="B3250" i="1"/>
  <c r="C3249" i="1"/>
  <c r="B3249" i="1"/>
  <c r="C3248" i="1"/>
  <c r="B3248" i="1"/>
  <c r="C3247" i="1"/>
  <c r="B3247" i="1"/>
  <c r="C3246" i="1"/>
  <c r="B3246" i="1"/>
  <c r="C3245" i="1"/>
  <c r="B3245" i="1"/>
  <c r="C3244" i="1"/>
  <c r="B3244" i="1"/>
  <c r="C3243" i="1"/>
  <c r="B3243" i="1"/>
  <c r="C3242" i="1"/>
  <c r="B3242" i="1"/>
  <c r="C3241" i="1"/>
  <c r="B3241" i="1"/>
  <c r="C3240" i="1"/>
  <c r="B3240" i="1"/>
  <c r="C3239" i="1"/>
  <c r="B3239" i="1"/>
  <c r="C3238" i="1"/>
  <c r="B3238" i="1"/>
  <c r="C3237" i="1"/>
  <c r="B3237" i="1"/>
  <c r="C3236" i="1"/>
  <c r="B3236" i="1"/>
  <c r="C3235" i="1"/>
  <c r="B3235" i="1"/>
  <c r="C3234" i="1"/>
  <c r="B3234" i="1"/>
  <c r="C3233" i="1"/>
  <c r="B3233" i="1"/>
  <c r="C3232" i="1"/>
  <c r="B3232" i="1"/>
  <c r="C3231" i="1"/>
  <c r="B3231" i="1"/>
  <c r="C3230" i="1"/>
  <c r="B3230" i="1"/>
  <c r="C3229" i="1"/>
  <c r="B3229" i="1"/>
  <c r="C3228" i="1"/>
  <c r="B3228" i="1"/>
  <c r="C3227" i="1"/>
  <c r="B3227" i="1"/>
  <c r="C3226" i="1"/>
  <c r="B3226" i="1"/>
  <c r="C3225" i="1"/>
  <c r="B3225" i="1"/>
  <c r="C3224" i="1"/>
  <c r="B3224" i="1"/>
  <c r="C3223" i="1"/>
  <c r="B3223" i="1"/>
  <c r="C3222" i="1"/>
  <c r="B3222" i="1"/>
  <c r="C3221" i="1"/>
  <c r="B3221" i="1"/>
  <c r="C3220" i="1"/>
  <c r="B3220" i="1"/>
  <c r="C3219" i="1"/>
  <c r="B3219" i="1"/>
  <c r="C3218" i="1"/>
  <c r="B3218" i="1"/>
  <c r="C3217" i="1"/>
  <c r="B3217" i="1"/>
  <c r="C3216" i="1"/>
  <c r="B3216" i="1"/>
  <c r="C3215" i="1"/>
  <c r="B3215" i="1"/>
  <c r="C3214" i="1"/>
  <c r="B3214" i="1"/>
  <c r="C3213" i="1"/>
  <c r="B3213" i="1"/>
  <c r="C3212" i="1"/>
  <c r="B3212" i="1"/>
  <c r="C3211" i="1"/>
  <c r="B3211" i="1"/>
  <c r="C3210" i="1"/>
  <c r="B3210" i="1"/>
  <c r="C3209" i="1"/>
  <c r="B3209" i="1"/>
  <c r="C3208" i="1"/>
  <c r="B3208" i="1"/>
  <c r="C3207" i="1"/>
  <c r="B3207" i="1"/>
  <c r="C3206" i="1"/>
  <c r="B3206" i="1"/>
  <c r="C3205" i="1"/>
  <c r="B3205" i="1"/>
  <c r="C3204" i="1"/>
  <c r="B3204" i="1"/>
  <c r="C3203" i="1"/>
  <c r="B3203" i="1"/>
  <c r="C3202" i="1"/>
  <c r="B3202" i="1"/>
  <c r="C3201" i="1"/>
  <c r="B3201" i="1"/>
  <c r="C3200" i="1"/>
  <c r="B3200" i="1"/>
  <c r="C3199" i="1"/>
  <c r="B3199" i="1"/>
  <c r="C3198" i="1"/>
  <c r="B3198" i="1"/>
  <c r="C3197" i="1"/>
  <c r="B3197" i="1"/>
  <c r="C3196" i="1"/>
  <c r="B3196" i="1"/>
  <c r="C3195" i="1"/>
  <c r="B3195" i="1"/>
  <c r="C3194" i="1"/>
  <c r="B3194" i="1"/>
  <c r="C3193" i="1"/>
  <c r="B3193" i="1"/>
  <c r="C3192" i="1"/>
  <c r="B3192" i="1"/>
  <c r="C3191" i="1"/>
  <c r="B3191" i="1"/>
  <c r="C3190" i="1"/>
  <c r="B3190" i="1"/>
  <c r="C3189" i="1"/>
  <c r="B3189" i="1"/>
  <c r="C3188" i="1"/>
  <c r="B3188" i="1"/>
  <c r="C3187" i="1"/>
  <c r="B3187" i="1"/>
  <c r="C3186" i="1"/>
  <c r="B3186" i="1"/>
  <c r="C3185" i="1"/>
  <c r="B3185" i="1"/>
  <c r="C3184" i="1"/>
  <c r="B3184" i="1"/>
  <c r="C3183" i="1"/>
  <c r="B3183" i="1"/>
  <c r="C3182" i="1"/>
  <c r="B3182" i="1"/>
  <c r="C3181" i="1"/>
  <c r="B3181" i="1"/>
  <c r="C3180" i="1"/>
  <c r="B3180" i="1"/>
  <c r="C3179" i="1"/>
  <c r="B3179" i="1"/>
  <c r="C3178" i="1"/>
  <c r="B3178" i="1"/>
  <c r="C3177" i="1"/>
  <c r="B3177" i="1"/>
  <c r="C3176" i="1"/>
  <c r="B3176" i="1"/>
  <c r="C3175" i="1"/>
  <c r="B3175" i="1"/>
  <c r="C3174" i="1"/>
  <c r="B3174" i="1"/>
  <c r="C3173" i="1"/>
  <c r="B3173" i="1"/>
  <c r="C3172" i="1"/>
  <c r="B3172" i="1"/>
  <c r="C3171" i="1"/>
  <c r="B3171" i="1"/>
  <c r="C3170" i="1"/>
  <c r="B3170" i="1"/>
  <c r="C3169" i="1"/>
  <c r="B3169" i="1"/>
  <c r="C3168" i="1"/>
  <c r="B3168" i="1"/>
  <c r="C3167" i="1"/>
  <c r="B3167" i="1"/>
  <c r="C3166" i="1"/>
  <c r="B3166" i="1"/>
  <c r="C3165" i="1"/>
  <c r="B3165" i="1"/>
  <c r="C3164" i="1"/>
  <c r="B3164" i="1"/>
  <c r="C3163" i="1"/>
  <c r="B3163" i="1"/>
  <c r="C3162" i="1"/>
  <c r="B3162" i="1"/>
  <c r="C3161" i="1"/>
  <c r="B3161" i="1"/>
  <c r="C3160" i="1"/>
  <c r="B3160" i="1"/>
  <c r="C3159" i="1"/>
  <c r="B3159" i="1"/>
  <c r="C3158" i="1"/>
  <c r="B3158" i="1"/>
  <c r="C3157" i="1"/>
  <c r="B3157" i="1"/>
  <c r="C3156" i="1"/>
  <c r="B3156" i="1"/>
  <c r="C3155" i="1"/>
  <c r="B3155" i="1"/>
  <c r="C3154" i="1"/>
  <c r="B3154" i="1"/>
  <c r="C3153" i="1"/>
  <c r="B3153" i="1"/>
  <c r="C3152" i="1"/>
  <c r="B3152" i="1"/>
  <c r="C3151" i="1"/>
  <c r="B3151" i="1"/>
  <c r="C3150" i="1"/>
  <c r="B3150" i="1"/>
  <c r="C3149" i="1"/>
  <c r="B3149" i="1"/>
  <c r="C3148" i="1"/>
  <c r="B3148" i="1"/>
  <c r="C3147" i="1"/>
  <c r="B3147" i="1"/>
  <c r="C3146" i="1"/>
  <c r="B3146" i="1"/>
  <c r="C3145" i="1"/>
  <c r="B3145" i="1"/>
  <c r="C3144" i="1"/>
  <c r="B3144" i="1"/>
  <c r="C3143" i="1"/>
  <c r="B3143" i="1"/>
  <c r="C3142" i="1"/>
  <c r="B3142" i="1"/>
  <c r="C3141" i="1"/>
  <c r="B3141" i="1"/>
  <c r="C3140" i="1"/>
  <c r="B3140" i="1"/>
  <c r="C3139" i="1"/>
  <c r="B3139" i="1"/>
  <c r="C3138" i="1"/>
  <c r="B3138" i="1"/>
  <c r="C3137" i="1"/>
  <c r="B3137" i="1"/>
  <c r="C3136" i="1"/>
  <c r="B3136" i="1"/>
  <c r="C3135" i="1"/>
  <c r="B3135" i="1"/>
  <c r="C3134" i="1"/>
  <c r="B3134" i="1"/>
  <c r="C3133" i="1"/>
  <c r="B3133" i="1"/>
  <c r="C3132" i="1"/>
  <c r="B3132" i="1"/>
  <c r="C3131" i="1"/>
  <c r="B3131" i="1"/>
  <c r="C3130" i="1"/>
  <c r="B3130" i="1"/>
  <c r="C3129" i="1"/>
  <c r="B3129" i="1"/>
  <c r="C3128" i="1"/>
  <c r="B3128" i="1"/>
  <c r="C3127" i="1"/>
  <c r="B3127" i="1"/>
  <c r="C3126" i="1"/>
  <c r="B3126" i="1"/>
  <c r="C3125" i="1"/>
  <c r="B3125" i="1"/>
  <c r="C3124" i="1"/>
  <c r="B3124" i="1"/>
  <c r="C3123" i="1"/>
  <c r="B3123" i="1"/>
  <c r="C3122" i="1"/>
  <c r="B3122" i="1"/>
  <c r="C3121" i="1"/>
  <c r="B3121" i="1"/>
  <c r="C3120" i="1"/>
  <c r="B3120" i="1"/>
  <c r="C3119" i="1"/>
  <c r="B3119" i="1"/>
  <c r="C3118" i="1"/>
  <c r="B3118" i="1"/>
  <c r="C3117" i="1"/>
  <c r="B3117" i="1"/>
  <c r="C3116" i="1"/>
  <c r="B3116" i="1"/>
  <c r="C3115" i="1"/>
  <c r="B3115" i="1"/>
  <c r="C3114" i="1"/>
  <c r="B3114" i="1"/>
  <c r="C3113" i="1"/>
  <c r="B3113" i="1"/>
  <c r="C3112" i="1"/>
  <c r="B3112" i="1"/>
  <c r="C3111" i="1"/>
  <c r="B3111" i="1"/>
  <c r="C3110" i="1"/>
  <c r="B3110" i="1"/>
  <c r="C3109" i="1"/>
  <c r="B3109" i="1"/>
  <c r="C3108" i="1"/>
  <c r="B3108" i="1"/>
  <c r="C3107" i="1"/>
  <c r="B3107" i="1"/>
  <c r="C3106" i="1"/>
  <c r="B3106" i="1"/>
  <c r="C3105" i="1"/>
  <c r="B3105" i="1"/>
  <c r="C3104" i="1"/>
  <c r="B3104" i="1"/>
  <c r="C3103" i="1"/>
  <c r="B3103" i="1"/>
  <c r="C3102" i="1"/>
  <c r="B3102" i="1"/>
  <c r="C3101" i="1"/>
  <c r="B3101" i="1"/>
  <c r="C3100" i="1"/>
  <c r="B3100" i="1"/>
  <c r="C3099" i="1"/>
  <c r="B3099" i="1"/>
  <c r="C3098" i="1"/>
  <c r="B3098" i="1"/>
  <c r="C3097" i="1"/>
  <c r="B3097" i="1"/>
  <c r="C3096" i="1"/>
  <c r="B3096" i="1"/>
  <c r="C3095" i="1"/>
  <c r="B3095" i="1"/>
  <c r="C3094" i="1"/>
  <c r="B3094" i="1"/>
  <c r="C3093" i="1"/>
  <c r="B3093" i="1"/>
  <c r="C3092" i="1"/>
  <c r="B3092" i="1"/>
  <c r="C3091" i="1"/>
  <c r="B3091" i="1"/>
  <c r="C3090" i="1"/>
  <c r="B3090" i="1"/>
  <c r="C3089" i="1"/>
  <c r="B3089" i="1"/>
  <c r="C3088" i="1"/>
  <c r="B3088" i="1"/>
  <c r="C3087" i="1"/>
  <c r="B3087" i="1"/>
  <c r="C3086" i="1"/>
  <c r="B3086" i="1"/>
  <c r="C3085" i="1"/>
  <c r="B3085" i="1"/>
  <c r="C3084" i="1"/>
  <c r="B3084" i="1"/>
  <c r="C3083" i="1"/>
  <c r="B3083" i="1"/>
  <c r="C3082" i="1"/>
  <c r="B3082" i="1"/>
  <c r="C3081" i="1"/>
  <c r="B3081" i="1"/>
  <c r="C3080" i="1"/>
  <c r="B3080" i="1"/>
  <c r="C3079" i="1"/>
  <c r="B3079" i="1"/>
  <c r="C3078" i="1"/>
  <c r="B3078" i="1"/>
  <c r="C3077" i="1"/>
  <c r="B3077" i="1"/>
  <c r="C3076" i="1"/>
  <c r="B3076" i="1"/>
  <c r="C3075" i="1"/>
  <c r="B3075" i="1"/>
  <c r="C3074" i="1"/>
  <c r="B3074" i="1"/>
  <c r="C3073" i="1"/>
  <c r="B3073" i="1"/>
  <c r="C3072" i="1"/>
  <c r="B3072" i="1"/>
  <c r="C3071" i="1"/>
  <c r="B3071" i="1"/>
  <c r="C3070" i="1"/>
  <c r="B3070" i="1"/>
  <c r="C3069" i="1"/>
  <c r="B3069" i="1"/>
  <c r="C3068" i="1"/>
  <c r="B3068" i="1"/>
  <c r="C3067" i="1"/>
  <c r="B3067" i="1"/>
  <c r="C3066" i="1"/>
  <c r="B3066" i="1"/>
  <c r="C3065" i="1"/>
  <c r="B3065" i="1"/>
  <c r="C3064" i="1"/>
  <c r="B3064" i="1"/>
  <c r="C3063" i="1"/>
  <c r="B3063" i="1"/>
  <c r="C3062" i="1"/>
  <c r="B3062" i="1"/>
  <c r="C3061" i="1"/>
  <c r="B3061" i="1"/>
  <c r="C3060" i="1"/>
  <c r="B3060" i="1"/>
  <c r="C3059" i="1"/>
  <c r="B3059" i="1"/>
  <c r="C3058" i="1"/>
  <c r="B3058" i="1"/>
  <c r="C3057" i="1"/>
  <c r="B3057" i="1"/>
  <c r="C3056" i="1"/>
  <c r="B3056" i="1"/>
  <c r="C3055" i="1"/>
  <c r="B3055" i="1"/>
  <c r="C3054" i="1"/>
  <c r="B3054" i="1"/>
  <c r="C3053" i="1"/>
  <c r="B3053" i="1"/>
  <c r="C3052" i="1"/>
  <c r="B3052" i="1"/>
  <c r="C3051" i="1"/>
  <c r="B3051" i="1"/>
  <c r="C3050" i="1"/>
  <c r="B3050" i="1"/>
  <c r="C3049" i="1"/>
  <c r="B3049" i="1"/>
  <c r="C3048" i="1"/>
  <c r="B3048" i="1"/>
  <c r="C3047" i="1"/>
  <c r="B3047" i="1"/>
  <c r="C3046" i="1"/>
  <c r="B3046" i="1"/>
  <c r="C3045" i="1"/>
  <c r="B3045" i="1"/>
  <c r="C3044" i="1"/>
  <c r="B3044" i="1"/>
  <c r="C3043" i="1"/>
  <c r="B3043" i="1"/>
  <c r="C3042" i="1"/>
  <c r="B3042" i="1"/>
  <c r="C3041" i="1"/>
  <c r="B3041" i="1"/>
  <c r="C3040" i="1"/>
  <c r="B3040" i="1"/>
  <c r="C3039" i="1"/>
  <c r="B3039" i="1"/>
  <c r="C3038" i="1"/>
  <c r="B3038" i="1"/>
  <c r="C3037" i="1"/>
  <c r="B3037" i="1"/>
  <c r="C3036" i="1"/>
  <c r="B3036" i="1"/>
  <c r="C3035" i="1"/>
  <c r="B3035" i="1"/>
  <c r="C3034" i="1"/>
  <c r="B3034" i="1"/>
  <c r="C3033" i="1"/>
  <c r="B3033" i="1"/>
  <c r="C3032" i="1"/>
  <c r="B3032" i="1"/>
  <c r="C3031" i="1"/>
  <c r="B3031" i="1"/>
  <c r="C3030" i="1"/>
  <c r="B3030" i="1"/>
  <c r="C3029" i="1"/>
  <c r="B3029" i="1"/>
  <c r="C3028" i="1"/>
  <c r="B3028" i="1"/>
  <c r="C3027" i="1"/>
  <c r="B3027" i="1"/>
  <c r="C3026" i="1"/>
  <c r="B3026" i="1"/>
  <c r="C3025" i="1"/>
  <c r="B3025" i="1"/>
  <c r="C3024" i="1"/>
  <c r="B3024" i="1"/>
  <c r="C3023" i="1"/>
  <c r="B3023" i="1"/>
  <c r="C3022" i="1"/>
  <c r="B3022" i="1"/>
  <c r="C3021" i="1"/>
  <c r="B3021" i="1"/>
  <c r="C3020" i="1"/>
  <c r="B3020" i="1"/>
  <c r="C3019" i="1"/>
  <c r="B3019" i="1"/>
  <c r="C3018" i="1"/>
  <c r="B3018" i="1"/>
  <c r="C3017" i="1"/>
  <c r="B3017" i="1"/>
  <c r="C3016" i="1"/>
  <c r="B3016" i="1"/>
  <c r="C3015" i="1"/>
  <c r="B3015" i="1"/>
  <c r="C3014" i="1"/>
  <c r="B3014" i="1"/>
  <c r="C3013" i="1"/>
  <c r="B3013" i="1"/>
  <c r="C3012" i="1"/>
  <c r="B3012" i="1"/>
  <c r="C3011" i="1"/>
  <c r="B3011" i="1"/>
  <c r="C3010" i="1"/>
  <c r="B3010" i="1"/>
  <c r="C3009" i="1"/>
  <c r="B3009" i="1"/>
  <c r="C3008" i="1"/>
  <c r="B3008" i="1"/>
  <c r="C3007" i="1"/>
  <c r="B3007" i="1"/>
  <c r="C3006" i="1"/>
  <c r="B3006" i="1"/>
  <c r="C3005" i="1"/>
  <c r="B3005" i="1"/>
  <c r="C3004" i="1"/>
  <c r="B3004" i="1"/>
  <c r="C3003" i="1"/>
  <c r="B3003" i="1"/>
  <c r="C3002" i="1"/>
  <c r="B3002" i="1"/>
  <c r="C3001" i="1"/>
  <c r="B3001" i="1"/>
  <c r="C3000" i="1"/>
  <c r="B3000" i="1"/>
  <c r="C2999" i="1"/>
  <c r="B2999" i="1"/>
  <c r="C2998" i="1"/>
  <c r="B2998" i="1"/>
  <c r="C2997" i="1"/>
  <c r="B2997" i="1"/>
  <c r="C2996" i="1"/>
  <c r="B2996" i="1"/>
  <c r="C2995" i="1"/>
  <c r="B2995" i="1"/>
  <c r="C2994" i="1"/>
  <c r="B2994" i="1"/>
  <c r="C2993" i="1"/>
  <c r="B2993" i="1"/>
  <c r="C2992" i="1"/>
  <c r="B2992" i="1"/>
  <c r="C2991" i="1"/>
  <c r="B2991" i="1"/>
  <c r="C2990" i="1"/>
  <c r="B2990" i="1"/>
  <c r="C2989" i="1"/>
  <c r="B2989" i="1"/>
  <c r="C2988" i="1"/>
  <c r="B2988" i="1"/>
  <c r="C2987" i="1"/>
  <c r="B2987" i="1"/>
  <c r="C2986" i="1"/>
  <c r="B2986" i="1"/>
  <c r="C2985" i="1"/>
  <c r="B2985" i="1"/>
  <c r="C2984" i="1"/>
  <c r="B2984" i="1"/>
  <c r="C2983" i="1"/>
  <c r="B2983" i="1"/>
  <c r="C2982" i="1"/>
  <c r="B2982" i="1"/>
  <c r="C2981" i="1"/>
  <c r="B2981" i="1"/>
  <c r="C2980" i="1"/>
  <c r="B2980" i="1"/>
  <c r="C2979" i="1"/>
  <c r="B2979" i="1"/>
  <c r="C2978" i="1"/>
  <c r="B2978" i="1"/>
  <c r="C2977" i="1"/>
  <c r="B2977" i="1"/>
  <c r="C2976" i="1"/>
  <c r="B2976" i="1"/>
  <c r="C2975" i="1"/>
  <c r="B2975" i="1"/>
  <c r="C2974" i="1"/>
  <c r="B2974" i="1"/>
  <c r="C2973" i="1"/>
  <c r="B2973" i="1"/>
  <c r="C2972" i="1"/>
  <c r="B2972" i="1"/>
  <c r="C2971" i="1"/>
  <c r="B2971" i="1"/>
  <c r="C2970" i="1"/>
  <c r="B2970" i="1"/>
  <c r="C2969" i="1"/>
  <c r="B2969" i="1"/>
  <c r="C2968" i="1"/>
  <c r="B2968" i="1"/>
  <c r="C2967" i="1"/>
  <c r="B2967" i="1"/>
  <c r="C2966" i="1"/>
  <c r="B2966" i="1"/>
  <c r="C2965" i="1"/>
  <c r="B2965" i="1"/>
  <c r="C2964" i="1"/>
  <c r="B2964" i="1"/>
  <c r="C2963" i="1"/>
  <c r="B2963" i="1"/>
  <c r="C2962" i="1"/>
  <c r="B2962" i="1"/>
  <c r="C2961" i="1"/>
  <c r="B2961" i="1"/>
  <c r="C2960" i="1"/>
  <c r="B2960" i="1"/>
  <c r="C2959" i="1"/>
  <c r="B2959" i="1"/>
  <c r="C2958" i="1"/>
  <c r="B2958" i="1"/>
  <c r="C2957" i="1"/>
  <c r="B2957" i="1"/>
  <c r="C2956" i="1"/>
  <c r="B2956" i="1"/>
  <c r="C2955" i="1"/>
  <c r="B2955" i="1"/>
  <c r="C2954" i="1"/>
  <c r="B2954" i="1"/>
  <c r="C2953" i="1"/>
  <c r="B2953" i="1"/>
  <c r="C2952" i="1"/>
  <c r="B2952" i="1"/>
  <c r="C2951" i="1"/>
  <c r="B2951" i="1"/>
  <c r="C2950" i="1"/>
  <c r="B2950" i="1"/>
  <c r="C2949" i="1"/>
  <c r="B2949" i="1"/>
  <c r="C2948" i="1"/>
  <c r="B2948" i="1"/>
  <c r="C2947" i="1"/>
  <c r="B2947" i="1"/>
  <c r="C2946" i="1"/>
  <c r="B2946" i="1"/>
  <c r="C2945" i="1"/>
  <c r="B2945" i="1"/>
  <c r="C2944" i="1"/>
  <c r="B2944" i="1"/>
  <c r="C2943" i="1"/>
  <c r="B2943" i="1"/>
  <c r="C2942" i="1"/>
  <c r="B2942" i="1"/>
  <c r="C2941" i="1"/>
  <c r="B2941" i="1"/>
  <c r="C2940" i="1"/>
  <c r="B2940" i="1"/>
  <c r="C2939" i="1"/>
  <c r="B2939" i="1"/>
  <c r="C2938" i="1"/>
  <c r="B2938" i="1"/>
  <c r="C2937" i="1"/>
  <c r="B2937" i="1"/>
  <c r="C2936" i="1"/>
  <c r="B2936" i="1"/>
  <c r="C2935" i="1"/>
  <c r="B2935" i="1"/>
  <c r="C2934" i="1"/>
  <c r="B2934" i="1"/>
  <c r="C2933" i="1"/>
  <c r="B2933" i="1"/>
  <c r="C2932" i="1"/>
  <c r="B2932" i="1"/>
  <c r="C2931" i="1"/>
  <c r="B2931" i="1"/>
  <c r="C2930" i="1"/>
  <c r="B2930" i="1"/>
  <c r="C2929" i="1"/>
  <c r="B2929" i="1"/>
  <c r="C2928" i="1"/>
  <c r="B2928" i="1"/>
  <c r="C2927" i="1"/>
  <c r="B2927" i="1"/>
  <c r="C2926" i="1"/>
  <c r="B2926" i="1"/>
  <c r="C2925" i="1"/>
  <c r="B2925" i="1"/>
  <c r="C2924" i="1"/>
  <c r="B2924" i="1"/>
  <c r="C2923" i="1"/>
  <c r="B2923" i="1"/>
  <c r="C2922" i="1"/>
  <c r="B2922" i="1"/>
  <c r="C2921" i="1"/>
  <c r="B2921" i="1"/>
  <c r="C2920" i="1"/>
  <c r="B2920" i="1"/>
  <c r="C2919" i="1"/>
  <c r="B2919" i="1"/>
  <c r="C2918" i="1"/>
  <c r="B2918" i="1"/>
  <c r="C2917" i="1"/>
  <c r="B2917" i="1"/>
  <c r="C2916" i="1"/>
  <c r="B2916" i="1"/>
  <c r="C2915" i="1"/>
  <c r="B2915" i="1"/>
  <c r="C2914" i="1"/>
  <c r="B2914" i="1"/>
  <c r="C2913" i="1"/>
  <c r="B2913" i="1"/>
  <c r="C2912" i="1"/>
  <c r="B2912" i="1"/>
  <c r="C2911" i="1"/>
  <c r="B2911" i="1"/>
  <c r="C2910" i="1"/>
  <c r="B2910" i="1"/>
  <c r="C2909" i="1"/>
  <c r="B2909" i="1"/>
  <c r="C2908" i="1"/>
  <c r="B2908" i="1"/>
  <c r="C2907" i="1"/>
  <c r="B2907" i="1"/>
  <c r="C2906" i="1"/>
  <c r="B2906" i="1"/>
  <c r="C2905" i="1"/>
  <c r="B2905" i="1"/>
  <c r="C2904" i="1"/>
  <c r="B2904" i="1"/>
  <c r="C2903" i="1"/>
  <c r="B2903" i="1"/>
  <c r="C2902" i="1"/>
  <c r="B2902" i="1"/>
  <c r="C2901" i="1"/>
  <c r="B2901" i="1"/>
  <c r="C2900" i="1"/>
  <c r="B2900" i="1"/>
  <c r="C2899" i="1"/>
  <c r="B2899" i="1"/>
  <c r="C2898" i="1"/>
  <c r="B2898" i="1"/>
  <c r="C2897" i="1"/>
  <c r="B2897" i="1"/>
  <c r="C2896" i="1"/>
  <c r="B2896" i="1"/>
  <c r="C2895" i="1"/>
  <c r="B2895" i="1"/>
  <c r="C2894" i="1"/>
  <c r="B2894" i="1"/>
  <c r="C2893" i="1"/>
  <c r="B2893" i="1"/>
  <c r="C2892" i="1"/>
  <c r="B2892" i="1"/>
  <c r="C2891" i="1"/>
  <c r="B2891" i="1"/>
  <c r="C2890" i="1"/>
  <c r="B2890" i="1"/>
  <c r="C2889" i="1"/>
  <c r="B2889" i="1"/>
  <c r="C2888" i="1"/>
  <c r="B2888" i="1"/>
  <c r="C2887" i="1"/>
  <c r="B2887" i="1"/>
  <c r="C2886" i="1"/>
  <c r="B2886" i="1"/>
  <c r="C2885" i="1"/>
  <c r="B2885" i="1"/>
  <c r="C2884" i="1"/>
  <c r="B2884" i="1"/>
  <c r="C2883" i="1"/>
  <c r="B2883" i="1"/>
  <c r="C2882" i="1"/>
  <c r="B2882" i="1"/>
  <c r="C2881" i="1"/>
  <c r="B2881" i="1"/>
  <c r="C2880" i="1"/>
  <c r="B2880" i="1"/>
  <c r="C2879" i="1"/>
  <c r="B2879" i="1"/>
  <c r="C2878" i="1"/>
  <c r="B2878" i="1"/>
  <c r="C2877" i="1"/>
  <c r="B2877" i="1"/>
  <c r="C2876" i="1"/>
  <c r="B2876" i="1"/>
  <c r="C2875" i="1"/>
  <c r="B2875" i="1"/>
  <c r="C2874" i="1"/>
  <c r="B2874" i="1"/>
  <c r="C2873" i="1"/>
  <c r="B2873" i="1"/>
  <c r="C2872" i="1"/>
  <c r="B2872" i="1"/>
  <c r="C2871" i="1"/>
  <c r="B2871" i="1"/>
  <c r="C2870" i="1"/>
  <c r="B2870" i="1"/>
  <c r="C2869" i="1"/>
  <c r="B2869" i="1"/>
  <c r="C2868" i="1"/>
  <c r="B2868" i="1"/>
  <c r="C2867" i="1"/>
  <c r="B2867" i="1"/>
  <c r="C2866" i="1"/>
  <c r="B2866" i="1"/>
  <c r="C2865" i="1"/>
  <c r="B2865" i="1"/>
  <c r="C2864" i="1"/>
  <c r="B2864" i="1"/>
  <c r="C2863" i="1"/>
  <c r="B2863" i="1"/>
  <c r="C2862" i="1"/>
  <c r="B2862" i="1"/>
  <c r="C2861" i="1"/>
  <c r="B2861" i="1"/>
  <c r="C2860" i="1"/>
  <c r="B2860" i="1"/>
  <c r="C2859" i="1"/>
  <c r="B2859" i="1"/>
  <c r="C2858" i="1"/>
  <c r="B2858" i="1"/>
  <c r="C2857" i="1"/>
  <c r="B2857" i="1"/>
  <c r="C2856" i="1"/>
  <c r="B2856" i="1"/>
  <c r="C2855" i="1"/>
  <c r="B2855" i="1"/>
  <c r="C2854" i="1"/>
  <c r="B2854" i="1"/>
  <c r="C2853" i="1"/>
  <c r="B2853" i="1"/>
  <c r="C2852" i="1"/>
  <c r="B2852" i="1"/>
  <c r="C2851" i="1"/>
  <c r="B2851" i="1"/>
  <c r="C2850" i="1"/>
  <c r="B2850" i="1"/>
  <c r="C2849" i="1"/>
  <c r="B2849" i="1"/>
  <c r="C2848" i="1"/>
  <c r="B2848" i="1"/>
  <c r="C2847" i="1"/>
  <c r="B2847" i="1"/>
  <c r="C2846" i="1"/>
  <c r="B2846" i="1"/>
  <c r="C2845" i="1"/>
  <c r="B2845" i="1"/>
  <c r="C2844" i="1"/>
  <c r="B2844" i="1"/>
  <c r="C2843" i="1"/>
  <c r="B2843" i="1"/>
  <c r="C2842" i="1"/>
  <c r="B2842" i="1"/>
  <c r="C2841" i="1"/>
  <c r="B2841" i="1"/>
  <c r="C2840" i="1"/>
  <c r="B2840" i="1"/>
  <c r="C2839" i="1"/>
  <c r="B2839" i="1"/>
  <c r="C2838" i="1"/>
  <c r="B2838" i="1"/>
  <c r="C2837" i="1"/>
  <c r="B2837" i="1"/>
  <c r="C2836" i="1"/>
  <c r="B2836" i="1"/>
  <c r="C2835" i="1"/>
  <c r="B2835" i="1"/>
  <c r="C2834" i="1"/>
  <c r="B2834" i="1"/>
  <c r="C2833" i="1"/>
  <c r="B2833" i="1"/>
  <c r="C2832" i="1"/>
  <c r="B2832" i="1"/>
  <c r="C2831" i="1"/>
  <c r="B2831" i="1"/>
  <c r="C2830" i="1"/>
  <c r="B2830" i="1"/>
  <c r="C2829" i="1"/>
  <c r="B2829" i="1"/>
  <c r="C2828" i="1"/>
  <c r="B2828" i="1"/>
  <c r="C2827" i="1"/>
  <c r="B2827" i="1"/>
  <c r="C2826" i="1"/>
  <c r="B2826" i="1"/>
  <c r="C2825" i="1"/>
  <c r="B2825" i="1"/>
  <c r="C2824" i="1"/>
  <c r="B2824" i="1"/>
  <c r="C2823" i="1"/>
  <c r="B2823" i="1"/>
  <c r="C2822" i="1"/>
  <c r="B2822" i="1"/>
  <c r="C2821" i="1"/>
  <c r="B2821" i="1"/>
  <c r="C2820" i="1"/>
  <c r="B2820" i="1"/>
  <c r="C2819" i="1"/>
  <c r="B2819" i="1"/>
  <c r="C2818" i="1"/>
  <c r="B2818" i="1"/>
  <c r="C2817" i="1"/>
  <c r="B2817" i="1"/>
  <c r="C2816" i="1"/>
  <c r="B2816" i="1"/>
  <c r="C2815" i="1"/>
  <c r="B2815" i="1"/>
  <c r="C2814" i="1"/>
  <c r="B2814" i="1"/>
  <c r="C2813" i="1"/>
  <c r="B2813" i="1"/>
  <c r="C2812" i="1"/>
  <c r="B2812" i="1"/>
  <c r="C2811" i="1"/>
  <c r="B2811" i="1"/>
  <c r="C2810" i="1"/>
  <c r="B2810" i="1"/>
  <c r="C2809" i="1"/>
  <c r="B2809" i="1"/>
  <c r="C2808" i="1"/>
  <c r="B2808" i="1"/>
  <c r="C2807" i="1"/>
  <c r="B2807" i="1"/>
  <c r="C2806" i="1"/>
  <c r="B2806" i="1"/>
  <c r="C2805" i="1"/>
  <c r="B2805" i="1"/>
  <c r="C2804" i="1"/>
  <c r="B2804" i="1"/>
  <c r="C2803" i="1"/>
  <c r="B2803" i="1"/>
  <c r="C2802" i="1"/>
  <c r="B2802" i="1"/>
  <c r="C2801" i="1"/>
  <c r="B2801" i="1"/>
  <c r="C2800" i="1"/>
  <c r="B2800" i="1"/>
  <c r="C2799" i="1"/>
  <c r="B2799" i="1"/>
  <c r="C2798" i="1"/>
  <c r="B2798" i="1"/>
  <c r="C2797" i="1"/>
  <c r="B2797" i="1"/>
  <c r="C2796" i="1"/>
  <c r="B2796" i="1"/>
  <c r="C2795" i="1"/>
  <c r="B2795" i="1"/>
  <c r="C2794" i="1"/>
  <c r="B2794" i="1"/>
  <c r="C2793" i="1"/>
  <c r="B2793" i="1"/>
  <c r="C2792" i="1"/>
  <c r="B2792" i="1"/>
  <c r="C2791" i="1"/>
  <c r="B2791" i="1"/>
  <c r="C2790" i="1"/>
  <c r="B2790" i="1"/>
  <c r="C2789" i="1"/>
  <c r="B2789" i="1"/>
  <c r="C2788" i="1"/>
  <c r="B2788" i="1"/>
  <c r="C2787" i="1"/>
  <c r="B2787" i="1"/>
  <c r="C2786" i="1"/>
  <c r="B2786" i="1"/>
  <c r="C2785" i="1"/>
  <c r="B2785" i="1"/>
  <c r="C2784" i="1"/>
  <c r="B2784" i="1"/>
  <c r="C2783" i="1"/>
  <c r="B2783" i="1"/>
  <c r="C2782" i="1"/>
  <c r="B2782" i="1"/>
  <c r="C2781" i="1"/>
  <c r="B2781" i="1"/>
  <c r="C2780" i="1"/>
  <c r="B2780" i="1"/>
  <c r="C2779" i="1"/>
  <c r="B2779" i="1"/>
  <c r="C2778" i="1"/>
  <c r="B2778" i="1"/>
  <c r="C2777" i="1"/>
  <c r="B2777" i="1"/>
  <c r="C2776" i="1"/>
  <c r="B2776" i="1"/>
  <c r="C2775" i="1"/>
  <c r="B2775" i="1"/>
  <c r="C2774" i="1"/>
  <c r="B2774" i="1"/>
  <c r="C2773" i="1"/>
  <c r="B2773" i="1"/>
  <c r="C2772" i="1"/>
  <c r="B2772" i="1"/>
  <c r="C2771" i="1"/>
  <c r="B2771" i="1"/>
  <c r="C2770" i="1"/>
  <c r="B2770" i="1"/>
  <c r="C2769" i="1"/>
  <c r="B2769" i="1"/>
  <c r="C2768" i="1"/>
  <c r="B2768" i="1"/>
  <c r="C2767" i="1"/>
  <c r="B2767" i="1"/>
  <c r="C2766" i="1"/>
  <c r="B2766" i="1"/>
  <c r="C2765" i="1"/>
  <c r="B2765" i="1"/>
  <c r="C2764" i="1"/>
  <c r="B2764" i="1"/>
  <c r="C2763" i="1"/>
  <c r="B2763" i="1"/>
  <c r="C2762" i="1"/>
  <c r="B2762" i="1"/>
  <c r="C2761" i="1"/>
  <c r="B2761" i="1"/>
  <c r="C2760" i="1"/>
  <c r="B2760" i="1"/>
  <c r="C2759" i="1"/>
  <c r="B2759" i="1"/>
  <c r="C2758" i="1"/>
  <c r="B2758" i="1"/>
  <c r="C2757" i="1"/>
  <c r="B2757" i="1"/>
  <c r="C2756" i="1"/>
  <c r="B2756" i="1"/>
  <c r="C2755" i="1"/>
  <c r="B2755" i="1"/>
  <c r="C2754" i="1"/>
  <c r="B2754" i="1"/>
  <c r="C2753" i="1"/>
  <c r="B2753" i="1"/>
  <c r="C2752" i="1"/>
  <c r="B2752" i="1"/>
  <c r="C2751" i="1"/>
  <c r="B2751" i="1"/>
  <c r="C2750" i="1"/>
  <c r="B2750" i="1"/>
  <c r="C2749" i="1"/>
  <c r="B2749" i="1"/>
  <c r="C2748" i="1"/>
  <c r="B2748" i="1"/>
  <c r="C2747" i="1"/>
  <c r="B2747" i="1"/>
  <c r="C2746" i="1"/>
  <c r="B2746" i="1"/>
  <c r="C2745" i="1"/>
  <c r="B2745" i="1"/>
  <c r="C2744" i="1"/>
  <c r="B2744" i="1"/>
  <c r="C2743" i="1"/>
  <c r="B2743" i="1"/>
  <c r="C2742" i="1"/>
  <c r="B2742" i="1"/>
  <c r="C2741" i="1"/>
  <c r="B2741" i="1"/>
  <c r="C2740" i="1"/>
  <c r="B2740" i="1"/>
  <c r="C2739" i="1"/>
  <c r="B2739" i="1"/>
  <c r="C2738" i="1"/>
  <c r="B2738" i="1"/>
  <c r="C2737" i="1"/>
  <c r="B2737" i="1"/>
  <c r="C2736" i="1"/>
  <c r="B2736" i="1"/>
  <c r="C2735" i="1"/>
  <c r="B2735" i="1"/>
  <c r="C2734" i="1"/>
  <c r="B2734" i="1"/>
  <c r="C2733" i="1"/>
  <c r="B2733" i="1"/>
  <c r="C2732" i="1"/>
  <c r="B2732" i="1"/>
  <c r="C2731" i="1"/>
  <c r="B2731" i="1"/>
  <c r="C2730" i="1"/>
  <c r="B2730" i="1"/>
  <c r="C2729" i="1"/>
  <c r="B2729" i="1"/>
  <c r="C2728" i="1"/>
  <c r="B2728" i="1"/>
  <c r="C2727" i="1"/>
  <c r="B2727" i="1"/>
  <c r="C2726" i="1"/>
  <c r="B2726" i="1"/>
  <c r="C2725" i="1"/>
  <c r="B2725" i="1"/>
  <c r="C2724" i="1"/>
  <c r="B2724" i="1"/>
  <c r="C2723" i="1"/>
  <c r="B2723" i="1"/>
  <c r="C2722" i="1"/>
  <c r="B2722" i="1"/>
  <c r="C2721" i="1"/>
  <c r="B2721" i="1"/>
  <c r="C2720" i="1"/>
  <c r="B2720" i="1"/>
  <c r="C2719" i="1"/>
  <c r="B2719" i="1"/>
  <c r="C2718" i="1"/>
  <c r="B2718" i="1"/>
  <c r="C2717" i="1"/>
  <c r="B2717" i="1"/>
  <c r="C2716" i="1"/>
  <c r="B2716" i="1"/>
  <c r="C2715" i="1"/>
  <c r="B2715" i="1"/>
  <c r="C2714" i="1"/>
  <c r="B2714" i="1"/>
  <c r="C2713" i="1"/>
  <c r="B2713" i="1"/>
  <c r="C2712" i="1"/>
  <c r="B2712" i="1"/>
  <c r="C2711" i="1"/>
  <c r="B2711" i="1"/>
  <c r="C2710" i="1"/>
  <c r="B2710" i="1"/>
  <c r="C2709" i="1"/>
  <c r="B2709" i="1"/>
  <c r="C2708" i="1"/>
  <c r="B2708" i="1"/>
  <c r="C2707" i="1"/>
  <c r="B2707" i="1"/>
  <c r="C2706" i="1"/>
  <c r="B2706" i="1"/>
  <c r="C2705" i="1"/>
  <c r="B2705" i="1"/>
  <c r="C2704" i="1"/>
  <c r="B2704" i="1"/>
  <c r="C2703" i="1"/>
  <c r="B2703" i="1"/>
  <c r="C2702" i="1"/>
  <c r="B2702" i="1"/>
  <c r="C2701" i="1"/>
  <c r="B2701" i="1"/>
  <c r="C2700" i="1"/>
  <c r="B2700" i="1"/>
  <c r="C2699" i="1"/>
  <c r="B2699" i="1"/>
  <c r="C2698" i="1"/>
  <c r="B2698" i="1"/>
  <c r="C2697" i="1"/>
  <c r="B2697" i="1"/>
  <c r="C2696" i="1"/>
  <c r="B2696" i="1"/>
  <c r="C2695" i="1"/>
  <c r="B2695" i="1"/>
  <c r="C2694" i="1"/>
  <c r="B2694" i="1"/>
  <c r="C2693" i="1"/>
  <c r="B2693" i="1"/>
  <c r="C2692" i="1"/>
  <c r="B2692" i="1"/>
  <c r="C2691" i="1"/>
  <c r="B2691" i="1"/>
  <c r="C2690" i="1"/>
  <c r="B2690" i="1"/>
  <c r="C2689" i="1"/>
  <c r="B2689" i="1"/>
  <c r="C2688" i="1"/>
  <c r="B2688" i="1"/>
  <c r="C2687" i="1"/>
  <c r="B2687" i="1"/>
  <c r="C2686" i="1"/>
  <c r="B2686" i="1"/>
  <c r="C2685" i="1"/>
  <c r="B2685" i="1"/>
  <c r="C2684" i="1"/>
  <c r="B2684" i="1"/>
  <c r="C2683" i="1"/>
  <c r="B2683" i="1"/>
  <c r="C2682" i="1"/>
  <c r="B2682" i="1"/>
  <c r="C2681" i="1"/>
  <c r="B2681" i="1"/>
  <c r="C2680" i="1"/>
  <c r="B2680" i="1"/>
  <c r="C2679" i="1"/>
  <c r="B2679" i="1"/>
  <c r="C2678" i="1"/>
  <c r="B2678" i="1"/>
  <c r="C2677" i="1"/>
  <c r="B2677" i="1"/>
  <c r="C2676" i="1"/>
  <c r="B2676" i="1"/>
  <c r="C2675" i="1"/>
  <c r="B2675" i="1"/>
  <c r="C2674" i="1"/>
  <c r="B2674" i="1"/>
  <c r="C2673" i="1"/>
  <c r="B2673" i="1"/>
  <c r="C2672" i="1"/>
  <c r="B2672" i="1"/>
  <c r="C2671" i="1"/>
  <c r="B2671" i="1"/>
  <c r="C2670" i="1"/>
  <c r="B2670" i="1"/>
  <c r="C2669" i="1"/>
  <c r="B2669" i="1"/>
  <c r="C2668" i="1"/>
  <c r="B2668" i="1"/>
  <c r="C2667" i="1"/>
  <c r="B2667" i="1"/>
  <c r="C2666" i="1"/>
  <c r="B2666" i="1"/>
  <c r="C2665" i="1"/>
  <c r="B2665" i="1"/>
  <c r="C2664" i="1"/>
  <c r="B2664" i="1"/>
  <c r="C2663" i="1"/>
  <c r="B2663" i="1"/>
  <c r="C2662" i="1"/>
  <c r="B2662" i="1"/>
  <c r="C2661" i="1"/>
  <c r="B2661" i="1"/>
  <c r="C2660" i="1"/>
  <c r="B2660" i="1"/>
  <c r="C2659" i="1"/>
  <c r="B2659" i="1"/>
  <c r="C2658" i="1"/>
  <c r="B2658" i="1"/>
  <c r="C2657" i="1"/>
  <c r="B2657" i="1"/>
  <c r="C2656" i="1"/>
  <c r="B2656" i="1"/>
  <c r="C2655" i="1"/>
  <c r="B2655" i="1"/>
  <c r="C2654" i="1"/>
  <c r="B2654" i="1"/>
  <c r="C2653" i="1"/>
  <c r="B2653" i="1"/>
  <c r="C2652" i="1"/>
  <c r="B2652" i="1"/>
  <c r="C2651" i="1"/>
  <c r="B2651" i="1"/>
  <c r="C2650" i="1"/>
  <c r="B2650" i="1"/>
  <c r="C2649" i="1"/>
  <c r="B2649" i="1"/>
  <c r="C2648" i="1"/>
  <c r="B2648" i="1"/>
  <c r="C2647" i="1"/>
  <c r="B2647" i="1"/>
  <c r="C2646" i="1"/>
  <c r="B2646" i="1"/>
  <c r="C2645" i="1"/>
  <c r="B2645" i="1"/>
  <c r="C2644" i="1"/>
  <c r="B2644" i="1"/>
  <c r="C2643" i="1"/>
  <c r="B2643" i="1"/>
  <c r="C2642" i="1"/>
  <c r="B2642" i="1"/>
  <c r="C2641" i="1"/>
  <c r="B2641" i="1"/>
  <c r="C2640" i="1"/>
  <c r="B2640" i="1"/>
  <c r="C2639" i="1"/>
  <c r="B2639" i="1"/>
  <c r="C2638" i="1"/>
  <c r="B2638" i="1"/>
  <c r="C2637" i="1"/>
  <c r="B2637" i="1"/>
  <c r="C2636" i="1"/>
  <c r="B2636" i="1"/>
  <c r="C2635" i="1"/>
  <c r="B2635" i="1"/>
  <c r="C2634" i="1"/>
  <c r="B2634" i="1"/>
  <c r="C2633" i="1"/>
  <c r="B2633" i="1"/>
  <c r="C2632" i="1"/>
  <c r="B2632" i="1"/>
  <c r="C2631" i="1"/>
  <c r="B2631" i="1"/>
  <c r="C2630" i="1"/>
  <c r="B2630" i="1"/>
  <c r="C2629" i="1"/>
  <c r="B2629" i="1"/>
  <c r="C2628" i="1"/>
  <c r="B2628" i="1"/>
  <c r="C2627" i="1"/>
  <c r="B2627" i="1"/>
  <c r="C2626" i="1"/>
  <c r="B2626" i="1"/>
  <c r="C2625" i="1"/>
  <c r="B2625" i="1"/>
  <c r="C2624" i="1"/>
  <c r="B2624" i="1"/>
  <c r="C2623" i="1"/>
  <c r="B2623" i="1"/>
  <c r="C2622" i="1"/>
  <c r="B2622" i="1"/>
  <c r="C2621" i="1"/>
  <c r="B2621" i="1"/>
  <c r="C2620" i="1"/>
  <c r="B2620" i="1"/>
  <c r="C2619" i="1"/>
  <c r="B2619" i="1"/>
  <c r="C2618" i="1"/>
  <c r="B2618" i="1"/>
  <c r="C2617" i="1"/>
  <c r="B2617" i="1"/>
  <c r="C2616" i="1"/>
  <c r="B2616" i="1"/>
  <c r="C2615" i="1"/>
  <c r="B2615" i="1"/>
  <c r="C2614" i="1"/>
  <c r="B2614" i="1"/>
  <c r="C2613" i="1"/>
  <c r="B2613" i="1"/>
  <c r="C2612" i="1"/>
  <c r="B2612" i="1"/>
  <c r="C2611" i="1"/>
  <c r="B2611" i="1"/>
  <c r="C2610" i="1"/>
  <c r="B2610" i="1"/>
  <c r="C2609" i="1"/>
  <c r="B2609" i="1"/>
  <c r="C2608" i="1"/>
  <c r="B2608" i="1"/>
  <c r="C2607" i="1"/>
  <c r="B2607" i="1"/>
  <c r="C2606" i="1"/>
  <c r="B2606" i="1"/>
  <c r="C2605" i="1"/>
  <c r="B2605" i="1"/>
  <c r="C2604" i="1"/>
  <c r="B2604" i="1"/>
  <c r="C2603" i="1"/>
  <c r="B2603" i="1"/>
  <c r="C2602" i="1"/>
  <c r="B2602" i="1"/>
  <c r="C2601" i="1"/>
  <c r="B2601" i="1"/>
  <c r="C2600" i="1"/>
  <c r="B2600" i="1"/>
  <c r="C2599" i="1"/>
  <c r="B2599" i="1"/>
  <c r="C2598" i="1"/>
  <c r="B2598" i="1"/>
  <c r="C2597" i="1"/>
  <c r="B2597" i="1"/>
  <c r="C2596" i="1"/>
  <c r="B2596" i="1"/>
  <c r="C2595" i="1"/>
  <c r="B2595" i="1"/>
  <c r="C2594" i="1"/>
  <c r="B2594" i="1"/>
  <c r="C2593" i="1"/>
  <c r="B2593" i="1"/>
  <c r="C2592" i="1"/>
  <c r="B2592" i="1"/>
  <c r="C2591" i="1"/>
  <c r="B2591" i="1"/>
  <c r="C2590" i="1"/>
  <c r="B2590" i="1"/>
  <c r="C2589" i="1"/>
  <c r="B2589" i="1"/>
  <c r="C2588" i="1"/>
  <c r="B2588" i="1"/>
  <c r="C2587" i="1"/>
  <c r="B2587" i="1"/>
  <c r="C2586" i="1"/>
  <c r="B2586" i="1"/>
  <c r="C2585" i="1"/>
  <c r="B2585" i="1"/>
  <c r="C2584" i="1"/>
  <c r="B2584" i="1"/>
  <c r="C2583" i="1"/>
  <c r="B2583" i="1"/>
  <c r="C2582" i="1"/>
  <c r="B2582" i="1"/>
  <c r="C2581" i="1"/>
  <c r="B2581" i="1"/>
  <c r="C2580" i="1"/>
  <c r="B2580" i="1"/>
  <c r="C2579" i="1"/>
  <c r="B2579" i="1"/>
  <c r="C2578" i="1"/>
  <c r="B2578" i="1"/>
  <c r="C2577" i="1"/>
  <c r="B2577" i="1"/>
  <c r="C2576" i="1"/>
  <c r="B2576" i="1"/>
  <c r="C2575" i="1"/>
  <c r="B2575" i="1"/>
  <c r="C2574" i="1"/>
  <c r="B2574" i="1"/>
  <c r="C2573" i="1"/>
  <c r="B2573" i="1"/>
  <c r="C2572" i="1"/>
  <c r="B2572" i="1"/>
  <c r="C2571" i="1"/>
  <c r="B2571" i="1"/>
  <c r="C2570" i="1"/>
  <c r="B2570" i="1"/>
  <c r="C2569" i="1"/>
  <c r="B2569" i="1"/>
  <c r="C2568" i="1"/>
  <c r="B2568" i="1"/>
  <c r="C2567" i="1"/>
  <c r="B2567" i="1"/>
  <c r="C2566" i="1"/>
  <c r="B2566" i="1"/>
  <c r="C2565" i="1"/>
  <c r="B2565" i="1"/>
  <c r="C2564" i="1"/>
  <c r="B2564" i="1"/>
  <c r="C2563" i="1"/>
  <c r="B2563" i="1"/>
  <c r="C2562" i="1"/>
  <c r="B2562" i="1"/>
  <c r="C2561" i="1"/>
  <c r="B2561" i="1"/>
  <c r="C2560" i="1"/>
  <c r="B2560" i="1"/>
  <c r="C2559" i="1"/>
  <c r="B2559" i="1"/>
  <c r="C2558" i="1"/>
  <c r="B2558" i="1"/>
  <c r="C2557" i="1"/>
  <c r="B2557" i="1"/>
  <c r="C2556" i="1"/>
  <c r="B2556" i="1"/>
  <c r="C2555" i="1"/>
  <c r="B2555" i="1"/>
  <c r="C2554" i="1"/>
  <c r="B2554" i="1"/>
  <c r="C2553" i="1"/>
  <c r="B2553" i="1"/>
  <c r="C2552" i="1"/>
  <c r="B2552" i="1"/>
  <c r="C2551" i="1"/>
  <c r="B2551" i="1"/>
  <c r="C2550" i="1"/>
  <c r="B2550" i="1"/>
  <c r="C2549" i="1"/>
  <c r="B2549" i="1"/>
  <c r="C2548" i="1"/>
  <c r="B2548" i="1"/>
  <c r="C2547" i="1"/>
  <c r="B2547" i="1"/>
  <c r="C2546" i="1"/>
  <c r="B2546" i="1"/>
  <c r="C2545" i="1"/>
  <c r="B2545" i="1"/>
  <c r="C2544" i="1"/>
  <c r="B2544" i="1"/>
  <c r="C2543" i="1"/>
  <c r="B2543" i="1"/>
  <c r="C2542" i="1"/>
  <c r="B2542" i="1"/>
  <c r="C2541" i="1"/>
  <c r="B2541" i="1"/>
  <c r="C2540" i="1"/>
  <c r="B2540" i="1"/>
  <c r="C2539" i="1"/>
  <c r="B2539" i="1"/>
  <c r="C2538" i="1"/>
  <c r="B2538" i="1"/>
  <c r="C2537" i="1"/>
  <c r="B2537" i="1"/>
  <c r="C2536" i="1"/>
  <c r="B2536" i="1"/>
  <c r="C2535" i="1"/>
  <c r="B2535" i="1"/>
  <c r="C2534" i="1"/>
  <c r="B2534" i="1"/>
  <c r="C2533" i="1"/>
  <c r="B2533" i="1"/>
  <c r="C2532" i="1"/>
  <c r="B2532" i="1"/>
  <c r="C2531" i="1"/>
  <c r="B2531" i="1"/>
  <c r="C2530" i="1"/>
  <c r="B2530" i="1"/>
  <c r="C2529" i="1"/>
  <c r="B2529" i="1"/>
  <c r="C2528" i="1"/>
  <c r="B2528" i="1"/>
  <c r="C2527" i="1"/>
  <c r="B2527" i="1"/>
  <c r="C2526" i="1"/>
  <c r="B2526" i="1"/>
  <c r="C2525" i="1"/>
  <c r="B2525" i="1"/>
  <c r="C2524" i="1"/>
  <c r="B2524" i="1"/>
  <c r="C2523" i="1"/>
  <c r="B2523" i="1"/>
  <c r="C2522" i="1"/>
  <c r="B2522" i="1"/>
  <c r="C2521" i="1"/>
  <c r="B2521" i="1"/>
  <c r="C2520" i="1"/>
  <c r="B2520" i="1"/>
  <c r="C2519" i="1"/>
  <c r="B2519" i="1"/>
  <c r="C2518" i="1"/>
  <c r="B2518" i="1"/>
  <c r="C2517" i="1"/>
  <c r="B2517" i="1"/>
  <c r="C2516" i="1"/>
  <c r="B2516" i="1"/>
  <c r="C2515" i="1"/>
  <c r="B2515" i="1"/>
  <c r="C2514" i="1"/>
  <c r="B2514" i="1"/>
  <c r="C2513" i="1"/>
  <c r="B2513" i="1"/>
  <c r="C2512" i="1"/>
  <c r="B2512" i="1"/>
  <c r="C2511" i="1"/>
  <c r="B2511" i="1"/>
  <c r="C2510" i="1"/>
  <c r="B2510" i="1"/>
  <c r="C2509" i="1"/>
  <c r="B2509" i="1"/>
  <c r="C2508" i="1"/>
  <c r="B2508" i="1"/>
  <c r="C2507" i="1"/>
  <c r="B2507" i="1"/>
  <c r="C2506" i="1"/>
  <c r="B2506" i="1"/>
  <c r="C2505" i="1"/>
  <c r="B2505" i="1"/>
  <c r="C2504" i="1"/>
  <c r="B2504" i="1"/>
  <c r="C2503" i="1"/>
  <c r="B2503" i="1"/>
  <c r="C2502" i="1"/>
  <c r="B2502" i="1"/>
  <c r="C2501" i="1"/>
  <c r="B2501" i="1"/>
  <c r="C2500" i="1"/>
  <c r="B2500" i="1"/>
  <c r="C2499" i="1"/>
  <c r="B2499" i="1"/>
  <c r="C2498" i="1"/>
  <c r="B2498" i="1"/>
  <c r="C2497" i="1"/>
  <c r="B2497" i="1"/>
  <c r="C2496" i="1"/>
  <c r="B2496" i="1"/>
  <c r="C2495" i="1"/>
  <c r="B2495" i="1"/>
  <c r="C2494" i="1"/>
  <c r="B2494" i="1"/>
  <c r="C2493" i="1"/>
  <c r="B2493" i="1"/>
  <c r="C2492" i="1"/>
  <c r="B2492" i="1"/>
  <c r="C2491" i="1"/>
  <c r="B2491" i="1"/>
  <c r="C2490" i="1"/>
  <c r="B2490" i="1"/>
  <c r="C2489" i="1"/>
  <c r="B2489" i="1"/>
  <c r="C2488" i="1"/>
  <c r="B2488" i="1"/>
  <c r="C2487" i="1"/>
  <c r="B2487" i="1"/>
  <c r="C2486" i="1"/>
  <c r="B2486" i="1"/>
  <c r="C2485" i="1"/>
  <c r="B2485" i="1"/>
  <c r="C2484" i="1"/>
  <c r="B2484" i="1"/>
  <c r="C2483" i="1"/>
  <c r="B2483" i="1"/>
  <c r="C2482" i="1"/>
  <c r="B2482" i="1"/>
  <c r="C2481" i="1"/>
  <c r="B2481" i="1"/>
  <c r="C2480" i="1"/>
  <c r="B2480" i="1"/>
  <c r="C2479" i="1"/>
  <c r="B2479" i="1"/>
  <c r="C2478" i="1"/>
  <c r="B2478" i="1"/>
  <c r="C2477" i="1"/>
  <c r="B2477" i="1"/>
  <c r="C2476" i="1"/>
  <c r="B2476" i="1"/>
  <c r="C2475" i="1"/>
  <c r="B2475" i="1"/>
  <c r="C2474" i="1"/>
  <c r="B2474" i="1"/>
  <c r="C2473" i="1"/>
  <c r="B2473" i="1"/>
  <c r="C2472" i="1"/>
  <c r="B2472" i="1"/>
  <c r="C2471" i="1"/>
  <c r="B2471" i="1"/>
  <c r="C2470" i="1"/>
  <c r="B2470" i="1"/>
  <c r="C2469" i="1"/>
  <c r="B2469" i="1"/>
  <c r="C2468" i="1"/>
  <c r="B2468" i="1"/>
  <c r="C2467" i="1"/>
  <c r="B2467" i="1"/>
  <c r="C2466" i="1"/>
  <c r="B2466" i="1"/>
  <c r="C2465" i="1"/>
  <c r="B2465" i="1"/>
  <c r="C2464" i="1"/>
  <c r="B2464" i="1"/>
  <c r="C2463" i="1"/>
  <c r="B2463" i="1"/>
  <c r="C2462" i="1"/>
  <c r="B2462" i="1"/>
  <c r="C2461" i="1"/>
  <c r="B2461" i="1"/>
  <c r="C2460" i="1"/>
  <c r="B2460" i="1"/>
  <c r="C2459" i="1"/>
  <c r="B2459" i="1"/>
  <c r="C2458" i="1"/>
  <c r="B2458" i="1"/>
  <c r="C2457" i="1"/>
  <c r="B2457" i="1"/>
  <c r="C2456" i="1"/>
  <c r="B2456" i="1"/>
  <c r="C2455" i="1"/>
  <c r="B2455" i="1"/>
  <c r="C2454" i="1"/>
  <c r="B2454" i="1"/>
  <c r="C2453" i="1"/>
  <c r="B2453" i="1"/>
  <c r="C2452" i="1"/>
  <c r="B2452" i="1"/>
  <c r="C2451" i="1"/>
  <c r="B2451" i="1"/>
  <c r="C2450" i="1"/>
  <c r="B2450" i="1"/>
  <c r="C2449" i="1"/>
  <c r="B2449" i="1"/>
  <c r="C2448" i="1"/>
  <c r="B2448" i="1"/>
  <c r="C2447" i="1"/>
  <c r="B2447" i="1"/>
  <c r="C2446" i="1"/>
  <c r="B2446" i="1"/>
  <c r="C2445" i="1"/>
  <c r="B2445" i="1"/>
  <c r="C2444" i="1"/>
  <c r="B2444" i="1"/>
  <c r="C2443" i="1"/>
  <c r="B2443" i="1"/>
  <c r="C2442" i="1"/>
  <c r="B2442" i="1"/>
  <c r="C2441" i="1"/>
  <c r="B2441" i="1"/>
  <c r="C2440" i="1"/>
  <c r="B2440" i="1"/>
  <c r="C2439" i="1"/>
  <c r="B2439" i="1"/>
  <c r="C2438" i="1"/>
  <c r="B2438" i="1"/>
  <c r="C2437" i="1"/>
  <c r="B2437" i="1"/>
  <c r="C2436" i="1"/>
  <c r="B2436" i="1"/>
  <c r="C2435" i="1"/>
  <c r="B2435" i="1"/>
  <c r="C2434" i="1"/>
  <c r="B2434" i="1"/>
  <c r="C2433" i="1"/>
  <c r="B2433" i="1"/>
  <c r="C2432" i="1"/>
  <c r="B2432" i="1"/>
  <c r="C2431" i="1"/>
  <c r="B2431" i="1"/>
  <c r="C2430" i="1"/>
  <c r="B2430" i="1"/>
  <c r="C2429" i="1"/>
  <c r="B2429" i="1"/>
  <c r="C2428" i="1"/>
  <c r="B2428" i="1"/>
  <c r="C2427" i="1"/>
  <c r="B2427" i="1"/>
  <c r="C2426" i="1"/>
  <c r="B2426" i="1"/>
  <c r="C2425" i="1"/>
  <c r="B2425" i="1"/>
  <c r="C2424" i="1"/>
  <c r="B2424" i="1"/>
  <c r="C2423" i="1"/>
  <c r="B2423" i="1"/>
  <c r="C2422" i="1"/>
  <c r="B2422" i="1"/>
  <c r="C2421" i="1"/>
  <c r="B2421" i="1"/>
  <c r="C2420" i="1"/>
  <c r="B2420" i="1"/>
  <c r="C2419" i="1"/>
  <c r="B2419" i="1"/>
  <c r="C2418" i="1"/>
  <c r="B2418" i="1"/>
  <c r="C2417" i="1"/>
  <c r="B2417" i="1"/>
  <c r="C2416" i="1"/>
  <c r="B2416" i="1"/>
  <c r="C2415" i="1"/>
  <c r="B2415" i="1"/>
  <c r="C2414" i="1"/>
  <c r="B2414" i="1"/>
  <c r="C2413" i="1"/>
  <c r="B2413" i="1"/>
  <c r="C2412" i="1"/>
  <c r="B2412" i="1"/>
  <c r="C2411" i="1"/>
  <c r="B2411" i="1"/>
  <c r="C2410" i="1"/>
  <c r="B2410" i="1"/>
  <c r="C2409" i="1"/>
  <c r="B2409" i="1"/>
  <c r="C2408" i="1"/>
  <c r="B2408" i="1"/>
  <c r="C2407" i="1"/>
  <c r="B2407" i="1"/>
  <c r="C2406" i="1"/>
  <c r="B2406" i="1"/>
  <c r="C2405" i="1"/>
  <c r="B2405" i="1"/>
  <c r="C2404" i="1"/>
  <c r="B2404" i="1"/>
  <c r="C2403" i="1"/>
  <c r="B2403" i="1"/>
  <c r="C2402" i="1"/>
  <c r="B2402" i="1"/>
  <c r="C2401" i="1"/>
  <c r="B2401" i="1"/>
  <c r="C2400" i="1"/>
  <c r="B2400" i="1"/>
  <c r="C2399" i="1"/>
  <c r="B2399" i="1"/>
  <c r="C2398" i="1"/>
  <c r="B2398" i="1"/>
  <c r="C2397" i="1"/>
  <c r="B2397" i="1"/>
  <c r="C2396" i="1"/>
  <c r="B2396" i="1"/>
  <c r="C2395" i="1"/>
  <c r="B2395" i="1"/>
  <c r="C2394" i="1"/>
  <c r="B2394" i="1"/>
  <c r="C2393" i="1"/>
  <c r="B2393" i="1"/>
  <c r="C2392" i="1"/>
  <c r="B2392" i="1"/>
  <c r="C2391" i="1"/>
  <c r="B2391" i="1"/>
  <c r="C2390" i="1"/>
  <c r="B2390" i="1"/>
  <c r="C2389" i="1"/>
  <c r="B2389" i="1"/>
  <c r="C2388" i="1"/>
  <c r="B2388" i="1"/>
  <c r="C2387" i="1"/>
  <c r="B2387" i="1"/>
  <c r="C2386" i="1"/>
  <c r="B2386" i="1"/>
  <c r="C2385" i="1"/>
  <c r="B2385" i="1"/>
  <c r="C2384" i="1"/>
  <c r="B2384" i="1"/>
  <c r="C2383" i="1"/>
  <c r="B2383" i="1"/>
  <c r="C2382" i="1"/>
  <c r="B2382" i="1"/>
  <c r="C2381" i="1"/>
  <c r="B2381" i="1"/>
  <c r="C2380" i="1"/>
  <c r="B2380" i="1"/>
  <c r="C2379" i="1"/>
  <c r="B2379" i="1"/>
  <c r="C2378" i="1"/>
  <c r="B2378" i="1"/>
  <c r="C2377" i="1"/>
  <c r="B2377" i="1"/>
  <c r="C2376" i="1"/>
  <c r="B2376" i="1"/>
  <c r="C2375" i="1"/>
  <c r="B2375" i="1"/>
  <c r="C2374" i="1"/>
  <c r="B2374" i="1"/>
  <c r="C2373" i="1"/>
  <c r="B2373" i="1"/>
  <c r="C2372" i="1"/>
  <c r="B2372" i="1"/>
  <c r="C2371" i="1"/>
  <c r="B2371" i="1"/>
  <c r="C2370" i="1"/>
  <c r="B2370" i="1"/>
  <c r="C2369" i="1"/>
  <c r="B2369" i="1"/>
  <c r="C2368" i="1"/>
  <c r="B2368" i="1"/>
  <c r="C2367" i="1"/>
  <c r="B2367" i="1"/>
  <c r="C2366" i="1"/>
  <c r="B2366" i="1"/>
  <c r="C2365" i="1"/>
  <c r="B2365" i="1"/>
  <c r="C2364" i="1"/>
  <c r="B2364" i="1"/>
  <c r="C2363" i="1"/>
  <c r="B2363" i="1"/>
  <c r="C2362" i="1"/>
  <c r="B2362" i="1"/>
  <c r="C2361" i="1"/>
  <c r="B2361" i="1"/>
  <c r="C2360" i="1"/>
  <c r="B2360" i="1"/>
  <c r="C2359" i="1"/>
  <c r="B2359" i="1"/>
  <c r="C2358" i="1"/>
  <c r="B2358" i="1"/>
  <c r="C2357" i="1"/>
  <c r="B2357" i="1"/>
  <c r="C2356" i="1"/>
  <c r="B2356" i="1"/>
  <c r="C2355" i="1"/>
  <c r="B2355" i="1"/>
  <c r="C2354" i="1"/>
  <c r="B2354" i="1"/>
  <c r="C2353" i="1"/>
  <c r="B2353" i="1"/>
  <c r="C2352" i="1"/>
  <c r="B2352" i="1"/>
  <c r="C2351" i="1"/>
  <c r="B2351" i="1"/>
  <c r="C2350" i="1"/>
  <c r="B2350" i="1"/>
  <c r="C2349" i="1"/>
  <c r="B2349" i="1"/>
  <c r="C2348" i="1"/>
  <c r="B2348" i="1"/>
  <c r="C2347" i="1"/>
  <c r="B2347" i="1"/>
  <c r="C2346" i="1"/>
  <c r="B2346" i="1"/>
  <c r="C2345" i="1"/>
  <c r="B2345" i="1"/>
  <c r="C2344" i="1"/>
  <c r="B2344" i="1"/>
  <c r="C2343" i="1"/>
  <c r="B2343" i="1"/>
  <c r="C2342" i="1"/>
  <c r="B2342" i="1"/>
  <c r="C2341" i="1"/>
  <c r="B2341" i="1"/>
  <c r="C2340" i="1"/>
  <c r="B2340" i="1"/>
  <c r="C2339" i="1"/>
  <c r="B2339" i="1"/>
  <c r="C2338" i="1"/>
  <c r="B2338" i="1"/>
  <c r="C2337" i="1"/>
  <c r="B2337" i="1"/>
  <c r="C2336" i="1"/>
  <c r="B2336" i="1"/>
  <c r="C2335" i="1"/>
  <c r="B2335" i="1"/>
  <c r="C2334" i="1"/>
  <c r="B2334" i="1"/>
  <c r="C2333" i="1"/>
  <c r="B2333" i="1"/>
  <c r="C2332" i="1"/>
  <c r="B2332" i="1"/>
  <c r="C2331" i="1"/>
  <c r="B2331" i="1"/>
  <c r="C2330" i="1"/>
  <c r="B2330" i="1"/>
  <c r="C2329" i="1"/>
  <c r="B2329" i="1"/>
  <c r="C2328" i="1"/>
  <c r="B2328" i="1"/>
  <c r="C2327" i="1"/>
  <c r="B2327" i="1"/>
  <c r="C2326" i="1"/>
  <c r="B2326" i="1"/>
  <c r="C2325" i="1"/>
  <c r="B2325" i="1"/>
  <c r="C2324" i="1"/>
  <c r="B2324" i="1"/>
  <c r="C2323" i="1"/>
  <c r="B2323" i="1"/>
  <c r="C2322" i="1"/>
  <c r="B2322" i="1"/>
  <c r="C2321" i="1"/>
  <c r="B2321" i="1"/>
  <c r="C2320" i="1"/>
  <c r="B2320" i="1"/>
  <c r="C2319" i="1"/>
  <c r="B2319" i="1"/>
  <c r="C2318" i="1"/>
  <c r="B2318" i="1"/>
  <c r="C2317" i="1"/>
  <c r="B2317" i="1"/>
  <c r="C2316" i="1"/>
  <c r="B2316" i="1"/>
  <c r="C2315" i="1"/>
  <c r="B2315" i="1"/>
  <c r="C2314" i="1"/>
  <c r="B2314" i="1"/>
  <c r="C2313" i="1"/>
  <c r="B2313" i="1"/>
  <c r="C2312" i="1"/>
  <c r="B2312" i="1"/>
  <c r="C2311" i="1"/>
  <c r="B2311" i="1"/>
  <c r="C2310" i="1"/>
  <c r="B2310" i="1"/>
  <c r="C2309" i="1"/>
  <c r="B2309" i="1"/>
  <c r="C2308" i="1"/>
  <c r="B2308" i="1"/>
  <c r="C2307" i="1"/>
  <c r="B2307" i="1"/>
  <c r="C2306" i="1"/>
  <c r="B2306" i="1"/>
  <c r="C2305" i="1"/>
  <c r="B2305" i="1"/>
  <c r="C2304" i="1"/>
  <c r="B2304" i="1"/>
  <c r="C2303" i="1"/>
  <c r="B2303" i="1"/>
  <c r="C2302" i="1"/>
  <c r="B2302" i="1"/>
  <c r="C2301" i="1"/>
  <c r="B2301" i="1"/>
  <c r="C2300" i="1"/>
  <c r="B2300" i="1"/>
  <c r="C2299" i="1"/>
  <c r="B2299" i="1"/>
  <c r="C2298" i="1"/>
  <c r="B2298" i="1"/>
  <c r="C2297" i="1"/>
  <c r="B2297" i="1"/>
  <c r="C2296" i="1"/>
  <c r="B2296" i="1"/>
  <c r="C2295" i="1"/>
  <c r="B2295" i="1"/>
  <c r="C2294" i="1"/>
  <c r="B2294" i="1"/>
  <c r="C2293" i="1"/>
  <c r="B2293" i="1"/>
  <c r="C2292" i="1"/>
  <c r="B2292" i="1"/>
  <c r="C2291" i="1"/>
  <c r="B2291" i="1"/>
  <c r="C2290" i="1"/>
  <c r="B2290" i="1"/>
  <c r="C2289" i="1"/>
  <c r="B2289" i="1"/>
  <c r="C2288" i="1"/>
  <c r="B2288" i="1"/>
  <c r="C2287" i="1"/>
  <c r="B2287" i="1"/>
  <c r="C2286" i="1"/>
  <c r="B2286" i="1"/>
  <c r="C2285" i="1"/>
  <c r="B2285" i="1"/>
  <c r="C2284" i="1"/>
  <c r="B2284" i="1"/>
  <c r="C2283" i="1"/>
  <c r="B2283" i="1"/>
  <c r="C2282" i="1"/>
  <c r="B2282" i="1"/>
  <c r="C2281" i="1"/>
  <c r="B2281" i="1"/>
  <c r="C2280" i="1"/>
  <c r="B2280" i="1"/>
  <c r="C2279" i="1"/>
  <c r="B2279" i="1"/>
  <c r="C2278" i="1"/>
  <c r="B2278" i="1"/>
  <c r="C2277" i="1"/>
  <c r="B2277" i="1"/>
  <c r="C2276" i="1"/>
  <c r="B2276" i="1"/>
  <c r="C2275" i="1"/>
  <c r="B2275" i="1"/>
  <c r="C2274" i="1"/>
  <c r="B2274" i="1"/>
  <c r="C2273" i="1"/>
  <c r="B2273" i="1"/>
  <c r="C2272" i="1"/>
  <c r="B2272" i="1"/>
  <c r="C2271" i="1"/>
  <c r="B2271" i="1"/>
  <c r="C2270" i="1"/>
  <c r="B2270" i="1"/>
  <c r="C2269" i="1"/>
  <c r="B2269" i="1"/>
  <c r="C2268" i="1"/>
  <c r="B2268" i="1"/>
  <c r="C2267" i="1"/>
  <c r="B2267" i="1"/>
  <c r="C2266" i="1"/>
  <c r="B2266" i="1"/>
  <c r="C2265" i="1"/>
  <c r="B2265" i="1"/>
  <c r="C2264" i="1"/>
  <c r="B2264" i="1"/>
  <c r="C2263" i="1"/>
  <c r="B2263" i="1"/>
  <c r="C2262" i="1"/>
  <c r="B2262" i="1"/>
  <c r="C2261" i="1"/>
  <c r="B2261" i="1"/>
  <c r="C2260" i="1"/>
  <c r="B2260" i="1"/>
  <c r="C2259" i="1"/>
  <c r="B2259" i="1"/>
  <c r="C2258" i="1"/>
  <c r="B2258" i="1"/>
  <c r="C2257" i="1"/>
  <c r="B2257" i="1"/>
  <c r="C2256" i="1"/>
  <c r="B2256" i="1"/>
  <c r="C2255" i="1"/>
  <c r="B2255" i="1"/>
  <c r="C2254" i="1"/>
  <c r="B2254" i="1"/>
  <c r="C2253" i="1"/>
  <c r="B2253" i="1"/>
  <c r="C2252" i="1"/>
  <c r="B2252" i="1"/>
  <c r="C2251" i="1"/>
  <c r="B2251" i="1"/>
  <c r="C2250" i="1"/>
  <c r="B2250" i="1"/>
  <c r="C2249" i="1"/>
  <c r="B2249" i="1"/>
  <c r="C2248" i="1"/>
  <c r="B2248" i="1"/>
  <c r="C2247" i="1"/>
  <c r="B2247" i="1"/>
  <c r="C2246" i="1"/>
  <c r="B2246" i="1"/>
  <c r="C2245" i="1"/>
  <c r="B2245" i="1"/>
  <c r="C2244" i="1"/>
  <c r="B2244" i="1"/>
  <c r="C2243" i="1"/>
  <c r="B2243" i="1"/>
  <c r="C2242" i="1"/>
  <c r="B2242" i="1"/>
  <c r="C2241" i="1"/>
  <c r="B2241" i="1"/>
  <c r="C2240" i="1"/>
  <c r="B2240" i="1"/>
  <c r="C2239" i="1"/>
  <c r="B2239" i="1"/>
  <c r="C2238" i="1"/>
  <c r="B2238" i="1"/>
  <c r="C2237" i="1"/>
  <c r="B2237" i="1"/>
  <c r="C2236" i="1"/>
  <c r="B2236" i="1"/>
  <c r="C2235" i="1"/>
  <c r="B2235" i="1"/>
  <c r="C2234" i="1"/>
  <c r="B2234" i="1"/>
  <c r="C2233" i="1"/>
  <c r="B2233" i="1"/>
  <c r="C2232" i="1"/>
  <c r="B2232" i="1"/>
  <c r="C2231" i="1"/>
  <c r="B2231" i="1"/>
  <c r="C2230" i="1"/>
  <c r="B2230" i="1"/>
  <c r="C2229" i="1"/>
  <c r="B2229" i="1"/>
  <c r="C2228" i="1"/>
  <c r="B2228" i="1"/>
  <c r="C2227" i="1"/>
  <c r="B2227" i="1"/>
  <c r="C2226" i="1"/>
  <c r="B2226" i="1"/>
  <c r="C2225" i="1"/>
  <c r="B2225" i="1"/>
  <c r="C2224" i="1"/>
  <c r="B2224" i="1"/>
  <c r="C2223" i="1"/>
  <c r="B2223" i="1"/>
  <c r="C2222" i="1"/>
  <c r="B2222" i="1"/>
  <c r="C2221" i="1"/>
  <c r="B2221" i="1"/>
  <c r="C2220" i="1"/>
  <c r="B2220" i="1"/>
  <c r="C2219" i="1"/>
  <c r="B2219" i="1"/>
  <c r="C2218" i="1"/>
  <c r="B2218" i="1"/>
  <c r="C2217" i="1"/>
  <c r="B2217" i="1"/>
  <c r="C2216" i="1"/>
  <c r="B2216" i="1"/>
  <c r="C2215" i="1"/>
  <c r="B2215" i="1"/>
  <c r="C2214" i="1"/>
  <c r="B2214" i="1"/>
  <c r="C2213" i="1"/>
  <c r="B2213" i="1"/>
  <c r="C2212" i="1"/>
  <c r="B2212" i="1"/>
  <c r="C2211" i="1"/>
  <c r="B2211" i="1"/>
  <c r="C2210" i="1"/>
  <c r="B2210" i="1"/>
  <c r="C2209" i="1"/>
  <c r="B2209" i="1"/>
  <c r="C2208" i="1"/>
  <c r="B2208" i="1"/>
  <c r="C2207" i="1"/>
  <c r="B2207" i="1"/>
  <c r="C2206" i="1"/>
  <c r="B2206" i="1"/>
  <c r="C2205" i="1"/>
  <c r="B2205" i="1"/>
  <c r="C2204" i="1"/>
  <c r="B2204" i="1"/>
  <c r="C2203" i="1"/>
  <c r="B2203" i="1"/>
  <c r="C2202" i="1"/>
  <c r="B2202" i="1"/>
  <c r="C2201" i="1"/>
  <c r="B2201" i="1"/>
  <c r="C2200" i="1"/>
  <c r="B2200" i="1"/>
  <c r="C2199" i="1"/>
  <c r="B2199" i="1"/>
  <c r="C2198" i="1"/>
  <c r="B2198" i="1"/>
  <c r="C2197" i="1"/>
  <c r="B2197" i="1"/>
  <c r="C2196" i="1"/>
  <c r="B2196" i="1"/>
  <c r="C2195" i="1"/>
  <c r="B2195" i="1"/>
  <c r="C2194" i="1"/>
  <c r="B2194" i="1"/>
  <c r="C2193" i="1"/>
  <c r="B2193" i="1"/>
  <c r="C2192" i="1"/>
  <c r="B2192" i="1"/>
  <c r="C2191" i="1"/>
  <c r="B2191" i="1"/>
  <c r="C2190" i="1"/>
  <c r="B2190" i="1"/>
  <c r="C2189" i="1"/>
  <c r="B2189" i="1"/>
  <c r="C2188" i="1"/>
  <c r="B2188" i="1"/>
  <c r="C2187" i="1"/>
  <c r="B2187" i="1"/>
  <c r="C2186" i="1"/>
  <c r="B2186" i="1"/>
  <c r="C2185" i="1"/>
  <c r="B2185" i="1"/>
  <c r="C2184" i="1"/>
  <c r="B2184" i="1"/>
  <c r="C2183" i="1"/>
  <c r="B2183" i="1"/>
  <c r="C2182" i="1"/>
  <c r="B2182" i="1"/>
  <c r="C2181" i="1"/>
  <c r="B2181" i="1"/>
  <c r="C2180" i="1"/>
  <c r="B2180" i="1"/>
  <c r="C2179" i="1"/>
  <c r="B2179" i="1"/>
  <c r="C2178" i="1"/>
  <c r="B2178" i="1"/>
  <c r="C2177" i="1"/>
  <c r="B2177" i="1"/>
  <c r="C2176" i="1"/>
  <c r="B2176" i="1"/>
  <c r="C2175" i="1"/>
  <c r="B2175" i="1"/>
  <c r="C2174" i="1"/>
  <c r="B2174" i="1"/>
  <c r="C2173" i="1"/>
  <c r="B2173" i="1"/>
  <c r="C2172" i="1"/>
  <c r="B2172" i="1"/>
  <c r="C2171" i="1"/>
  <c r="B2171" i="1"/>
  <c r="C2170" i="1"/>
  <c r="B2170" i="1"/>
  <c r="C2169" i="1"/>
  <c r="B2169" i="1"/>
  <c r="C2168" i="1"/>
  <c r="B2168" i="1"/>
  <c r="C2167" i="1"/>
  <c r="B2167" i="1"/>
  <c r="C2166" i="1"/>
  <c r="B2166" i="1"/>
  <c r="C2165" i="1"/>
  <c r="B2165" i="1"/>
  <c r="C2164" i="1"/>
  <c r="B2164" i="1"/>
  <c r="C2163" i="1"/>
  <c r="B2163" i="1"/>
  <c r="C2162" i="1"/>
  <c r="B2162" i="1"/>
  <c r="C2161" i="1"/>
  <c r="B2161" i="1"/>
  <c r="C2160" i="1"/>
  <c r="B2160" i="1"/>
  <c r="C2159" i="1"/>
  <c r="B2159" i="1"/>
  <c r="C2158" i="1"/>
  <c r="B2158" i="1"/>
  <c r="C2157" i="1"/>
  <c r="B2157" i="1"/>
  <c r="C2156" i="1"/>
  <c r="B2156" i="1"/>
  <c r="C2155" i="1"/>
  <c r="B2155" i="1"/>
  <c r="C2154" i="1"/>
  <c r="B2154" i="1"/>
  <c r="C2153" i="1"/>
  <c r="B2153" i="1"/>
  <c r="C2152" i="1"/>
  <c r="B2152" i="1"/>
  <c r="C2151" i="1"/>
  <c r="B2151" i="1"/>
  <c r="C2150" i="1"/>
  <c r="B2150" i="1"/>
  <c r="C2149" i="1"/>
  <c r="B2149" i="1"/>
  <c r="C2148" i="1"/>
  <c r="B2148" i="1"/>
  <c r="C2147" i="1"/>
  <c r="B2147" i="1"/>
  <c r="C2146" i="1"/>
  <c r="B2146" i="1"/>
  <c r="C2145" i="1"/>
  <c r="B2145" i="1"/>
  <c r="C2144" i="1"/>
  <c r="B2144" i="1"/>
  <c r="C2143" i="1"/>
  <c r="B2143" i="1"/>
  <c r="C2142" i="1"/>
  <c r="B2142" i="1"/>
  <c r="C2141" i="1"/>
  <c r="B2141" i="1"/>
  <c r="C2140" i="1"/>
  <c r="B2140" i="1"/>
  <c r="C2139" i="1"/>
  <c r="B2139" i="1"/>
  <c r="C2138" i="1"/>
  <c r="B2138" i="1"/>
  <c r="C2137" i="1"/>
  <c r="B2137" i="1"/>
  <c r="C2136" i="1"/>
  <c r="B2136" i="1"/>
  <c r="C2135" i="1"/>
  <c r="B2135" i="1"/>
  <c r="C2134" i="1"/>
  <c r="B2134" i="1"/>
  <c r="C2133" i="1"/>
  <c r="B2133" i="1"/>
  <c r="C2132" i="1"/>
  <c r="B2132" i="1"/>
  <c r="C2131" i="1"/>
  <c r="B2131" i="1"/>
  <c r="C2130" i="1"/>
  <c r="B2130" i="1"/>
  <c r="C2129" i="1"/>
  <c r="B2129" i="1"/>
  <c r="C2128" i="1"/>
  <c r="B2128" i="1"/>
  <c r="C2127" i="1"/>
  <c r="B2127" i="1"/>
  <c r="C2126" i="1"/>
  <c r="B2126" i="1"/>
  <c r="C2125" i="1"/>
  <c r="B2125" i="1"/>
  <c r="C2124" i="1"/>
  <c r="B2124" i="1"/>
  <c r="C2123" i="1"/>
  <c r="B2123" i="1"/>
  <c r="C2122" i="1"/>
  <c r="B2122" i="1"/>
  <c r="C2121" i="1"/>
  <c r="B2121" i="1"/>
  <c r="C2120" i="1"/>
  <c r="B2120" i="1"/>
  <c r="C2119" i="1"/>
  <c r="B2119" i="1"/>
  <c r="C2118" i="1"/>
  <c r="B2118" i="1"/>
  <c r="C2117" i="1"/>
  <c r="B2117" i="1"/>
  <c r="C2116" i="1"/>
  <c r="B2116" i="1"/>
  <c r="C2115" i="1"/>
  <c r="B2115" i="1"/>
  <c r="C2114" i="1"/>
  <c r="B2114" i="1"/>
  <c r="C2113" i="1"/>
  <c r="B2113" i="1"/>
  <c r="C2112" i="1"/>
  <c r="B2112" i="1"/>
  <c r="C2111" i="1"/>
  <c r="B2111" i="1"/>
  <c r="C2110" i="1"/>
  <c r="B2110" i="1"/>
  <c r="C2109" i="1"/>
  <c r="B2109" i="1"/>
  <c r="C2108" i="1"/>
  <c r="B2108" i="1"/>
  <c r="C2107" i="1"/>
  <c r="B2107" i="1"/>
  <c r="C2106" i="1"/>
  <c r="B2106" i="1"/>
  <c r="C2105" i="1"/>
  <c r="B2105" i="1"/>
  <c r="C2104" i="1"/>
  <c r="B2104" i="1"/>
  <c r="C2103" i="1"/>
  <c r="B2103" i="1"/>
  <c r="C2102" i="1"/>
  <c r="B2102" i="1"/>
  <c r="C2101" i="1"/>
  <c r="B2101" i="1"/>
  <c r="C2100" i="1"/>
  <c r="B2100" i="1"/>
  <c r="C2099" i="1"/>
  <c r="B2099" i="1"/>
  <c r="C2098" i="1"/>
  <c r="B2098" i="1"/>
  <c r="C2097" i="1"/>
  <c r="B2097" i="1"/>
  <c r="C2096" i="1"/>
  <c r="B2096" i="1"/>
  <c r="C2095" i="1"/>
  <c r="B2095" i="1"/>
  <c r="C2094" i="1"/>
  <c r="B2094" i="1"/>
  <c r="C2093" i="1"/>
  <c r="B2093" i="1"/>
  <c r="C2092" i="1"/>
  <c r="B2092" i="1"/>
  <c r="C2091" i="1"/>
  <c r="B2091" i="1"/>
  <c r="C2090" i="1"/>
  <c r="B2090" i="1"/>
  <c r="C2089" i="1"/>
  <c r="B2089" i="1"/>
  <c r="C2088" i="1"/>
  <c r="B2088" i="1"/>
  <c r="C2087" i="1"/>
  <c r="B2087" i="1"/>
  <c r="C2086" i="1"/>
  <c r="B2086" i="1"/>
  <c r="C2085" i="1"/>
  <c r="B2085" i="1"/>
  <c r="C2084" i="1"/>
  <c r="B2084" i="1"/>
  <c r="C2083" i="1"/>
  <c r="B2083" i="1"/>
  <c r="C2082" i="1"/>
  <c r="B2082" i="1"/>
  <c r="C2081" i="1"/>
  <c r="B2081" i="1"/>
  <c r="C2080" i="1"/>
  <c r="B2080" i="1"/>
  <c r="C2079" i="1"/>
  <c r="B2079" i="1"/>
  <c r="C2078" i="1"/>
  <c r="B2078" i="1"/>
  <c r="C2077" i="1"/>
  <c r="B2077" i="1"/>
  <c r="C2076" i="1"/>
  <c r="B2076" i="1"/>
  <c r="C2075" i="1"/>
  <c r="B2075" i="1"/>
  <c r="C2074" i="1"/>
  <c r="B2074" i="1"/>
  <c r="C2073" i="1"/>
  <c r="B2073" i="1"/>
  <c r="C2072" i="1"/>
  <c r="B2072" i="1"/>
  <c r="C2071" i="1"/>
  <c r="B2071" i="1"/>
  <c r="C2070" i="1"/>
  <c r="B2070" i="1"/>
  <c r="C2069" i="1"/>
  <c r="B2069" i="1"/>
  <c r="C2068" i="1"/>
  <c r="B2068" i="1"/>
  <c r="C2067" i="1"/>
  <c r="B2067" i="1"/>
  <c r="C2066" i="1"/>
  <c r="B2066" i="1"/>
  <c r="C2065" i="1"/>
  <c r="B2065" i="1"/>
  <c r="C2064" i="1"/>
  <c r="B2064" i="1"/>
  <c r="C2063" i="1"/>
  <c r="B2063" i="1"/>
  <c r="C2062" i="1"/>
  <c r="B2062" i="1"/>
  <c r="C2061" i="1"/>
  <c r="B2061" i="1"/>
  <c r="C2060" i="1"/>
  <c r="B2060" i="1"/>
  <c r="C2059" i="1"/>
  <c r="B2059" i="1"/>
  <c r="C2058" i="1"/>
  <c r="B2058" i="1"/>
  <c r="C2057" i="1"/>
  <c r="B2057" i="1"/>
  <c r="C2056" i="1"/>
  <c r="B2056" i="1"/>
  <c r="C2055" i="1"/>
  <c r="B2055" i="1"/>
  <c r="C2054" i="1"/>
  <c r="B2054" i="1"/>
  <c r="C2053" i="1"/>
  <c r="B2053" i="1"/>
  <c r="C2052" i="1"/>
  <c r="B2052" i="1"/>
  <c r="C2051" i="1"/>
  <c r="B2051" i="1"/>
  <c r="C2050" i="1"/>
  <c r="B2050" i="1"/>
  <c r="C2049" i="1"/>
  <c r="B2049" i="1"/>
  <c r="C2048" i="1"/>
  <c r="B2048" i="1"/>
  <c r="C2047" i="1"/>
  <c r="B2047" i="1"/>
  <c r="C2046" i="1"/>
  <c r="B2046" i="1"/>
  <c r="C2045" i="1"/>
  <c r="B2045" i="1"/>
  <c r="C2044" i="1"/>
  <c r="B2044" i="1"/>
  <c r="C2043" i="1"/>
  <c r="B2043" i="1"/>
  <c r="C2042" i="1"/>
  <c r="B2042" i="1"/>
  <c r="C2041" i="1"/>
  <c r="B2041" i="1"/>
  <c r="C2040" i="1"/>
  <c r="B2040" i="1"/>
  <c r="C2039" i="1"/>
  <c r="B2039" i="1"/>
  <c r="C2038" i="1"/>
  <c r="B2038" i="1"/>
  <c r="C2037" i="1"/>
  <c r="B2037" i="1"/>
  <c r="C2036" i="1"/>
  <c r="B2036" i="1"/>
  <c r="C2035" i="1"/>
  <c r="B2035" i="1"/>
  <c r="C2034" i="1"/>
  <c r="B2034" i="1"/>
  <c r="C2033" i="1"/>
  <c r="B2033" i="1"/>
  <c r="C2032" i="1"/>
  <c r="B2032" i="1"/>
  <c r="C2031" i="1"/>
  <c r="B2031" i="1"/>
  <c r="C2030" i="1"/>
  <c r="B2030" i="1"/>
  <c r="C2029" i="1"/>
  <c r="B2029" i="1"/>
  <c r="C2028" i="1"/>
  <c r="B2028" i="1"/>
  <c r="C2027" i="1"/>
  <c r="B2027" i="1"/>
  <c r="C2026" i="1"/>
  <c r="B2026" i="1"/>
  <c r="C2025" i="1"/>
  <c r="B2025" i="1"/>
  <c r="C2024" i="1"/>
  <c r="B2024" i="1"/>
  <c r="C2023" i="1"/>
  <c r="B2023" i="1"/>
  <c r="C2022" i="1"/>
  <c r="B2022" i="1"/>
  <c r="C2021" i="1"/>
  <c r="B2021" i="1"/>
  <c r="C2020" i="1"/>
  <c r="B2020" i="1"/>
  <c r="C2019" i="1"/>
  <c r="B2019" i="1"/>
  <c r="C2018" i="1"/>
  <c r="B2018" i="1"/>
  <c r="C2017" i="1"/>
  <c r="B2017" i="1"/>
  <c r="C2016" i="1"/>
  <c r="B2016" i="1"/>
  <c r="C2015" i="1"/>
  <c r="B2015" i="1"/>
  <c r="C2014" i="1"/>
  <c r="B2014" i="1"/>
  <c r="C2013" i="1"/>
  <c r="B2013" i="1"/>
  <c r="C2012" i="1"/>
  <c r="B2012" i="1"/>
  <c r="C2011" i="1"/>
  <c r="B2011" i="1"/>
  <c r="C2010" i="1"/>
  <c r="B2010" i="1"/>
  <c r="C2009" i="1"/>
  <c r="B2009" i="1"/>
  <c r="C2008" i="1"/>
  <c r="B2008" i="1"/>
  <c r="C2007" i="1"/>
  <c r="B2007" i="1"/>
  <c r="C2006" i="1"/>
  <c r="B2006" i="1"/>
  <c r="C2005" i="1"/>
  <c r="B2005" i="1"/>
  <c r="C2004" i="1"/>
  <c r="B2004" i="1"/>
  <c r="C2003" i="1"/>
  <c r="B2003" i="1"/>
  <c r="C2002" i="1"/>
  <c r="B2002" i="1"/>
  <c r="C2001" i="1"/>
  <c r="B2001" i="1"/>
  <c r="C2000" i="1"/>
  <c r="B2000" i="1"/>
  <c r="C1999" i="1"/>
  <c r="B1999" i="1"/>
  <c r="C1998" i="1"/>
  <c r="B1998" i="1"/>
  <c r="C1997" i="1"/>
  <c r="B1997" i="1"/>
  <c r="C1996" i="1"/>
  <c r="B1996" i="1"/>
  <c r="C1995" i="1"/>
  <c r="B1995" i="1"/>
  <c r="C1994" i="1"/>
  <c r="B1994" i="1"/>
  <c r="C1993" i="1"/>
  <c r="B1993" i="1"/>
  <c r="C1992" i="1"/>
  <c r="B1992" i="1"/>
  <c r="C1991" i="1"/>
  <c r="B1991" i="1"/>
  <c r="C1990" i="1"/>
  <c r="B1990" i="1"/>
  <c r="C1989" i="1"/>
  <c r="B1989" i="1"/>
  <c r="C1988" i="1"/>
  <c r="B1988" i="1"/>
  <c r="C1987" i="1"/>
  <c r="B1987" i="1"/>
  <c r="C1986" i="1"/>
  <c r="B1986" i="1"/>
  <c r="C1985" i="1"/>
  <c r="B1985" i="1"/>
  <c r="C1984" i="1"/>
  <c r="B1984" i="1"/>
  <c r="C1983" i="1"/>
  <c r="B1983" i="1"/>
  <c r="C1982" i="1"/>
  <c r="B1982" i="1"/>
  <c r="C1981" i="1"/>
  <c r="B1981" i="1"/>
  <c r="C1980" i="1"/>
  <c r="B1980" i="1"/>
  <c r="C1979" i="1"/>
  <c r="B1979" i="1"/>
  <c r="C1978" i="1"/>
  <c r="B1978" i="1"/>
  <c r="C1977" i="1"/>
  <c r="B1977" i="1"/>
  <c r="C1976" i="1"/>
  <c r="B1976" i="1"/>
  <c r="C1975" i="1"/>
  <c r="B1975" i="1"/>
  <c r="C1974" i="1"/>
  <c r="B1974" i="1"/>
  <c r="C1973" i="1"/>
  <c r="B1973" i="1"/>
  <c r="C1972" i="1"/>
  <c r="B1972" i="1"/>
  <c r="C1971" i="1"/>
  <c r="B1971" i="1"/>
  <c r="C1970" i="1"/>
  <c r="B1970" i="1"/>
  <c r="C1969" i="1"/>
  <c r="B1969" i="1"/>
  <c r="C1968" i="1"/>
  <c r="B1968" i="1"/>
  <c r="C1967" i="1"/>
  <c r="B1967" i="1"/>
  <c r="C1966" i="1"/>
  <c r="B1966" i="1"/>
  <c r="C1965" i="1"/>
  <c r="B1965" i="1"/>
  <c r="C1964" i="1"/>
  <c r="B1964" i="1"/>
  <c r="C1963" i="1"/>
  <c r="B1963" i="1"/>
  <c r="C1962" i="1"/>
  <c r="B1962" i="1"/>
  <c r="C1961" i="1"/>
  <c r="B1961" i="1"/>
  <c r="C1960" i="1"/>
  <c r="B1960" i="1"/>
  <c r="C1959" i="1"/>
  <c r="B1959" i="1"/>
  <c r="C1958" i="1"/>
  <c r="B1958" i="1"/>
  <c r="C1957" i="1"/>
  <c r="B1957" i="1"/>
  <c r="C1956" i="1"/>
  <c r="B1956" i="1"/>
  <c r="C1955" i="1"/>
  <c r="B1955" i="1"/>
  <c r="C1954" i="1"/>
  <c r="B1954" i="1"/>
  <c r="C1953" i="1"/>
  <c r="B1953" i="1"/>
  <c r="C1952" i="1"/>
  <c r="B1952" i="1"/>
  <c r="C1951" i="1"/>
  <c r="B1951" i="1"/>
  <c r="C1950" i="1"/>
  <c r="B1950" i="1"/>
  <c r="C1949" i="1"/>
  <c r="B1949" i="1"/>
  <c r="C1948" i="1"/>
  <c r="B1948" i="1"/>
  <c r="C1947" i="1"/>
  <c r="B1947" i="1"/>
  <c r="C1946" i="1"/>
  <c r="B1946" i="1"/>
  <c r="C1945" i="1"/>
  <c r="B1945" i="1"/>
  <c r="C1944" i="1"/>
  <c r="B1944" i="1"/>
  <c r="C1943" i="1"/>
  <c r="B1943" i="1"/>
  <c r="C1942" i="1"/>
  <c r="B1942" i="1"/>
  <c r="C1941" i="1"/>
  <c r="B1941" i="1"/>
  <c r="C1940" i="1"/>
  <c r="B1940" i="1"/>
  <c r="C1939" i="1"/>
  <c r="B1939" i="1"/>
  <c r="C1938" i="1"/>
  <c r="B1938" i="1"/>
  <c r="C1937" i="1"/>
  <c r="B1937" i="1"/>
  <c r="C1936" i="1"/>
  <c r="B1936" i="1"/>
  <c r="C1935" i="1"/>
  <c r="B1935" i="1"/>
  <c r="C1934" i="1"/>
  <c r="B1934" i="1"/>
  <c r="C1933" i="1"/>
  <c r="B1933" i="1"/>
  <c r="C1932" i="1"/>
  <c r="B1932" i="1"/>
  <c r="C1931" i="1"/>
  <c r="B1931" i="1"/>
  <c r="C1930" i="1"/>
  <c r="B1930" i="1"/>
  <c r="C1929" i="1"/>
  <c r="B1929" i="1"/>
  <c r="C1928" i="1"/>
  <c r="B1928" i="1"/>
  <c r="C1927" i="1"/>
  <c r="B1927" i="1"/>
  <c r="C1926" i="1"/>
  <c r="B1926" i="1"/>
  <c r="C1925" i="1"/>
  <c r="B1925" i="1"/>
  <c r="C1924" i="1"/>
  <c r="B1924" i="1"/>
  <c r="C1923" i="1"/>
  <c r="B1923" i="1"/>
  <c r="C1922" i="1"/>
  <c r="B1922" i="1"/>
  <c r="C1921" i="1"/>
  <c r="B1921" i="1"/>
  <c r="C1920" i="1"/>
  <c r="B1920" i="1"/>
  <c r="C1919" i="1"/>
  <c r="B1919" i="1"/>
  <c r="C1918" i="1"/>
  <c r="B1918" i="1"/>
  <c r="C1917" i="1"/>
  <c r="B1917" i="1"/>
  <c r="C1916" i="1"/>
  <c r="B1916" i="1"/>
  <c r="C1915" i="1"/>
  <c r="B1915" i="1"/>
  <c r="C1914" i="1"/>
  <c r="B1914" i="1"/>
  <c r="C1913" i="1"/>
  <c r="B1913" i="1"/>
  <c r="C1912" i="1"/>
  <c r="B1912" i="1"/>
  <c r="C1911" i="1"/>
  <c r="B1911" i="1"/>
  <c r="C1910" i="1"/>
  <c r="B1910" i="1"/>
  <c r="C1909" i="1"/>
  <c r="B1909" i="1"/>
  <c r="C1908" i="1"/>
  <c r="B1908" i="1"/>
  <c r="C1907" i="1"/>
  <c r="B1907" i="1"/>
  <c r="C1906" i="1"/>
  <c r="B1906" i="1"/>
  <c r="C1905" i="1"/>
  <c r="B1905" i="1"/>
  <c r="C1904" i="1"/>
  <c r="B1904" i="1"/>
  <c r="C1903" i="1"/>
  <c r="B1903" i="1"/>
  <c r="C1902" i="1"/>
  <c r="B1902" i="1"/>
  <c r="C1901" i="1"/>
  <c r="B1901" i="1"/>
  <c r="C1900" i="1"/>
  <c r="B1900" i="1"/>
  <c r="C1899" i="1"/>
  <c r="B1899" i="1"/>
  <c r="C1898" i="1"/>
  <c r="B1898" i="1"/>
  <c r="C1897" i="1"/>
  <c r="B1897" i="1"/>
  <c r="C1896" i="1"/>
  <c r="B1896" i="1"/>
  <c r="C1895" i="1"/>
  <c r="B1895" i="1"/>
  <c r="C1894" i="1"/>
  <c r="B1894" i="1"/>
  <c r="C1893" i="1"/>
  <c r="B1893" i="1"/>
  <c r="C1892" i="1"/>
  <c r="B1892" i="1"/>
  <c r="C1891" i="1"/>
  <c r="B1891" i="1"/>
  <c r="C1890" i="1"/>
  <c r="B1890" i="1"/>
  <c r="C1889" i="1"/>
  <c r="B1889" i="1"/>
  <c r="C1888" i="1"/>
  <c r="B1888" i="1"/>
  <c r="C1887" i="1"/>
  <c r="B1887" i="1"/>
  <c r="C1886" i="1"/>
  <c r="B1886" i="1"/>
  <c r="C1885" i="1"/>
  <c r="B1885" i="1"/>
  <c r="C1884" i="1"/>
  <c r="B1884" i="1"/>
  <c r="C1883" i="1"/>
  <c r="B1883" i="1"/>
  <c r="C1882" i="1"/>
  <c r="B1882" i="1"/>
  <c r="C1881" i="1"/>
  <c r="B1881" i="1"/>
  <c r="C1880" i="1"/>
  <c r="B1880" i="1"/>
  <c r="C1879" i="1"/>
  <c r="B1879" i="1"/>
  <c r="C1878" i="1"/>
  <c r="B1878" i="1"/>
  <c r="C1877" i="1"/>
  <c r="B1877" i="1"/>
  <c r="C1876" i="1"/>
  <c r="B1876" i="1"/>
  <c r="C1875" i="1"/>
  <c r="B1875" i="1"/>
  <c r="C1874" i="1"/>
  <c r="B1874" i="1"/>
  <c r="C1873" i="1"/>
  <c r="B1873" i="1"/>
  <c r="C1872" i="1"/>
  <c r="B1872" i="1"/>
  <c r="C1871" i="1"/>
  <c r="B1871" i="1"/>
  <c r="C1870" i="1"/>
  <c r="B1870" i="1"/>
  <c r="C1869" i="1"/>
  <c r="B1869" i="1"/>
  <c r="C1868" i="1"/>
  <c r="B1868" i="1"/>
  <c r="C1867" i="1"/>
  <c r="B1867" i="1"/>
  <c r="C1866" i="1"/>
  <c r="B1866" i="1"/>
  <c r="C1865" i="1"/>
  <c r="B1865" i="1"/>
  <c r="C1864" i="1"/>
  <c r="B1864" i="1"/>
  <c r="C1863" i="1"/>
  <c r="B1863" i="1"/>
  <c r="C1862" i="1"/>
  <c r="B1862" i="1"/>
  <c r="C1861" i="1"/>
  <c r="B1861" i="1"/>
  <c r="C1860" i="1"/>
  <c r="B1860" i="1"/>
  <c r="C1859" i="1"/>
  <c r="B1859" i="1"/>
  <c r="C1858" i="1"/>
  <c r="B1858" i="1"/>
  <c r="C1857" i="1"/>
  <c r="B1857" i="1"/>
  <c r="C1856" i="1"/>
  <c r="B1856" i="1"/>
  <c r="C1855" i="1"/>
  <c r="B1855" i="1"/>
  <c r="C1854" i="1"/>
  <c r="B1854" i="1"/>
  <c r="C1853" i="1"/>
  <c r="B1853" i="1"/>
  <c r="C1852" i="1"/>
  <c r="B1852" i="1"/>
  <c r="C1851" i="1"/>
  <c r="B1851" i="1"/>
  <c r="C1850" i="1"/>
  <c r="B1850" i="1"/>
  <c r="C1849" i="1"/>
  <c r="B1849" i="1"/>
  <c r="C1848" i="1"/>
  <c r="B1848" i="1"/>
  <c r="C1847" i="1"/>
  <c r="B1847" i="1"/>
  <c r="C1846" i="1"/>
  <c r="B1846" i="1"/>
  <c r="C1845" i="1"/>
  <c r="B1845" i="1"/>
  <c r="C1844" i="1"/>
  <c r="B1844" i="1"/>
  <c r="C1843" i="1"/>
  <c r="B1843" i="1"/>
  <c r="C1842" i="1"/>
  <c r="B1842" i="1"/>
  <c r="C1841" i="1"/>
  <c r="B1841" i="1"/>
  <c r="C1840" i="1"/>
  <c r="B1840" i="1"/>
  <c r="C1839" i="1"/>
  <c r="B1839" i="1"/>
  <c r="C1838" i="1"/>
  <c r="B1838" i="1"/>
  <c r="C1837" i="1"/>
  <c r="B1837" i="1"/>
  <c r="C1836" i="1"/>
  <c r="B1836" i="1"/>
  <c r="C1835" i="1"/>
  <c r="B1835" i="1"/>
  <c r="C1834" i="1"/>
  <c r="B1834" i="1"/>
  <c r="C1833" i="1"/>
  <c r="B1833" i="1"/>
  <c r="C1832" i="1"/>
  <c r="B1832" i="1"/>
  <c r="C1831" i="1"/>
  <c r="B1831" i="1"/>
  <c r="C1830" i="1"/>
  <c r="B1830" i="1"/>
  <c r="C1829" i="1"/>
  <c r="B1829" i="1"/>
  <c r="C1828" i="1"/>
  <c r="B1828" i="1"/>
  <c r="C1827" i="1"/>
  <c r="B1827" i="1"/>
  <c r="C1826" i="1"/>
  <c r="B1826" i="1"/>
  <c r="C1825" i="1"/>
  <c r="B1825" i="1"/>
  <c r="C1824" i="1"/>
  <c r="B1824" i="1"/>
  <c r="C1823" i="1"/>
  <c r="B1823" i="1"/>
  <c r="C1822" i="1"/>
  <c r="B1822" i="1"/>
  <c r="C1821" i="1"/>
  <c r="B1821" i="1"/>
  <c r="C1820" i="1"/>
  <c r="B1820" i="1"/>
  <c r="C1819" i="1"/>
  <c r="B1819" i="1"/>
  <c r="C1818" i="1"/>
  <c r="B1818" i="1"/>
  <c r="C1817" i="1"/>
  <c r="B1817" i="1"/>
  <c r="C1816" i="1"/>
  <c r="B1816" i="1"/>
  <c r="C1815" i="1"/>
  <c r="B1815" i="1"/>
  <c r="C1814" i="1"/>
  <c r="B1814" i="1"/>
  <c r="C1813" i="1"/>
  <c r="B1813" i="1"/>
  <c r="C1812" i="1"/>
  <c r="B1812" i="1"/>
  <c r="C1811" i="1"/>
  <c r="B1811" i="1"/>
  <c r="C1810" i="1"/>
  <c r="B1810" i="1"/>
  <c r="C1809" i="1"/>
  <c r="B1809" i="1"/>
  <c r="C1808" i="1"/>
  <c r="B1808" i="1"/>
  <c r="C1807" i="1"/>
  <c r="B1807" i="1"/>
  <c r="C1806" i="1"/>
  <c r="B1806" i="1"/>
  <c r="C1805" i="1"/>
  <c r="B1805" i="1"/>
  <c r="C1804" i="1"/>
  <c r="B1804" i="1"/>
  <c r="C1803" i="1"/>
  <c r="B1803" i="1"/>
  <c r="C1802" i="1"/>
  <c r="B1802" i="1"/>
  <c r="C1801" i="1"/>
  <c r="B1801" i="1"/>
  <c r="C1800" i="1"/>
  <c r="B1800" i="1"/>
  <c r="C1799" i="1"/>
  <c r="B1799" i="1"/>
  <c r="C1798" i="1"/>
  <c r="B1798" i="1"/>
  <c r="C1797" i="1"/>
  <c r="B1797" i="1"/>
  <c r="C1796" i="1"/>
  <c r="B1796" i="1"/>
  <c r="C1795" i="1"/>
  <c r="B1795" i="1"/>
  <c r="C1794" i="1"/>
  <c r="B1794" i="1"/>
  <c r="C1793" i="1"/>
  <c r="B1793" i="1"/>
  <c r="C1792" i="1"/>
  <c r="B1792" i="1"/>
  <c r="C1791" i="1"/>
  <c r="B1791" i="1"/>
  <c r="C1790" i="1"/>
  <c r="B1790" i="1"/>
  <c r="C1789" i="1"/>
  <c r="B1789" i="1"/>
  <c r="C1788" i="1"/>
  <c r="B1788" i="1"/>
  <c r="C1787" i="1"/>
  <c r="B1787" i="1"/>
  <c r="C1786" i="1"/>
  <c r="B1786" i="1"/>
  <c r="C1785" i="1"/>
  <c r="B1785" i="1"/>
  <c r="C1784" i="1"/>
  <c r="B1784" i="1"/>
  <c r="C1783" i="1"/>
  <c r="B1783" i="1"/>
  <c r="C1782" i="1"/>
  <c r="B1782" i="1"/>
  <c r="C1781" i="1"/>
  <c r="B1781" i="1"/>
  <c r="C1780" i="1"/>
  <c r="B1780" i="1"/>
  <c r="C1779" i="1"/>
  <c r="B1779" i="1"/>
  <c r="C1778" i="1"/>
  <c r="B1778" i="1"/>
  <c r="C1777" i="1"/>
  <c r="B1777" i="1"/>
  <c r="C1776" i="1"/>
  <c r="B1776" i="1"/>
  <c r="C1775" i="1"/>
  <c r="B1775" i="1"/>
  <c r="C1774" i="1"/>
  <c r="B1774" i="1"/>
  <c r="C1773" i="1"/>
  <c r="B1773" i="1"/>
  <c r="C1772" i="1"/>
  <c r="B1772" i="1"/>
  <c r="C1771" i="1"/>
  <c r="B1771" i="1"/>
  <c r="C1770" i="1"/>
  <c r="B1770" i="1"/>
  <c r="C1769" i="1"/>
  <c r="B1769" i="1"/>
  <c r="C1768" i="1"/>
  <c r="B1768" i="1"/>
  <c r="C1767" i="1"/>
  <c r="B1767" i="1"/>
  <c r="C1766" i="1"/>
  <c r="B1766" i="1"/>
  <c r="C1765" i="1"/>
  <c r="B1765" i="1"/>
  <c r="C1764" i="1"/>
  <c r="B1764" i="1"/>
  <c r="C1763" i="1"/>
  <c r="B1763" i="1"/>
  <c r="C1762" i="1"/>
  <c r="B1762" i="1"/>
  <c r="C1761" i="1"/>
  <c r="B1761" i="1"/>
  <c r="C1760" i="1"/>
  <c r="B1760" i="1"/>
  <c r="C1759" i="1"/>
  <c r="B1759" i="1"/>
  <c r="C1758" i="1"/>
  <c r="B1758" i="1"/>
  <c r="C1757" i="1"/>
  <c r="B1757" i="1"/>
  <c r="C1756" i="1"/>
  <c r="B1756" i="1"/>
  <c r="C1755" i="1"/>
  <c r="B1755" i="1"/>
  <c r="C1754" i="1"/>
  <c r="B1754" i="1"/>
  <c r="C1753" i="1"/>
  <c r="B1753" i="1"/>
  <c r="C1752" i="1"/>
  <c r="B1752" i="1"/>
  <c r="C1751" i="1"/>
  <c r="B1751" i="1"/>
  <c r="C1750" i="1"/>
  <c r="B1750" i="1"/>
  <c r="C1749" i="1"/>
  <c r="B1749" i="1"/>
  <c r="C1748" i="1"/>
  <c r="B1748" i="1"/>
  <c r="C1747" i="1"/>
  <c r="B1747" i="1"/>
  <c r="C1746" i="1"/>
  <c r="B1746" i="1"/>
  <c r="C1745" i="1"/>
  <c r="B1745" i="1"/>
  <c r="C1744" i="1"/>
  <c r="B1744" i="1"/>
  <c r="C1743" i="1"/>
  <c r="B1743" i="1"/>
  <c r="C1742" i="1"/>
  <c r="B1742" i="1"/>
  <c r="C1741" i="1"/>
  <c r="B1741" i="1"/>
  <c r="C1740" i="1"/>
  <c r="B1740" i="1"/>
  <c r="C1739" i="1"/>
  <c r="B1739" i="1"/>
  <c r="C1738" i="1"/>
  <c r="B1738" i="1"/>
  <c r="C1737" i="1"/>
  <c r="B1737" i="1"/>
  <c r="C1736" i="1"/>
  <c r="B1736" i="1"/>
  <c r="C1735" i="1"/>
  <c r="B1735" i="1"/>
  <c r="C1734" i="1"/>
  <c r="B1734" i="1"/>
  <c r="C1733" i="1"/>
  <c r="B1733" i="1"/>
  <c r="C1732" i="1"/>
  <c r="B1732" i="1"/>
  <c r="C1731" i="1"/>
  <c r="B1731" i="1"/>
  <c r="C1730" i="1"/>
  <c r="B1730" i="1"/>
  <c r="C1729" i="1"/>
  <c r="B1729" i="1"/>
  <c r="C1728" i="1"/>
  <c r="B1728" i="1"/>
  <c r="C1727" i="1"/>
  <c r="B1727" i="1"/>
  <c r="C1726" i="1"/>
  <c r="B1726" i="1"/>
  <c r="C1725" i="1"/>
  <c r="B1725" i="1"/>
  <c r="C1724" i="1"/>
  <c r="B1724" i="1"/>
  <c r="C1723" i="1"/>
  <c r="B1723" i="1"/>
  <c r="C1722" i="1"/>
  <c r="B1722" i="1"/>
  <c r="C1721" i="1"/>
  <c r="B1721" i="1"/>
  <c r="C1720" i="1"/>
  <c r="B1720" i="1"/>
  <c r="C1719" i="1"/>
  <c r="B1719" i="1"/>
  <c r="C1718" i="1"/>
  <c r="B1718" i="1"/>
  <c r="C1717" i="1"/>
  <c r="B1717" i="1"/>
  <c r="C1716" i="1"/>
  <c r="B1716" i="1"/>
  <c r="C1715" i="1"/>
  <c r="B1715" i="1"/>
  <c r="C1714" i="1"/>
  <c r="B1714" i="1"/>
  <c r="C1713" i="1"/>
  <c r="B1713" i="1"/>
  <c r="C1712" i="1"/>
  <c r="B1712" i="1"/>
  <c r="C1711" i="1"/>
  <c r="B1711" i="1"/>
  <c r="C1710" i="1"/>
  <c r="B1710" i="1"/>
  <c r="C1709" i="1"/>
  <c r="B1709" i="1"/>
  <c r="C1708" i="1"/>
  <c r="B1708" i="1"/>
  <c r="C1707" i="1"/>
  <c r="B1707" i="1"/>
  <c r="C1706" i="1"/>
  <c r="B1706" i="1"/>
  <c r="C1705" i="1"/>
  <c r="B1705" i="1"/>
  <c r="C1704" i="1"/>
  <c r="B1704" i="1"/>
  <c r="C1703" i="1"/>
  <c r="B1703" i="1"/>
  <c r="C1702" i="1"/>
  <c r="B1702" i="1"/>
  <c r="C1701" i="1"/>
  <c r="B1701" i="1"/>
  <c r="C1700" i="1"/>
  <c r="B1700" i="1"/>
  <c r="C1699" i="1"/>
  <c r="B1699" i="1"/>
  <c r="C1698" i="1"/>
  <c r="B1698" i="1"/>
  <c r="C1697" i="1"/>
  <c r="B1697" i="1"/>
  <c r="C1696" i="1"/>
  <c r="B1696" i="1"/>
  <c r="C1695" i="1"/>
  <c r="B1695" i="1"/>
  <c r="C1694" i="1"/>
  <c r="B1694" i="1"/>
  <c r="C1693" i="1"/>
  <c r="B1693" i="1"/>
  <c r="C1692" i="1"/>
  <c r="B1692" i="1"/>
  <c r="C1691" i="1"/>
  <c r="B1691" i="1"/>
  <c r="C1690" i="1"/>
  <c r="B1690" i="1"/>
  <c r="C1689" i="1"/>
  <c r="B1689" i="1"/>
  <c r="C1688" i="1"/>
  <c r="B1688" i="1"/>
  <c r="C1687" i="1"/>
  <c r="B1687" i="1"/>
  <c r="C1686" i="1"/>
  <c r="B1686" i="1"/>
  <c r="C1685" i="1"/>
  <c r="B1685" i="1"/>
  <c r="C1684" i="1"/>
  <c r="B1684" i="1"/>
  <c r="C1683" i="1"/>
  <c r="B1683" i="1"/>
  <c r="C1682" i="1"/>
  <c r="B1682" i="1"/>
  <c r="C1681" i="1"/>
  <c r="B1681" i="1"/>
  <c r="C1680" i="1"/>
  <c r="B1680" i="1"/>
  <c r="C1679" i="1"/>
  <c r="B1679" i="1"/>
  <c r="C1678" i="1"/>
  <c r="B1678" i="1"/>
  <c r="C1677" i="1"/>
  <c r="B1677" i="1"/>
  <c r="C1676" i="1"/>
  <c r="B1676" i="1"/>
  <c r="C1675" i="1"/>
  <c r="B1675" i="1"/>
  <c r="C1674" i="1"/>
  <c r="B1674" i="1"/>
  <c r="C1673" i="1"/>
  <c r="B1673" i="1"/>
  <c r="C1672" i="1"/>
  <c r="B1672" i="1"/>
  <c r="C1671" i="1"/>
  <c r="B1671" i="1"/>
  <c r="C1670" i="1"/>
  <c r="B1670" i="1"/>
  <c r="C1669" i="1"/>
  <c r="B1669" i="1"/>
  <c r="C1668" i="1"/>
  <c r="B1668" i="1"/>
  <c r="C1667" i="1"/>
  <c r="B1667" i="1"/>
  <c r="C1666" i="1"/>
  <c r="B1666" i="1"/>
  <c r="C1665" i="1"/>
  <c r="B1665" i="1"/>
  <c r="C1664" i="1"/>
  <c r="B1664" i="1"/>
  <c r="C1663" i="1"/>
  <c r="B1663" i="1"/>
  <c r="C1662" i="1"/>
  <c r="B1662" i="1"/>
  <c r="C1661" i="1"/>
  <c r="B1661" i="1"/>
  <c r="C1660" i="1"/>
  <c r="B1660" i="1"/>
  <c r="C1659" i="1"/>
  <c r="B1659" i="1"/>
  <c r="C1658" i="1"/>
  <c r="B1658" i="1"/>
  <c r="C1657" i="1"/>
  <c r="B1657" i="1"/>
  <c r="C1656" i="1"/>
  <c r="B1656" i="1"/>
  <c r="C1655" i="1"/>
  <c r="B1655" i="1"/>
  <c r="C1654" i="1"/>
  <c r="B1654" i="1"/>
  <c r="C1653" i="1"/>
  <c r="B1653" i="1"/>
  <c r="C1652" i="1"/>
  <c r="B1652" i="1"/>
  <c r="C1651" i="1"/>
  <c r="B1651" i="1"/>
  <c r="C1650" i="1"/>
  <c r="B1650" i="1"/>
  <c r="C1649" i="1"/>
  <c r="B1649" i="1"/>
  <c r="C1648" i="1"/>
  <c r="B1648" i="1"/>
  <c r="C1647" i="1"/>
  <c r="B1647" i="1"/>
  <c r="C1646" i="1"/>
  <c r="B1646" i="1"/>
  <c r="C1645" i="1"/>
  <c r="B1645" i="1"/>
  <c r="C1644" i="1"/>
  <c r="B1644" i="1"/>
  <c r="C1643" i="1"/>
  <c r="B1643" i="1"/>
  <c r="C1642" i="1"/>
  <c r="B1642" i="1"/>
  <c r="C1641" i="1"/>
  <c r="B1641" i="1"/>
  <c r="C1640" i="1"/>
  <c r="B1640" i="1"/>
  <c r="C1639" i="1"/>
  <c r="B1639" i="1"/>
  <c r="C1638" i="1"/>
  <c r="B1638" i="1"/>
  <c r="C1637" i="1"/>
  <c r="B1637" i="1"/>
  <c r="C1636" i="1"/>
  <c r="B1636" i="1"/>
  <c r="C1635" i="1"/>
  <c r="B1635" i="1"/>
  <c r="C1634" i="1"/>
  <c r="B1634" i="1"/>
  <c r="C1633" i="1"/>
  <c r="B1633" i="1"/>
  <c r="C1632" i="1"/>
  <c r="B1632" i="1"/>
  <c r="C1631" i="1"/>
  <c r="B1631" i="1"/>
  <c r="C1630" i="1"/>
  <c r="B1630" i="1"/>
  <c r="C1629" i="1"/>
  <c r="B1629" i="1"/>
  <c r="C1628" i="1"/>
  <c r="B1628" i="1"/>
  <c r="C1627" i="1"/>
  <c r="B1627" i="1"/>
  <c r="C1626" i="1"/>
  <c r="B1626" i="1"/>
  <c r="C1625" i="1"/>
  <c r="B1625" i="1"/>
  <c r="C1624" i="1"/>
  <c r="B1624" i="1"/>
  <c r="C1623" i="1"/>
  <c r="B1623" i="1"/>
  <c r="C1622" i="1"/>
  <c r="B1622" i="1"/>
  <c r="C1621" i="1"/>
  <c r="B1621" i="1"/>
  <c r="C1620" i="1"/>
  <c r="B1620" i="1"/>
  <c r="C1619" i="1"/>
  <c r="B1619" i="1"/>
  <c r="C1618" i="1"/>
  <c r="B1618" i="1"/>
  <c r="C1617" i="1"/>
  <c r="B1617" i="1"/>
  <c r="C1616" i="1"/>
  <c r="B1616" i="1"/>
  <c r="C1615" i="1"/>
  <c r="B1615" i="1"/>
  <c r="C1614" i="1"/>
  <c r="B1614" i="1"/>
  <c r="C1613" i="1"/>
  <c r="B1613" i="1"/>
  <c r="C1612" i="1"/>
  <c r="B1612" i="1"/>
  <c r="C1611" i="1"/>
  <c r="B1611" i="1"/>
  <c r="C1610" i="1"/>
  <c r="B1610" i="1"/>
  <c r="C1609" i="1"/>
  <c r="B1609" i="1"/>
  <c r="C1608" i="1"/>
  <c r="B1608" i="1"/>
  <c r="C1607" i="1"/>
  <c r="B1607" i="1"/>
  <c r="C1606" i="1"/>
  <c r="B1606" i="1"/>
  <c r="C1605" i="1"/>
  <c r="B1605" i="1"/>
  <c r="C1604" i="1"/>
  <c r="B1604" i="1"/>
  <c r="C1603" i="1"/>
  <c r="B1603" i="1"/>
  <c r="C1602" i="1"/>
  <c r="B1602" i="1"/>
  <c r="C1601" i="1"/>
  <c r="B1601" i="1"/>
  <c r="C1600" i="1"/>
  <c r="B1600" i="1"/>
  <c r="C1599" i="1"/>
  <c r="B1599" i="1"/>
  <c r="C1598" i="1"/>
  <c r="B1598" i="1"/>
  <c r="C1597" i="1"/>
  <c r="B1597" i="1"/>
  <c r="C1596" i="1"/>
  <c r="B1596" i="1"/>
  <c r="C1595" i="1"/>
  <c r="B1595" i="1"/>
  <c r="C1594" i="1"/>
  <c r="B1594" i="1"/>
  <c r="C1593" i="1"/>
  <c r="B1593" i="1"/>
  <c r="C1592" i="1"/>
  <c r="B1592" i="1"/>
  <c r="C1591" i="1"/>
  <c r="B1591" i="1"/>
  <c r="C1590" i="1"/>
  <c r="B1590" i="1"/>
  <c r="C1589" i="1"/>
  <c r="B1589" i="1"/>
  <c r="C1588" i="1"/>
  <c r="B1588" i="1"/>
  <c r="C1587" i="1"/>
  <c r="B1587" i="1"/>
  <c r="C1586" i="1"/>
  <c r="B1586" i="1"/>
  <c r="C1585" i="1"/>
  <c r="B1585" i="1"/>
  <c r="C1584" i="1"/>
  <c r="B1584" i="1"/>
  <c r="C1583" i="1"/>
  <c r="B1583" i="1"/>
  <c r="C1582" i="1"/>
  <c r="B1582" i="1"/>
  <c r="C1581" i="1"/>
  <c r="B1581" i="1"/>
  <c r="C1580" i="1"/>
  <c r="B1580" i="1"/>
  <c r="C1579" i="1"/>
  <c r="B1579" i="1"/>
  <c r="C1578" i="1"/>
  <c r="B1578" i="1"/>
  <c r="C1577" i="1"/>
  <c r="B1577" i="1"/>
  <c r="C1576" i="1"/>
  <c r="B1576" i="1"/>
  <c r="C1575" i="1"/>
  <c r="B1575" i="1"/>
  <c r="C1574" i="1"/>
  <c r="B1574" i="1"/>
  <c r="C1573" i="1"/>
  <c r="B1573" i="1"/>
  <c r="C1572" i="1"/>
  <c r="B1572" i="1"/>
  <c r="C1571" i="1"/>
  <c r="B1571" i="1"/>
  <c r="C1570" i="1"/>
  <c r="B1570" i="1"/>
  <c r="C1569" i="1"/>
  <c r="B1569" i="1"/>
  <c r="C1568" i="1"/>
  <c r="B1568" i="1"/>
  <c r="C1567" i="1"/>
  <c r="B1567" i="1"/>
  <c r="C1566" i="1"/>
  <c r="B1566" i="1"/>
  <c r="C1565" i="1"/>
  <c r="B1565" i="1"/>
  <c r="C1564" i="1"/>
  <c r="B1564" i="1"/>
  <c r="C1563" i="1"/>
  <c r="B1563" i="1"/>
  <c r="C1562" i="1"/>
  <c r="B1562" i="1"/>
  <c r="C1561" i="1"/>
  <c r="B1561" i="1"/>
  <c r="C1560" i="1"/>
  <c r="B1560" i="1"/>
  <c r="C1559" i="1"/>
  <c r="B1559" i="1"/>
  <c r="C1558" i="1"/>
  <c r="B1558" i="1"/>
  <c r="C1557" i="1"/>
  <c r="B1557" i="1"/>
  <c r="C1556" i="1"/>
  <c r="B1556" i="1"/>
  <c r="C1555" i="1"/>
  <c r="B1555" i="1"/>
  <c r="C1554" i="1"/>
  <c r="B1554" i="1"/>
  <c r="C1553" i="1"/>
  <c r="B1553" i="1"/>
  <c r="C1552" i="1"/>
  <c r="B1552" i="1"/>
  <c r="C1551" i="1"/>
  <c r="B1551" i="1"/>
  <c r="C1550" i="1"/>
  <c r="B1550" i="1"/>
  <c r="C1549" i="1"/>
  <c r="B1549" i="1"/>
  <c r="C1548" i="1"/>
  <c r="B1548" i="1"/>
  <c r="C1547" i="1"/>
  <c r="B1547" i="1"/>
  <c r="C1546" i="1"/>
  <c r="B1546" i="1"/>
  <c r="C1545" i="1"/>
  <c r="B1545" i="1"/>
  <c r="C1544" i="1"/>
  <c r="B1544" i="1"/>
  <c r="C1543" i="1"/>
  <c r="B1543" i="1"/>
  <c r="C1542" i="1"/>
  <c r="B1542" i="1"/>
  <c r="C1541" i="1"/>
  <c r="B1541" i="1"/>
  <c r="C1540" i="1"/>
  <c r="B1540" i="1"/>
  <c r="C1539" i="1"/>
  <c r="B1539" i="1"/>
  <c r="C1538" i="1"/>
  <c r="B1538" i="1"/>
  <c r="C1537" i="1"/>
  <c r="B1537" i="1"/>
  <c r="C1536" i="1"/>
  <c r="B1536" i="1"/>
  <c r="C1535" i="1"/>
  <c r="B1535" i="1"/>
  <c r="C1534" i="1"/>
  <c r="B1534" i="1"/>
  <c r="C1533" i="1"/>
  <c r="B1533" i="1"/>
  <c r="C1532" i="1"/>
  <c r="B1532" i="1"/>
  <c r="C1531" i="1"/>
  <c r="B1531" i="1"/>
  <c r="C1530" i="1"/>
  <c r="B1530" i="1"/>
  <c r="C1529" i="1"/>
  <c r="B1529" i="1"/>
  <c r="C1528" i="1"/>
  <c r="B1528" i="1"/>
  <c r="C1527" i="1"/>
  <c r="B1527" i="1"/>
  <c r="C1526" i="1"/>
  <c r="B1526" i="1"/>
  <c r="C1525" i="1"/>
  <c r="B1525" i="1"/>
  <c r="C1524" i="1"/>
  <c r="B1524" i="1"/>
  <c r="C1523" i="1"/>
  <c r="B1523" i="1"/>
  <c r="C1522" i="1"/>
  <c r="B1522" i="1"/>
  <c r="C1521" i="1"/>
  <c r="B1521" i="1"/>
  <c r="C1520" i="1"/>
  <c r="B1520" i="1"/>
  <c r="C1519" i="1"/>
  <c r="B1519" i="1"/>
  <c r="C1518" i="1"/>
  <c r="B1518" i="1"/>
  <c r="C1517" i="1"/>
  <c r="B1517" i="1"/>
  <c r="C1516" i="1"/>
  <c r="B1516" i="1"/>
  <c r="C1515" i="1"/>
  <c r="B1515" i="1"/>
  <c r="C1514" i="1"/>
  <c r="B1514" i="1"/>
  <c r="C1513" i="1"/>
  <c r="B1513" i="1"/>
  <c r="C1512" i="1"/>
  <c r="B1512" i="1"/>
  <c r="C1511" i="1"/>
  <c r="B1511" i="1"/>
  <c r="C1510" i="1"/>
  <c r="B1510" i="1"/>
  <c r="C1509" i="1"/>
  <c r="B1509" i="1"/>
  <c r="C1508" i="1"/>
  <c r="B1508" i="1"/>
  <c r="C1507" i="1"/>
  <c r="B1507" i="1"/>
  <c r="C1506" i="1"/>
  <c r="B1506" i="1"/>
  <c r="C1505" i="1"/>
  <c r="B1505" i="1"/>
  <c r="C1504" i="1"/>
  <c r="B1504" i="1"/>
  <c r="C1503" i="1"/>
  <c r="B1503" i="1"/>
  <c r="C1502" i="1"/>
  <c r="B1502" i="1"/>
  <c r="C1501" i="1"/>
  <c r="B1501" i="1"/>
  <c r="C1500" i="1"/>
  <c r="B1500" i="1"/>
  <c r="C1499" i="1"/>
  <c r="B1499" i="1"/>
  <c r="C1498" i="1"/>
  <c r="B1498" i="1"/>
  <c r="C1497" i="1"/>
  <c r="B1497" i="1"/>
  <c r="C1496" i="1"/>
  <c r="B1496" i="1"/>
  <c r="C1495" i="1"/>
  <c r="B1495" i="1"/>
  <c r="C1494" i="1"/>
  <c r="B1494" i="1"/>
  <c r="C1493" i="1"/>
  <c r="B1493" i="1"/>
  <c r="C1492" i="1"/>
  <c r="B1492" i="1"/>
  <c r="C1491" i="1"/>
  <c r="B1491" i="1"/>
  <c r="C1490" i="1"/>
  <c r="B1490" i="1"/>
  <c r="C1489" i="1"/>
  <c r="B1489" i="1"/>
  <c r="C1488" i="1"/>
  <c r="B1488" i="1"/>
  <c r="C1487" i="1"/>
  <c r="B1487" i="1"/>
  <c r="C1486" i="1"/>
  <c r="B1486" i="1"/>
  <c r="C1485" i="1"/>
  <c r="B1485" i="1"/>
  <c r="C1484" i="1"/>
  <c r="B1484" i="1"/>
  <c r="C1483" i="1"/>
  <c r="B1483" i="1"/>
  <c r="C1482" i="1"/>
  <c r="B1482" i="1"/>
  <c r="C1481" i="1"/>
  <c r="B1481" i="1"/>
  <c r="C1480" i="1"/>
  <c r="B1480" i="1"/>
  <c r="C1479" i="1"/>
  <c r="B1479" i="1"/>
  <c r="C1478" i="1"/>
  <c r="B1478" i="1"/>
  <c r="C1477" i="1"/>
  <c r="B1477" i="1"/>
  <c r="C1476" i="1"/>
  <c r="B1476" i="1"/>
  <c r="C1475" i="1"/>
  <c r="B1475" i="1"/>
  <c r="C1474" i="1"/>
  <c r="B1474" i="1"/>
  <c r="C1473" i="1"/>
  <c r="B1473" i="1"/>
  <c r="C1472" i="1"/>
  <c r="B1472" i="1"/>
  <c r="C1471" i="1"/>
  <c r="B1471" i="1"/>
  <c r="C1470" i="1"/>
  <c r="B1470" i="1"/>
  <c r="C1469" i="1"/>
  <c r="B1469" i="1"/>
  <c r="C1468" i="1"/>
  <c r="B1468" i="1"/>
  <c r="C1467" i="1"/>
  <c r="B1467" i="1"/>
  <c r="C1466" i="1"/>
  <c r="B1466" i="1"/>
  <c r="C1465" i="1"/>
  <c r="B1465" i="1"/>
  <c r="C1464" i="1"/>
  <c r="B1464" i="1"/>
  <c r="C1463" i="1"/>
  <c r="B1463" i="1"/>
  <c r="C1462" i="1"/>
  <c r="B1462" i="1"/>
  <c r="C1461" i="1"/>
  <c r="B1461" i="1"/>
  <c r="C1460" i="1"/>
  <c r="B1460" i="1"/>
  <c r="C1459" i="1"/>
  <c r="B1459" i="1"/>
  <c r="C1458" i="1"/>
  <c r="B1458" i="1"/>
  <c r="C1457" i="1"/>
  <c r="B1457" i="1"/>
  <c r="C1456" i="1"/>
  <c r="B1456" i="1"/>
  <c r="C1455" i="1"/>
  <c r="B1455" i="1"/>
  <c r="C1454" i="1"/>
  <c r="B1454" i="1"/>
  <c r="C1453" i="1"/>
  <c r="B1453" i="1"/>
  <c r="C1452" i="1"/>
  <c r="B1452" i="1"/>
  <c r="C1451" i="1"/>
  <c r="B1451" i="1"/>
  <c r="C1450" i="1"/>
  <c r="B1450" i="1"/>
  <c r="C1449" i="1"/>
  <c r="B1449" i="1"/>
  <c r="C1448" i="1"/>
  <c r="B1448" i="1"/>
  <c r="C1447" i="1"/>
  <c r="B1447" i="1"/>
  <c r="C1446" i="1"/>
  <c r="B1446" i="1"/>
  <c r="C1445" i="1"/>
  <c r="B1445" i="1"/>
  <c r="C1444" i="1"/>
  <c r="B1444" i="1"/>
  <c r="C1443" i="1"/>
  <c r="B1443" i="1"/>
  <c r="C1442" i="1"/>
  <c r="B1442" i="1"/>
  <c r="C1441" i="1"/>
  <c r="B1441" i="1"/>
  <c r="C1440" i="1"/>
  <c r="B1440" i="1"/>
  <c r="C1439" i="1"/>
  <c r="B1439" i="1"/>
  <c r="C1438" i="1"/>
  <c r="B1438" i="1"/>
  <c r="C1437" i="1"/>
  <c r="B1437" i="1"/>
  <c r="C1436" i="1"/>
  <c r="B1436" i="1"/>
  <c r="C1435" i="1"/>
  <c r="B1435" i="1"/>
  <c r="C1434" i="1"/>
  <c r="B1434" i="1"/>
  <c r="C1433" i="1"/>
  <c r="B1433" i="1"/>
  <c r="C1432" i="1"/>
  <c r="B1432" i="1"/>
  <c r="C1431" i="1"/>
  <c r="B1431" i="1"/>
  <c r="C1430" i="1"/>
  <c r="B1430" i="1"/>
  <c r="C1429" i="1"/>
  <c r="B1429" i="1"/>
  <c r="C1428" i="1"/>
  <c r="B1428" i="1"/>
  <c r="C1427" i="1"/>
  <c r="B1427" i="1"/>
  <c r="C1426" i="1"/>
  <c r="B1426" i="1"/>
  <c r="C1425" i="1"/>
  <c r="B1425" i="1"/>
  <c r="C1424" i="1"/>
  <c r="B1424" i="1"/>
  <c r="C1423" i="1"/>
  <c r="B1423" i="1"/>
  <c r="C1422" i="1"/>
  <c r="B1422" i="1"/>
  <c r="C1421" i="1"/>
  <c r="B1421" i="1"/>
  <c r="C1420" i="1"/>
  <c r="B1420" i="1"/>
  <c r="C1419" i="1"/>
  <c r="B1419" i="1"/>
  <c r="C1418" i="1"/>
  <c r="B1418" i="1"/>
  <c r="C1417" i="1"/>
  <c r="B1417" i="1"/>
  <c r="C1416" i="1"/>
  <c r="B1416" i="1"/>
  <c r="C1415" i="1"/>
  <c r="B1415" i="1"/>
  <c r="C1414" i="1"/>
  <c r="B1414" i="1"/>
  <c r="C1413" i="1"/>
  <c r="B1413" i="1"/>
  <c r="C1412" i="1"/>
  <c r="B1412" i="1"/>
  <c r="C1411" i="1"/>
  <c r="B1411" i="1"/>
  <c r="C1410" i="1"/>
  <c r="B1410" i="1"/>
  <c r="C1409" i="1"/>
  <c r="B1409" i="1"/>
  <c r="C1408" i="1"/>
  <c r="B1408" i="1"/>
  <c r="C1407" i="1"/>
  <c r="B1407" i="1"/>
  <c r="C1406" i="1"/>
  <c r="B1406" i="1"/>
  <c r="C1405" i="1"/>
  <c r="B1405" i="1"/>
  <c r="C1404" i="1"/>
  <c r="B1404" i="1"/>
  <c r="C1403" i="1"/>
  <c r="B1403" i="1"/>
  <c r="C1402" i="1"/>
  <c r="B1402" i="1"/>
  <c r="C1401" i="1"/>
  <c r="B1401" i="1"/>
  <c r="C1400" i="1"/>
  <c r="B1400" i="1"/>
  <c r="C1399" i="1"/>
  <c r="B1399" i="1"/>
  <c r="C1398" i="1"/>
  <c r="B1398" i="1"/>
  <c r="C1397" i="1"/>
  <c r="B1397" i="1"/>
  <c r="C1396" i="1"/>
  <c r="B1396" i="1"/>
  <c r="C1395" i="1"/>
  <c r="B1395" i="1"/>
  <c r="C1394" i="1"/>
  <c r="B1394" i="1"/>
  <c r="C1393" i="1"/>
  <c r="B1393" i="1"/>
  <c r="C1392" i="1"/>
  <c r="B1392" i="1"/>
  <c r="C1391" i="1"/>
  <c r="B1391" i="1"/>
  <c r="C1390" i="1"/>
  <c r="B1390" i="1"/>
  <c r="C1389" i="1"/>
  <c r="B1389" i="1"/>
  <c r="C1388" i="1"/>
  <c r="B1388" i="1"/>
  <c r="C1387" i="1"/>
  <c r="B1387" i="1"/>
  <c r="C1386" i="1"/>
  <c r="B1386" i="1"/>
  <c r="C1385" i="1"/>
  <c r="B1385" i="1"/>
  <c r="C1384" i="1"/>
  <c r="B1384" i="1"/>
  <c r="C1383" i="1"/>
  <c r="B1383" i="1"/>
  <c r="C1382" i="1"/>
  <c r="B1382" i="1"/>
  <c r="C1381" i="1"/>
  <c r="B1381" i="1"/>
  <c r="C1380" i="1"/>
  <c r="B1380" i="1"/>
  <c r="C1379" i="1"/>
  <c r="B1379" i="1"/>
  <c r="C1378" i="1"/>
  <c r="B1378" i="1"/>
  <c r="C1377" i="1"/>
  <c r="B1377" i="1"/>
  <c r="C1376" i="1"/>
  <c r="B1376" i="1"/>
  <c r="C1375" i="1"/>
  <c r="B1375" i="1"/>
  <c r="C1374" i="1"/>
  <c r="B1374" i="1"/>
  <c r="C1373" i="1"/>
  <c r="B1373" i="1"/>
  <c r="C1372" i="1"/>
  <c r="B1372" i="1"/>
  <c r="C1371" i="1"/>
  <c r="B1371" i="1"/>
  <c r="C1370" i="1"/>
  <c r="B1370" i="1"/>
  <c r="C1369" i="1"/>
  <c r="B1369" i="1"/>
  <c r="C1368" i="1"/>
  <c r="B1368" i="1"/>
  <c r="C1367" i="1"/>
  <c r="B1367" i="1"/>
  <c r="C1366" i="1"/>
  <c r="B1366" i="1"/>
  <c r="C1365" i="1"/>
  <c r="B1365" i="1"/>
  <c r="C1364" i="1"/>
  <c r="B1364" i="1"/>
  <c r="C1363" i="1"/>
  <c r="B1363" i="1"/>
  <c r="C1362" i="1"/>
  <c r="B1362" i="1"/>
  <c r="C1361" i="1"/>
  <c r="B1361" i="1"/>
  <c r="C1360" i="1"/>
  <c r="B1360" i="1"/>
  <c r="C1359" i="1"/>
  <c r="B1359" i="1"/>
  <c r="C1358" i="1"/>
  <c r="B1358" i="1"/>
  <c r="C1357" i="1"/>
  <c r="B1357" i="1"/>
  <c r="C1356" i="1"/>
  <c r="B1356" i="1"/>
  <c r="C1355" i="1"/>
  <c r="B1355" i="1"/>
  <c r="C1354" i="1"/>
  <c r="B1354" i="1"/>
  <c r="C1353" i="1"/>
  <c r="B1353" i="1"/>
  <c r="C1352" i="1"/>
  <c r="B1352" i="1"/>
  <c r="C1351" i="1"/>
  <c r="B1351" i="1"/>
  <c r="C1350" i="1"/>
  <c r="B1350" i="1"/>
  <c r="C1349" i="1"/>
  <c r="B1349" i="1"/>
  <c r="C1348" i="1"/>
  <c r="B1348" i="1"/>
  <c r="C1347" i="1"/>
  <c r="B1347" i="1"/>
  <c r="C1346" i="1"/>
  <c r="B1346" i="1"/>
  <c r="C1345" i="1"/>
  <c r="B1345" i="1"/>
  <c r="C1344" i="1"/>
  <c r="B1344" i="1"/>
  <c r="C1343" i="1"/>
  <c r="B1343" i="1"/>
  <c r="C1342" i="1"/>
  <c r="B1342" i="1"/>
  <c r="C1341" i="1"/>
  <c r="B1341" i="1"/>
  <c r="C1340" i="1"/>
  <c r="B1340" i="1"/>
  <c r="C1339" i="1"/>
  <c r="B1339" i="1"/>
  <c r="C1338" i="1"/>
  <c r="B1338" i="1"/>
  <c r="C1337" i="1"/>
  <c r="B1337" i="1"/>
  <c r="C1336" i="1"/>
  <c r="B1336" i="1"/>
  <c r="C1335" i="1"/>
  <c r="B1335" i="1"/>
  <c r="C1334" i="1"/>
  <c r="B1334" i="1"/>
  <c r="C1333" i="1"/>
  <c r="B1333" i="1"/>
  <c r="C1332" i="1"/>
  <c r="B1332" i="1"/>
  <c r="C1331" i="1"/>
  <c r="B1331" i="1"/>
  <c r="C1330" i="1"/>
  <c r="B1330" i="1"/>
  <c r="C1329" i="1"/>
  <c r="B1329" i="1"/>
  <c r="C1328" i="1"/>
  <c r="B1328" i="1"/>
  <c r="C1327" i="1"/>
  <c r="B1327" i="1"/>
  <c r="C1326" i="1"/>
  <c r="B1326" i="1"/>
  <c r="C1325" i="1"/>
  <c r="B1325" i="1"/>
  <c r="C1324" i="1"/>
  <c r="B1324" i="1"/>
  <c r="C1323" i="1"/>
  <c r="B1323" i="1"/>
  <c r="C1322" i="1"/>
  <c r="B1322" i="1"/>
  <c r="C1321" i="1"/>
  <c r="B1321" i="1"/>
  <c r="C1320" i="1"/>
  <c r="B1320" i="1"/>
  <c r="C1319" i="1"/>
  <c r="B1319" i="1"/>
  <c r="C1318" i="1"/>
  <c r="B1318" i="1"/>
  <c r="C1317" i="1"/>
  <c r="B1317" i="1"/>
  <c r="C1316" i="1"/>
  <c r="B1316" i="1"/>
  <c r="C1315" i="1"/>
  <c r="B1315" i="1"/>
  <c r="C1314" i="1"/>
  <c r="B1314" i="1"/>
  <c r="C1313" i="1"/>
  <c r="B1313" i="1"/>
  <c r="C1312" i="1"/>
  <c r="B1312" i="1"/>
  <c r="C1311" i="1"/>
  <c r="B1311" i="1"/>
  <c r="C1310" i="1"/>
  <c r="B1310" i="1"/>
  <c r="C1309" i="1"/>
  <c r="B1309" i="1"/>
  <c r="C1308" i="1"/>
  <c r="B1308" i="1"/>
  <c r="C1307" i="1"/>
  <c r="B1307" i="1"/>
  <c r="C1306" i="1"/>
  <c r="B1306" i="1"/>
  <c r="C1305" i="1"/>
  <c r="B1305" i="1"/>
  <c r="C1304" i="1"/>
  <c r="B1304" i="1"/>
  <c r="C1303" i="1"/>
  <c r="B1303" i="1"/>
  <c r="C1302" i="1"/>
  <c r="B1302" i="1"/>
  <c r="C1301" i="1"/>
  <c r="B1301" i="1"/>
  <c r="C1300" i="1"/>
  <c r="B1300" i="1"/>
  <c r="C1299" i="1"/>
  <c r="B1299" i="1"/>
  <c r="C1298" i="1"/>
  <c r="B1298" i="1"/>
  <c r="C1297" i="1"/>
  <c r="B1297" i="1"/>
  <c r="C1296" i="1"/>
  <c r="B1296" i="1"/>
  <c r="C1295" i="1"/>
  <c r="B1295" i="1"/>
  <c r="C1294" i="1"/>
  <c r="B1294" i="1"/>
  <c r="C1293" i="1"/>
  <c r="B1293" i="1"/>
  <c r="C1292" i="1"/>
  <c r="B1292" i="1"/>
  <c r="C1291" i="1"/>
  <c r="B1291" i="1"/>
  <c r="C1290" i="1"/>
  <c r="B1290" i="1"/>
  <c r="C1289" i="1"/>
  <c r="B1289" i="1"/>
  <c r="C1288" i="1"/>
  <c r="B1288" i="1"/>
  <c r="C1287" i="1"/>
  <c r="B1287" i="1"/>
  <c r="C1286" i="1"/>
  <c r="B1286" i="1"/>
  <c r="C1285" i="1"/>
  <c r="B1285" i="1"/>
  <c r="C1284" i="1"/>
  <c r="B1284" i="1"/>
  <c r="C1283" i="1"/>
  <c r="B1283" i="1"/>
  <c r="C1282" i="1"/>
  <c r="B1282" i="1"/>
  <c r="C1281" i="1"/>
  <c r="B1281" i="1"/>
  <c r="C1280" i="1"/>
  <c r="B1280" i="1"/>
  <c r="C1279" i="1"/>
  <c r="B1279" i="1"/>
  <c r="C1278" i="1"/>
  <c r="B1278" i="1"/>
  <c r="C1277" i="1"/>
  <c r="B1277" i="1"/>
  <c r="C1276" i="1"/>
  <c r="B1276" i="1"/>
  <c r="C1275" i="1"/>
  <c r="B1275" i="1"/>
  <c r="C1274" i="1"/>
  <c r="B1274" i="1"/>
  <c r="C1273" i="1"/>
  <c r="B1273" i="1"/>
  <c r="C1272" i="1"/>
  <c r="B1272" i="1"/>
  <c r="C1271" i="1"/>
  <c r="B1271" i="1"/>
  <c r="C1270" i="1"/>
  <c r="B1270" i="1"/>
  <c r="C1269" i="1"/>
  <c r="B1269" i="1"/>
  <c r="C1268" i="1"/>
  <c r="B1268" i="1"/>
  <c r="C1267" i="1"/>
  <c r="B1267" i="1"/>
  <c r="C1266" i="1"/>
  <c r="B1266" i="1"/>
  <c r="C1265" i="1"/>
  <c r="B1265" i="1"/>
  <c r="C1264" i="1"/>
  <c r="B1264" i="1"/>
  <c r="C1263" i="1"/>
  <c r="B1263" i="1"/>
  <c r="C1262" i="1"/>
  <c r="B1262" i="1"/>
  <c r="C1261" i="1"/>
  <c r="B1261" i="1"/>
  <c r="C1260" i="1"/>
  <c r="B1260" i="1"/>
  <c r="C1259" i="1"/>
  <c r="B1259" i="1"/>
  <c r="C1258" i="1"/>
  <c r="B1258" i="1"/>
  <c r="C1257" i="1"/>
  <c r="B1257" i="1"/>
  <c r="C1256" i="1"/>
  <c r="B1256" i="1"/>
  <c r="C1255" i="1"/>
  <c r="B1255" i="1"/>
  <c r="C1254" i="1"/>
  <c r="B1254" i="1"/>
  <c r="C1253" i="1"/>
  <c r="B1253" i="1"/>
  <c r="C1252" i="1"/>
  <c r="B1252" i="1"/>
  <c r="C1251" i="1"/>
  <c r="B1251" i="1"/>
  <c r="C1250" i="1"/>
  <c r="B1250" i="1"/>
  <c r="C1249" i="1"/>
  <c r="B1249" i="1"/>
  <c r="C1248" i="1"/>
  <c r="B1248" i="1"/>
  <c r="C1247" i="1"/>
  <c r="B1247" i="1"/>
  <c r="C1246" i="1"/>
  <c r="B1246" i="1"/>
  <c r="C1245" i="1"/>
  <c r="B1245" i="1"/>
  <c r="C1244" i="1"/>
  <c r="B1244" i="1"/>
  <c r="C1243" i="1"/>
  <c r="B1243" i="1"/>
  <c r="C1242" i="1"/>
  <c r="B1242" i="1"/>
  <c r="C1241" i="1"/>
  <c r="B1241" i="1"/>
  <c r="C1240" i="1"/>
  <c r="B1240" i="1"/>
  <c r="C1239" i="1"/>
  <c r="B1239" i="1"/>
  <c r="C1238" i="1"/>
  <c r="B1238" i="1"/>
  <c r="C1237" i="1"/>
  <c r="B1237" i="1"/>
  <c r="C1236" i="1"/>
  <c r="B1236" i="1"/>
  <c r="C1235" i="1"/>
  <c r="B1235" i="1"/>
  <c r="C1234" i="1"/>
  <c r="B1234" i="1"/>
  <c r="C1233" i="1"/>
  <c r="B1233" i="1"/>
  <c r="C1232" i="1"/>
  <c r="B1232" i="1"/>
  <c r="C1231" i="1"/>
  <c r="B1231" i="1"/>
  <c r="C1230" i="1"/>
  <c r="B1230" i="1"/>
  <c r="C1229" i="1"/>
  <c r="B1229" i="1"/>
  <c r="C1228" i="1"/>
  <c r="B1228" i="1"/>
  <c r="C1227" i="1"/>
  <c r="B1227" i="1"/>
  <c r="C1226" i="1"/>
  <c r="B1226" i="1"/>
  <c r="C1225" i="1"/>
  <c r="B1225" i="1"/>
  <c r="C1224" i="1"/>
  <c r="B1224" i="1"/>
  <c r="C1223" i="1"/>
  <c r="B1223" i="1"/>
  <c r="C1222" i="1"/>
  <c r="B1222" i="1"/>
  <c r="C1221" i="1"/>
  <c r="B1221" i="1"/>
  <c r="C1220" i="1"/>
  <c r="B1220" i="1"/>
  <c r="C1219" i="1"/>
  <c r="B1219" i="1"/>
  <c r="C1218" i="1"/>
  <c r="B1218" i="1"/>
  <c r="C1217" i="1"/>
  <c r="B1217" i="1"/>
  <c r="C1216" i="1"/>
  <c r="B1216" i="1"/>
  <c r="C1215" i="1"/>
  <c r="B1215" i="1"/>
  <c r="C1214" i="1"/>
  <c r="B1214" i="1"/>
  <c r="C1213" i="1"/>
  <c r="B1213" i="1"/>
  <c r="C1212" i="1"/>
  <c r="B1212" i="1"/>
  <c r="C1211" i="1"/>
  <c r="B1211" i="1"/>
  <c r="C1210" i="1"/>
  <c r="B1210" i="1"/>
  <c r="C1209" i="1"/>
  <c r="B1209" i="1"/>
  <c r="C1208" i="1"/>
  <c r="B1208" i="1"/>
  <c r="C1207" i="1"/>
  <c r="B1207" i="1"/>
  <c r="C1206" i="1"/>
  <c r="B1206" i="1"/>
  <c r="C1205" i="1"/>
  <c r="B1205" i="1"/>
  <c r="C1204" i="1"/>
  <c r="B1204" i="1"/>
  <c r="C1203" i="1"/>
  <c r="B1203" i="1"/>
  <c r="C1202" i="1"/>
  <c r="B1202" i="1"/>
  <c r="C1201" i="1"/>
  <c r="B1201" i="1"/>
  <c r="C1200" i="1"/>
  <c r="B1200" i="1"/>
  <c r="C1199" i="1"/>
  <c r="B1199" i="1"/>
  <c r="C1198" i="1"/>
  <c r="B1198" i="1"/>
  <c r="C1197" i="1"/>
  <c r="B1197" i="1"/>
  <c r="C1196" i="1"/>
  <c r="B1196" i="1"/>
  <c r="C1195" i="1"/>
  <c r="B1195" i="1"/>
  <c r="C1194" i="1"/>
  <c r="B1194" i="1"/>
  <c r="C1193" i="1"/>
  <c r="B1193" i="1"/>
  <c r="C1192" i="1"/>
  <c r="B1192" i="1"/>
  <c r="C1191" i="1"/>
  <c r="B1191" i="1"/>
  <c r="C1190" i="1"/>
  <c r="B1190" i="1"/>
  <c r="C1189" i="1"/>
  <c r="B1189" i="1"/>
  <c r="C1188" i="1"/>
  <c r="B1188" i="1"/>
  <c r="C1187" i="1"/>
  <c r="B1187" i="1"/>
  <c r="C1186" i="1"/>
  <c r="B1186" i="1"/>
  <c r="C1185" i="1"/>
  <c r="B1185" i="1"/>
  <c r="C1184" i="1"/>
  <c r="B1184" i="1"/>
  <c r="C1183" i="1"/>
  <c r="B1183" i="1"/>
  <c r="C1182" i="1"/>
  <c r="B1182" i="1"/>
  <c r="C1181" i="1"/>
  <c r="B1181" i="1"/>
  <c r="C1180" i="1"/>
  <c r="B1180" i="1"/>
  <c r="C1179" i="1"/>
  <c r="B1179" i="1"/>
  <c r="C1178" i="1"/>
  <c r="B1178" i="1"/>
  <c r="C1177" i="1"/>
  <c r="B1177" i="1"/>
  <c r="C1176" i="1"/>
  <c r="B1176" i="1"/>
  <c r="C1175" i="1"/>
  <c r="B1175" i="1"/>
  <c r="C1174" i="1"/>
  <c r="B1174" i="1"/>
  <c r="C1173" i="1"/>
  <c r="B1173" i="1"/>
  <c r="C1172" i="1"/>
  <c r="B1172" i="1"/>
  <c r="C1171" i="1"/>
  <c r="B1171" i="1"/>
  <c r="C1170" i="1"/>
  <c r="B1170" i="1"/>
  <c r="C1169" i="1"/>
  <c r="B1169" i="1"/>
  <c r="C1168" i="1"/>
  <c r="B1168" i="1"/>
  <c r="C1167" i="1"/>
  <c r="B1167" i="1"/>
  <c r="C1166" i="1"/>
  <c r="B1166" i="1"/>
  <c r="C1165" i="1"/>
  <c r="B1165" i="1"/>
  <c r="C1164" i="1"/>
  <c r="B1164" i="1"/>
  <c r="C1163" i="1"/>
  <c r="B1163" i="1"/>
  <c r="C1162" i="1"/>
  <c r="B1162" i="1"/>
  <c r="C1161" i="1"/>
  <c r="B1161" i="1"/>
  <c r="C1160" i="1"/>
  <c r="B1160" i="1"/>
  <c r="C1159" i="1"/>
  <c r="B1159" i="1"/>
  <c r="C1158" i="1"/>
  <c r="B1158" i="1"/>
  <c r="C1157" i="1"/>
  <c r="B1157" i="1"/>
  <c r="C1156" i="1"/>
  <c r="B1156" i="1"/>
  <c r="C1155" i="1"/>
  <c r="B1155" i="1"/>
  <c r="C1154" i="1"/>
  <c r="B1154" i="1"/>
  <c r="C1153" i="1"/>
  <c r="B1153" i="1"/>
  <c r="C1152" i="1"/>
  <c r="B1152" i="1"/>
  <c r="C1151" i="1"/>
  <c r="B1151" i="1"/>
  <c r="C1150" i="1"/>
  <c r="B1150" i="1"/>
  <c r="C1149" i="1"/>
  <c r="B1149" i="1"/>
  <c r="C1148" i="1"/>
  <c r="B1148" i="1"/>
  <c r="C1147" i="1"/>
  <c r="B1147" i="1"/>
  <c r="C1146" i="1"/>
  <c r="B1146" i="1"/>
  <c r="C1145" i="1"/>
  <c r="B1145" i="1"/>
  <c r="C1144" i="1"/>
  <c r="B1144" i="1"/>
  <c r="C1143" i="1"/>
  <c r="B1143" i="1"/>
  <c r="C1142" i="1"/>
  <c r="B1142" i="1"/>
  <c r="C1141" i="1"/>
  <c r="B1141" i="1"/>
  <c r="C1140" i="1"/>
  <c r="B1140" i="1"/>
  <c r="C1139" i="1"/>
  <c r="B1139" i="1"/>
  <c r="C1138" i="1"/>
  <c r="B1138" i="1"/>
  <c r="C1137" i="1"/>
  <c r="B1137" i="1"/>
  <c r="C1136" i="1"/>
  <c r="B1136" i="1"/>
  <c r="C1135" i="1"/>
  <c r="B1135" i="1"/>
  <c r="C1134" i="1"/>
  <c r="B1134" i="1"/>
  <c r="C1133" i="1"/>
  <c r="B1133" i="1"/>
  <c r="C1132" i="1"/>
  <c r="B1132" i="1"/>
  <c r="C1131" i="1"/>
  <c r="B1131" i="1"/>
  <c r="C1130" i="1"/>
  <c r="B1130" i="1"/>
  <c r="C1129" i="1"/>
  <c r="B1129" i="1"/>
  <c r="C1128" i="1"/>
  <c r="B1128" i="1"/>
  <c r="C1127" i="1"/>
  <c r="B1127" i="1"/>
  <c r="C1126" i="1"/>
  <c r="B1126" i="1"/>
  <c r="C1125" i="1"/>
  <c r="B1125" i="1"/>
  <c r="C1124" i="1"/>
  <c r="B1124" i="1"/>
  <c r="C1123" i="1"/>
  <c r="B1123" i="1"/>
  <c r="C1122" i="1"/>
  <c r="B1122" i="1"/>
  <c r="C1121" i="1"/>
  <c r="B1121" i="1"/>
  <c r="C1120" i="1"/>
  <c r="B1120" i="1"/>
  <c r="C1119" i="1"/>
  <c r="B1119" i="1"/>
  <c r="C1118" i="1"/>
  <c r="B1118" i="1"/>
  <c r="C1117" i="1"/>
  <c r="B1117" i="1"/>
  <c r="C1116" i="1"/>
  <c r="B1116" i="1"/>
  <c r="C1115" i="1"/>
  <c r="B1115" i="1"/>
  <c r="C1114" i="1"/>
  <c r="B1114" i="1"/>
  <c r="C1113" i="1"/>
  <c r="B1113" i="1"/>
  <c r="C1112" i="1"/>
  <c r="B1112" i="1"/>
  <c r="C1111" i="1"/>
  <c r="B1111" i="1"/>
  <c r="C1110" i="1"/>
  <c r="B1110" i="1"/>
  <c r="C1109" i="1"/>
  <c r="B1109" i="1"/>
  <c r="C1108" i="1"/>
  <c r="B1108" i="1"/>
  <c r="C1107" i="1"/>
  <c r="B1107" i="1"/>
  <c r="C1106" i="1"/>
  <c r="B1106" i="1"/>
  <c r="C1105" i="1"/>
  <c r="B1105" i="1"/>
  <c r="C1104" i="1"/>
  <c r="B1104" i="1"/>
  <c r="C1103" i="1"/>
  <c r="B1103" i="1"/>
  <c r="C1102" i="1"/>
  <c r="B1102" i="1"/>
  <c r="C1101" i="1"/>
  <c r="B1101" i="1"/>
  <c r="C1100" i="1"/>
  <c r="B1100" i="1"/>
  <c r="C1099" i="1"/>
  <c r="B1099" i="1"/>
  <c r="C1098" i="1"/>
  <c r="B1098" i="1"/>
  <c r="C1097" i="1"/>
  <c r="B1097" i="1"/>
  <c r="C1096" i="1"/>
  <c r="B1096" i="1"/>
  <c r="C1095" i="1"/>
  <c r="B1095" i="1"/>
  <c r="C1094" i="1"/>
  <c r="B1094" i="1"/>
  <c r="C1093" i="1"/>
  <c r="B1093" i="1"/>
  <c r="C1092" i="1"/>
  <c r="B1092" i="1"/>
  <c r="C1091" i="1"/>
  <c r="B1091" i="1"/>
  <c r="C1090" i="1"/>
  <c r="B1090" i="1"/>
  <c r="C1089" i="1"/>
  <c r="B1089" i="1"/>
  <c r="C1088" i="1"/>
  <c r="B1088" i="1"/>
  <c r="C1087" i="1"/>
  <c r="B1087" i="1"/>
  <c r="C1086" i="1"/>
  <c r="B1086" i="1"/>
  <c r="C1085" i="1"/>
  <c r="B1085" i="1"/>
  <c r="C1084" i="1"/>
  <c r="B1084" i="1"/>
  <c r="C1083" i="1"/>
  <c r="B1083" i="1"/>
  <c r="C1082" i="1"/>
  <c r="B1082" i="1"/>
  <c r="C1081" i="1"/>
  <c r="B1081" i="1"/>
  <c r="C1080" i="1"/>
  <c r="B1080" i="1"/>
  <c r="C1079" i="1"/>
  <c r="B1079" i="1"/>
  <c r="C1078" i="1"/>
  <c r="B1078" i="1"/>
  <c r="C1077" i="1"/>
  <c r="B1077" i="1"/>
  <c r="C1076" i="1"/>
  <c r="B1076" i="1"/>
  <c r="C1075" i="1"/>
  <c r="B1075" i="1"/>
  <c r="C1074" i="1"/>
  <c r="B1074" i="1"/>
  <c r="C1073" i="1"/>
  <c r="B1073" i="1"/>
  <c r="C1072" i="1"/>
  <c r="B1072" i="1"/>
  <c r="C1071" i="1"/>
  <c r="B1071" i="1"/>
  <c r="C1070" i="1"/>
  <c r="B1070" i="1"/>
  <c r="C1069" i="1"/>
  <c r="B1069" i="1"/>
  <c r="C1068" i="1"/>
  <c r="B1068" i="1"/>
  <c r="C1067" i="1"/>
  <c r="B1067" i="1"/>
  <c r="C1066" i="1"/>
  <c r="B1066" i="1"/>
  <c r="C1065" i="1"/>
  <c r="B1065" i="1"/>
  <c r="C1064" i="1"/>
  <c r="B1064" i="1"/>
  <c r="C1063" i="1"/>
  <c r="B1063" i="1"/>
  <c r="C1062" i="1"/>
  <c r="B1062" i="1"/>
  <c r="C1061" i="1"/>
  <c r="B1061" i="1"/>
  <c r="C1060" i="1"/>
  <c r="B1060" i="1"/>
  <c r="C1059" i="1"/>
  <c r="B1059" i="1"/>
  <c r="C1058" i="1"/>
  <c r="B1058" i="1"/>
  <c r="C1057" i="1"/>
  <c r="B1057" i="1"/>
  <c r="C1056" i="1"/>
  <c r="B1056" i="1"/>
  <c r="C1055" i="1"/>
  <c r="B1055" i="1"/>
  <c r="C1054" i="1"/>
  <c r="B1054" i="1"/>
  <c r="C1053" i="1"/>
  <c r="B1053" i="1"/>
  <c r="C1052" i="1"/>
  <c r="B1052" i="1"/>
  <c r="C1051" i="1"/>
  <c r="B1051" i="1"/>
  <c r="C1050" i="1"/>
  <c r="B1050" i="1"/>
  <c r="C1049" i="1"/>
  <c r="B1049" i="1"/>
  <c r="C1048" i="1"/>
  <c r="B1048" i="1"/>
  <c r="C1047" i="1"/>
  <c r="B1047" i="1"/>
  <c r="C1046" i="1"/>
  <c r="B1046" i="1"/>
  <c r="C1045" i="1"/>
  <c r="B1045" i="1"/>
  <c r="C1044" i="1"/>
  <c r="B1044" i="1"/>
  <c r="C1043" i="1"/>
  <c r="B1043" i="1"/>
  <c r="C1042" i="1"/>
  <c r="B1042" i="1"/>
  <c r="C1041" i="1"/>
  <c r="B1041" i="1"/>
  <c r="C1040" i="1"/>
  <c r="B1040" i="1"/>
  <c r="C1039" i="1"/>
  <c r="B1039" i="1"/>
  <c r="C1038" i="1"/>
  <c r="B1038" i="1"/>
  <c r="C1037" i="1"/>
  <c r="B1037" i="1"/>
  <c r="C1036" i="1"/>
  <c r="B1036" i="1"/>
  <c r="C1035" i="1"/>
  <c r="B1035" i="1"/>
  <c r="C1034" i="1"/>
  <c r="B1034" i="1"/>
  <c r="C1033" i="1"/>
  <c r="B1033" i="1"/>
  <c r="C1032" i="1"/>
  <c r="B1032" i="1"/>
  <c r="C1031" i="1"/>
  <c r="B1031" i="1"/>
  <c r="C1030" i="1"/>
  <c r="B1030" i="1"/>
  <c r="C1029" i="1"/>
  <c r="B1029" i="1"/>
  <c r="C1028" i="1"/>
  <c r="B1028" i="1"/>
  <c r="C1027" i="1"/>
  <c r="B1027" i="1"/>
  <c r="C1026" i="1"/>
  <c r="B1026" i="1"/>
  <c r="C1025" i="1"/>
  <c r="B1025" i="1"/>
  <c r="C1024" i="1"/>
  <c r="B1024" i="1"/>
  <c r="C1023" i="1"/>
  <c r="B1023" i="1"/>
  <c r="C1022" i="1"/>
  <c r="B1022" i="1"/>
  <c r="C1021" i="1"/>
  <c r="B1021" i="1"/>
  <c r="C1020" i="1"/>
  <c r="B1020" i="1"/>
  <c r="C1019" i="1"/>
  <c r="B1019" i="1"/>
  <c r="C1018" i="1"/>
  <c r="B1018" i="1"/>
  <c r="C1017" i="1"/>
  <c r="B1017" i="1"/>
  <c r="C1016" i="1"/>
  <c r="B1016" i="1"/>
  <c r="C1015" i="1"/>
  <c r="B1015" i="1"/>
  <c r="C1014" i="1"/>
  <c r="B1014" i="1"/>
  <c r="C1013" i="1"/>
  <c r="B1013" i="1"/>
  <c r="C1012" i="1"/>
  <c r="B1012" i="1"/>
  <c r="C1011" i="1"/>
  <c r="B1011" i="1"/>
  <c r="C1010" i="1"/>
  <c r="B1010" i="1"/>
  <c r="C1009" i="1"/>
  <c r="B1009" i="1"/>
  <c r="C1008" i="1"/>
  <c r="B1008" i="1"/>
  <c r="C1007" i="1"/>
  <c r="B1007" i="1"/>
  <c r="C1006" i="1"/>
  <c r="B1006" i="1"/>
  <c r="C1005" i="1"/>
  <c r="B1005" i="1"/>
  <c r="C1004" i="1"/>
  <c r="B1004" i="1"/>
  <c r="C1003" i="1"/>
  <c r="B1003" i="1"/>
  <c r="C1002" i="1"/>
  <c r="B1002" i="1"/>
  <c r="C1001" i="1"/>
  <c r="B1001" i="1"/>
  <c r="C1000" i="1"/>
  <c r="B1000" i="1"/>
  <c r="C999" i="1"/>
  <c r="B999" i="1"/>
  <c r="C998" i="1"/>
  <c r="B998" i="1"/>
  <c r="C997" i="1"/>
  <c r="B997" i="1"/>
  <c r="C996" i="1"/>
  <c r="B996" i="1"/>
  <c r="C995" i="1"/>
  <c r="B995" i="1"/>
  <c r="C994" i="1"/>
  <c r="B994" i="1"/>
  <c r="C993" i="1"/>
  <c r="B993" i="1"/>
  <c r="C992" i="1"/>
  <c r="B992" i="1"/>
  <c r="C991" i="1"/>
  <c r="B991" i="1"/>
  <c r="C990" i="1"/>
  <c r="B990" i="1"/>
  <c r="C989" i="1"/>
  <c r="B989" i="1"/>
  <c r="C988" i="1"/>
  <c r="B988" i="1"/>
  <c r="C987" i="1"/>
  <c r="B987" i="1"/>
  <c r="C986" i="1"/>
  <c r="B986" i="1"/>
  <c r="C985" i="1"/>
  <c r="B985" i="1"/>
  <c r="C984" i="1"/>
  <c r="B984" i="1"/>
  <c r="C983" i="1"/>
  <c r="B983" i="1"/>
  <c r="C982" i="1"/>
  <c r="B982" i="1"/>
  <c r="C981" i="1"/>
  <c r="B981" i="1"/>
  <c r="C980" i="1"/>
  <c r="B980" i="1"/>
  <c r="C979" i="1"/>
  <c r="B979" i="1"/>
  <c r="C978" i="1"/>
  <c r="B978" i="1"/>
  <c r="C977" i="1"/>
  <c r="B977" i="1"/>
  <c r="C976" i="1"/>
  <c r="B976" i="1"/>
  <c r="C975" i="1"/>
  <c r="B975" i="1"/>
  <c r="C974" i="1"/>
  <c r="B974" i="1"/>
  <c r="C973" i="1"/>
  <c r="B973" i="1"/>
  <c r="C972" i="1"/>
  <c r="B972" i="1"/>
  <c r="C971" i="1"/>
  <c r="B971" i="1"/>
  <c r="C970" i="1"/>
  <c r="B970" i="1"/>
  <c r="C969" i="1"/>
  <c r="B969" i="1"/>
  <c r="C968" i="1"/>
  <c r="B968" i="1"/>
  <c r="C967" i="1"/>
  <c r="B967" i="1"/>
  <c r="C966" i="1"/>
  <c r="B966" i="1"/>
  <c r="C965" i="1"/>
  <c r="B965" i="1"/>
  <c r="C964" i="1"/>
  <c r="B964" i="1"/>
  <c r="C963" i="1"/>
  <c r="B963" i="1"/>
  <c r="C962" i="1"/>
  <c r="B962" i="1"/>
  <c r="C961" i="1"/>
  <c r="B961" i="1"/>
  <c r="C960" i="1"/>
  <c r="B960" i="1"/>
  <c r="C959" i="1"/>
  <c r="B959" i="1"/>
  <c r="C958" i="1"/>
  <c r="B958" i="1"/>
  <c r="C957" i="1"/>
  <c r="B957" i="1"/>
  <c r="C956" i="1"/>
  <c r="B956" i="1"/>
  <c r="C955" i="1"/>
  <c r="B955" i="1"/>
  <c r="C954" i="1"/>
  <c r="B954" i="1"/>
  <c r="C953" i="1"/>
  <c r="B953" i="1"/>
  <c r="C952" i="1"/>
  <c r="B952" i="1"/>
  <c r="C951" i="1"/>
  <c r="B951" i="1"/>
  <c r="C950" i="1"/>
  <c r="B950" i="1"/>
  <c r="C949" i="1"/>
  <c r="B949" i="1"/>
  <c r="C948" i="1"/>
  <c r="B948" i="1"/>
  <c r="C947" i="1"/>
  <c r="B947" i="1"/>
  <c r="C946" i="1"/>
  <c r="B946" i="1"/>
  <c r="C945" i="1"/>
  <c r="B945" i="1"/>
  <c r="C944" i="1"/>
  <c r="B944" i="1"/>
  <c r="C943" i="1"/>
  <c r="B943" i="1"/>
  <c r="C942" i="1"/>
  <c r="B942" i="1"/>
  <c r="C941" i="1"/>
  <c r="B941" i="1"/>
  <c r="C940" i="1"/>
  <c r="B940" i="1"/>
  <c r="C939" i="1"/>
  <c r="B939" i="1"/>
  <c r="C938" i="1"/>
  <c r="B938" i="1"/>
  <c r="C937" i="1"/>
  <c r="B937" i="1"/>
  <c r="C936" i="1"/>
  <c r="B936" i="1"/>
  <c r="C935" i="1"/>
  <c r="B935" i="1"/>
  <c r="C934" i="1"/>
  <c r="B934" i="1"/>
  <c r="C933" i="1"/>
  <c r="B933" i="1"/>
  <c r="C932" i="1"/>
  <c r="B932" i="1"/>
  <c r="C931" i="1"/>
  <c r="B931" i="1"/>
  <c r="C930" i="1"/>
  <c r="B930" i="1"/>
  <c r="C929" i="1"/>
  <c r="B929" i="1"/>
  <c r="C928" i="1"/>
  <c r="B928" i="1"/>
  <c r="C927" i="1"/>
  <c r="B927" i="1"/>
  <c r="C926" i="1"/>
  <c r="B926" i="1"/>
  <c r="C925" i="1"/>
  <c r="B925" i="1"/>
  <c r="C924" i="1"/>
  <c r="B924" i="1"/>
  <c r="C923" i="1"/>
  <c r="B923" i="1"/>
  <c r="C922" i="1"/>
  <c r="B922" i="1"/>
  <c r="C921" i="1"/>
  <c r="B921" i="1"/>
  <c r="C920" i="1"/>
  <c r="B920" i="1"/>
  <c r="C919" i="1"/>
  <c r="B919" i="1"/>
  <c r="C918" i="1"/>
  <c r="B918" i="1"/>
  <c r="C917" i="1"/>
  <c r="B917" i="1"/>
  <c r="C916" i="1"/>
  <c r="B916" i="1"/>
  <c r="C915" i="1"/>
  <c r="B915" i="1"/>
  <c r="C914" i="1"/>
  <c r="B914" i="1"/>
  <c r="C913" i="1"/>
  <c r="B913" i="1"/>
  <c r="C912" i="1"/>
  <c r="B912" i="1"/>
  <c r="C911" i="1"/>
  <c r="B911" i="1"/>
  <c r="C910" i="1"/>
  <c r="B910" i="1"/>
  <c r="C909" i="1"/>
  <c r="B909" i="1"/>
  <c r="C908" i="1"/>
  <c r="B908" i="1"/>
  <c r="C907" i="1"/>
  <c r="B907" i="1"/>
  <c r="C906" i="1"/>
  <c r="B906" i="1"/>
  <c r="C905" i="1"/>
  <c r="B905" i="1"/>
  <c r="C904" i="1"/>
  <c r="B904" i="1"/>
  <c r="C903" i="1"/>
  <c r="B903" i="1"/>
  <c r="C902" i="1"/>
  <c r="B902" i="1"/>
  <c r="C901" i="1"/>
  <c r="B901" i="1"/>
  <c r="C900" i="1"/>
  <c r="B900" i="1"/>
  <c r="C899" i="1"/>
  <c r="B899" i="1"/>
  <c r="C898" i="1"/>
  <c r="B898" i="1"/>
  <c r="C897" i="1"/>
  <c r="B897" i="1"/>
  <c r="C896" i="1"/>
  <c r="B896" i="1"/>
  <c r="C895" i="1"/>
  <c r="B895" i="1"/>
  <c r="C894" i="1"/>
  <c r="B894" i="1"/>
  <c r="C893" i="1"/>
  <c r="B893" i="1"/>
  <c r="C892" i="1"/>
  <c r="B892" i="1"/>
  <c r="C891" i="1"/>
  <c r="B891" i="1"/>
  <c r="C890" i="1"/>
  <c r="B890" i="1"/>
  <c r="C889" i="1"/>
  <c r="B889" i="1"/>
  <c r="C888" i="1"/>
  <c r="B888" i="1"/>
  <c r="C887" i="1"/>
  <c r="B887" i="1"/>
  <c r="C886" i="1"/>
  <c r="B886" i="1"/>
  <c r="C885" i="1"/>
  <c r="B885" i="1"/>
  <c r="C884" i="1"/>
  <c r="B884" i="1"/>
  <c r="C883" i="1"/>
  <c r="B883" i="1"/>
  <c r="C882" i="1"/>
  <c r="B882" i="1"/>
  <c r="C881" i="1"/>
  <c r="B881" i="1"/>
  <c r="C880" i="1"/>
  <c r="B880" i="1"/>
  <c r="C879" i="1"/>
  <c r="B879" i="1"/>
  <c r="C878" i="1"/>
  <c r="B878" i="1"/>
  <c r="C877" i="1"/>
  <c r="B877" i="1"/>
  <c r="C876" i="1"/>
  <c r="B876" i="1"/>
  <c r="C875" i="1"/>
  <c r="B875" i="1"/>
  <c r="C874" i="1"/>
  <c r="B874" i="1"/>
  <c r="C873" i="1"/>
  <c r="B873" i="1"/>
  <c r="C872" i="1"/>
  <c r="B872" i="1"/>
  <c r="C871" i="1"/>
  <c r="B871" i="1"/>
  <c r="C870" i="1"/>
  <c r="B870" i="1"/>
  <c r="C869" i="1"/>
  <c r="B869" i="1"/>
  <c r="C868" i="1"/>
  <c r="B868" i="1"/>
  <c r="C867" i="1"/>
  <c r="B867" i="1"/>
  <c r="C866" i="1"/>
  <c r="B866" i="1"/>
  <c r="C865" i="1"/>
  <c r="B865" i="1"/>
  <c r="C864" i="1"/>
  <c r="B864" i="1"/>
  <c r="C863" i="1"/>
  <c r="B863" i="1"/>
  <c r="C862" i="1"/>
  <c r="B862" i="1"/>
  <c r="C861" i="1"/>
  <c r="B861" i="1"/>
  <c r="C860" i="1"/>
  <c r="B860" i="1"/>
  <c r="C859" i="1"/>
  <c r="B859" i="1"/>
  <c r="C858" i="1"/>
  <c r="B858" i="1"/>
  <c r="C857" i="1"/>
  <c r="B857" i="1"/>
  <c r="C856" i="1"/>
  <c r="B856" i="1"/>
  <c r="C855" i="1"/>
  <c r="B855" i="1"/>
  <c r="C854" i="1"/>
  <c r="B854" i="1"/>
  <c r="C853" i="1"/>
  <c r="B853" i="1"/>
  <c r="C852" i="1"/>
  <c r="B852" i="1"/>
  <c r="C851" i="1"/>
  <c r="B851" i="1"/>
  <c r="C850" i="1"/>
  <c r="B850" i="1"/>
  <c r="C849" i="1"/>
  <c r="B849" i="1"/>
  <c r="C848" i="1"/>
  <c r="B848" i="1"/>
  <c r="C847" i="1"/>
  <c r="B847" i="1"/>
  <c r="C846" i="1"/>
  <c r="B846" i="1"/>
  <c r="C845" i="1"/>
  <c r="B845" i="1"/>
  <c r="C844" i="1"/>
  <c r="B844" i="1"/>
  <c r="C843" i="1"/>
  <c r="B843" i="1"/>
  <c r="C842" i="1"/>
  <c r="B842" i="1"/>
  <c r="C841" i="1"/>
  <c r="B841" i="1"/>
  <c r="C840" i="1"/>
  <c r="B840" i="1"/>
  <c r="C839" i="1"/>
  <c r="B839" i="1"/>
  <c r="C838" i="1"/>
  <c r="B838" i="1"/>
  <c r="C837" i="1"/>
  <c r="B837" i="1"/>
  <c r="C836" i="1"/>
  <c r="B836" i="1"/>
  <c r="C835" i="1"/>
  <c r="B835" i="1"/>
  <c r="C834" i="1"/>
  <c r="B834" i="1"/>
  <c r="C833" i="1"/>
  <c r="B833" i="1"/>
  <c r="C832" i="1"/>
  <c r="B832" i="1"/>
  <c r="C831" i="1"/>
  <c r="B831" i="1"/>
  <c r="C830" i="1"/>
  <c r="B830" i="1"/>
  <c r="C829" i="1"/>
  <c r="B829" i="1"/>
  <c r="C828" i="1"/>
  <c r="B828" i="1"/>
  <c r="C827" i="1"/>
  <c r="B827" i="1"/>
  <c r="C826" i="1"/>
  <c r="B826" i="1"/>
  <c r="C825" i="1"/>
  <c r="B825" i="1"/>
  <c r="C824" i="1"/>
  <c r="B824" i="1"/>
  <c r="C823" i="1"/>
  <c r="B823" i="1"/>
  <c r="C822" i="1"/>
  <c r="B822" i="1"/>
  <c r="C821" i="1"/>
  <c r="B821" i="1"/>
  <c r="C820" i="1"/>
  <c r="B820" i="1"/>
  <c r="C819" i="1"/>
  <c r="B819" i="1"/>
  <c r="C818" i="1"/>
  <c r="B818" i="1"/>
  <c r="C817" i="1"/>
  <c r="B817" i="1"/>
  <c r="C816" i="1"/>
  <c r="B816" i="1"/>
  <c r="C815" i="1"/>
  <c r="B815" i="1"/>
  <c r="C814" i="1"/>
  <c r="B814" i="1"/>
  <c r="C813" i="1"/>
  <c r="B813" i="1"/>
  <c r="C812" i="1"/>
  <c r="B812" i="1"/>
  <c r="C811" i="1"/>
  <c r="B811" i="1"/>
  <c r="C810" i="1"/>
  <c r="B810" i="1"/>
  <c r="C809" i="1"/>
  <c r="B809" i="1"/>
  <c r="C808" i="1"/>
  <c r="B808" i="1"/>
  <c r="C807" i="1"/>
  <c r="B807" i="1"/>
  <c r="C806" i="1"/>
  <c r="B806" i="1"/>
  <c r="C805" i="1"/>
  <c r="B805" i="1"/>
  <c r="C804" i="1"/>
  <c r="B804" i="1"/>
  <c r="C803" i="1"/>
  <c r="B803" i="1"/>
  <c r="C802" i="1"/>
  <c r="B802" i="1"/>
  <c r="C801" i="1"/>
  <c r="B801" i="1"/>
  <c r="C800" i="1"/>
  <c r="B800" i="1"/>
  <c r="C799" i="1"/>
  <c r="B799" i="1"/>
  <c r="C798" i="1"/>
  <c r="B798" i="1"/>
  <c r="C797" i="1"/>
  <c r="B797" i="1"/>
  <c r="C796" i="1"/>
  <c r="B796" i="1"/>
  <c r="C795" i="1"/>
  <c r="B795" i="1"/>
  <c r="C794" i="1"/>
  <c r="B794" i="1"/>
  <c r="C793" i="1"/>
  <c r="B793" i="1"/>
  <c r="C792" i="1"/>
  <c r="B792" i="1"/>
  <c r="C791" i="1"/>
  <c r="B791" i="1"/>
  <c r="C790" i="1"/>
  <c r="B790" i="1"/>
  <c r="C789" i="1"/>
  <c r="B789" i="1"/>
  <c r="C788" i="1"/>
  <c r="B788" i="1"/>
  <c r="C787" i="1"/>
  <c r="B787" i="1"/>
  <c r="C786" i="1"/>
  <c r="B786" i="1"/>
  <c r="C785" i="1"/>
  <c r="B785" i="1"/>
  <c r="C784" i="1"/>
  <c r="B784" i="1"/>
  <c r="C783" i="1"/>
  <c r="B783" i="1"/>
  <c r="C782" i="1"/>
  <c r="B782" i="1"/>
  <c r="C781" i="1"/>
  <c r="B781" i="1"/>
  <c r="C780" i="1"/>
  <c r="B780" i="1"/>
  <c r="C779" i="1"/>
  <c r="B779" i="1"/>
  <c r="C778" i="1"/>
  <c r="B778" i="1"/>
  <c r="C777" i="1"/>
  <c r="B777" i="1"/>
  <c r="C776" i="1"/>
  <c r="B776" i="1"/>
  <c r="C775" i="1"/>
  <c r="B775" i="1"/>
  <c r="C774" i="1"/>
  <c r="B774" i="1"/>
  <c r="C773" i="1"/>
  <c r="B773" i="1"/>
  <c r="C772" i="1"/>
  <c r="B772" i="1"/>
  <c r="C771" i="1"/>
  <c r="B771" i="1"/>
  <c r="C770" i="1"/>
  <c r="B770" i="1"/>
  <c r="C769" i="1"/>
  <c r="B769" i="1"/>
  <c r="C768" i="1"/>
  <c r="B768" i="1"/>
  <c r="C767" i="1"/>
  <c r="B767" i="1"/>
  <c r="C766" i="1"/>
  <c r="B766" i="1"/>
  <c r="C765" i="1"/>
  <c r="B765" i="1"/>
  <c r="C764" i="1"/>
  <c r="B764" i="1"/>
  <c r="C763" i="1"/>
  <c r="B763" i="1"/>
  <c r="C762" i="1"/>
  <c r="B762" i="1"/>
  <c r="C761" i="1"/>
  <c r="B761" i="1"/>
  <c r="C760" i="1"/>
  <c r="B760" i="1"/>
  <c r="C759" i="1"/>
  <c r="B759" i="1"/>
  <c r="C758" i="1"/>
  <c r="B758" i="1"/>
  <c r="C757" i="1"/>
  <c r="B757" i="1"/>
  <c r="C756" i="1"/>
  <c r="B756" i="1"/>
  <c r="C755" i="1"/>
  <c r="B755" i="1"/>
  <c r="C754" i="1"/>
  <c r="B754" i="1"/>
  <c r="C753" i="1"/>
  <c r="B753" i="1"/>
  <c r="C752" i="1"/>
  <c r="B752" i="1"/>
  <c r="C751" i="1"/>
  <c r="B751" i="1"/>
  <c r="C750" i="1"/>
  <c r="B750" i="1"/>
  <c r="C749" i="1"/>
  <c r="B749" i="1"/>
  <c r="C748" i="1"/>
  <c r="B748" i="1"/>
  <c r="C747" i="1"/>
  <c r="B747" i="1"/>
  <c r="C746" i="1"/>
  <c r="B746" i="1"/>
  <c r="C745" i="1"/>
  <c r="B745" i="1"/>
  <c r="C744" i="1"/>
  <c r="B744" i="1"/>
  <c r="C743" i="1"/>
  <c r="B743" i="1"/>
  <c r="C742" i="1"/>
  <c r="B742" i="1"/>
  <c r="C741" i="1"/>
  <c r="B741" i="1"/>
  <c r="C740" i="1"/>
  <c r="B740" i="1"/>
  <c r="C739" i="1"/>
  <c r="B739" i="1"/>
  <c r="C738" i="1"/>
  <c r="B738" i="1"/>
  <c r="C737" i="1"/>
  <c r="B737" i="1"/>
  <c r="C736" i="1"/>
  <c r="B736" i="1"/>
  <c r="C735" i="1"/>
  <c r="B735" i="1"/>
  <c r="C734" i="1"/>
  <c r="B734" i="1"/>
  <c r="C733" i="1"/>
  <c r="B733" i="1"/>
  <c r="C732" i="1"/>
  <c r="B732" i="1"/>
  <c r="C731" i="1"/>
  <c r="B731" i="1"/>
  <c r="C730" i="1"/>
  <c r="B730" i="1"/>
  <c r="C729" i="1"/>
  <c r="B729" i="1"/>
  <c r="C728" i="1"/>
  <c r="B728" i="1"/>
  <c r="C727" i="1"/>
  <c r="B727" i="1"/>
  <c r="C726" i="1"/>
  <c r="B726" i="1"/>
  <c r="C725" i="1"/>
  <c r="B725" i="1"/>
  <c r="C724" i="1"/>
  <c r="B724" i="1"/>
  <c r="C723" i="1"/>
  <c r="B723" i="1"/>
  <c r="C722" i="1"/>
  <c r="B722" i="1"/>
  <c r="C721" i="1"/>
  <c r="B721" i="1"/>
  <c r="C720" i="1"/>
  <c r="B720" i="1"/>
  <c r="C719" i="1"/>
  <c r="B719" i="1"/>
  <c r="C718" i="1"/>
  <c r="B718" i="1"/>
  <c r="C717" i="1"/>
  <c r="B717" i="1"/>
  <c r="C716" i="1"/>
  <c r="B716" i="1"/>
  <c r="C715" i="1"/>
  <c r="B715" i="1"/>
  <c r="C714" i="1"/>
  <c r="B714" i="1"/>
  <c r="C713" i="1"/>
  <c r="B713" i="1"/>
  <c r="C712" i="1"/>
  <c r="B712" i="1"/>
  <c r="C711" i="1"/>
  <c r="B711" i="1"/>
  <c r="C710" i="1"/>
  <c r="B710" i="1"/>
  <c r="C709" i="1"/>
  <c r="B709" i="1"/>
  <c r="C708" i="1"/>
  <c r="B708" i="1"/>
  <c r="C707" i="1"/>
  <c r="B707" i="1"/>
  <c r="C706" i="1"/>
  <c r="B706" i="1"/>
  <c r="C705" i="1"/>
  <c r="B705" i="1"/>
  <c r="C704" i="1"/>
  <c r="B704" i="1"/>
  <c r="C703" i="1"/>
  <c r="B703" i="1"/>
  <c r="C702" i="1"/>
  <c r="B702" i="1"/>
  <c r="C701" i="1"/>
  <c r="B701" i="1"/>
  <c r="C700" i="1"/>
  <c r="B700" i="1"/>
  <c r="C699" i="1"/>
  <c r="B699" i="1"/>
  <c r="C698" i="1"/>
  <c r="B698" i="1"/>
  <c r="C697" i="1"/>
  <c r="B697" i="1"/>
  <c r="C696" i="1"/>
  <c r="B696" i="1"/>
  <c r="C695" i="1"/>
  <c r="B695" i="1"/>
  <c r="C694" i="1"/>
  <c r="B694" i="1"/>
  <c r="C693" i="1"/>
  <c r="B693" i="1"/>
  <c r="C692" i="1"/>
  <c r="B692" i="1"/>
  <c r="C691" i="1"/>
  <c r="B691" i="1"/>
  <c r="C690" i="1"/>
  <c r="B690" i="1"/>
  <c r="C689" i="1"/>
  <c r="B689" i="1"/>
  <c r="C688" i="1"/>
  <c r="B688" i="1"/>
  <c r="C687" i="1"/>
  <c r="B687" i="1"/>
  <c r="C686" i="1"/>
  <c r="B686" i="1"/>
  <c r="C685" i="1"/>
  <c r="B685" i="1"/>
  <c r="C684" i="1"/>
  <c r="B684" i="1"/>
  <c r="C683" i="1"/>
  <c r="B683" i="1"/>
  <c r="C682" i="1"/>
  <c r="B682" i="1"/>
  <c r="C681" i="1"/>
  <c r="B681" i="1"/>
  <c r="C680" i="1"/>
  <c r="B680" i="1"/>
  <c r="C679" i="1"/>
  <c r="B679" i="1"/>
  <c r="C678" i="1"/>
  <c r="B678" i="1"/>
  <c r="C677" i="1"/>
  <c r="B677" i="1"/>
  <c r="C676" i="1"/>
  <c r="B676" i="1"/>
  <c r="C675" i="1"/>
  <c r="B675" i="1"/>
  <c r="C674" i="1"/>
  <c r="B674" i="1"/>
  <c r="C673" i="1"/>
  <c r="B673" i="1"/>
  <c r="C672" i="1"/>
  <c r="B672" i="1"/>
  <c r="C671" i="1"/>
  <c r="B671" i="1"/>
  <c r="C670" i="1"/>
  <c r="B670" i="1"/>
  <c r="C669" i="1"/>
  <c r="B669" i="1"/>
  <c r="C668" i="1"/>
  <c r="B668" i="1"/>
  <c r="C667" i="1"/>
  <c r="B667" i="1"/>
  <c r="C666" i="1"/>
  <c r="B666" i="1"/>
  <c r="C665" i="1"/>
  <c r="B665" i="1"/>
  <c r="C664" i="1"/>
  <c r="B664" i="1"/>
  <c r="C663" i="1"/>
  <c r="B663" i="1"/>
  <c r="C662" i="1"/>
  <c r="B662" i="1"/>
  <c r="C661" i="1"/>
  <c r="B661" i="1"/>
  <c r="C660" i="1"/>
  <c r="B660" i="1"/>
  <c r="C659" i="1"/>
  <c r="B659" i="1"/>
  <c r="C658" i="1"/>
  <c r="B658" i="1"/>
  <c r="C657" i="1"/>
  <c r="B657" i="1"/>
  <c r="C656" i="1"/>
  <c r="B656" i="1"/>
  <c r="C655" i="1"/>
  <c r="B655" i="1"/>
  <c r="C654" i="1"/>
  <c r="B654" i="1"/>
  <c r="C653" i="1"/>
  <c r="B653" i="1"/>
  <c r="C652" i="1"/>
  <c r="B652" i="1"/>
  <c r="C651" i="1"/>
  <c r="B651" i="1"/>
  <c r="C650" i="1"/>
  <c r="B650" i="1"/>
  <c r="C649" i="1"/>
  <c r="B649" i="1"/>
  <c r="C648" i="1"/>
  <c r="B648" i="1"/>
  <c r="C647" i="1"/>
  <c r="B647" i="1"/>
  <c r="C646" i="1"/>
  <c r="B646" i="1"/>
  <c r="C645" i="1"/>
  <c r="B645" i="1"/>
  <c r="C644" i="1"/>
  <c r="B644" i="1"/>
  <c r="C643" i="1"/>
  <c r="B643" i="1"/>
  <c r="C642" i="1"/>
  <c r="B642" i="1"/>
  <c r="C641" i="1"/>
  <c r="B641" i="1"/>
  <c r="C640" i="1"/>
  <c r="B640" i="1"/>
  <c r="C639" i="1"/>
  <c r="B639" i="1"/>
  <c r="C638" i="1"/>
  <c r="B638" i="1"/>
  <c r="C637" i="1"/>
  <c r="B637" i="1"/>
  <c r="C636" i="1"/>
  <c r="B636" i="1"/>
  <c r="C635" i="1"/>
  <c r="B635" i="1"/>
  <c r="C634" i="1"/>
  <c r="B634" i="1"/>
  <c r="C633" i="1"/>
  <c r="B633" i="1"/>
  <c r="C632" i="1"/>
  <c r="B632" i="1"/>
  <c r="C631" i="1"/>
  <c r="B631" i="1"/>
  <c r="C630" i="1"/>
  <c r="B630" i="1"/>
  <c r="C629" i="1"/>
  <c r="B629" i="1"/>
  <c r="C628" i="1"/>
  <c r="B628" i="1"/>
  <c r="C627" i="1"/>
  <c r="B627" i="1"/>
  <c r="C626" i="1"/>
  <c r="B626" i="1"/>
  <c r="C625" i="1"/>
  <c r="B625" i="1"/>
  <c r="C624" i="1"/>
  <c r="B624" i="1"/>
  <c r="C623" i="1"/>
  <c r="B623" i="1"/>
  <c r="C622" i="1"/>
  <c r="B622" i="1"/>
  <c r="C621" i="1"/>
  <c r="B621" i="1"/>
  <c r="C620" i="1"/>
  <c r="B620" i="1"/>
  <c r="C619" i="1"/>
  <c r="B619" i="1"/>
  <c r="C618" i="1"/>
  <c r="B618" i="1"/>
  <c r="C617" i="1"/>
  <c r="B617" i="1"/>
  <c r="C616" i="1"/>
  <c r="B616" i="1"/>
  <c r="C615" i="1"/>
  <c r="B615" i="1"/>
  <c r="C614" i="1"/>
  <c r="B614" i="1"/>
  <c r="C613" i="1"/>
  <c r="B613" i="1"/>
  <c r="C612" i="1"/>
  <c r="B612" i="1"/>
  <c r="C611" i="1"/>
  <c r="B611" i="1"/>
  <c r="C610" i="1"/>
  <c r="B610" i="1"/>
  <c r="C609" i="1"/>
  <c r="B609" i="1"/>
  <c r="C608" i="1"/>
  <c r="B608" i="1"/>
  <c r="C607" i="1"/>
  <c r="B607" i="1"/>
  <c r="C606" i="1"/>
  <c r="B606" i="1"/>
  <c r="C605" i="1"/>
  <c r="B605" i="1"/>
  <c r="C604" i="1"/>
  <c r="B604" i="1"/>
  <c r="C603" i="1"/>
  <c r="B603" i="1"/>
  <c r="C602" i="1"/>
  <c r="B602" i="1"/>
  <c r="C601" i="1"/>
  <c r="B601" i="1"/>
  <c r="C600" i="1"/>
  <c r="B600" i="1"/>
  <c r="C599" i="1"/>
  <c r="B599" i="1"/>
  <c r="C598" i="1"/>
  <c r="B598" i="1"/>
  <c r="C597" i="1"/>
  <c r="B597" i="1"/>
  <c r="C596" i="1"/>
  <c r="B596" i="1"/>
  <c r="C595" i="1"/>
  <c r="B595" i="1"/>
  <c r="C594" i="1"/>
  <c r="B594" i="1"/>
  <c r="C593" i="1"/>
  <c r="B593" i="1"/>
  <c r="C592" i="1"/>
  <c r="B592" i="1"/>
  <c r="C591" i="1"/>
  <c r="B591" i="1"/>
  <c r="C590" i="1"/>
  <c r="B590" i="1"/>
  <c r="C589" i="1"/>
  <c r="B589" i="1"/>
  <c r="C588" i="1"/>
  <c r="B588" i="1"/>
  <c r="C587" i="1"/>
  <c r="B587" i="1"/>
  <c r="C586" i="1"/>
  <c r="B586" i="1"/>
  <c r="C585" i="1"/>
  <c r="B585" i="1"/>
  <c r="C584" i="1"/>
  <c r="B584" i="1"/>
  <c r="C583" i="1"/>
  <c r="B583" i="1"/>
  <c r="C582" i="1"/>
  <c r="B582" i="1"/>
  <c r="C581" i="1"/>
  <c r="B581" i="1"/>
  <c r="C580" i="1"/>
  <c r="B580" i="1"/>
  <c r="C579" i="1"/>
  <c r="B579" i="1"/>
  <c r="C578" i="1"/>
  <c r="B578" i="1"/>
  <c r="C577" i="1"/>
  <c r="B577" i="1"/>
  <c r="C576" i="1"/>
  <c r="B576" i="1"/>
  <c r="C575" i="1"/>
  <c r="B575" i="1"/>
  <c r="C574" i="1"/>
  <c r="B574" i="1"/>
  <c r="C573" i="1"/>
  <c r="B573" i="1"/>
  <c r="C572" i="1"/>
  <c r="B572" i="1"/>
  <c r="C571" i="1"/>
  <c r="B571" i="1"/>
  <c r="C570" i="1"/>
  <c r="B570" i="1"/>
  <c r="C569" i="1"/>
  <c r="B569" i="1"/>
  <c r="C568" i="1"/>
  <c r="B568" i="1"/>
  <c r="C567" i="1"/>
  <c r="B567" i="1"/>
  <c r="C566" i="1"/>
  <c r="B566" i="1"/>
  <c r="C565" i="1"/>
  <c r="B565" i="1"/>
  <c r="C564" i="1"/>
  <c r="B564" i="1"/>
  <c r="C563" i="1"/>
  <c r="B563" i="1"/>
  <c r="C562" i="1"/>
  <c r="B562" i="1"/>
  <c r="C561" i="1"/>
  <c r="B561" i="1"/>
  <c r="C560" i="1"/>
  <c r="B560" i="1"/>
  <c r="C559" i="1"/>
  <c r="B559" i="1"/>
  <c r="C558" i="1"/>
  <c r="B558" i="1"/>
  <c r="C557" i="1"/>
  <c r="B557" i="1"/>
  <c r="C556" i="1"/>
  <c r="B556" i="1"/>
  <c r="C555" i="1"/>
  <c r="B555" i="1"/>
  <c r="C554" i="1"/>
  <c r="B554" i="1"/>
  <c r="C553" i="1"/>
  <c r="B553" i="1"/>
  <c r="C552" i="1"/>
  <c r="B552" i="1"/>
  <c r="C551" i="1"/>
  <c r="B551" i="1"/>
  <c r="C550" i="1"/>
  <c r="B550" i="1"/>
  <c r="C549" i="1"/>
  <c r="B549" i="1"/>
  <c r="C548" i="1"/>
  <c r="B548" i="1"/>
  <c r="C547" i="1"/>
  <c r="B547" i="1"/>
  <c r="C546" i="1"/>
  <c r="B546" i="1"/>
  <c r="C545" i="1"/>
  <c r="B545" i="1"/>
  <c r="C544" i="1"/>
  <c r="B544" i="1"/>
  <c r="C543" i="1"/>
  <c r="B543" i="1"/>
  <c r="C542" i="1"/>
  <c r="B542" i="1"/>
  <c r="C541" i="1"/>
  <c r="B541" i="1"/>
  <c r="C540" i="1"/>
  <c r="B540" i="1"/>
  <c r="C539" i="1"/>
  <c r="B539" i="1"/>
  <c r="C538" i="1"/>
  <c r="B538" i="1"/>
  <c r="C537" i="1"/>
  <c r="B537" i="1"/>
  <c r="C536" i="1"/>
  <c r="B536" i="1"/>
  <c r="C535" i="1"/>
  <c r="B535" i="1"/>
  <c r="C534" i="1"/>
  <c r="B534" i="1"/>
  <c r="C533" i="1"/>
  <c r="B533" i="1"/>
  <c r="C532" i="1"/>
  <c r="B532" i="1"/>
  <c r="C531" i="1"/>
  <c r="B531" i="1"/>
  <c r="C530" i="1"/>
  <c r="B530" i="1"/>
  <c r="C529" i="1"/>
  <c r="B529" i="1"/>
  <c r="C528" i="1"/>
  <c r="B528" i="1"/>
  <c r="C527" i="1"/>
  <c r="B527" i="1"/>
  <c r="C526" i="1"/>
  <c r="B526" i="1"/>
  <c r="C525" i="1"/>
  <c r="B525" i="1"/>
  <c r="C524" i="1"/>
  <c r="B524" i="1"/>
  <c r="C523" i="1"/>
  <c r="B523" i="1"/>
  <c r="C522" i="1"/>
  <c r="B522" i="1"/>
  <c r="C521" i="1"/>
  <c r="B521" i="1"/>
  <c r="C520" i="1"/>
  <c r="B520" i="1"/>
  <c r="C519" i="1"/>
  <c r="B519" i="1"/>
  <c r="C518" i="1"/>
  <c r="B518" i="1"/>
  <c r="C517" i="1"/>
  <c r="B517" i="1"/>
  <c r="C516" i="1"/>
  <c r="B516" i="1"/>
  <c r="C515" i="1"/>
  <c r="B515" i="1"/>
  <c r="C514" i="1"/>
  <c r="B514" i="1"/>
  <c r="C513" i="1"/>
  <c r="B513" i="1"/>
  <c r="C512" i="1"/>
  <c r="B512" i="1"/>
  <c r="C511" i="1"/>
  <c r="B511" i="1"/>
  <c r="C510" i="1"/>
  <c r="B510" i="1"/>
  <c r="C509" i="1"/>
  <c r="B509" i="1"/>
  <c r="C508" i="1"/>
  <c r="B508" i="1"/>
  <c r="C507" i="1"/>
  <c r="B507" i="1"/>
  <c r="C506" i="1"/>
  <c r="B506" i="1"/>
  <c r="C505" i="1"/>
  <c r="B505" i="1"/>
  <c r="C504" i="1"/>
  <c r="B504" i="1"/>
  <c r="C503" i="1"/>
  <c r="B503" i="1"/>
  <c r="C502" i="1"/>
  <c r="B502" i="1"/>
  <c r="C501" i="1"/>
  <c r="B501" i="1"/>
  <c r="C500" i="1"/>
  <c r="B500" i="1"/>
  <c r="C499" i="1"/>
  <c r="B499" i="1"/>
  <c r="C498" i="1"/>
  <c r="B498" i="1"/>
  <c r="C497" i="1"/>
  <c r="B497" i="1"/>
  <c r="C496" i="1"/>
  <c r="B496" i="1"/>
  <c r="C495" i="1"/>
  <c r="B495" i="1"/>
  <c r="C494" i="1"/>
  <c r="B494" i="1"/>
  <c r="C493" i="1"/>
  <c r="B493" i="1"/>
  <c r="C492" i="1"/>
  <c r="B492" i="1"/>
  <c r="C491" i="1"/>
  <c r="B491" i="1"/>
  <c r="C490" i="1"/>
  <c r="B490" i="1"/>
  <c r="C489" i="1"/>
  <c r="B489" i="1"/>
  <c r="C488" i="1"/>
  <c r="B488" i="1"/>
  <c r="C487" i="1"/>
  <c r="B487" i="1"/>
  <c r="C486" i="1"/>
  <c r="B486" i="1"/>
  <c r="C485" i="1"/>
  <c r="B485" i="1"/>
  <c r="C484" i="1"/>
  <c r="B484" i="1"/>
  <c r="C483" i="1"/>
  <c r="B483" i="1"/>
  <c r="C482" i="1"/>
  <c r="B482" i="1"/>
  <c r="C481" i="1"/>
  <c r="B481" i="1"/>
  <c r="C480" i="1"/>
  <c r="B480" i="1"/>
  <c r="C479" i="1"/>
  <c r="B479" i="1"/>
  <c r="C478" i="1"/>
  <c r="B478" i="1"/>
  <c r="C477" i="1"/>
  <c r="B477" i="1"/>
  <c r="C476" i="1"/>
  <c r="B476" i="1"/>
  <c r="C475" i="1"/>
  <c r="B475" i="1"/>
  <c r="C474" i="1"/>
  <c r="B474" i="1"/>
  <c r="C473" i="1"/>
  <c r="B473" i="1"/>
  <c r="C472" i="1"/>
  <c r="B472" i="1"/>
  <c r="C471" i="1"/>
  <c r="B471" i="1"/>
  <c r="C470" i="1"/>
  <c r="B470" i="1"/>
  <c r="C469" i="1"/>
  <c r="B469" i="1"/>
  <c r="C468" i="1"/>
  <c r="B468" i="1"/>
  <c r="C467" i="1"/>
  <c r="B467" i="1"/>
  <c r="C466" i="1"/>
  <c r="B466" i="1"/>
  <c r="C465" i="1"/>
  <c r="B465" i="1"/>
  <c r="C464" i="1"/>
  <c r="B464" i="1"/>
  <c r="C463" i="1"/>
  <c r="B463" i="1"/>
  <c r="C462" i="1"/>
  <c r="B462" i="1"/>
  <c r="C461" i="1"/>
  <c r="B461" i="1"/>
  <c r="C460" i="1"/>
  <c r="B460" i="1"/>
  <c r="C459" i="1"/>
  <c r="B459" i="1"/>
  <c r="C458" i="1"/>
  <c r="B458" i="1"/>
  <c r="C457" i="1"/>
  <c r="B457" i="1"/>
  <c r="C456" i="1"/>
  <c r="B456" i="1"/>
  <c r="C455" i="1"/>
  <c r="B455" i="1"/>
  <c r="C454" i="1"/>
  <c r="B454" i="1"/>
  <c r="C453" i="1"/>
  <c r="B453" i="1"/>
  <c r="C452" i="1"/>
  <c r="B452" i="1"/>
  <c r="C451" i="1"/>
  <c r="B451" i="1"/>
  <c r="C450" i="1"/>
  <c r="B450" i="1"/>
  <c r="C449" i="1"/>
  <c r="B449" i="1"/>
  <c r="C448" i="1"/>
  <c r="B448" i="1"/>
  <c r="C447" i="1"/>
  <c r="B447" i="1"/>
  <c r="C446" i="1"/>
  <c r="B446" i="1"/>
  <c r="C445" i="1"/>
  <c r="B445" i="1"/>
  <c r="C444" i="1"/>
  <c r="B444" i="1"/>
  <c r="C443" i="1"/>
  <c r="B443" i="1"/>
  <c r="C442" i="1"/>
  <c r="B442" i="1"/>
  <c r="C441" i="1"/>
  <c r="B441" i="1"/>
  <c r="C440" i="1"/>
  <c r="B440" i="1"/>
  <c r="C439" i="1"/>
  <c r="B439" i="1"/>
  <c r="C438" i="1"/>
  <c r="B438" i="1"/>
  <c r="C437" i="1"/>
  <c r="B437" i="1"/>
  <c r="C436" i="1"/>
  <c r="B436" i="1"/>
  <c r="C435" i="1"/>
  <c r="B435" i="1"/>
  <c r="C434" i="1"/>
  <c r="B434" i="1"/>
  <c r="C433" i="1"/>
  <c r="B433" i="1"/>
  <c r="C432" i="1"/>
  <c r="B432" i="1"/>
  <c r="C431" i="1"/>
  <c r="B431" i="1"/>
  <c r="C430" i="1"/>
  <c r="B430" i="1"/>
  <c r="C429" i="1"/>
  <c r="B429" i="1"/>
  <c r="C428" i="1"/>
  <c r="B428" i="1"/>
  <c r="C427" i="1"/>
  <c r="B427" i="1"/>
  <c r="C426" i="1"/>
  <c r="B426" i="1"/>
  <c r="C425" i="1"/>
  <c r="B425" i="1"/>
  <c r="C424" i="1"/>
  <c r="B424" i="1"/>
  <c r="C423" i="1"/>
  <c r="B423" i="1"/>
  <c r="C422" i="1"/>
  <c r="B422" i="1"/>
  <c r="C421" i="1"/>
  <c r="B421" i="1"/>
  <c r="C420" i="1"/>
  <c r="B420" i="1"/>
  <c r="C419" i="1"/>
  <c r="B419" i="1"/>
  <c r="C418" i="1"/>
  <c r="B418" i="1"/>
  <c r="C417" i="1"/>
  <c r="B417" i="1"/>
  <c r="C416" i="1"/>
  <c r="B416" i="1"/>
  <c r="C415" i="1"/>
  <c r="B415" i="1"/>
  <c r="C414" i="1"/>
  <c r="B414" i="1"/>
  <c r="C413" i="1"/>
  <c r="B413" i="1"/>
  <c r="C412" i="1"/>
  <c r="B412" i="1"/>
  <c r="C411" i="1"/>
  <c r="B411" i="1"/>
  <c r="C410" i="1"/>
  <c r="B410" i="1"/>
  <c r="C409" i="1"/>
  <c r="B409" i="1"/>
  <c r="C408" i="1"/>
  <c r="B408" i="1"/>
  <c r="C407" i="1"/>
  <c r="B407" i="1"/>
  <c r="C406" i="1"/>
  <c r="B406" i="1"/>
  <c r="C405" i="1"/>
  <c r="B405" i="1"/>
  <c r="C404" i="1"/>
  <c r="B404" i="1"/>
  <c r="C403" i="1"/>
  <c r="B403" i="1"/>
  <c r="C402" i="1"/>
  <c r="B402" i="1"/>
  <c r="C401" i="1"/>
  <c r="B401" i="1"/>
  <c r="C400" i="1"/>
  <c r="B400" i="1"/>
  <c r="C399" i="1"/>
  <c r="B399" i="1"/>
  <c r="C398" i="1"/>
  <c r="B398" i="1"/>
  <c r="C397" i="1"/>
  <c r="B397" i="1"/>
  <c r="C396" i="1"/>
  <c r="B396" i="1"/>
  <c r="C395" i="1"/>
  <c r="B395" i="1"/>
  <c r="C394" i="1"/>
  <c r="B394" i="1"/>
  <c r="C393" i="1"/>
  <c r="B393" i="1"/>
  <c r="C392" i="1"/>
  <c r="B392" i="1"/>
  <c r="C391" i="1"/>
  <c r="B391" i="1"/>
  <c r="C390" i="1"/>
  <c r="B390" i="1"/>
  <c r="C389" i="1"/>
  <c r="B389" i="1"/>
  <c r="C388" i="1"/>
  <c r="B388" i="1"/>
  <c r="C387" i="1"/>
  <c r="B387" i="1"/>
  <c r="C386" i="1"/>
  <c r="B386" i="1"/>
  <c r="C385" i="1"/>
  <c r="B385" i="1"/>
  <c r="C384" i="1"/>
  <c r="B384" i="1"/>
  <c r="C383" i="1"/>
  <c r="B383" i="1"/>
  <c r="C382" i="1"/>
  <c r="B382" i="1"/>
  <c r="C381" i="1"/>
  <c r="B381" i="1"/>
  <c r="C380" i="1"/>
  <c r="B380" i="1"/>
  <c r="C379" i="1"/>
  <c r="B379" i="1"/>
  <c r="C378" i="1"/>
  <c r="B378" i="1"/>
  <c r="C377" i="1"/>
  <c r="B377" i="1"/>
  <c r="C376" i="1"/>
  <c r="B376" i="1"/>
  <c r="C375" i="1"/>
  <c r="B375" i="1"/>
  <c r="C374" i="1"/>
  <c r="B374" i="1"/>
  <c r="C373" i="1"/>
  <c r="B373" i="1"/>
  <c r="C372" i="1"/>
  <c r="B372" i="1"/>
  <c r="C371" i="1"/>
  <c r="B371" i="1"/>
  <c r="C370" i="1"/>
  <c r="B370" i="1"/>
  <c r="C369" i="1"/>
  <c r="B369" i="1"/>
  <c r="C368" i="1"/>
  <c r="B368" i="1"/>
  <c r="C367" i="1"/>
  <c r="B367" i="1"/>
  <c r="C366" i="1"/>
  <c r="B366" i="1"/>
  <c r="C365" i="1"/>
  <c r="B365" i="1"/>
  <c r="C364" i="1"/>
  <c r="B364" i="1"/>
  <c r="C363" i="1"/>
  <c r="B363" i="1"/>
  <c r="C362" i="1"/>
  <c r="B362" i="1"/>
  <c r="C361" i="1"/>
  <c r="B361" i="1"/>
  <c r="C360" i="1"/>
  <c r="B360" i="1"/>
  <c r="C359" i="1"/>
  <c r="B359" i="1"/>
  <c r="C358" i="1"/>
  <c r="B358" i="1"/>
  <c r="C357" i="1"/>
  <c r="B357" i="1"/>
  <c r="C356" i="1"/>
  <c r="B356" i="1"/>
  <c r="C355" i="1"/>
  <c r="B355" i="1"/>
  <c r="C354" i="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alcChain>
</file>

<file path=xl/sharedStrings.xml><?xml version="1.0" encoding="utf-8"?>
<sst xmlns="http://schemas.openxmlformats.org/spreadsheetml/2006/main" count="63510" uniqueCount="12331">
  <si>
    <t>CaseID</t>
  </si>
  <si>
    <t>Link to AI report</t>
  </si>
  <si>
    <t>Link to Rad report</t>
  </si>
  <si>
    <t>Findings (original radiologist report)</t>
  </si>
  <si>
    <t>Conclusions (original radiologist report)</t>
  </si>
  <si>
    <t>Recommendations (original radiologist report)</t>
  </si>
  <si>
    <t>Original Radiologist</t>
  </si>
  <si>
    <t>Findings (AI report)</t>
  </si>
  <si>
    <t>Conclusions (AI report)</t>
  </si>
  <si>
    <t>Recommendations (AI report)</t>
  </si>
  <si>
    <t>gastritis</t>
  </si>
  <si>
    <t>ascites</t>
  </si>
  <si>
    <t>colitis</t>
  </si>
  <si>
    <t>liver_mass</t>
  </si>
  <si>
    <t>pancreatitis</t>
  </si>
  <si>
    <t>microhepatia</t>
  </si>
  <si>
    <t>small_intestinal_obstruction</t>
  </si>
  <si>
    <t>splenic_mass</t>
  </si>
  <si>
    <t>splenomegaly</t>
  </si>
  <si>
    <t>hepatomegaly</t>
  </si>
  <si>
    <t>Study:
Abdominal radiography: three images dated September 29, 2024
Findings:
The abdominal serosal detail is normal. The stomach contains gas with the pylorus appropriately gas-filled on the left lateral image. The small intestines are normal in size, course and content. The colon contains a small volume of gas with a normal diameter. There is a small amount of poorly formed fecal material in the rectum. The liver and spleen are normal in size and margin. The renal silhouettes are normal in size and shape. The urinary bladder is normal in size and opacity. There is no prostatomegaly. The included thorax is normal with no evidence of cardiomegaly. The patient has multiple, breed associated, congenitally anomalous vertebrae. There is multifocal thoracic spondylosis deformans.</t>
  </si>
  <si>
    <t>Unremarkable abdomen. A cause of vomiting is not evident. There is no radiographic evidence of gastrointestinal foreign material or small intestinal mechanical obstruction. Abdominal sonography can be considered for further evaluation if clinical signs persist or worsen in spite of medical management.</t>
  </si>
  <si>
    <t>As above.</t>
  </si>
  <si>
    <t>Scott Gregorich</t>
  </si>
  <si>
    <t xml:space="preserve">
1.The liver size is at the lower limits of normal to slightly small.
2.Splenic size, shape and margin are normal.
3.The serosal detail is adequate.
4.The stomach contains a mild amount of gas and soft tissue material.
5.No small intestinal segmental dilation is noted.</t>
  </si>
  <si>
    <t>Liver size at the lower limits of normal to microhepatia. Considerations include a chronic hepatopathy causing hepatic dysfunction and secondary GI signs, versus occult portosystemic shunting or microvascular dysplasia.</t>
  </si>
  <si>
    <t xml:space="preserve">
Virtual Radiologist Case Difficulty: MODERATE_x000D_
Virtual Radiologist Confidence: MODERATE_x000D_
If the potential microhepatia is of clinical concern, pre- and post-prandial bile acid testing could be considered in addition to blood work and abdominal ultrasound._x000D_
If GI signs are present, supportive and symptomatic therapy for gastroenteritis can be considered. Repeat radiographs to assess for passage of gastric contents or obstruction, and abdominal ultrasound could be performed for further evaluation.</t>
  </si>
  <si>
    <t>Abnormal</t>
  </si>
  <si>
    <t>Normal</t>
  </si>
  <si>
    <t>Study:_x000D_
Abdominal radiography: three images dated September 29, 2024_x000D_
_x000D_
Findings:_x000D_
The stomach contains a small volume of gas. There is structured soft tissue opaque material containing a striated gas pattern in a small intestinal segment in the caudal abdomen. Other small intestinal segments in the ventral abdomen contain unstructured heterogeneous soft tissue material. There is mild gas dilation of multiple small intestinal segments. The colon contains formed fecal material with a normal diameter. The liver and spleen are normal in size and margin. The renal silhouettes are normal in size and shape. The urinary bladder is normal in size and opacity. The included thorax is normal. The osseous structures are unremarkable/age appropriate.</t>
  </si>
  <si>
    <t>Enteric (suspect textile) foreign body with likely secondary mechanical obstruction. The unstructured heterogeneous soft tissue material also seen in the small intestines likely represents ingesta. Additional foreign material cannot be completely excluded. Consider in hospital supportive care with repeat radiography in 4-6 hours to monitor for persistence or passage of the foreign body versus exploratory laparotomy.</t>
  </si>
  <si>
    <t xml:space="preserve">
1.Liver size, shape and margin are normal._x000D_
2.Splenic size, shape and margin are normal._x000D_
3.Abdominal detail is normal._x000D_
4.The stomach is normal. The small bowel is diffusely gas- and fluid-filled without segmental small bowel dilation.</t>
  </si>
  <si>
    <t>Radiographically normal liver, spleen, GI tract and abdominal detail.</t>
  </si>
  <si>
    <t xml:space="preserve">
If this result is inconsistent with the clinical picture or if you would like another opinion, this study can be submitted to Vetology for further evaluation._x000D_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</si>
  <si>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Abdominal radiography: four images dated September 29, 2024_x000D_
_x000D_
Findings:_x000D_
The abdominal serosal detail is normal. The stomach contains gas with the pylorus appropriately gas-filled on the left lateral image. The thickness of the gastric wall and rugae is within normal limits for the degree of gastric distention. The small intestines are normal in size, course and content. The colon contains gas and a small amount of poorly formed fecal material with a normal diameter. The liver and spleen are normal in size and margin. The renal silhouettes are normal in size and shape. The urinary bladder is normal in size and opacity. The prostate is not visualized. The included thorax is normal. No skeletal abnormalities are present.</t>
  </si>
  <si>
    <t>Unremarkable abdomen. There is no radiographic evidence of gastrointestinal foreign material or small intestinal mechanical obstruction. Abdominal sonography can be considered for further evaluation if clinical signs persist or worsen in spite of medical management.</t>
  </si>
  <si>
    <t xml:space="preserve">
1.The stomach contains small volume gas and scant amorphous soft tissue density material. The small bowel is normal._x000D_
2.Abdominal detail is normal._x000D_
3.Splenic size, shape and margin are normal._x000D_
4.Liver size, shape and margin are normal.</t>
  </si>
  <si>
    <t>The AI result for this case is most compelling for: Normal liver, spleen, GI tract and abdominal detail. If GI signs are present, low grade gastritis or a small amount of gastric foreign material cannot be excluded from this study.</t>
  </si>
  <si>
    <t xml:space="preserve">
Virtual Radiologist Case Difficulty: LOW_x000D_
Virtual Radiologist Confidence: HIGH_x000D_
In a vomiting or anorexic patient and gastric material is present, withhold food for 12-15 hours, supportive care and therapy for gastritis (including IV fluid therapy or access to water) are recommended.  If the symptoms persist, repeat abdominal radiographs 12-15 hours after this series. If material persists in the stomach, concern for gastric foreign material increases and an abdominal ultrasound, positive contrast gastrogram, or endoscopy could be considered to assess for gastric foreign material.</t>
  </si>
  <si>
    <t>Study:
Abdominal radiography: three images dated September 29, 2024
Findings:
There is decreased serosal detail secondary to a mild to moderate amount of peritoneal effusion. The stomach contains unstructured heterogeneous soft tissue material presumed to be ingesta. The small intestines are normal in size, course and content. The colon contains formed fecal material with a normal diameter. The liver is situated within the costal arch and there is no displacement of the gastric axis=ZZ90= however, the left lateral view, the caudal liver margin has a rounded appearance. On the VD view, there is impression of a round soft tissue opaque mass bulging from the medial margin of the tail the spleen. The renal silhouettes are normal in size and shape. The urinary bladder is unremarkable. There is mild T 12-T 13 and L7-S1 spondylosis deformans.</t>
  </si>
  <si>
    <t>1. Suspected splenic mass. Rule out neoplasia, hyperplasia or hematoma. Recommend abdominal sonography for further evaluation of this finding.
2. Given the suspicion for a splenic mass, the peritoneal effusion is concerning for a hemoabdomen. Other causes of peritoneal effusion cannot be excluded. Recommend abdominocentesis for further evaluation.
3. The rounding of the caudal liver margin on the left lateral view suggestive of nonspecific hepatomegaly. This finding could be secondary to neoplasia, hyperplasia, metabolic/vacuolar hepatopathy or hepatitis. Abdominal sonography is also recommended for further evaluation of this finding.</t>
  </si>
  <si>
    <t xml:space="preserve">
1.Soft tissue opacity extending caudoventral to the stomach may represent enlarged liver or splenic tail._x000D_
2.Cranial abdominal detail is decreased. This may be secondary to a confluence of soft tissues and/or regional inflammation or abdominal fluid._x000D_
3.The gastric axis is caudally displaced._x000D_
4.No abnormal AI findings reported.</t>
  </si>
  <si>
    <t>Soft tissue density in the cranioventral abdomen may represent hepatomegaly versus normal splenic tail. Decreased cranial abdominal detail. DDx: confluence of soft tissue structures vs. regional inflammation and/or abdominal fluid or lymphadenopathy.</t>
  </si>
  <si>
    <t xml:space="preserve">
Blood work and screening thoracic radiographs._x000D_
Further evaluation of the liver and spleen with ultrasound._x000D_
Coagulation profile, platelet count and PCV prior to tissue sampling._x000D_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</si>
  <si>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Thoracic radiography: three images dated September 29, 2024_x000D_
A right lateral projection of the abdomen is also present in the study._x000D_
_x000D_
Findings:_x000D_
The cardiac silhouette is normal in size and shape. The pulmonary vasculature is normal in size. There is a mild generalized bronchointerstitial pulmonary pattern. No pulmonary nodules or masses are present. On the VD view, there is a thin pleural fissure line between the right cranial and middle lung lobes. There is no intrathoracic lymphadenopathy. There is mild T 12-T 13 spondylosis deformans. There is a small soft tissue opaque nodule in the subcutaneous tissues of the caudodorsal cervical region_x000D_
_x000D_
Comments:_x000D_
 Please the other submission for interpretation of the abdomen.</t>
  </si>
  <si>
    <t>1. There is no radiographic evidence of heart disease. Consider echocardiography for further evaluation of the reported heart murmur._x000D_
2. The mild diffuse bronchointerstitial pulmonary pattern is a nonspecific finding. This may be a benign age-related change or may indicate allergic, inflammatory, infectious, inhaled irritant or parasitic bronchitis. Airway sampling plus/minus heartworm testing and Baermann fecal flotation can be considered to further evaluate for lower airway disease._x000D_
3. The pleural fissure line seen in the right hemithorax on the VD view may indicate incidental tangential visualization or pleural thickening. Trace pleural effusion is considered less likely._x000D_
5. There is no evidence of pulmonary metastatic disease._x000D_
6. Caudodorsal cervical subcutaneous nodule. Rule out benign or malignant neoplasia, cyst or granuloma. Fine needle aspiration and cytology can be considered for further evaluation if clinically relevant.</t>
  </si>
  <si>
    <t xml:space="preserve">
1.The liver extends moderately beyond the costal arch with a smooth margin._x000D_
2.The spleen is normal in size and margin._x000D_
3.Abdominal detail is normal._x000D_
4.The abdomen is pendulous._x000D_
5.The stomach contains a small volume of gas._x000D_
6.The small intestines are normal in size, course and content._x000D_
7.Portions of the colon have a rigid appearance.</t>
  </si>
  <si>
    <t>Moderate hepatomegaly is nonspecific. Rule out metabolic/vacuolar hepatopathy, including Cushing's disease, vs. hyperplasia, hepatitis or infiltrative neoplasia. Evidence of colitis.</t>
  </si>
  <si>
    <t xml:space="preserve">
Blood work and abdominal ultrasound +/- pre- and post-prandial bile acids for further evaluation of the hepatomegaly. Bile acids are NOT recommended if bilirubin is elevated._x000D_
If clinical signs of Cushing's disease are present, adrenal function testing, systemic blood pressure evaluation and urinalysis with culture are recommended._x000D_
If dyschezia is present, empirical therapy for colitis and fecal evaluation and/or empirical deworming are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</si>
  <si>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Abdominal radiography: three images dated September 29, 2024_x000D_
_x000D_
Findings:_x000D_
The abdominal serosal detail is normal. The stomach contains a small volume of gas. There is a, likely clinically insignificant, punctate mineral focus in a small intestinal segment in the right mid abdomen The small intestines are otherwise normal in size, course and content. The colon contains gas and a small amount of poorly formed fecal material. The liver and spleen are normal in size and margin. The renal silhouettes are normal in size and shape. The urinary bladder is normal in size and opacity. There is no prostatomegaly. The included thorax is normal. There is moderate bilateral stifle periarticular bone formation.</t>
  </si>
  <si>
    <t>1. Unremarkable abdomen. A cause of the gastrointestinal signs is not evident. There is no radiographic evidence of gastrointestinal foreign material or small intestinal mechanical obstruction. Abdominal sonography can be considered for further evaluation if clinical signs persist or worsen in spite of medical management. _x000D_
2. Moderate bilateral stifle osteoarthrosis.</t>
  </si>
  <si>
    <t xml:space="preserve">
1.The liver and spleen are normal._x000D_
2.There is a focal loss of serosal detail in the cranial abdomen on the VD projection._x000D_
3.The pyloroduodenal is widened and the proximal duodenum contains a mild amount of air._x000D_
4.The gastric lumen contains a mild amount of soft tissue and gas opacity._x000D_
5.The gastric rugae are prominent._x000D_
6.The small intestine is of uniform population size and is diffusely of soft tissue opacity with minimal gas opacity._x000D_
7.No mechanical ileus is visualized._x000D_
8.The colon contains a mild amount of gas caudally and ill-formed heterogenous fecal material cranially._x000D_
9.No abnormal AI findings reported.</t>
  </si>
  <si>
    <t>Widened pyloroduodenal angle with proximal duodenal gas and focal loss of right cranial serosal detail. These findings are consistent with cranial abdominal inflammation (i.e - pancreatitis, gastritis, duodenitis). Appearance to the stomach suggestive of gastritis. Appearance of the small intestine and colon is consistent with non-specific enteritis and colitis, potentially secondary to #1.</t>
  </si>
  <si>
    <t xml:space="preserve">
Virtual Radiologist Case Difficulty: LOW_x000D_
Virtual Radiologist Confidence: HIGH_x000D_
Recommend full bloodwork, canine pancreatic lipase assay and abdominal ultrasound, if not already performed._x000D_
In the interim, recommend fluids, analgesics, gastroprotectants, antiemetics, and appetite stimulants as clinically indicated.</t>
  </si>
  <si>
    <t>Three orthogonal radiographs of the abdomen dated 29 September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diffusely mildly distended with a mixture of gas and fluid and have a turgid appearance. No segmental dilation is present. No foreign body seen. The descending colon contains mainly gas and some poorly formed faeces. The urinary bladder is filled. The serosal detail is normal._x000D_
_x000D_
Extra-abdominal findings: The patient is obese. There is lumbosacral spondylosis deformans, and severe coxofemoral osteoarthritis, worse on the right._x000D_
_x000D_
Included thorax: No significant abnormalities are detected.</t>
  </si>
  <si>
    <t>1. The overall impression is one of gastroenteritis.  This may be due to dietary indiscretion, or infectious-inflammatory causes. There is no evidence of a mineral opaque foreign body, or complete mechanical obstruction.  A partial obstruction by non-mineral opaque foreign material cannot be excluded.   Pancreatitis is possible, definitively in light of body habitus.</t>
  </si>
  <si>
    <t>Supportive management including rehydration, gastroprotectants,  full blood work, faecal analysis if clinically indicated is advised, if not already performed. Repeat 3-view post fasting radiographs depending on clinical progression or consider an abdominal ultrasound. If vomiting continues without development of diarrhea, an upper GI contrast study may also be considered.</t>
  </si>
  <si>
    <t>Fred Pauwels</t>
  </si>
  <si>
    <t xml:space="preserve">
1.Resource: https://platform.v2.vetology.net/doc/liver_disease_x000D_
2.Splenic size, shape and margin are normal._x000D_
3.Abdominal detail is satisfactory._x000D_
4.The ventral abdominal line is pendulous._x000D_
5.In most cases, the stomach and small bowel are minimally filled however in a small number of cases, gastric distention will silhouette with the liver artifactually creating the appearance of hepatomegaly._x000D_
6.Formed feces in the distal colon._x000D_
7.On the lateral projection, the liver is mildly enlarged with rounded margins. Less commonly, gastric distention silhouetting with the liver can trigger this AI result.</t>
  </si>
  <si>
    <t>Mild hepatomegaly with a pendulous abdomen. DDx: fat deposition vs. steroid hepatopathy. An inflammatory or neoplastic process are next on the differential list. Less commonly, gastric distention silhouetting with the liver can trigger this AI result. This should be correlated with clinical signs and blood work.</t>
  </si>
  <si>
    <t xml:space="preserve">
Virtual Radiologist Case Difficulty: MODERATE_x000D_
Virtual Radiologist Confidence: MODERATE_x000D_
A CBC, blood chemistry profile, urinalysis, adrenal function testing and systemic blood pressure are recommended, particularly if signs consistent with Cushing's disease are present._x000D_
For more information about liver enzyme elevation, click https://vetology-education-liver-enzyme-interpretation-liver-function-tests</t>
  </si>
  <si>
    <t>Patient Name : Piper Johnson, Date of study: Sep 28, 2024
3 images are provided for review
Canine Abdomen (3 Images) - 1 Vd, 2 Lateral
There are no previous radiographs for comparison.
Liver: The liver is subjectively normal in size.
Spleen: The spleen is normal in size with smooth margins and homogeneous soft tissue.
Kidneys: The right kidney is partially obscured without obvious enlargement or mineral.  The left kidney is normal.
Retroperitoneum: Retroperitoneal detail is adequate.
Urinary bladder/Urethra: The urinary bladder is partially obscured without obvious enlargement or mineral.
Reproductive:  No obvious uterine horn enlargement.
Peritoneum: Peritoneal detail is adequate.
Gastrointestinal tract: The stomach contains a moderate to large volume of fluid and mild gas.  Gas is suspected in the pylorus in the left lateral image.   The stomach is within normal limits for size.
The small intestine contains mild to moderate fluid, minimal gas, or is empty with a subjectively uniform population for size. 
The colon contains mild gas or is empty.  The colon is within normal limits for size.  
Musculoskeletal: The included musculoskeletal structures are normal.</t>
  </si>
  <si>
    <t>1. Gastric enlargement due to gastritis/delayed emptying, or occult pyloric outflow tract obstruction, or occult proximal duodenal obstruction are considered.
2. Non-specific small intestinal and colon changes such as from enteritis, colitis, or unlikely other.
- Differential diagnoses include dietary indiscretion, toxin ingestion, diet/antibiotic responsive disease, inflammatory bowel disease, pancreatitis, occult systemic disease or unlikely other.</t>
  </si>
  <si>
    <t>Etiology of reported vomiting is not definitively identified, but given enlargement of the stomach and severity of signs reported, occult pyloric outflow tract and/or proximal duodenal obstruction are considered.   Consider abdominal ultrasonography for further evaluation of the pylorus/duodenum, versus contrast gastrography/double contrast gastrography, or repeat abdominal radiographs after 8-12 hours of empirical therapy/supportive care to monitor for persistence/improvement of the gastric changes. If confirmed, consider gastroscopy versus celiotomy and gastrotomy/enterotomy.
 Consider GI panel, fecal analysis/deworming, and routine blood work for further evaluation, especially if occult mechanical ileus is ruled out.  Empirical therapy and supportive care in the interim as needed.  Monitoring as directed or sooner if clinical signs acutely change, fail to improve or worsen.</t>
  </si>
  <si>
    <t>Andrew Fox</t>
  </si>
  <si>
    <t xml:space="preserve">
1.No abnormal AI findings reported._x000D_
2.The liver and spleen are normal in size and shape._x000D_
3.Serosal detail within the peritoneal space is normal._x000D_
4.The stomach contains a small volume of fluid opaque material and gas. The gastric rugae appear prominent._x000D_
5.The small bowel contains gas and fluid and is normal in diameter._x000D_
6.The colon contains scant fecal material and gas.</t>
  </si>
  <si>
    <t>Small quantity of material in the stomach and prominent gastric rugae. DDx: normal post-prandial stomach vs. gastritis. This finding should be correlated to any GI signs or unexplained pain (tachypnea).</t>
  </si>
  <si>
    <t xml:space="preserve">
Virtual Radiologist Case Difficulty: LOW_x000D_
Virtual Radiologist Confidence: HIGH_x000D_
Further evaluation of the stoamch as clinically warranted. Consider gastroprotectant therapy if unexplained pain is clinically present.</t>
  </si>
  <si>
    <t>Patient Name : Aria Davis, Date of study: Sep 28, 2024
7 images are provided for review
There are no previous radiographs for comparison.
Pulmonary parenchyma: A minimal to mild diffuse interstitial pattern is present.  The lungs are hypoinflated.
Pulmonary vasculature: The pulmonary vasculature is subjectively normal in size and tapers in the periphery of the lungs.
Cardiac silhouette: The cardiac silhouette is normal in size and shape.
Mediastinum: The cranial mediastinum is symmetrically widened in the ventrodorsal image, without obvious increased soft tissue in the lateral images.
Trachea: The trachea is normal.
Esophagus: The esophagus is not well-identified.
Pleural space: The pleural space is normal.
Liver: The liver is mildly small with cranial displacement of the gastric axis.
Spleen: The spleen is normal in size with smooth margins and homogeneous soft tissue.
Kidneys: The kidneys are partially obscured without obvious enlargement or mineral.
Retroperitoneum: Retroperitoneal detail is adequate.
Urinary bladder/Urethra: The urinary bladder is normal in size, homogeneous soft tissue, and smoothly marginated.
Reproductive:  No obvious uterine horn enlargement or obvious increased soft tissue in the region of the uterine stump.
Peritoneum: Peritoneal detail is adequate.
Gastrointestinal tract: The stomach contains a moderate volume of gas and soft tissue material.   The stomach is within normal limits for size.
The small intestine contains mild gas with a subjectively uniform population for size. 
The colon contains moderate gas and mild soft tissue material. The colon is within normal limits for size.  
Musculoskeletal: Multiple prominent nipples are present and these superimpose over the caudal lung/cranial abdomen in the ventrodorsal image.  A fat opaque, broad-based nodule arises from the mid-ventral abdominal body wall.  Multiple metal staples are in the ventral abdominal body wall adjacent to the fat opaque nodule.   Bilateral stifle osteoarthrosis is present. The remaining included musculoskeletal structures are normal.</t>
  </si>
  <si>
    <t>1. Mild diffuse interstitial pulmonary pattern and hypoinflation.
- Differential diagnoses include artifact from hypoinflation, fibrosis from prior disease, age-related changes, or unlikely infectious/immune-mediated lower airway disease, or inhaled allergen/irritant, or other.
2. Mild widened cranial mediastinum due to fat deposition/breed-related changes, or evolving lymphadenomegaly or unlikely primary mass or other.
3. No obvious pulmonary soft tissue nodules.
4. Mild microhepatia versus individual variation of normal.
- If present, differential diagnoses include portosystemic shunting vessel or unlikely other.
5. Mid-ventral abdominal body wall fat opaque nodule is consistent with reported hernia, versus evolving lipoma.
6. No evidence of stump pyometra in this examination.</t>
  </si>
  <si>
    <t>Consider computed tomography of the neck/thorax/abdomen for further evaluation and pre-surgical planning of reported neck mass excisional/incisional biopsy.  If mammary gland nodules/masses are identified, computed tomography may also be beneficial for pre-surgical planning of mastectomy.  Oncologist consultation depending on results.   Bile acid testing and coagulation testing may be contributory prior to tissue sampling.   Empirical therapy and supportive care for cough in the interim as needed.  Monitoring as directed or sooner if clinical signs acutely change, fail to improve or worsen.</t>
  </si>
  <si>
    <t xml:space="preserve">
1.The liver is enlarged._x000D_
2.The spleen and abdominal serosal detail are within normal limits._x000D_
3.The stomach is mildly gas and fluid filled with some soft tissue density material. The small bowel is gas and fluid-containing. No obvious obstruction._x000D_
4.No abnormal AI findings reported.</t>
  </si>
  <si>
    <t>The AI result for this case is most compelling for: Mild hepatomegaly. This is a nonspecific finding that may be due to steroid or endocrine hepatopathy. Less likely considerations include infiltrative neoplasia, or acute inflammation.</t>
  </si>
  <si>
    <t xml:space="preserve">
Virtual Radiologist Case Difficulty: MODERATE_x000D_
Virtual Radiologist Confidence: MODERATE_x000D_
If clinical signs persist despite supportive care, blood work and abdominal ultrasound could be considered.</t>
  </si>
  <si>
    <t>Study:_x000D_
Abdominal radiography: three images dated September 28, 2024_x000D_
_x000D_
Findings:_x000D_
The serosal detail is normal. The stomach contains gas with the pylorus appropriately gas-filled on the left lateral image. Some small intestinal segments contain a small amount of granular soft tissue material. The small intestines are normal in size and course. The colon contains gas and formed fecal material. The cecum is gas filled. The liver and spleen are normal in size and margin. The renal silhouettes are normal in size and shape. The urinary bladder is normal in size and opacity. There is no prostatomegaly. The included thorax is normal. The patient has multiple, breed associated, congenitally anomalous vertebrae. There is mild multifocal thoracic spondylosis deformans.</t>
  </si>
  <si>
    <t>The small amount of granular soft tissue material seen in the small intestines likely indicates ingesta. Foreign material cannot be completely excluded. There is no evidence of small intestinal mechanical obstruction.</t>
  </si>
  <si>
    <t>Abdominal sonography can be considered for further evaluation if clinical signs persist or worsen in spite of medical management.</t>
  </si>
  <si>
    <t xml:space="preserve">
1.Resouce: https://platform.v2.vetology.net/doc/liver_disease_x000D_
2.Mild microhepatia is present with cranial positioning to the gastric axis._x000D_
3.Splenic size, shape and margin are normal._x000D_
4.Abdominal detail is normal._x000D_
5.The stomach contains a mild to moderate volume of gas and soft tissue material. The gastric axis is cranially positioned due to the microhepatia._x000D_
6.The small bowel is diffusely gas- and fluid-filled without segmental small bowel dilation._x000D_
7.The colon contains mild to moderate heterogeneous soft tissue material and gas.</t>
  </si>
  <si>
    <t>Microhepatia resulting in cranial positioning to the stomach. Ddx: In a young dog, consider microvascular dysplasia or a congenital portosystemic shunt. In an older dog, consider chronic liver disease resulting in cirrhosis. No abdominal fluid is noted at this time. Appearance to the GI tract is suggestive of gastroenteritis. This finding should be correlated to clinical signs.</t>
  </si>
  <si>
    <t xml:space="preserve">
Virtual Radiologist Case Difficulty: LOW_x000D_
Virtual Radiologist Confidence: HIGH_x000D_
CBC, serum biochemsitry, GI panel and empirical therapy for gastroenteritis, as clinically warranted.._x000D_
Consider bile acid testing, coagulation testing, computed tomography portography and/or ultrasonography of the liver with/without biopsy for a definitive diagnosis, if clinically and or biochemically indicated.</t>
  </si>
  <si>
    <t>Study:_x000D_
Thoracic and abdominal radiography: six images dated September 28, 2024_x000D_
_x000D_
Findings:_x000D_
There is mild microcardia and attenuation of the pulmonary vasculature. There is mild narrowing of the caudal vena cava. The pulmonary parenchyma is unremarkable. No nodules or masses are present. The pleural space is normal. There is no intrathoracic lymphadenopathy. The trachea is normal in diameter. There is decreased serosal detail secondary to a moderate to severe amount of peritoneal effusion. The liver is mildly enlarged causing caudal displacement of the gastric axis. On the left lateral projection, the caudal margin of the liver has a rounded appearance on both lateral projections, there is the impression of an indistinct round soft tissue opaque mass in the caudal abdomen just cranial to the urinary bladder. The stomach contains unstructured heterogeneous soft tissue material presumed to be ingesta. The small intestines are normal in size and content. The colon contains gas and poorly formed fecal material. The renal silhouettes are normal in size and contour. The urinary bladder is normal in size and opacity. There is no prostatomegaly. There is mild L1-L2 spondylosis deformans.</t>
  </si>
  <si>
    <t>1. Suspect the caudal abdominal mass. Consider a splenic mass, recurrent intestinal smooth muscle tumor or lymphadenopathy. Recommend abdominal sonography for further evaluation._x000D_
2. The hepatomegaly is nonspecific. Consider vacuolar hepatopathy, hyperplasia, hepatitis or neoplasia. The rounding of the liver margin on the left lateral projection may be more suggestive of a neoplastic etiology. Abdominal sonography is also recommended for further evaluation of this finding._x000D_
3. Moderate to severe nonspecific peritoneal effusion. Recommend abdominocentesis for further evaluation._x000D_
4. The microcardia, attenuation of the pulmonary vasculature and narrowing of the caudal vena cava are suggestive of hypovolemia._x000D_
5. There is no evidence of pulmonary metastatic disease.</t>
  </si>
  <si>
    <t xml:space="preserve">
1.The stomach is mildly gas and fluid filled with some soft tissue density material. The small bowel is gas and fluid-containing. No obvious obstruction._x000D_
2.No abnormal AI findings reported._x000D_
3.The liver is mildly enlarged but retains a smooth margin._x000D_
4.Splenic size, shape and margin are normal.</t>
  </si>
  <si>
    <t>The AI result for this case is most compelling for: Mild to moderate hepatomegaly. This is a nonspecific finding that may be due to fat deposition, steroid, or endocrine hepatopathy. Less likely considerations include infiltrative neoplasia, or acute inflammation. Decreased mid-abdominal detail. The differential diagnoses for this include confluence of soft tissues due to the hepatomegaly vs. small volume abdominal fluid. The appearance of the GI tract is likely related to normal ingesta in the absence of GI symptoms. However, if GI symptoms are present, gastroenteritis/colitis secondary to dietary indiscretion or infectious etiology is favored. No evidence of obstruction.</t>
  </si>
  <si>
    <t xml:space="preserve">
Virtual Radiologist Case Difficulty: MODERATE_x000D_
Virtual Radiologist Confidence: MODERATE_x000D_
Based on clinical signs and blood work, further evaluation of the liver and/or GI tract via abdominal ultrasound may be considered.</t>
  </si>
  <si>
    <t>Patient Name : Tilly Cunningham, Date of study: Sep 28, 2024
4 images are provided for review
Additional images dated [09/28/2024 Case#2771504] are available.
Liver: The liver is subjectively normal in size.
Spleen: The spleen is normal in size with smooth margins and homogeneous soft tissue.
Kidneys: The kidneys are partially obscured without obvious enlargement or mineral.  
Retroperitoneum: Retroperitoneal detail is adequate.
Urinary bladder/Urethra: The urinary bladder is normal in size, homogeneous soft tissue, and smoothly marginated.
Reproductive:  No obvious uterine horn enlarged is identified.
Peritoneum: Peritoneal detail is adequate.
Gastrointestinal tract: The stomach contains a moderate gas and mild admixed soft tissue material.   Gas is in the pylorus in the left lateral image.  The stomach is within normal limits for size.
The small intestine contains mild fluid or is empty with a subjectively uniform population for size. 
The colon contains mild to moderate gas and mild heterogeneous soft tissue material.  The colon wall is mildly spastic in the ventrodorsal image.  The colon is within normal limits for size.  
Musculoskeletal: The included musculoskeletal structures are normal.</t>
  </si>
  <si>
    <t>1. Non-specific gastrointestinal tract appearance such as from gastritis, enteritis, colitis, or  individual variation of normal given reported history.
- There is no current evidence of gastrointestinal mechanical ileus.
- Differential diagnoses include dietary indiscretion, toxin ingestion, diet/antibiotic responsive disease, inflammatory bowel disease, pancreatitis, occult systemic disease or unlikely other.
2. No obvious uterus/uterine horn or ovarian enlargement are identified.</t>
  </si>
  <si>
    <t>Etiology of reported clinical signs are not definitively identified.  Consider hormonal assay and internist or theriogenologist consultation for further evaluation.  Alternatively, ovariohysterectomy may be contributory.  Empirical therapy and supportive care in the interim as needed.  Monitoring as directed or sooner if clinical signs acutely change, fail to improve or worsen.</t>
  </si>
  <si>
    <t xml:space="preserve">
1.Liver size, shape and margin are normal._x000D_
2.Splenic size, shape and margin are normal._x000D_
3.Abdominal detail is normal._x000D_
4.The gastric rugae are prominent. The small bowel is diffusely gas- and fluid filled without segmental small bowel dilation.</t>
  </si>
  <si>
    <t>The AI result for this case is most compelling for:  Normal post-prandial GI tract or low grade gastroenteritis. This may be caused by dietary indiscretion, GI parasites, or more chronic low grade IBD. Bowel obstruction is not suspected.</t>
  </si>
  <si>
    <t xml:space="preserve">
If this patient is vomiting or anorexic, supportive care and repeat abdominal radiographs following no food for 12-15 hours, and access to water or IV fluid therapy is recommended. If material persists in the stomach, concern for gastric foreign material increases and an abdominal ultrasound, positive contrast gastrogram, or endoscopy could be considered to assess for gastric foreign material._x000D_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</si>
  <si>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Rocky Beale, Date of study: Sep 28, 2024
7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No obvious prostatomegaly.  N.B. patient signalment is listed as "Male/INTACT".
Peritoneum: Peritoneal detail is adequate.
Gastrointestinal tract: The stomach contains a moderate volume of gas and mild fluid. Gas ios in the pylorus in the left lateral image.   The stomach is within normal limits for size.
The small intestine contains minimal gas and mild fluid or is empty with a subjectively uniform population for size. 
The colon contains mild heterogeneous soft tissue material and gas.  The colon is within normal limits for size.  
Musculoskeletal: The included musculoskeletal structures are normal.</t>
  </si>
  <si>
    <t xml:space="preserve">1. Non-specific gastrointestinal tract appearance such as from enteritis, colitis, or less likely variation of normal given reported history.
- There is no current evidence of gastrointestinal mechanical ileus.
- Differential diagnoses include dietary indiscretion, toxin ingestion, diet/antibiotic responsive disease, inflammatory bowel disease, pancreatitis, occult systemic disease or unlikely other.
</t>
  </si>
  <si>
    <t>Consider GI panel and fecal analysis/deworming.  Consider also abdominal ultrasonography for further evaluation depending on results of additional diagnostics and response to therapy/supportive care.  Empirical therapy and supportive care in the interim as needed for suspected gastroenterocolitis.  Monitoring as directed or sooner if clinical signs acutely change, fail to improve or worsen.</t>
  </si>
  <si>
    <t xml:space="preserve">
1.No abnormal AI findings reported._x000D_
2.No abnormal AI findings reported._x000D_
3.The stomach is empty._x000D_
4.Liver and splenic size, shape and margin are unremarkable._x000D_
5.The small bowel is diffusely fluid- and gas-filled with a semi-rigid appearance._x000D_
6.On the VD projection, right cranial abdominal detail is decreased and the individual bowel loops cannot be distinguished.</t>
  </si>
  <si>
    <t>Decreased right cranial abdominal detail. Rule out regional inflammation secondary to active pancreatitis vs.  pyloroduodenal disease with secondary inflammation. No segmental small bowel dilation noted. Fluid- and gas-filled small bowel without segmental bowel dilation.</t>
  </si>
  <si>
    <t xml:space="preserve">
Virtual Radiologist Case Difficulty: MODERATE_x000D_
Virtual Radiologist Confidence: MODERATE_x000D_
Pancreatic testing._x000D_
Abdominal ultrasound to assess for right cranial abdominal disease (pancreatitis vs.  pyloroduodenal disease).</t>
  </si>
  <si>
    <t>4 images of the abdomen are presented for review.  Serosal detail is adequate in all quadrants.  The stomach contains a moderate amount of gas.  Several small intestinal segments are dilated with gas and soft tissue material with a regular pattern of gas lucencies.  These are above normal limits for size and larger than other segments.  Gas is present in the colon.  The urinary bladder is small.  The remaining abdominal organs are normal.</t>
  </si>
  <si>
    <t>Segmental small intestinal dilation consistent with mechanical obstruction.  Intraluminal contents suggest foreign material such as corn cob.</t>
  </si>
  <si>
    <t>Consider abdominal exploratory.</t>
  </si>
  <si>
    <t>Amanda Crabtree</t>
  </si>
  <si>
    <t xml:space="preserve">
1.No abnormal AI findings reported._x000D_
2.No abnormal AI findings reported._x000D_
3.The liver and spleen are normal size._x000D_
4.There are a few loops of minimally distended small bowel, as well as several loops that are moderately dilated with gas._x000D_
5.Small-volume gas is present within the stomach.</t>
  </si>
  <si>
    <t>The AI result for this case is most compelling for: Gastroenteritis, likely related to dietary indiscretion versus infectious or inflammatory causes. In the presence of GI symptoms, the appearance of the GI tract is concerning for ileus or obstruction.</t>
  </si>
  <si>
    <t xml:space="preserve">
Virtual Radiologist Case Difficulty: MODERATE_x000D_
Virtual Radiologist Confidence: MODERATE_x000D_
If  the  patient  is  markedly  painful,  depressed,  with  intractable  vomiting,  exploratory  surgery  may be considered. Otherwise, supportive care and abdominal ultrasound could be considered to confirm/rule out intestinal obstruction.</t>
  </si>
  <si>
    <t>Patient Name : Anakin Koontz, Date of study: Sep 28, 2024
7 images are provided for review
There are no previous radiographs for comparison.
Bones/Joints:
Minimal bilateral coxofemroal joint osteoarthrosis is suspected as a rim of osteophytes at the junction of the femoral heads and necks.  There is adequate coverage of the femoral heads by the acetabulums.
The left stifle has no evidence of osteoarthrosis.
The right stifle has no evidence of osteoarthrosis.  
L3-4 and L4-5 spondylosis deformans is present.
L5-6 is slightly narrowed.
There is no evidence of medullary sclerosis, osteolysis, endosteal scalloping, or periosteal proliferation.
Soft tissues:  The included soft tissues are normal.</t>
  </si>
  <si>
    <t>1. Possible L5-6 intervertebral disc space narrowing.
2. Minimal bilateral coxofemoral joint osteoarthrosis.
3. No obvious evidence of mineral over the intervertebral foramina such as from extruded mineralized disc material.</t>
  </si>
  <si>
    <t>Etiology of reported clinical signs are not definitively identified.  Thoracic/abdominal imaging to screen for occult systemic disease.  Consider routine blood work and neurologist consultation with MRI (head for evaluation of seizures and/or spine for evaluation of ataxia), especially if clinical signs fail to improve, change or worsen in the face of empirical therapy and supportive care.</t>
  </si>
  <si>
    <t xml:space="preserve">
1.The liver is upper limits of normal for size to mildly enlarged but retains smooth margins._x000D_
2.A soft tissue mass effect is present in the mid-abdomen causing bowel displacement from this region._x000D_
3.Pendulous abdomen secondary to organomegaly._x000D_
4.Abdominal detail is diffusely decreased diffusely but with the most severe decrease in abdominal detail caudal to the stomach._x000D_
5.Small volume ingesta is present within the stomach._x000D_
6.Small intestines are displaced into the mid and caudal abdomen but the bowel diameter is normal._x000D_
7.Formed feces is present in the colon.</t>
  </si>
  <si>
    <t>Mid abdominal mass or mass effect. DDx; splenomegaly vs. splenic mass vs. less common, lymphadenopathy, renal mass or severe pancreatitis/pancreatic mass. A pedunculated hepatic mass extending into the mid-abdomen is also a lesser consideration. Neoplasia such as hemangiosarcoma is most likely. Hematoma or hemangioma are next on the differential list. Mild hepatomegaly, a nonspecific finding that may be due to venous congestion, steroid hepatopathy, inflammation, or nmetastatic neoplasia. Decreased abdominal detail. DDx: secondary to confluence of soft tissue structures and/or abdominal fluid.</t>
  </si>
  <si>
    <t xml:space="preserve">
Virtual Radiologist Case Difficulty: MODERATE_x000D_
Virtual Radiologist Confidence: MODERATE_x000D_
Abdominal ultrasound is recommended._x000D_
Three view thoracic radiographs upon confirmation of an abdominal mass.</t>
  </si>
  <si>
    <t>Study:_x000D_
Abdominal radiography: three images dated September 28, 2024_x000D_
_x000D_
Findings:_x000D_
The stomach contains gas with the pylorus appropriately gas-filled on the left lateral image. The small intestines are normal in size, course and content. The colon contains formed fecal material. The liver is small with smooth margins. The spleen is normal in size and margin. The kidneys are normal in size and contour. Too numerous to count mineral opaque calculi measuring up to 2.6 cm are present in the urinary bladder. No calculi are present in the region of the urethra. The included thorax is normal. There is moderate left hip dysplasia and remodeling/thickening of the femoral head and neck. The patient is of overweight body condition.</t>
  </si>
  <si>
    <t>1. Cystolithiasis. Recommend urinalysis for further evaluation. Consider dissolution versus cystotomy._x000D_
2. Microhepatia. Rule out normal variant, vascular anomaly or chronic hepatitis/cirrhosis. Correlate with any liver enzyme abnormalities. Abdominal sonography and bile acid testing can be considered for further evaluation if clinically relevant._x000D_
3. Moderate left hip dysplasia and coxofemoral osteoarthrosis.</t>
  </si>
  <si>
    <t xml:space="preserve">
1.Liver size is at the lower limits of normal to slightly small with cranial displacement of the gastric axis._x000D_
2.Resource: https://platform.v2.vetology.net/doc/microhepatia_and_giulcers_x000D_
3.Splenic size, shape and margin are normal._x000D_
4.Cranial abdominal detail is mildly decreased._x000D_
5.The stomach is mildly to moderately gas distended._x000D_
6.The small bowel is diffusely gas- and fluid-filled with intestinal distention approaching the upper limit of normal. In a small portion of cases, uterine horn distention could mimic small bowel dilation.</t>
  </si>
  <si>
    <t>Microhepatia. DDx: portosystemic shunting vessel, microvascular dysplasia or both, or less commonly, chronic hepatopathy with cirrhosis. Mild to moderate gastric distention. Diffusely fluid distended small bowel approaching the upper limits of normal. While a functional ileus secondary to enteritis is more likely, a mechanical obstruction cannot be ruled out. The AI result for this case is most compelling for: microhepatia. Concurrent gastric distention may be secondary to aerophagia, gastritis or less commonly, intestinal obstruction.</t>
  </si>
  <si>
    <t xml:space="preserve">
For the GI tract, if vomiting is present, rule out underlying causes of gastroenteritis including fecal analysis and empirical deworming. Submission of this study for radiologist review should be strongly considered if there is clinical concern for a small intestinal obstruction._x000D_
CBC, serum biochemistry, pre- post-prandial bile acids and ammonia testing for further evaluation of the liver._x000D_
If a portosystemic shunt is suggested on these results, consider computed tomography portography for further evaluation, with/without hepatic biopsy._x000D_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</si>
  <si>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rocky Portugal, Date of study: Sep 28, 2024
3 images are provided for review
Canine Abdomen (3 Images) - 2 Lateral, 1 Vd
There are no previous radiographs for comparison.
Liver: The liver is subjectively normal in size.
Spleen: The spleen is normal in size with smooth margins and homogeneous soft tissue.
Kidneys: The right kidney is partially obscured without obvious enlargement or mineral.  The left kidney is normal in size and shape in the ventrodorsal image.
Retroperitoneum: Retroperitoneal detail is adequate.
Urinary bladder/Urethra: The urinary bladder is partially obscured without obvious enlargement or mineral.
Peritoneum: Peritoneal detail is adequate.
Gastrointestinal tract: The stomach contains a mild volume of gas.   Gas is in the pylorus in the left lateral image.  The stomach is within normal limits for size.
The small intestine contains minimal gas and mild fluid or is empty with a subjectively uniform population for size.  No obvious cloth small intestinal content or plication of the intestine in this examination.  
The colon contains moderate heterogeneous soft tissue material and gas.  Minimal mineral material is ademixed with colonic content. The colon is within normal limits for size.  
Musculoskeletal: The included musculoskeletal structures are normal.</t>
  </si>
  <si>
    <t xml:space="preserve">1. Non-specific gastrointestinal tract appearance such as from enteritis, colitis, or unlikely variation of normal given reported history.
- There is no current evidence of gastrointestinal mechanical ileus.
- Differential diagnoses include dietary indiscretion (possibly mineral colonic material), or given reported history, unlikely toxin ingestion, diet/antibiotic responsive disease, inflammatory bowel disease, pancreatitis, occult systemic disease or unlikely other.
</t>
  </si>
  <si>
    <t xml:space="preserve">No current evidence of small intestinal mechanical ileus is identified, but reported history is suspicious.  Empirical therapy/supportive care and consider compression radiographs over the mid-abdomen or ultrasonography versus repeat radiographs after 8-12 hours of fasting and therapy.  If signs worsen in the face of empirical therapy, repeat imaging sooner to re-screen for evolving mechanical ileus.  Consider thoracic imaging for further evaluation of occult systemic disease/pneumonia given reported vomiting, especially of pulmonary signs manifest.  </t>
  </si>
  <si>
    <t xml:space="preserve">
1.Abdominal detail is normal._x000D_
2.The stomach is normal. The small bowel is diffusely gas- and fluid-filled without segmental small bowel dilation._x000D_
3.Liver size, shape and margin are normal._x000D_
4.Splenic size, shape and margin are normal.</t>
  </si>
  <si>
    <t xml:space="preserve">
Virtual Radiologist Case Difficulty: LOW_x000D_
Virtual Radiologist Confidence: HIGH_x000D_
No recommendations based on radiographs alone.</t>
  </si>
  <si>
    <t>Abdomen: There are small granular mineral opacities within the colon as well as portions of the gastrointestinal tract.  There is no evidence of an obstructive process.  The liver and spleen are unremarkable.  There are no abnormalities involving the visible portions of the urinary tract.  Serosal detail is normal.</t>
  </si>
  <si>
    <t>Suspect foreign material (small gravel like structures) progressing through the gastrointestinal tract without evidence of obstruction.</t>
  </si>
  <si>
    <t>Todd Smithenson</t>
  </si>
  <si>
    <t xml:space="preserve">
1.Liver size is normal to upper limits of normal. Liver margin is normal._x000D_
2.Splenic size, shape and margin are normal._x000D_
3.Cranial abdominal detail is decreased._x000D_
4.No dilation of the small intestine is seen._x000D_
5.The gastric rugae are prominent.</t>
  </si>
  <si>
    <t>Evidence of gastroenteritis or low grade pancreatitis. Functional ileus suspected. No small intestinal obstruction noted.</t>
  </si>
  <si>
    <t xml:space="preserve">
Supportive care and symptomatic therapy if clinical signs are consistent with gastroenteritis/pancreatitis._x000D_
Blood work and abdominal ultrasound as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</si>
  <si>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Castro Lucky, Date of study: Sep 28, 2024
2 images are provided for review
Canine Abdomen (2 Images) - 1 Lateral, 1 Vd
There are no previous radiographs for comparison.
Liver: The liver is subjectively normal in size.
Spleen: The spleen is normal in size with smooth margins and homogeneous soft tissue.
Kidneys: The kidneys are obscured without obvious mineral or enlargement.
Retroperitoneum: Retroperitoneal detail is adequate.
Urinary bladder/Urethra: The urinary bladder is obscured without obvious enlargement or mineral.
Reproductive:  No obvious prostatomegaly is identified.
Peritoneum: Peritoneal detail is adequate.
Gastrointestinal tract: The stomach contains a moderate volume of heterogeneous soft tissue admixed with gas. The stomach is within normal limits for size.
The small intestine contains moderate gas and mild to moderate heterogeneous soft tissue or fluid, or is empty with a subjectively uniform population for size. 
The colon contains mild soft tissue material and gas, or is empty.  The colon is within normal limits for size.  
Musculoskeletal: The included musculoskeletal structures are normal.</t>
  </si>
  <si>
    <t>1. Non-specific gastrointestinal tract appearance such as from enteritis, colitis, or unlikely given reported history, passing ingesta or variation of normal.
- Differential diagnoses for enteritis/colitis include dietary indiscretion, toxin ingestion, diet/antibiotic responsive disease, inflammatory bowel disease, parasitism/primary infectious disease, or pancreatitis or occult systemic disease.
- There is no current evidence of gastrointestinal mechanical ileus.
2. Gastric contents due to recent meal and/or gastritis/delayed emptying, or unlikely pyloric obstructive given lack of vomiting in reported history.</t>
  </si>
  <si>
    <t>Consider GI panel, fecal analysis/deworming, and routine blood work for further evaluation.   Diet/antibiotic responsive and/or inflammatory bowel disease are possible given reported history, versus reinfection of giardia spp. or unlikely other.  Consider abdominal ultrasonography and internist consultation for further evaluation.  Empirical therapy and supportive care in the interim as needed. Monitoring as directed or sooner if clinical signs acutely change, fail to improve or worsen.</t>
  </si>
  <si>
    <t>The AI result for this case is most compelling for: Radiographically normal liver, spleen, GI tract and abdominal detail.</t>
  </si>
  <si>
    <t>Study:_x000D_
Thoracic radiography: orthogonal views (two images) dated September 27, 2024_x000D_
_x000D_
Findings:_x000D_
The cardiac silhouette and pulmonary vasculature are normal in size. The pulmonary parenchyma is unremarkable. The pleural space is normal. There is no intrathoracic lymphadenopathy. The trachea is normal in diameter and course. The included abdomen is normal. The patient has multiple, breed associated, congenitally anomalous thoracic vertebrae.</t>
  </si>
  <si>
    <t>1. Normal thorax. There is no radiographic evidence of cardiopulmonary disease. A cause of coughing is not evident. Consider upper airway disease/brachycephalic airway syndrome. Lack of a definitive bronchial pulmonary pattern does not exclude the possibility of allergic/inflammatory, infectious, irritant or parasitic bronchitis. Infectious respiratory disease PCR testing, sedated laryngeal/oropharyngeal exam, airway sampling plus/minus heartworm testing and Baermann fecal flotation can be considered to further evaluate the reported coughing._x000D_
2. A cause of the gastrointestinal signs is not evident in the included abdomen. There is no radiographic evidence of gastrointestinal foreign material or small intestinal mechanical obstruction. Abdominal sonography can be considered for further evaluation if clinical signs persist or worsen in spite of medical management.</t>
  </si>
  <si>
    <t xml:space="preserve">
1.Liver size is at the lower limits of normal to slightly small with cranial displacement of the gastric axis._x000D_
2.Resource: https://platform.v2.vetology.net/doc/microhepatia_and_giulcers_x000D_
3.Cranial abdominal detail is mildly decreased._x000D_
4.The stomach is mildly to moderately gas distended._x000D_
5.The small bowel is diffusely gas- and fluid-filled with intestinal distention approaching the upper limit of normal. In a small portion of cases, uterine horn distention could mimic small bowel dilation._x000D_
6.Splenic size, shape and margin are normal.</t>
  </si>
  <si>
    <t>Study:_x000D_
Spinal radiography (including the thorax and abdomen): orthogonal views dated September 28, 2024_x000D_
_x000D_
Findings:_x000D_
Patient positioning and beam distortion artifact the false impression of narrowing of the cervical intervertebral disc spaces. The thoracolumbar spine is unremarkable with no intervertebral disc space or foraminal narrowing. There is no evidence of discospondylitis. There are no vertebral fractures or luxations. The included appendicular skeletal structures are unremarkable. The cardiac silhouette and pulmonary vasculature are normal in size. The pulmonary parenchyma is unremarkable. The pleural space is normal. There is no intrathoracic lymphadenopathy. The trachea is normal in diameter and course. The stomach contains minimal. The small intestines are normal in size, course and content. The colon contains formed fecal material. The liver and spleen are normal in size and margin. The kidneys are not clearly visualized due to visceral crowding. The urinary bladder is normal in size and opacity.</t>
  </si>
  <si>
    <t>1. Unremarkable spine. The lack of any apparent intervertebral disc space narrowing does not exclude the possibility of intervertebral disc disease. Neurology consultation and MRI can be considered for further evaluation if clinical signs persist or worsen in spite of strict activity restriction and pain management._x000D_
2. Normal thorax._x000D_
3. Unremarkable abdomen.</t>
  </si>
  <si>
    <t xml:space="preserve">
1.The liver is mildly enlarged but with a normal shape and smooth margins. No hepatic mass has been identified._x000D_
2.Splenic size, shape and margin are normal._x000D_
3.Abdominal detail is normal._x000D_
4.The stomach and intestinal tract are normal.</t>
  </si>
  <si>
    <t>Mild hepatomegaly. DDx: fat deposition/vacuolar change vs. hepatitis or less likely, metabolic hepatopathy. Infiltrative neoplasia is a consideration in an older patient.</t>
  </si>
  <si>
    <t xml:space="preserve">
Virtual Radiologist Case Difficulty: MODERATE_x000D_
Virtual Radiologist Confidence: MODERATE_x000D_
Blood work +/- abdominal ultrasound to further assess the liver.</t>
  </si>
  <si>
    <t>Patient Name : Snom Boucher, Date of study: Sep 28, 2024
3 images are provided for review
There are no previous radiographs for comparison.
Cranial abdomen is excluded from the ventrodorsal image.
Liver: The liver is subjectively normal in size on limited evaluation.
Spleen: The identified portions of the spleen are normal.
Kidneys: The kidneys are at the lower limits of normal size with homogeneous soft tissue.
Retroperitoneum: Retroperitoneal detail is adequate.
Urinary bladder/Urethra: The urinary bladder is normal in size, homogeneous soft tissue, and smoothly marginated.
Peritoneum: Peritoneal detail is adequate.
Gastrointestinal tract: The stomach contains a mild fluid and gas or is empty.   The stomach is within normal limits for size.
The small intestine contains mild gas, minimal fluid or is empty with a subjectively uniform population for size. 
The colon contains mild gas.  The colon is within normal limits for size.  
Musculoskeletal: The patient is obese.  The remaining included musculoskeletal structures are normal.</t>
  </si>
  <si>
    <t>1. Non-specific gastrointestinal tract appearance such as from enteritis, colitis, or given reported history, unlikely recent bowel movement/variation of normal.
- There is no current evidence of gastrointestinal mechanical ileus.
- Differential diagnoses include hemorrhagic enterocolitis, dietary indiscretion, toxin ingestion, diet/antibiotic responsive disease, inflammatory bowel disease, pancreatitis, occult systemic disease or unlikely other.
2. Obesity.</t>
  </si>
  <si>
    <t>Consider GI panel, fecal analysis/deworming, and routine blood work for further evaluation.  Empirical therapy and supportive care in the interim as needed for hemorrhagic enterocolitis as reported.  Monitoring as directed or sooner if clinical signs acutely change, fail to improve or worsen.</t>
  </si>
  <si>
    <t xml:space="preserve">
1.The liver is mildly enlarged._x000D_
2.Splenic size, shape and margin are normal._x000D_
3.Abdominal detail is normal._x000D_
4.The stomach is normal. The small bowel is diffusely gas- and fluid-filled without segmental small bowel dilation.</t>
  </si>
  <si>
    <t>The AI result for this case is most compelling for: Mild hepatomegaly. This is a nonspecific finding that could represent venous congestion or steroid hepatopathy. Other considerations include acute inflammation or infiltrative neoplasia.</t>
  </si>
  <si>
    <t xml:space="preserve">
Hepatomegaly should be correlated with blood work. An ultrasound evaluation of the liver may also be considered._x000D_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</si>
  <si>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Abdominal radiography: three images dated September 28, 2024_x000D_
_x000D_
Findings:_x000D_
The abdominal serosal detail is normal. The stomach contains a small volume of gas with the pylorus appropriately gas-filled on the left lateral image. The thickness of the gastric wall is within normal limits for the degree of gastric distention. The small intestines are normal in size, course and content. The colon contains gas and poorly formed fecal material with a normal diameter. The liver and spleen are normal in size and margin. The renal silhouettes are normal in size and shape. The urinary bladder is normal in size and opacity. There is in situ mineralization of the T 12-T 13 intervertebral disc. The included thorax is unremarkable.</t>
  </si>
  <si>
    <t>1. Unremarkable abdomen. A cause of vomiting is not evident. There is no radiographic evidence of gastrointestinal foreign material or small intestinal mechanical obstruction. Abdominal sonography can be considered for further evaluation if clinical signs persist or worsen in spite of medical management._x000D_
2. T 12-T 13 in situ degenerative disc disease.</t>
  </si>
  <si>
    <t xml:space="preserve">
1.On the VD projection, the hepatic silhouette appears small however on the lateral projection, the hepatic silhouette is normal._x000D_
2.Splenic size, shape and margin are normal._x000D_
3.Abdominal detail is normal._x000D_
4.The small intestinal tract contains normal volumes of fluid, gas and ingesta._x000D_
5.The ascending, transverse and descending colon are in a normal position and contain gradually more formed feces._x000D_
6.The stomach contains a small amount of air and either has prominent gastric rugae or contains a small amount of soft tissue material.</t>
  </si>
  <si>
    <t>The overall impression is one of a normal post-prandial GI tract. However, in a vomiting patient, gastric foreign material and/or gastritis should be considered. Gastritis may be due to dietary indiscretion, or infectious-inflammatory causes. There is no evidence of a complete mechanical obstruction.</t>
  </si>
  <si>
    <t xml:space="preserve">
Virtual Radiologist Case Difficulty: MODERATE_x000D_
Virtual Radiologist Confidence: MODERATE_x000D_
Empirical management with fluids, antiemetics, antacids, prophylactic deworming, and gastroprotectants as clinically indicated and repeat radiographs may be considered._x000D_
If GI signs persist, an upper GI contrast study or abdominal ultrasound may be considered.</t>
  </si>
  <si>
    <t>Patient Name : Nacho Thompkins, Date of study: Sep 28, 2024
3 images are provided for review
Canine Abdomen (3 Images) - 1 Vd, 2 Lateral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mild soft tissue. Soft tissue admixed with gas is in the pylorus in the left lateral image.  The stomach is within normal limits for size.
One segment of small intestine in the mid-ventral abdomen of both lateral images contains tubular mineral material.  Segments of intestine in the left caudal abdomen are subjectively lobular in the ventrodorsal image, and the tubular mineral content is associated with the cranial aspect of these small intestinal segments.  
Other small intestinal segments are mildly or moderately filled with fluid/soft tissue material and gas.
The colon contains minimal fluid, soft tissue material and gas.  The colon is within normal limits for size.  
Musculoskeletal: The included musculoskeletal structures are normal.</t>
  </si>
  <si>
    <t>1. Small intestinal mineral tubular material is suspicious for foreign material (hair ties versus other).
2. Suspicious for two populations of small intestine, such as from evolving mechanical ileus.
3. Suspicious soft tissue material in the pylorus given reported history.</t>
  </si>
  <si>
    <t xml:space="preserve">Consider abdominal ultrasonography to confirm suspected gastrointestinal versus small intestinal mechanical ileus alone, or least likely passing foreign material without mechanical ileus.  Celiotomy if mechanical ileus is confirmed.
Alternatively, given history and failure to improve with medical therapy, consider exploratory celiotomy for retrieval of suspicious small intestinal material, and confirm/rule out pyloric outflow/pyloroduodenal obstructive component.   Empirical therapy and supportive care in the interim as needed. </t>
  </si>
  <si>
    <t xml:space="preserve">
1.The liver is normal to small for size._x000D_
2.The spleen is normal._x000D_
3.There is a focal loss of serosal detail in the cranial abdomen predominantly seen on the lateral projection._x000D_
4.The pyloroduodenal angle is widened on the VD projection and the descending duodenum is rigid and gas or fluid filled._x000D_
5.The gastric lumen contains a mild amount of soft tissue and gas opacity._x000D_
6.The gastric rugae are prominent._x000D_
7.Portions of the small intestine are dilated with gas or soft tissue opacity._x000D_
8.There is at least one segment of rigid appearing bowel in the mid-abdomen. This segment may represent colon versus small bowel dilation.</t>
  </si>
  <si>
    <t>Proximal duodenal gas or fluid with loss of right cranial serosal detail, +/- pyloroduodenal widening on the VD projection. These findings are consistent with acute cranial abdominal inflammation (i.e - pancreatitis, gastritis, duodenitis), particularly in the setting of recent onset vomiting. The lack of splenomegaly favors acuity. Appearance to the stomach suggestive of gastritis. In the presence of GI symptoms, the appearance of the small intestine and colon is consistent with primary pancreatitis or primary severe enterocolitis, causing secondary functional ileus versus early or partial obstruction.  In a non-vomiting animal, this appearance could be due to aerophagia or heavy sedation/anesthesia. In the presence of microhepatia, gastrointestinal ulceration should be considered a higher possibility as chronic liver disease can be associated with gastric ulcer formation. For reference, please see https://platform.v2.vetology.net/doc/microhepatia_and_giulcers</t>
  </si>
  <si>
    <t xml:space="preserve">
Virtual Radiologist Case Difficulty: MODERATE_x000D_
Virtual Radiologist Confidence: MODERATE_x000D_
Recommend full bloodwork, canine pancreatic lipase assay and abdominal ultrasound, if not already performed._x000D_
In the interim, recommend fluids, analgesics, gastroprotectants, antiemetics, and appetite stimulants as clinically indicated.</t>
  </si>
  <si>
    <t>Patient Name : BEAR EZELLE, Date of study: Sep 28, 2024
4 images are provided for review
There are no previous radiographs for comparison.
Bones/Joints:
The T11-12 intervertebral disc space is slightly narrow in the more cranially centered images, similar to the anticlinal space (T10-11).  This is less well-identified in the caudally centered images.    In situ intervertebral disc mineral is suspected at T11-12, T12-13 and L6-7.
There is no evidence of mineral over the intervertebral foramina.  There is no evidence of intervertebral dorsal articulation osteoarthrosis.
There is no evidence of medullary sclerosis, osteolysis, endosteal scalloping, or periosteal proliferation.
Soft tissues:  The included paraspinal soft tissues are normal.</t>
  </si>
  <si>
    <t xml:space="preserve">1. Possible T11-12 intervertebral disc disease versus artifact from positioning.
2. Possible in situ intervertebral disc mineral as above.
</t>
  </si>
  <si>
    <t>Consider neurologist consultation and MRI for further evaluation especially if clinical signs acutely change or worsen in the face of empirical therapy and supportive care for paraspinal pain.  Routine blood work and thoracic/abdominal imaging to screen for occult systemic disease prior to MRI/referral.</t>
  </si>
  <si>
    <t xml:space="preserve">
1.Splenic size, shape and margin are normal._x000D_
2.Abdominal detail is normal._x000D_
3.The stomach is normal. The small bowel is diffusely gas- and fluid-filled without segmental small bowel dilation._x000D_
4.Liver size, shape and margin are normal.</t>
  </si>
  <si>
    <t>Patient Name : Poppy Ziesmer, Date of study: Sep 27, 2024
2 images are provided for review
Canine Abdomen (2 Images) - 2 Lateral
There are no previous radiographs for comparison.
Liver: The liver is small with cranial dispalcement of the gastric axis.
Spleen: The spleen is not identified but no splenomegaly is present.
Kidneys: The kidneys are subjectively normal in size, with few small superimposed mineral foci in the lateral images.
Retroperitoneum: Retroperitoneal detail is adequate.
Urinary bladder/Urethra: The urinary bladder is enlarged and homogeneous soft tissue.  This results in cranial and dorsal dispalcement of the small intestine and colon.  
Peritoneum: Peritoneal detail is adequate.
Gastrointestinal tract: The stomach contains a moderate volume of gas and soft tissue material.   The stomach is within normal limits for size.
The small intestine contains minimal gas and mild fluid or is empty with a subjectively uniform population for size. 
The colon contains minimal fluid or is empty.  The colon is dorsally displaced and compressed in a dorsoventral dimension by the enlarged urinary bladder.
Musculoskeletal: T13-L1 and L1-2 intervertebral disc spaces are severely narrowed and mild kyphosis is present in this region as a result.  The patient is thin with concave soft tissue between spinous processes.  The remaining included musculoskeletal structures are normal.
Limited thorax:  Only in the left lateral image, a possible soft tissue nodule superimposes over the 2nd intercostal space.</t>
  </si>
  <si>
    <t xml:space="preserve">1. Urinary bladder enlargement such as from  occult obstruction versus behavioral or neurologic dysfunction (UMN bladder versus other).
- No radiopaque urocystoliths are identified.
2. Possible pulmonary nodule versus superimposed extra-thoracic soft tissue over the right cranial lung lobe.
3. Microhepatia versus variation of normal.
- If present, consider occult portosystemic shunt or unlikely chronic hepatitis/cirrhosis or other.
4. Gastric material due to recent meal versus gastritis/delayed emptying or less likely outflow tract obstruction.
5. Possible small nephroliths versus artifact or less likely other.
6. T13-L1 and L1-2 intervertebral disc disease with resultant kyphosis.
7. Thin body condition. </t>
  </si>
  <si>
    <t>Reported toxicosis may result in neurologic dysfunction (tremors, etc.) but current clinical signs are not clearly related to intoxication.  Consider poison control/manufacturers details for more information.  If microhepatia/portosystemic shunt is present, consider this may complicate the clinical presentation of toxicity.
Alternatively, if signs are unrelated to reported intoxication history, consider urinary tract obstruction from an occult source.  Urinary catheterization for decompression if clinically indicated.    Abdominal ultrasonography for further evaluation of the urinary bladder/urethra versus computed tomography urethrography/cystourethrography.  Routine blood work, bile acid testing, and urinalysis with culture/sensitivity testing for further evaluation. Three-view thoracic radiographs or computed tomography once stable for further evaluation of possible pulmonary nodule.  Oncologist consultation depending on results of additional diagnostics.  
If systemic disease is ruled out, consider MRI for further evaluation of recumbency and possible urinary bladder changes.</t>
  </si>
  <si>
    <t xml:space="preserve">
1.The small intestines are predominantly fluid-filled._x000D_
2.Splenic size, shape and margin are normal._x000D_
3.No segmental small bowel dilation is identified._x000D_
4.There is a moderate amount of soft-tissue dense material present in the stomach._x000D_
5.Abdominal detail is satisfactory_x000D_
6.The liver is mildly enlarged with rounding to the caudoventral liver margin.</t>
  </si>
  <si>
    <t>Mild hepatomegaly. DDx: fat deposition/vacuolar change vs. metabolic hepatopathy vs. hepatitis or in an older dog, hepatic neoplasia. The AI result for this case is most compelling for: nonspecific, mild hepatomegaly.</t>
  </si>
  <si>
    <t xml:space="preserve">
Abdominal ultrasound +/- pre- and post-prandial bile acids, particularly if liver values are elevated._x000D_
Blood work, particularly to assess liver values._x000D_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</si>
  <si>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BLUE HARANDI, Date of study: Sep 27, 2024
3 images are provided for review
Prior images dated May 27, 2022 and previous are available.
N.B. Patient age is listed as "2 years 3 months" in metadata.  Patient is listed as "Male/NEUTERED"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The prostate gland is mildly enlarged and well-defined with homogeneous soft tissue.  
Peritoneum: Peritoneal detail is adequate.
Gastrointestinal tract: The stomach contains a mild volume of fluid or is empty.   The stomach is within normal limits for size.
The small intestine contains mild gas and minimal fluid or is empty with a subjectively uniform population for size. 
The colon contains mild heterogeneous soft tissue material and gas.  The colon is within normal limits for size.  
Musculoskeletal: The included musculoskeletal structures are normal.</t>
  </si>
  <si>
    <t>1. Mild prostatic gland enlargement such as from evolving neoplasia if the patient is truly neutered, versus recent neuter and incomplete involution, or unlikely other.
- If the patient is intact, consider most likely instead benign prostatic hyperplasia.
2. Non-specific small intestinal and colon changes such as from enteritis, colitis, or given reported history, less likely variation of normal.
- There is no current evidence of gastrointestinal mechanical ileus.
- Differential diagnoses include dietary indiscretion, toxin ingestion, diet/antibiotic responsive disease, inflammatory bowel disease, pancreatitis, occult systemic disease or unlikely other.
3. No obvious hepatomegaly, but this does not rule out underlying hepatopathy (hepatitis/cholangiohepatitis, etc.).</t>
  </si>
  <si>
    <t>Consider abdominal ultrasonography for further evaluation of the gastrointestinal tract, liver and prostate gland.  Consider empirical deworming/fecal analysis GI panel for further evluation.  Consider  coagulation testing and hepatic (and/or prostate gland, especially if patient is neutered) tissue sampling depending on results.  Internist consultation and recheck blood work including AST may be contributory.   Empirical therapy and supportive care in the interim as needed.  Monitoring as directed or sooner if clinical signs acutely change, fail to improve or worsen.</t>
  </si>
  <si>
    <t>Patient Name : Chloe Clements, Date of study: Sep 27, 2024
3 images are provided for review
Canine Abdomen (3 Images) - 1 Vd, 2 Lateral
Liver: The liver is moderately enlarged with a rounded caudoventral margin extending to the level of the 13th ribs.
Spleen: The spleen is normal in size with smooth margins and homogeneous soft tissue.
Kidneys: Mineral possibly over the kidneys in the lateral image is not corroborated in the ventrodorsal image.  The kidneys are subjectively normal in size.
Retroperitoneum: Retroperitoneal detail is adequate.
Urinary bladder/Urethra: The urinary bladder is partially obscured without obvious enlargement or mineral.
Peritoneum: Peritoneal detail is adequate.
Gastrointestinal tract: The stomach contains a mild volume of gas.   Gas is in the pylorus in the left lateral image.  The stomach is within normal limits for size.
A segment of small intestine in the caudal to mid-abdomen contains a moderate volume of fluid and gas.  This segment is enlarged compared to other segments, which contain mild gas or fluid.  One segment of small intestine is spastic persistently.  The colon contains mild gas.  The colon is within normal limits for size.  
Musculoskeletal: The included musculoskeletal structures are normal.</t>
  </si>
  <si>
    <t>1. Suspicious small intestinal segment for mechanical ileus (such as from soft tissue foreign body, intussusception, or less likely mass lesion), or less likely enteritis/other. 
2. Non-specific small intestinal changes likely due to enteritis, or less likely variation of normal.
- Differential diagnoses include dietary indiscretion/foreign body, toxin ingestion, hemorrhagic enterocolitis, diet/antibiotic responsive disease, inflammatory bowel disease, pancreatitis, occult systemic disease or unlikely other.
3. Moderate hepatomegaly due to vacuolar change (evolving hyperadrenocorticism versus other), nodular hyperplasia, hepatitis/cholangiohepatitis, or unlikely neoplasia (primary versus metastatic/multicentric), or other.
4. Bilateral coxofemoral joint osteoarthrosis 
5. Suspected bilateral stifle joint osteoarthrosis.</t>
  </si>
  <si>
    <t>Consider abdominal ultrasonography for further evaluation of the small intestine to confirm suspected mechanical ileus, and further evaluation of the liver/adrenal glands.  If mechanical ileus is confirmed, celiotomy and decompression/foreign material retrieval.  Coagulation testing and hepatic tissue sampling may be contributory.  If small intestinal mechanical ileus is ruled out, consider empirical therapy for gastroenteritis/hemorrhagic enterocolitis in the interim.   Monitoring as directed or sooner if clinical signs acutely change, fail to improve or worsen.</t>
  </si>
  <si>
    <t xml:space="preserve">
1.The liver is mildly enlarged with smooth margins._x000D_
2.On the lateral view, an increase in soft tissue opacity is noted in the splenic region. This soft tissue opacity is displacing bowel indicative of a mass or mass effect._x000D_
3.Abdominal detail is mildly decreased diffusely._x000D_
4.Small volume ingesta is present within the stomach._x000D_
5.Small intestines are displaced from the mid-abdomen but the bowel is minimally filled._x000D_
6.Formed feces is present in the colon.</t>
  </si>
  <si>
    <t>Ventral abdominal mass likely of splenic origin. Neoplasia such as hemangiosarcoma is most likely. Hematoma or hemangioma are next on the differential list. Mild hepatomegaly, a nonspecific finding that may be due to venous congestion, steroid hepatopathy, inflammation, or metastatic neoplasia. Decreased abdominal detail. DDx: secondary to confluence of soft tissue structures and/or abdominal fluid.</t>
  </si>
  <si>
    <t>Patient Name : Sissie Bellmore, Date of study: Sep 27, 2024
6 images are provided for review
Prior images dated MArch 11, 2024 are available.
Liver: The liver is subjectively normal in size.
Spleen: The spleen is normal in size with smooth margins and homogeneous soft tissue.
Kidneys: The kidneys are partially obscured without obvious enlargement or mineral.
Retroperitoneum: Retroperitoneal detail is adequate.
Urinary bladder/Urethra: The urinary bladder is subjectively normal in size, homogeneous soft tissue, and smoothly marginated.
Peritoneum: Peritoneal detail is adequate.
Gastrointestinal tract: The stomach contains a mild to moderate volume of gas.   The stomach is within normal limits for size.
The small intestine contains mild fluid and gas or is empty with a subjectively uniform population for size. 
The colon contains mild to moderate gas.  The colon wall is mildly spastic.  The colon is within normal limits for size.  
Bones/Joints:
There is no evidence of intervertebral disc space narrowing, or mineral over the intervertebral foramina.  There is no evidence of intervertebral dorsal articulation osteoarthrosis.
No obvious coxofemoral joint or stifle joint osteoarthrosis is identified.
There is no evidence of medullary sclerosis, osteolysis, endosteal scalloping, or periosteal proliferation.
Soft tissues:  Lobular soft tissue nodule arises from the cranioventral extra-abdominal soft tissues.  The caudoventral extra-thoracic soft tissues are mildly undulant and heterogeneous with mixed fat opaque foci suspected.  The remaining included soft tissues are normal.</t>
  </si>
  <si>
    <t>1. No obvious evidence of intervertebral disc disease.
2. Normal coxofemoral joints.
3. No obvious left or right stifle joint osteoarthrosis.
4. Non-specific small intestinal/colon appearance such as from enteritis, colitis, or recent bowel movement/variation of normal.
- There is no current evidence of gastrointestinal mechanical ileus.
- Differential diagnoses include dietary indiscretion, toxin ingestion, diet/antibiotic responsive disease, inflammatory bowel disease, pancreatitis, occult systemic disease or unlikely other.
5.  Similar lobular extra-abdominal heterogeneous and lobular soft tissue nodules.
- This is suspicious for evolving neoplasia (primary soft tissue sarcoma or mammary carcinoma, or liposarcoma are considered), versus benign neoplasm (lipoma), or less likely cellulitis/fasciitis/dermatitis.</t>
  </si>
  <si>
    <t xml:space="preserve">Etiology of reported paraplegia is not identified.  Consider degenerative myelopathy, tick-paralysis, polyradiculoneuritis, or less likely occult compressive myelopathy or other given lack of reported pain and clinical signs.  Thoracic imaging as needed to screen for occult systemic disease depending on results of pending blood work.  Consider neurologist consultation and MRI for further evaluation.  Empirical therapy and supportive care in the interim as needed. </t>
  </si>
  <si>
    <t>Opposite lateral and VD views of the thorax and abdomen are provided. There are eight images total._x000D_
_x000D_
The cardiac silhouette is moderately enlarged with rounded shape. There is a moderate to severe diffuse interstitial pattern. There is ill defined increased opacity around the pulmonary hilus and in the cranial thorax. The cranial mediastinum is widened. In the VD thorax views, there is a smoothly marginated dome-shaped opacity along the lateral margin of the thoracic cavity at the level of the seventh rib suspected to represent a subpleural nodule. There is subtle opacity suspected to represent periosteal response associated with the lateral aspect of the rib in this area._x000D_
_x000D_
The abdomen is distended, with a moderate reduction in serosal detail. The organs still appear to be within normal size and shape limits. No mass lesions are identified._x000D_
_x000D_
There is moderate spondylosis involving the lumbosacral junction. No destructive bone lesions are seen.</t>
  </si>
  <si>
    <t>The rounded appearance enlargement of the heart is suspicious for pericardial effusion or Dilated Cardiomyopathy._x000D_
There is ill defined opacity concerning for thoracic lymphadenopathy in the cranial mediastinum and around the pulmonary hilus._x000D_
There is also a diffuse interstitial pattern is not entirely typical of pneumonia or heart failure._x000D_
There is fluid in the abdomen without a specific abdominal cause._x000D_
_x000D_
Primary differentials based on these findings include lymphoma or systemic infectious disease such as fungal disease causing thoracic lymphadenopathy and pericarditis with secondary ascites._x000D_
_x000D_
There is suspicion of a nodule at the pleural margin of the right middle lung field. This appears to be within the thoracic cavity but there is also suspicion of associated periosteal response involving the nearby rib. Neoplasia is a primary concern for this finding as well.</t>
  </si>
  <si>
    <t>The ascites is suspected to be secondary to cardiac pathology, potentially pericardial effusion. There also appears to be thoracic lymphadenopathy and an interstitial lung pattern, which would be compatible with lymphoreticular neoplasia or atypical systemic infectious disease._x000D_
_x000D_
Echocardiography is recommended. If present, and analysis of pericardial fluid is recommended to rule out neoplastic or infectious causes._x000D_
CT could also be helpful to better define the thoracic changes.</t>
  </si>
  <si>
    <t>Andrew Jones</t>
  </si>
  <si>
    <t xml:space="preserve">
1.The liver and spleen are mildly enlarged._x000D_
2.Mid-peritoneal detail is decreased._x000D_
3.No abnormal AI findings reported._x000D_
4.No small intestinal segmental dilation is noted._x000D_
5.There is gas in the cecum and proximal colon, with small volume of formed feces distally._x000D_
6.Small volume of gas is present within the stomach and small bowel.</t>
  </si>
  <si>
    <t>Mild hepatosplenomegaly. Infiltrative neoplasia such as lymphoma is of concern. An inflammatory process is next on the differential list. Poor peritoneal detail may be due to mass-effect caused by the enlarged liver and spleen, or scant effusion.</t>
  </si>
  <si>
    <t xml:space="preserve">
Abdominal ultrasound is recommended._x000D_
Coagulation profile, platelet count and PCV prior to tissue sampling or abdominocentesis._x000D_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</si>
  <si>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abdomen are provided. Formed feces fills the colon. The fecal column is normal size for this patient, measuring up to 1.1 cm diameter. The cecum is gas dilated. Small bowel and minimally filled. Moderate volume soft tissue opaque ingesta in the stomach. The prostate is not enlarged. The urinary bladder is moderately filled and soft tissue opaque. Normal-sized liver, spleen, kidneys. No lumbar spinal abnormalities. The coxofemoral joints are congruent. The right patella is medially displaced.</t>
  </si>
  <si>
    <t>Normal abdomen. There is no evidence of constipation. Medial patellar luxation on the right.</t>
  </si>
  <si>
    <t>If further evaluation of the abdomen is desired, abdominal ultrasound would be recommended.</t>
  </si>
  <si>
    <t>Victoria McEwen</t>
  </si>
  <si>
    <t xml:space="preserve">
1.Liver size, shape and margin are normal._x000D_
2.Splenic size, shape and margin are normal._x000D_
3.Abdominal detail is normal._x000D_
4.The stomach contains a small amount of gas. The small bowel is diffusely gas- and fluid-filled without segmental small bowel dilation.</t>
  </si>
  <si>
    <t>The AI result for this case is most compelling for: Normal abdomen. Gastric findings are equivocal, and likely represent residual ingesta. However, with appropriate clinical symptoms, these findings could also be seen with gastritis.</t>
  </si>
  <si>
    <t xml:space="preserve">
In a vomiting or anorexic patient, supportive care and therapy for gastroenteritis are recommended.  If the symptoms persist, repeat abdominal radiographs following no food for 12-15 hours, access to water or IV fluid therapy is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</si>
  <si>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 xml:space="preserve">Patient Name : honey charnow-rivera, Date of study: Sep 27, 2024
5 images are provided for review
There are no previous radiographs for comparison.
Caudal abdomen tip is absent in the lateral image, and portions of the mid-abdomen are excluded  in the ventrodorsal images.
Pulmonary parenchyma: The lungs are mild to moderately hypoinflated.  Only in the ventrodorsal image, an interstitial to alveolar pattern is over the area of the right middle lung lobe.  A mild diffuse bronchial and minimal diffuse interstitial pattern is present.
Pulmonary vasculature: The pulmonary vasculature is subjectively normal in size and tapers in the periphery of the lungs.
Cardiac silhouette: The cardiac silhouette is  severely generally enlarged in the ventrodorsal image.  The cardiac silhouette is tall in the lateral image and occupies 2/3 the height of the thorax, with dorsal trachea dispalcement.  the cardiac silhouette is severely widened and occupies the width of 4-5 intercostal spaces in the lateral image.
Mediastinum: The cranial mediastinum is normal.
Trachea: An endotracheal tube is present that terminated over the mid-trachea in the right lateral image.  The trachea is normal.
Esophagus: The esophagus is not well-identified.
Pleural space: The pleural space is normal.
Liver: The liver has a slightly rounded caudoventral margin.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fluid.   The stomach is within normal limits for size.
The small intestine contains minimal gas and mild  fluid or is empty with a subjectively uniform population for size. 
The colon contains moderate heterogeneous soft tissue material and gas.  The colon is within normal limits for size.  
Bones/Joints/Soft tissues: A mineralized nodule is presumed to arise from the ventral extra-thoracic soft tissue in the lateral images.  The remaining included musculoskeletal structures are normal.  Moderate bilateral coxofemoral joint osteoarthrosis is present, and the acetabulums are shallow with under 50% coverage of the femoral heads.  </t>
  </si>
  <si>
    <t>1. Severe generalized cardiomegaly.
- Differential diagnoses include dilated cardiomyopathy or less likely tricuspid/mitral valvular disease or other.
2. Right middle lung lobe interstitial to alveolar soft tissue due to atypical or redistributed pulmonary edema/left-sided congestive heart failure, versus aspiration pneumonia, or unlikely hemorrhage, atelectasis, or other.
3. Mild diffuse bronchial and minimal interstitial pulmonary patterns due to fibrosis from prior disease, age-related changes, or less likely other.
4. Mineralized ventral extra-thoracic granuloma or secondary to dystrophic mineralization, or calcium:phosphorus imbalance, or evolving neoplasia.
5. Moderate bilateral coxofemoral joint osteoarthrosis and subluxation.
6. Slight hepatomegaly versus variation of normal.
- Consider evolving congestion versus vacuolar hepatopathy, nodular hyperplasia, hepatitis/cholangiohepatitis, or unlikely evolving neoplasia.</t>
  </si>
  <si>
    <t>Echocardiography, eCG and blood pressure for further evaluation. Oxygen therapy and diuretic therapy with repeat 4-view thoracic radiographs to monitor for progression/resolution of the pulmonary pattern.  Abdominal ultrasonography versus computed tomography for further evaluation of the liver given the size of this patient.  Monitoring as directed or sooner if clinical signs acutely change, fail to improve or worsen.</t>
  </si>
  <si>
    <t xml:space="preserve">
1.In the abdomen, the liver is moderately enlarged but retains smooth margins. No liver mass is identified._x000D_
2.Resource: https://platform.v2.vetology.net/doc/liver_disease_x000D_
3.The spleen is mildly enlarged but no splenic mass is noted and abdominal detail is normal._x000D_
4.Abdominal detail is normal._x000D_
5.The gastrointestinal tract is minimally filled. No segmental small bowel dilation is noted.</t>
  </si>
  <si>
    <t>Moderate hepatomegaly. DDx: fat deposition vs. metabolic hepatopathy vs. hepatitis. In an older animal, infiltrative neoplasia becomes a consideration. No hepatic mass has been identified. Mild splenomegaly. No splenic mass noted. DDx: lymphoid hyperplasia vs. extramedullary hematopoiesis vs. less suspected, infiltrative neoplasia. Superimposition of the hepatomegaly in the cranial abdomen artifactually creating the appearance of splenomegaly is an additional consideration.</t>
  </si>
  <si>
    <t xml:space="preserve">
A CBC, blood chemistry profile, urinalysis, and testing for Cushing's disease, as clinically warranted. Coagulation profile, platelet count and PCV prior to liver and/or splenic FNAs or biopsies._x000D_
Ultrasound evaluation of the liver and adrenal glands should also be considered._x000D_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</si>
  <si>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shannon Shepard, Date of study: Sep 27, 2024
5 images are provided for review
There are no previous radiographs for comparison.
Cranial thorax is excluded in all images.
Pulmonary parenchyma: A mild diffuse bronchial pattern is present.
Pulmonary vasculature: The pulmonary vasculature is subjectively normal in size and tapers in the periphery of the lungs.
Cardiac silhouette: The cardiac silhouette is tall and occupies 2/3 the height of the thorax, with dorsal tracheal displacement.  The cardiac silhouette is suspiciously widened in the mildly oblique ventrodorsal image.
Mediastinum: The cranial mediastinum is normal on limited evaluation.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Gas is in the pylorus in the left lateral image.  Gastric rugal folds are prominent in the ventrodorsal image. The stomach is within normal limits for size.
The small intestine contains minimal gas, mild fluid or is empty with a subjectively uniform population for size. 
The colon contains minimal soft tissue material or fluid and gas.  The colon is within normal limits for size.  
Musculoskeletal: In situ intervertebral disc mineralization is at L4-5,  L5-6, and L6-7.  Pin-point mineral superimposes over the L2-3 intervertebral foramina in the lateral images. T13 is transitional with an absent right and hypoplastic left rib.  Multiple prominent nipples superimpose over the abdomen in the ventrodorsal image.  Multiple thoracic vertebrae are narrowed or wedge-shaped from T6 through T9 and at T2.  Caudal vertebral anomalies are present (screw tail).  The remaining included musculoskeletal structures are normal.</t>
  </si>
  <si>
    <t>1. Mild left-sided  or generalized cardiomegaly such as from myxomatous mitral valvular disease with/without tricuspid valvular disease, cor pulmonale, or unlikely other.
- There is no current evidence of left-sided congestive heart failure.
2. Mild diffuse bronchial pulmonary pattern such as from fibrosis from prior disease, age-related changes, infectious/immune-mediated lower airway disease, inhaled allergen/irritant, or unlikely other.
3. Prominent gastric rugal folds due to non-specific gastritis versus variation of normal.
4. Pin-point mineral of L2-3 intervertebral foramina due to mineralized extruded intervertebral disc material, dural mineral or less likely other.
5. L4-5, L5-6 and L6-7 in situ intervertebral disc mineralization.</t>
  </si>
  <si>
    <t>Consider routine blood work, urinalysis, GI panel, echocardiography, eCG and blood pressure for further evaluation of clinical signs and cardiomegaly, especially given reported murmur.  Abdominal ultrasonography for further evaluation of the gastrointestinal tract may be contributory.  Consider evaluation of the nares/larynx for brachycephalic airway syndrome contributing to reported signs.  Neurologist consultation and MRI for further evaluation of myelopathy, possibly from disc disease/extrusion at L2-3.  Empirical therapy and supportive care in the interim as needed.  Monitoring as directed, or sooner if clinical signs acutely change, fail to improve or worsen.</t>
  </si>
  <si>
    <t xml:space="preserve">
1.No abnormal AI findings reported._x000D_
2.The liver and spleen are normal size._x000D_
3.The cranial right quadrant has a hazy appearance on the VD projection otherwise serosal detail is adequate._x000D_
4.In the abdomen the stomach contains small volume gas, soft tissue and mildly prominent rugae._x000D_
5.Small intestines are minimally filled._x000D_
6.The colon contains gas and scant semiformed feces.</t>
  </si>
  <si>
    <t>Gastric material and mildly prominent gastric rugae with hazy cranial right quadrant. Gastritis/pancreatitis may be present. This finding should be correlated to clinical signs and blood work. In a non-vomiting patient, a post-prandial thin dog could have a similar appearance.</t>
  </si>
  <si>
    <t xml:space="preserve">
Virtual Radiologist Case Difficulty: MODERATE_x000D_
Virtual Radiologist Confidence: MODERATE_x000D_
Correlate above radiographic findings to blood work and clinical signs. Abdominal ultrasound if gastritis and/or pancreatitis are suspected. Medical therapy if clinically warranted.</t>
  </si>
  <si>
    <t>Patient Name : Pumpkin Nguyen, Date of study: Sep 27, 2024
3 images are provided for review
Canine Abdomen (3 Images) - 2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mild fluid.   Gas is in the pylorus in the left lateral image. The stomach is within normal limits for size.
The small intestine contains mild to moderate fluid, or is empty with a subjectively uniform population for size. 
The colon contains mild gas and has a mildly spastic wall.  The colon is within normal limits for size.  
Musculoskeletal: The included musculoskeletal structures are normal.</t>
  </si>
  <si>
    <t>1. Non-specific gastrointestinal tract appearance such as from enteritis, colitis, or unlikely individual variation of normal given reported history.
- Differential diagnoses for enteritis/colitis include dietary indiscretion, toxin ingestion, diet/antibiotic responsive disease, inflammatory bowel disease, parasitism/primary infectious disease, pancreatitis or occult systemic disease.
- There is no current evidence of gastrointestinal mechanical ileus.</t>
  </si>
  <si>
    <t xml:space="preserve">Etiology of reported intermittent vomiting and progressive large-bowel diarrhea signs are not definitively identified.  Consider also empirical deworming/fecal analysis in addition to reported diagnostics.  Depending on results of pending diagnostics and empirical therapy, consider abdominal ultrasonography for further evaluation of the intestine.   Internist consultation if signs fail to improve or worsen in the face of empirical therapy, and additional diagnostics are inconclusive.  </t>
  </si>
  <si>
    <t xml:space="preserve">
1.No abnormal AI findings reported._x000D_
2.No abnormal AI findings reported._x000D_
3.The liver, spleen, and abdominal serosal detail are all within normal limits._x000D_
4.The small intestines are otherwise a combination of gas-filled and fluid-filled/collapsed, and all are within normal limits for diameter.</t>
  </si>
  <si>
    <t>The appearance of the stomach is likely related to normal ingesta in the ABSENCE of GI symptoms. However, if GI symptoms are PRESENT, gastroenteritis secondary to dietary indiscretion or infectious etiology could be considered. There is no evidence of small intestinal mechanical obstruction.</t>
  </si>
  <si>
    <t xml:space="preserve">
Virtual Radiologist Case Difficulty: MODERATE_x000D_
Virtual Radiologist Confidence: MODERATE</t>
  </si>
  <si>
    <t>Orthogonal views of the thorax and abdomen are provided and compared to the previous exam on the 08/27/24:_x000D_
_x000D_
Thorax:_x000D_
_x000D_
Cardiac silhouette shows an unchanged moderate enlargement of the left atrium dorsally displacing the carina._x000D_
Pulmonary vessels are within normal limits of size and shape._x000D_
Pulmonary parenchyma shows an unchanged ill defined alveolo-interstitial patch caudodorsally located in the right caudal lung lobe.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show bilateral renoliths._x000D_
Urinary bladder WNL._x000D_
_x000D_
T13 shows no ribs.</t>
  </si>
  <si>
    <t>1) Left atrial enlargement secondary to chronic mitral endocardiosis with  unchanged ill defined alveolo-interstitial patch caudodorsally located in the right caudal lung lobe. Given the unchanged appearance of the right caudal lung lobe and rotation of the radiographs, consider close monitoring with an echocardiogram to help rule in/out a LSCHF vs an infiltrative process in this lung lobe._x000D_
2) Bilateral renoliths.</t>
  </si>
  <si>
    <t>Consider a cardiology consultation with ECG and echocardiogram to help rule in/out a LSCHF._x000D_
Consider abdominal US to further evaluate the urinary tract with renal function, UPC and urinalysis.</t>
  </si>
  <si>
    <t>Vincente Cervera</t>
  </si>
  <si>
    <t xml:space="preserve">
1.Liver size, shape and margin are normal._x000D_
2.Splenic size, shape and margin are normal._x000D_
3.Abdominal detail is normal._x000D_
4.The stomach is mildly gas and fluid filled with some soft tissue density material. The small bowel is gas and fluid-containing. No obvious obstruction.</t>
  </si>
  <si>
    <t>The AI result for this case is most compelling for: Normal liver, spleen, GI tract and abdominal detail. The appearance of the stomach is likely related to normal ingesta in the absence of GI symptoms. However, if GI symptoms are present, gastroenteritis secondary to dietary indiscretion or infectious etiology could be considered.</t>
  </si>
  <si>
    <t xml:space="preserve">
Virtual Radiologist Case Difficulty: LOW_x000D_
Virtual Radiologist Confidence: HIGH_x000D_
In a vomiting or anorexic patient, supportive care and therapy for gastroenteritis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</si>
  <si>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Opposite lateral and VD thoracoabdominal views are provided._x000D_
_x000D_
No pulmonary infiltrates or pleural effusion are identified. The appearance of the lungs is within normal limits for the age of the patient. No tracheal abnormalities are identified. In the lateral thorax views, there is a faint increase in opacity in the area of the caudal esophagus. The appearance is equivocal=ZZ90= this can be associated with the esophageal thickening but is also not uncommon as an incidental finding._x000D_
_x000D_
There is mottled mineral opacity in the right liver in the area of the gallbladder, presumed to represent abnormal mineral dense gallbladder content such as choleliths and sediment. No abnormalities are identified involving the gastrointestinal tract. In the lateral views there is ill defined increased opacity in the cranial dorsal abdomen caudal to the stomach, but no corresponding shadow is seen in the VD view. The appearance in the lateral views may be artifactual due to rotation. Serosal detail in the abdomen is normal._x000D_
There is moderate thoracolumbar spondylosis.</t>
  </si>
  <si>
    <t>The cardiopulmonary structures are within normal limits. No tracheal abnormalities are identified. There are no findings that would explain the cough._x000D_
Slight increased opacity in the area of the caudal esophagus could be associated with reflux esophagitis, but this is also sometimes seen as an incidental finding._x000D_
Suspected increased opacity in the cranial dorsal abdomen is equivocal. This is not confirmed in all views and could be artifactual. Increased opacity in this area can be associated with pancreatic inflammation._x000D_
_x000D_
There is evidence of cholelithiasis. Relevance to the clinical signs is potentially limited.</t>
  </si>
  <si>
    <t>Endoscopy or ultrasound could be considered for more complete evaluation.</t>
  </si>
  <si>
    <t xml:space="preserve">
1.The right cranial quadrant has a hazy appearance on the VD projection otherwise serosal detail is adequate._x000D_
2.The liver and spleen are normal size._x000D_
3.In the abdomen the stomach contains small volume gas, soft tissue and mildly prominent rugae._x000D_
4.Small intestines are minimally filled. No small intestinal segmental dilation is noted._x000D_
5.The colon contains gas and scant semiformed feces._x000D_
6.No abnormal AI findings reported.</t>
  </si>
  <si>
    <t xml:space="preserve">
Virtual Radiologist Case Difficulty: LOW_x000D_
Virtual Radiologist Confidence: HIGH_x000D_
Correlate above radiographic findings to blood work and clinical signs. Abdominal ultrasound if gastritis and/or pancreatitis are suspected. Medical therapy if clinically warranted.</t>
  </si>
  <si>
    <t>Three radiographs of the thorax, three views of the abdomen, and two VD views of the pelvis/proximal pelvic limbs are provided. Previous pelvis images dated 10/14/22 are available for comparison. The cardiac silhouette and pulmonary vessels are normal size and shape. There are no abnormalities in the pulmonary parenchyma. No pleural effusion. Round soft tissue density ventral to the tracheal bifurcation on the right lateral view is end-on right main pulmonary artery. Normal cranial mediastinal width._x000D_
_x000D_
In the abdomen formed feces fills the colon. Small volume gas in the stomach and small bowel. There is no effusion. The kidneys, spleen, and liver are normal size and shape. Punctate mineral density overlying the urinary bladder may represent superimposed intestinal contents. Both femoral heads are adequately seated in the acetabula. There is faint curvilinear enthesophyte formation in the intertrochanteric groove bilaterally. Pelvic limb musculature is symmetric. Patellar location is normal. No abnormalities associated with the tibial plates or screws.</t>
  </si>
  <si>
    <t>Normal thorax and abdomen. Minimal enthesophyte formation on the proximal femurs suggestive of early coxofemoral joint osteoarthritis. This is of doubtful clinical significance today.</t>
  </si>
  <si>
    <t>No specific recommendations based on this study.</t>
  </si>
  <si>
    <t xml:space="preserve">
1.The liver is mildy enlarged._x000D_
2.Splenic size, shape and margin are normal._x000D_
3.Abdominal detail is normal._x000D_
4.The stomach is normal. The small bowel is diffusely gas- and fluid-filled without segmental small bowel dilation.</t>
  </si>
  <si>
    <t>The AI result for this case is most compelling for: Mild hepatomegaly. While this can represent a normal variant, steroid or metabolic hepatopathy is the most likely etiology, with less likely considerations including infiltrative neoplasia or acute inflammation.</t>
  </si>
  <si>
    <t xml:space="preserve">
Hepatomegaly should be evaluated with blood work, and an abdominal ultrasound._x000D_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</si>
  <si>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Scout Schneider, Date of study: Sep 27, 2024
4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to large volume of mineral material admixed with fluid/soft tissue and gas.  Gas is suspected in the pylorus in the oblique left lateral image. 
In the right cranial to mid-abdomen is a segment of intestine that contains moderate heterogeneous soft tissue material and gas.  This segment is not confirmed to be the colon.
The small intestine in the left mid and caudal abdomen contains moderate gas and mild soft tissue material with a subjectively uniform population for size. 
The descending colon contains mild admixed soft tissue material and gas.  The descending colon is within normal limits for size.  
Musculoskeletal: Severe bilateral coxofemoral joint osteoarthrosis and subluxation with shallow acetabulums is present.  The remaining included musculoskeletal structures are normal.</t>
  </si>
  <si>
    <t>1. Gastric mineral foreign material without current evidence of pyloric outflow tract obstruction.
- An intermittent obstruction cannot be ruled out.
2. Suspicious right cranial and mid-abdominal intestinal segments for enlarged small intestine with foreign material (possibly cloth) versus normal ascending/transverse colon and fecal material.
3. Non-specific small intestinal changes such as from enteritis/functional ileus and dietary indiscretion versus other.
4. Severe bilateral coxofemoral joint osteoarthrosis and subluxation with shallow acetabulums, such as from hip dysplasia.</t>
  </si>
  <si>
    <t xml:space="preserve">Appearance of the intestine in the right cranial/mid-abdomen, coupled with mineral gastric material and reported clinical signs is suspicious for foreign material ingestion and possibly small intestinal mechanical ileus, but normal colon in this region mimicking enlarged small intestine cannot be ruled out.  
Consider pneumocolonogram and/or compression radiographs over the mid-abdomen to further screen the suspicious intestinal segments, versus exploratory celiotomy.  If small intestinal mechanical ileus is confirmed with additional imaging, celiotomy for enterotomy/gastrotomy and foreign material retrieval/decompression.  If small intestinal mechanical ileus is ruled out, consider gastroscopy versus gastrotomy to retrieve gastric mineral foreign material.  Alternatively, given patients improved condition reported after empirical therapy, and if small intestinal mechanical ileus is ruled out, continue empirical therapy/supportive care and repeat radiographs in 8-12 hours to monitor for passage of gastric material, especially if this material is less voluminous compared to reported prior images.
</t>
  </si>
  <si>
    <t>Patient Name : Sky Sparkman, Date of study: Sep 27, 2024
3 images are provided for review
Canine Abdomen (3 Images) - 2 Lateral, 1 Vd
There are no previous radiographs for comparison.
N.B. Patient signalment is listed as "Female/intact".
Liver: The liver is small with cranial dispalcement of the gastric axis.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Metal foci in the right and left mid-abdomen possibly from prior ovariohysterectomy.  
Gastrointestinal tract: The stomach contains a mild to moderate volume of gas.   The stomach is within normal limits for size.
The small intestine contains mild gas with a subjectively uniform population for size. 
The colon contains moderate gas.  The colon is within normal limits for size.  
Musculoskeletal: The included musculoskeletal structures are normal.</t>
  </si>
  <si>
    <t>1. Non-specific gastrointestinal tract appearance such as from enteritis, colitis, or unlikely individual variation of normal given reported history.
- There is no current evidence of gastrointestinal mechanical ileus.
- Differential diagnoses include dietary indiscretion (consistent with reported history), toxin ingestion, diet/antibiotic responsive disease, inflammatory bowel disease, pancreatitis, occult systemic disease or unlikely other.
2. Microhepatia due to occult portosystemic shunt or unlikely chronic hepatitis/cirrhosis.</t>
  </si>
  <si>
    <t>Consider routine blood work, bile acid testing, GI panel, fecal analysis/deworming for further evaluation.  Empirical therapy and supportive care in the interim as needed for enterocolitis and possible dietary indiscretion. Consider internist consultation and abdominal ultrasonography, especially if signs fail to improve, change or worsen in the face of empirical therapy and supportive care.</t>
  </si>
  <si>
    <t xml:space="preserve">
1.The liver and spleen are normal in size with smooth margins._x000D_
2.No abnormal AI findings reported._x000D_
3.There is no evidence of a gastrointestinal obstruction._x000D_
4.The stomach is mildly gas and fluid filled with dense material. The small bowel is gas and fluid-containing._x000D_
5.Serosal detail is adequate.</t>
  </si>
  <si>
    <t>The appearance of the GI tract is likely related to normal ingesta in the absence of GI symptoms. However, if GI symptoms are present, gastroenteritis/colitis secondary to dietary indiscretion or infectious etiology is favored. No evidence of obstruction.</t>
  </si>
  <si>
    <t xml:space="preserve">
Virtual Radiologist Case Difficulty: LOW_x000D_
Virtual Radiologist Confidence: HIGH_x000D_
In a vomiting or anorexic patient, supportive care and therapy for gastroenteritis/colitis are recommended. If the symptoms persist, repeat abdominal radiographs following no food for 12-15 hours (access to water or IV fluid therapy is recommended). If material persists, concern for foreign material increases and an abdominal ultrasound, positive contrast gastrogram, or endoscopy could be considered.</t>
  </si>
  <si>
    <t>Patient Name : Coco Talley, Date of study: Sep 27, 2024
5 images are provided for review
There are no previous radiographs for comparison.  Cranial thorax tip is just excluded from the ventrodorsal image.
N.B. Patient age in metadata is listed as "1 year".
Pulmonary parenchyma: A minimal to mild diffuse bronchial and minimal interstitial pattern is present.
Pulmonary vasculature: The pulmonary vasculature is subjectively normal in size and tapers in the periphery of the lungs.
Cardiac silhouette: The cardiac silhouette is mildly tall and occupies approximately 2/3 the height of the thorax, with slight dorsal tracheal dispalcement.  The cardiac silhouette is slightly widened and occupies 3 to 3.5 intercostal spaces with.  The caudodorsal margin of the cardiac silhouette is slightly flattened.  
Mediastinum: The cranial mediastinum is normal.
Trachea: The trachea is normal.
Esophagus: The esophagus is not well-identified.
Pleural space: The pleural space is normal.
Musculoskeletal: The included musculoskeletal structures are normal.</t>
  </si>
  <si>
    <t>1. Mild generalized cardiomegaly such as from myxomatous mitral and/or tricuspid valvular disease, cor pulmonale/pulmonary hypertension, or artifact from phase of the cardiopulmonary cycle/patient positioning.
- There is no current evidence of left-sided congestive heart failure.
2. Minimal-mild diffuse bronchial and interstitial pulmonary patterns due to infectious/immune-mediated lower airway disease (such as from bordetella spp., mycoplasma spp., or parasitism such as lung worms), or fibrosis from prior disease, age-related changes, or artifact, or unlikely other.</t>
  </si>
  <si>
    <t>Consider echocardiography, eCG and blood pressure for further evaluation especially if a murmur is later identified.  Consider routine blood work and urinalysis if not recently performed.  Consider respiratory PCR panel, airway sampling, and fecal analysis/deworming for further evaluation.  This examination does not rule out dynamic airway disease contributing to reported clinical signs.  Consider tracheoscopy/bronchoscopy/fluoroscopy for further evaluation if clinically indicated.  Empirical therapy and supportive care in the interim as needed.  Monitoring with serial thoracic radiographs as directed, or sooner if clinical signs acutely change, fail to improve or worsen.</t>
  </si>
  <si>
    <t xml:space="preserve">
1.The liver is mildly enlarged with normal shape and smooth margins._x000D_
2.Serosal detail is adequate._x000D_
3.The stomach appears within normal limits. The small bowel contains a mild amount of gas. No obvious signs of obstruction._x000D_
4.No abnormal AI findings reported.</t>
  </si>
  <si>
    <t>9 images of the thorax, abdomen, and left thoracic limb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  There is narrowing of the intervertebral disc spaces and spondylosis deformans at T12-L3 and C6-7.  The sacrum is displaced ventrally relative to L7.  There is marked widening of the articular facets and sclerosis of the vertebral endplates at this level.  There is also ventral displacement of Cd5 relative to Cd4.  The joint surfaces are smooth and regular.  Osteophytes are present at the caudal aspect of the left humeral head and glenoid cavity.  There is a mildly comminuted fracture of the distal diaphysis of the left humerus with marked caudolateral and proximal displacement.  No lytic changes are seen.</t>
  </si>
  <si>
    <t>Radiographically normal abdomen.  Radiographically normal thorax for patient of this age.  Lumbosacral and tail luxations, felt likely to be chronic.  Comminuted left humeral fracture.  Surgical correction would be ideal=ZZ90= the degree of musculature contributing to displacement may make splinting difficult to obtain anatomic alignment.  Moderate left shoulder DJD.  Changes at C6-7 in the thoracolumbar spine are likely due to chronic intervertebral disc herniations.</t>
  </si>
  <si>
    <t xml:space="preserve">
1.The liver is mildly enlarged with normal shape and smooth margins._x000D_
2.No abnormal AI findings reported._x000D_
3.Serosal detail is adequate._x000D_
4.The stomach appears within normal limits. The small bowel contains a mild amount of gas. No obvious signs of obstruction.</t>
  </si>
  <si>
    <t>Three radiographs of the thorax and three views of the abdomen are provided. The cardiac silhouette is normal size and shape with no chamber enlargement. Pulmonary vessels are normal size. There are a few incidental pulmonary osteomas, otherwise the lungs are clear. No pleural effusion or intrathoracic lymphadenomegaly._x000D_
_x000D_
In the abdomen the splenic tail has a rounded contour on the right lateral view. The liver and kidneys are normal size. The stomach contains a small to moderate amount of soft tissue density stippled with gas and a crumpled metal opaque 2.8 cm wire-like object. Small bowel are minimally filled. There is gas in the cecum and colon. No radiopaque urolithiasis.</t>
  </si>
  <si>
    <t>1. Wire gastric foreign material. This is of a size that may not pass successfully. In the absence of vomiting, significance is uncertain. No other gastrointestinal abnormalities._x000D_
2. Rounded splenic tail consistent with the reported mass lesion._x000D_
3. Normal thorax, with no evidence of pulmonary metastatic disease.</t>
  </si>
  <si>
    <t>Consider a splenectomy and retrieval of gastric foreign material. There is no contraindication for general anesthesia based on this study.</t>
  </si>
  <si>
    <t xml:space="preserve">
1.The liver and spleen are normal size._x000D_
2.No abnormal AI findings reported._x000D_
3.The right cranial quadrant has a hazy appearance on the VD projection otherwise serosal detail is adequate._x000D_
4.In the abdomen the stomach contains small volume gas, soft tissue and mildly prominent rugae._x000D_
5.Small intestines are minimally filled. No small intestinal segmental dilation is noted._x000D_
6.The colon contains gas and scant semiformed feces.</t>
  </si>
  <si>
    <t>Patient Name : Copper Sanders, Date of study: Sep 27, 2024
2 images are provided for review
There are no previous radiographs for comparison.
Cranial thorax tip is excluded from the ventrodorsal image.
Pulmonary parenchyma: A mild diffuse bronchial pattern is present.
Pulmonary vasculature: The pulmonary vasculature is subjectively normal in size and tapers in the periphery of the lungs.
Cardiac silhouette: The cardiac silhouette is tall and occupies approximately 2/3 the height of the thorax.  The cardiac silhouette is generally widened and rounded, occupying up to 4 intercostal spaces width in the lateral image.  Rounded increased soft tissue is suspected in the region of the left atrium.
Mediastinum: The cranial mediastinum is subjectively normal.
Trachea: The trachea has a slightly undulant, well-defined dorsal margin.
Esophagus: The esophagus is not well-identified.
Pleural space: The pleural space is normal.
Liver: The liver is subjectively normal in size.
Spleen: The spleen is normal in size with smooth margins and homogeneous soft tissue.
Kidneys: The right kidney is partially obscured without obvious renomegaly or mineral.  The left kidney has ill-defined mineral superimposed in the ventrodorsal image.  
Retroperitoneum: Retroperitoneal detail is adequate.
Urinary bladder/Urethra: The urinary bladder contains multiple (at least seven)
Peritoneum: Peritoneal detail is adequate.
Gastrointestinal tract: The stomach contains a moderate volume of soft tissue material and gas.  Some soft tissue material is well-defined and rectangular in the proximal body of the stomach in the right lateral image.   The stomach is within normal limits for size.
The small intestine contains mild heterogeneous soft tissue material in the caudoventral abdomen, and otherwise contains mild gas, minimal fluid, or is empty.  Overall the small intestine has a subjectively uniform population for size. 
The colon contains moderate well-defined soft tissue material and gas.  The colon is within normal limits for size.  
Musculoskeletal: Multifocal thoracolumbar spondylosis deformans is present.  The remaining included musculoskeletal structures are normal.</t>
  </si>
  <si>
    <t>1. Mild left-sided cardiomegaly and suspected right-sided cardiomegaly such as from myxomatous mitral valvular disease and insufficiency, with/without tricuspid valvular disease, or cor pulmonale/pulmonary hypertension, or unlikely other.
- There is no current evidence of left-sided congestive heart failure.
2. Mild diffuse bronchial pulmonary pattern due to fibrosis from prior disease, age-related changes, infectious/immune-mediated lower airway disease, or unlikely other.
3. Multiple urocystoliths and presumed underlying cystitis.
4. Suspected gastric material from normal ingesta/recent meal, or less likely foreign material with gastritis/delayed gastric emptying, or pyloric outflow obstruction given reported history.
5. Non-specific small intestinal appearance such as from variation of normal or unlikely enteritis or other given reported history.
6. Left-sided nephroliths are suspected, versus artifact.</t>
  </si>
  <si>
    <t>Consider echocardiography, eCG and blood pressure for further evaluation.  Routine blood work and urinalysis if not recently performed.  Repeat abdominal radiographs after 8-12 hours of fasting and empirical therapy to monitor for passage of gastric content.  Abdominal ultrasonography for further evaluation of the kidneys, urinary bladder and gastrointestinal tract.  Consider cystotomy and mineral retrieval/analysis and/or dissolution diet protocol and therapy for cystitis in the interim as needed.  Monitoring as directed or sooner if clinical signs acutely change, fail to improve or worsen.</t>
  </si>
  <si>
    <t xml:space="preserve">
1.Liver size is at the lower limits of normal._x000D_
2.Splenic size, shape and margin are normal._x000D_
3.Abdominal detail is normal._x000D_
4.The small bowel is diffusely fluid filled without segmental small bowel dilation._x000D_
5.The stomach contains a small amount of gas and ingesta.</t>
  </si>
  <si>
    <t>Liver size at the lower limits of normal. Ddx: Normal for breed vs. less suspected, microvascular dysplasia. In an older dog, a component of hepatic cirrhosis secondary to chronic liver disease is a consideration. No abdominal fluid is noted at this time.</t>
  </si>
  <si>
    <t xml:space="preserve">
Virtual Radiologist Case Difficulty: MODERATE_x000D_
Virtual Radiologist Confidence: MODERATE_x000D_
If abnormal liver values are present or there is clinical suspicion of hepatopathy, pre- and post-prandial bile acids testing and abdominal ultrasound should be considered.</t>
  </si>
  <si>
    <t>Five radiographs are provided, with images of the thorax, abdomen, pelvic limbs. The cardiac silhouette is normal size. There are no abnormalities in the pulmonary parenchyma. No pleural effusion. Redundant dorsal trachealis membrane causes severe narrowed cervical trachea. In the abdomen the liver is prominent with rounded margins. There is no effusion. The gastrointestinal tract is minimally filled. No radiopaque urolithiasis. Normal-sized kidneys and spleen. No lumbar spinal abnormalities. The coxofemoral joints are congruent. No definitive patellar displacement. There is small volume fluid in the cranial aspect of the left stifle joint, with enthesophytes on the femoral trochlear ridges and distal patella. No definitive right stifle joint abnormalities, although evaluation is limited by superimposed abdominal tissue.</t>
  </si>
  <si>
    <t>1. Mild left stifle effusion suggestive of cranial cruciate ligament tear/rupture. It is unknown if this is the limb on which the patient is lame. No other pelvic limb abnormalities are appreciated._x000D_
2. Prominent liver with rounded margins, consider normal variant, steroid or other hepatopathy. This should be correlated with history and blood work._x000D_
3. Cervical tracheal collapse. No intrathoracic abnormalities.</t>
  </si>
  <si>
    <t>Surgical stabilization of the left stifle is likely necessary.</t>
  </si>
  <si>
    <t xml:space="preserve">
1.On the lateral projection, the liver is mildly enlarged._x000D_
2.On the lateral projection, there is increased soft tissue opacity in the splenic region suggestive of splenomegaly._x000D_
3.The stomach contains a moderate amount of heterogeneous soft tissue material._x000D_
4.Mid-abdominal detail is decreased and the abdomen is mildly pendulous on the lateral projection._x000D_
5.The small intestines are normal in size, course and content._x000D_
6.The colon contains gas and partially formed fecal material.</t>
  </si>
  <si>
    <t>Gastric contents may represent food and/or foreign material. Test negative for small intestinal mechanical ileus. Repeat fasted radiography can be considered to ensure gastric emptying, particularly if there is clinical concern for gastric foreign material. Alternatively, sonography can be considered for further evaluation if clinical signs are present or there is a poor response to medical management. Mild hepatomegaly is nonspecific. Rule out metabolic/vacuolar hepatopathy, hyperplasia, hepatitis or infiltrative neoplasia. Sonography can reconsider for further evaluation if clinically relevant. Increased soft tissue in the mid-ventral abdomen on the lateral projection. DDx: splenomegaly vs. hepatomegaly extending caudally causing an increase in soft tissue opacity in the splenic region vs. less suspected, confluence of normal soft tissue structures. Decreased mid-abdominal detail. DDx: organ crowding due to hepatomegaly +/- splenomegaly vs. increased soft tissue opacity in the mid-abdomen secondary to another soft tissue structure such as lymph node enlargement or pancreas. Free abdominal fluid in the mid-abdomen is considered less likely.</t>
  </si>
  <si>
    <t xml:space="preserve">
Virtual Radiologist Case Difficulty: MODERATE_x000D_
Virtual Radiologist Confidence: MODERATE_x000D_
As above.</t>
  </si>
  <si>
    <t>Three radiographs of the abdomen are provided. There is no effusion. The stomach contains moderate volume gas, fluid, and small accumulation of mineral opaque debris. Small bowel are diffusely moderately filled with fluid and gas. Small volume non-formed feces in the colon. Serosal detail is adequate. Normal-sized liver and spleen. The kidneys are incompletely visible. No radiopaque urolithiasis. Normal caudal thorax.</t>
  </si>
  <si>
    <t>Fluid-filled stomach, most likely due to gastritis. Mineral debris in the stomach may represent component of normal ingesta, administered medication, or foreign material, and is of uncertain significance. Pyloric or proximal small intestinal obstruction is not definitively ruled out, although no significant intestinal dilation is identified to suggest intestinal obstruction</t>
  </si>
  <si>
    <t>If the patient does not rapidly improve with supportive care, abdominal ultrasound would be recommended.</t>
  </si>
  <si>
    <t>The AI result for this case is most compelling for: normal abdominal study. The appearance of the GI tract is likely related to normal ingesta in the absence of GI symptoms. However, if GI symptoms are present, gastroenteritis/pancreatitis secondary to dietary indiscretion or infectious etiology could be considered.</t>
  </si>
  <si>
    <t xml:space="preserve">
Virtual Radiologist Case Difficulty: LOW_x000D_
Virtual Radiologist Confidence: HIGH_x000D_
If GI signs are present, supportive and symptomatic therapy for gastroenteritis/pancreatitis can be considered. Repeat radiographs to assess for passage of gastric contents or obstruction, and abdominal ultrasound could be performed for further evaluation in addition to blood work.</t>
  </si>
  <si>
    <t>Patient Name : Pip Gabbert, Date of study: Sep 27, 2024
Eleven images are provided.
Prior images dated January 5th, 2024 are available.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No obvious prostatomegaly given reported intact patient status.
Peritoneum: Peritoneal detail is adequate.
Gastrointestinal tract: The stomach contains a mild volume of fluid and gas.   The stomach is within normal limits for size.
The small intestine contains minimal gas and mild fluid or is empty with a subjectively uniform population for size. 
The colon contains minimal heterogeneous soft tissue material and gas.  The colon is within normal limits for size.  
Musculoskeletal: The included musculoskeletal structures are normal.</t>
  </si>
  <si>
    <t xml:space="preserve">1. Minimal-mild diffuse bronchial pulmonary pattern such as from fibrosis from prior disease, age-related changes, or unlikely infectious/immune-mediated lower airway disease, inhaled allergen/irritant, or unlikely other.
- No current evidence of bronchopneumonia in this examination.
2. There is no current evidence of cardiomegaly.
3. Non-specific gastrointestinal tract appearance due to gastritis/enteritis/colitis or less likely given reported history variation of normal/recent bowel movement.
- There is no current evidence of gastrointestinal mechanical ileus.
- Differential diagnoses include dietary indiscretion, toxin ingestion, diet/antibiotic responsive disease, inflammatory bowel disease, pancreatitis,  or less likely occult systemic disease or other.
</t>
  </si>
  <si>
    <t xml:space="preserve"> Empirical therapy and supportive care in the interim as needed for gastrointestinal clinical signs.  Consider GI panel and empirical deworming if not recently performed.  Consider abdominal ultrasonography if clinical signs fail to improve or worsen in the face of empirical therapy.  Monitoring as directed or sooner if clinical signs acutely change, fail to improve or worsen.</t>
  </si>
  <si>
    <t xml:space="preserve">
1.The cranial peritoneal serosal detail is mildly reduced._x000D_
2.The liver and spleen are normal for size, shape and contour._x000D_
3.No abnormal AI findings reported._x000D_
4.The stomach has a normal axis._x000D_
5.The small intestinal tract contains normal volumes of fluid, gas and ingesta._x000D_
6.The ascending, transverse and descending colon are in a normal position and contain gradually more formed feces.</t>
  </si>
  <si>
    <t>Cranial abdominal detail is minimally decreased. This is  attributed to superimposed soft tissue structures  or underpenetration of this region due to body thickness. Regional inflammation is considered unlikely.</t>
  </si>
  <si>
    <t xml:space="preserve">
Further evaluation of the abdomen via ultrasound as clinically and/or warranted by the bloodwork. Pancreatic testing may also be warranted depending on the history and given the above findings._x000D_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</si>
  <si>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Six radiographs of the thorax and abdomen are provided. The cardiac silhouette is normal size and shape. Slight rightward position of the thoracic trachea on the VD views is incidental. Hazy increased opacity to the left of the cardiac apex on the VD view is not seen on the lateral projections and is likely either extrathoracic lipomatous lesion or incidental pleural fat deposition. Faint bronchial markings is normal for the age of this patient. There is no pleural effusion. Normal tracheal diameter._x000D_
_x000D_
In the abdomen the liver is mildly enlarged with smooth margins. Normal sized kidneys and spleen. The gastrointestinal tract is minimally filled. No radiopaque cystic calculi. Mineralized intervertebral disc material at T11-12, incidental.</t>
  </si>
  <si>
    <t>Mild hepatomegaly, a nonspecific finding and may be steroid or other hepatopathy, acute inflammation, or neoplasia. Otherwise normal abdomen and thorax.</t>
  </si>
  <si>
    <t>Recommend abdominal ultrasound.</t>
  </si>
  <si>
    <t xml:space="preserve">
1.Equivocal splenomegaly is present._x000D_
2.On the lateral projection, the hepatic serosal margins are mildly rounded in the liver is mildly enlarged._x000D_
3.No abnormal AI findings reported._x000D_
4.The stomach contains a small volume of fluid and gas._x000D_
5.The small bowel contains fluid and gas diffusely. No segmental small bowel dilation is noted._x000D_
6.The colon is largely empty with only scant gas.</t>
  </si>
  <si>
    <t>Mild hepatomegaly. A vacuolar hepatopathy, inflammation, nodular hyperplasia, or neoplasia could be considered. Equivocal splenomegaly. DDx: sedation vs. extramedullary hematopoiesis vs. lymphoid hyperplasia vs. less suspected, tick borne disease or infiltrative neoplasia.</t>
  </si>
  <si>
    <t xml:space="preserve">
Virtual Radiologist Case Difficulty: MODERATE_x000D_
Virtual Radiologist Confidence: MODERATE_x000D_
A CBC, biochemistry profile, and urinalysis could be beneficial if not recently performed._x000D_
Abdominal ultrasound could be considered for further evaluation of the mild hepatomegaly and splenomegaly.</t>
  </si>
  <si>
    <t>Three radiographs of the thorax, and five views of the abdomen are provided. The cardiac silhouette and pulmonary vessels are normal size and shape. Small round soft tissue density cranial to the heart on the left lateral view is end-on pulmonary vessel. No soft tissue pulmonary nodules or pleural effusion. Normal tracheal diameter._x000D_
_x000D_
In the abdomen punctate nephroliths are likely incidental. There is a single smoothly marginated round 0.3 cm mineral opaque calculus in the urinary bladder. No prostatomegaly or medial iliac lymphadenomegaly is appreciated. Normal-sized liver, spleen, kidneys. The gastrointestinal tract is moderately filled. Mild osteoarthrosis in the coxofemoral joints.</t>
  </si>
  <si>
    <t>Single small cystic calculus, of a size that may or may not be able to pass the urethra. Otherwise normal abdomen and thorax.</t>
  </si>
  <si>
    <t>There is no contraindication for general anesthesia based on this study.</t>
  </si>
  <si>
    <t xml:space="preserve">
1.On the VD projection, a mild decrease in cranial abdominal detail is present. This is suspected to be secondary to caudal extension of the liver._x000D_
2.Splenic size, shape and margin are normal._x000D_
3.On the lateral projection, the liver is mildly enlarged._x000D_
4.As mentioned above, cranial abdominal detail is mildly decreased. A global reduction in abdominal detail is NOT present._x000D_
5.The ventral abdominal line is mildly pendulous._x000D_
6.No gastrointestinal abnormalities.</t>
  </si>
  <si>
    <t>Mild hepatomegaly, of uncertain significance. This finding should be correlated to blood work. DDx: fat deposition/vacuolar hepatopathy vs. metabolic hepatopathy vs. hepatitis or in an older patient, infiltrative neoplasia. Decrease in cranial abdominal detail. DDx: secondary to superimposition of caudal liver extension vs. less suspected, regional inflammation.</t>
  </si>
  <si>
    <t xml:space="preserve">
Virtual Radiologist Case Difficulty: MODERATE_x000D_
Virtual Radiologist Confidence: MODERATE_x000D_
Further evaluation of the liver via blood work +/- abdominal ultrasound.</t>
  </si>
  <si>
    <t>Nine orthogonal survey radiographs of the thorax and abdomen dated 26th October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in size with smooth borders. The tail of the spleen is mildly prominent. The kidneys are partially obscured by gastrointestinal contents, but the visible aspect are normal. The stomach contains some gas and foamy soft issue opaque material. There is appropriate gas in the pylorus on the left lateral image. The small intestines are distributed evenly and are within normal limits for shape, size and contents. The ascending, transverse and descending colon have a normal position and contain gradually more formed faeces. The urinary bladder is filled. The serosal detail is normal.</t>
  </si>
  <si>
    <t>1. The  soft issue opaque material within the stomach may be indicative of a recent meal. Alternatively, dietary indiscretion, soft tissue foreign material may be present. This needs to be correlated with time of feeding and last emesis._x000D_
2. Mild splenomegaly: differential diagnoses include passive congestion from sedation (if administered), splenitis, extramedullary hematopoiesis, lymphoid hyperplasia, or neoplasia.
(amended on 09/27/2024 03:16)
In comparison with previous radiographs dated 23rd April 2024, no significant changes are present. The gastric gas which was present previously is not present currently.</t>
  </si>
  <si>
    <t>Consider post fasting repeat radiographs, abdominal ultrasonography, or depending on clinical progression, an upper GI contrast study. Supportive management including rehydration, gastroprotectants,  full blood work, faecal analysis if clinically indicated is advised, if not already performed.</t>
  </si>
  <si>
    <t xml:space="preserve">
1.Liver size, shape and margin are normal._x000D_
2.Splenomegaly is present but a splenic mass is NOT detected._x000D_
3.Cranial abdominal detail is mildly decreased.  If this is the only finding, this is more likely due to normal overlying structures or radiographic technique. If this finding is part of a larger group of findings, cranial abdominal inflammation becomes a stronger consideration._x000D_
4.There is formed fecal material within the colon._x000D_
5.The stomach is minimally distended._x000D_
6.The small intestine is uniform in diameter containing both fluid and gas. No segmental small bowel dilation is noted.</t>
  </si>
  <si>
    <t>Possibility of some radiolucent foreign material remaining within the stomach cannot be completely ruled out, but there is no obvious dilation of the stomach or small bowel to support a mechanical obstruction. Primary consideration is given to gastroenteritis secondary to history of dietary indiscretion. There is no evidence of a foreign object or obstructive change on the current radiographs. Splenomegaly. No splenic mass. DDx: lymphoid hyperplasia secondary to abdominal inflammation, such as enteritis, vs. extramedullary hematopoiesis vs. less suspected, infiltrative neoplasia. Mild decrease in cranial abdominal detail. DDx: secondary to overlap of the splenomegaly vs. less suspected, cranial abdominal inflammation.</t>
  </si>
  <si>
    <t xml:space="preserve">
Ultrasound of the GI tract would also be recommended if clinical signs are consistent with GI disease. Alternatively, an upper GI contrast study could be performed. in the interim, continued medical management for gastroenteritis._x000D_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</si>
  <si>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Eight survey images of the thoracolumbar vertebral column and pelvic limbs dated 26th September 2024 are available for review._x000D_
_x000D_
Vertebral column: All physes are open and epiphyses incompletely ossified, consistent with very young age. Malalignment of vertebral bodies or a fracture lines are seen. There is no widening or narrowing of intervertebral disc spaces. The lumbosacral joints and sacroiliac joints are normal. The incompletely ossified femoral heads are within the acetabuli. The included stifle joints and extremities are normal. No localised or diffuse soft tissue swelling is noted.</t>
  </si>
  <si>
    <t>No bony abnormalities are noted. A non-displaced Salter Harris fracture, greenstick fracture can be present. A muscular or tendinous strain or articular sprain should be considered as alternate differentials. Considering the incomplete ossification of many epiphyses, cartilaginous trauma is possible.</t>
  </si>
  <si>
    <t>Empiric management is advised. Repeat radiographic screening depending on clinical progression.</t>
  </si>
  <si>
    <t xml:space="preserve">
1.The serosal detail is adequate._x000D_
2.The stomach contains a mild amount of gas._x000D_
3.The small bowel is gas and fluid-containing. No obvious obstruction._x000D_
4.The liver is mildly enlarged with smooth margins._x000D_
5.The spleen appears within normal limits.</t>
  </si>
  <si>
    <t>The AI result for this case is most compelling for: Mild to moderate hepatomegaly. This is a nonspecific finding that may be due to steroid or endocrine hepatopathy. Less likely considerations include infiltrative neoplasia, or acute inflammation.</t>
  </si>
  <si>
    <t xml:space="preserve">
Virtual Radiologist Case Difficulty: MODERATE_x000D_
Virtual Radiologist Confidence: MODERATE_x000D_
Hepatomegaly could be evaluated with blood work, and an abdominal ultrasound.</t>
  </si>
  <si>
    <t>Study:_x000D_
Abdominal radiography: five images dated September 26, 2024_x000D_
_x000D_
Findings:_x000D_
The abdominal serosal detail is normal. The stomach contains a small volume of gas. The pylorus is appropriately gas filled on the left lateral image. The small intestines are normal in size, course and content. The colon contains gas and poorly formed fecal material. The liver and spleen are normal in size and margin. The renal silhouettes are normal in size and shape. The urinary bladder is normal in size and opacity. The included thorax is unremarkable. There is variable mild to severe multifocal spondylosis deformans.</t>
  </si>
  <si>
    <t>Unremarkable abdomen. A cause of the gastrointestinal signs is not evident. There is no radiographic evidence of gastrointestinal foreign material or small intestinal mechanical obstruction. Abdominal sonography can be considered for further evaluation if clinical signs persist or worsen in spite of medical management.</t>
  </si>
  <si>
    <t xml:space="preserve">
1.Liver size, shape and margin are normal._x000D_
2.The stomach is normal. The small bowel is diffusely gas- and fluid-filled without segmental small bowel dilation._x000D_
3.Splenic size, shape and margin are normal._x000D_
4.Abdominal detail is normal.</t>
  </si>
  <si>
    <t>The AI result for this case is most compelling for: Radiographically normal liver, spleen, GI tract and abdominal detail in the absence of GI symptoms. However, if GI symptoms are present, gastroenteritis secondary to dietary indiscretion or infectious etiology could be considered.</t>
  </si>
  <si>
    <t xml:space="preserve">
Virtual Radiologist Case Difficulty: MODERATE_x000D_
Virtual Radiologist Confidence: MODERATE_x000D_
If GI signs are present, supportive and symptomatic therapy for gastroenteritis can be considered. Repeat radiographs to assess for passage of gastric contents or obstruction, and abdominal ultrasound could be performed for further evaluation.</t>
  </si>
  <si>
    <t>Study:_x000D_
Abdominal radiography: three images dated September 26, 2024_x000D_
_x000D_
Findings:_x000D_
The stomach and small intestines contain unstructured heterogeneous/granular soft tissue material with interspersed granular mineral. The small intestines are normal in size and course. The colon contains poorly formed fecal material with a small amount of interspersed granular mineral. The liver and spleen are normal in size and margin. The renal silhouettes are normal in size and contour. The urinary bladder is normal in size and opacity. There is no uterine dilation. The included thorax is normal. The osseous structures are unremarkable/age appropriate.</t>
  </si>
  <si>
    <t>The gastrointestinal contents likely represent ingesta. Foreign material cannot be completely excluded. There is no evidence of small intestinal mechanical obstruction. Repeat fasted radiography can be considered to ensure gastrointestinal emptying. Alternatively, sonography can be considered if clinical signs persist or worsen in spite of medical management.</t>
  </si>
  <si>
    <t xml:space="preserve">
1.Splenic size, shape and margin are normal._x000D_
2.Liver size, shape and margin are normal._x000D_
3.Abdominal detail is normal._x000D_
4.The stomach is normal. The small bowel is diffusely gas- and fluid-filled without segmental small bowel dilation.</t>
  </si>
  <si>
    <t>Two orthogonal survey radiographs of the thorax and abdomen dated 26th September 2024 are available for review. These are compared with previous images dated 23rd April 2024._x000D_
_x000D_
Thorax: _x000D_
Airway findings: A smoothly marginated soft tissue opacity is variably present overlying the dorsal aspect of the trachea at the thoracic inlet. This opacity reduces approximately 80% of the dorsoventral diameter of the trachea. The intrathoracic trachea is normal._x000D_
_x000D_
Cardiovascular findings: The cardiac silhouette is normal in shape, size and margination. A very small smoothly marginated soft tissue opacity is contiguous with the caudal dorsal border of the cardiac silhouette. The cranial and caudal pulmonary vasculature is normal. The caudal vena cava is normal. The aorta and mainstem pulmonary artery have a normal outline in the vd/dv l image._x000D_
_x000D_
Mediastinum and pleural space: No significant abnormalities are detected._x000D_
_x000D_
Included abdomen: No significant abnormalities are detected._x000D_
_x000D_
Musculoskeletal findings: No significant abnormalities are detected.</t>
  </si>
  <si>
    <t>1.The dorsal attenuation of the trachea is consistent with tracheomalacia, and/or redundant trachealis membrane. The extent of attenuation would be expected to cause coughing._x000D_
2. Minimal left atrial dilation. The murmur reported is most likely a physiologic murmur, or a compensated valvular disease such as myxoid degeneration of the mitral valve.</t>
  </si>
  <si>
    <t>Consider evaluation for airway collapse (fluoroscopy vs. right lateral inspiratory and expiratory radiographs vs. CT with virtual bronchoscopy). Alternatively consider medical management. Consider surgical consultation depending on clinical progression. _x000D_
In absence of clinical signs indicative of cardiac disease, conservative management may be considered, alternatively with an acute onset murmur, and signs of exercise intolerance, echocardiography may be considered.</t>
  </si>
  <si>
    <t xml:space="preserve">
1.The liver and spleen are normal size with smooth margins._x000D_
2.In the abdomen there is no effusion._x000D_
3.No gastrointestinal abnormalities are appreciated. No signs of obstruction._x000D_
4.No abnormal AI findings reported.</t>
  </si>
  <si>
    <t>Normal liver, spleen, GI tract and abdominal detail.</t>
  </si>
  <si>
    <t>Right lateral and VD views of the abdomen and a right lateral thorax view are provided for interpretation. The VD view of the caudal abdomen includes the pelvis._x000D_
_x000D_
There is a large round soft tissue mass in the right cranial abdomen. The mass appears to be contiguous with the liver, but has folded shape that is more commonly associated with spleen. A spleen shadow is visible in both views that does not appear to be associated with the mass. The mass is associated with dorsal and leftward displacement of the body of the stomach and pylorus. Rugal folds in the stomach are prominent. The small intestine has increased gas volume, but no dilation of the intestinal loops is seen. Serosal detail in the abdomen is normal. The other organs are within normal limits. No destructive or productive bone lesions are identified._x000D_
The pelvis and hip joints are within normal limits._x000D_
The size and shape of the heart is normal. No tracheal abnormalities are identified. The lungs cannot be evaluated due to overexposure. No destructive or productive bone lesions are seen in the thoracic region. There is a small mineral opacity dorsal to the cranial thoracic spine which likely represents a mineralized subcutaneous granuloma.</t>
  </si>
  <si>
    <t>There is a large right cranial abdominal mass in the range of 10 cm. The mass is suspected to be arising from the right ventral liver. Origin from spleen or pancreas would be less likely but cannot be excluded. No evidence of abdominal hemorrhage is identified._x000D_
_x000D_
The prominent gastric rugal folds in gassy small intestine would be compatible with gastroenteritis. However, these changes can also be seen incidentally is not supported by relevant clinical signs.</t>
  </si>
  <si>
    <t>More advanced imaging such as CT or ultrasound could be helpful for surgical planning.</t>
  </si>
  <si>
    <t xml:space="preserve">
1.The liver is enlarged with rounded borders._x000D_
2.There is increased soft tissue opacity in the splenic region. DDx: secondary to caudal extension of the liver vs. loss of detail due to abdominal fluid vs. splenomegaly or a splenic mass._x000D_
3.There is poor detail identified in the abdomen. DDx: secondary to hepatomegaly causing crowding of the abdominal organs and/or abdominal fluid._x000D_
4.The abdomen is mildly pendulous._x000D_
5.The stomach contains fluid and some gas._x000D_
6.The small intestine is diffusely fluid filled.</t>
  </si>
  <si>
    <t>Loss of detail especially in the cranial abdomen. DDx: secondary to organ crowding caused by the hepatomegaly vs. abdominal fluid vs. concurrent splenomegaly or splenic mass. Hepatomegaly.</t>
  </si>
  <si>
    <t xml:space="preserve">
Virtual Radiologist Case Difficulty: LOW_x000D_
Virtual Radiologist Confidence: HIGH_x000D_
Correlation with lab work is needed. Abdominal ultrasound is likely warranted._x000D_
Depending on initial blood work results, liver function testing may be warranted.</t>
  </si>
  <si>
    <t>Right lateral and VD views of the abdomen are provided._x000D_
_x000D_
The stomach contains a moderate quantity of soft tissue dense content. The appearance would be compatible with food, but toy stuffing could have a similar appearance. No discrete foreign objects are identified. The stomach is not dilated or malpositioned. The appearance of the intestinal tract is within normal limits. Serosal detail is normal. The spleen is mildly enlarged. The other organs are unremarkable.</t>
  </si>
  <si>
    <t>The content within the stomach is compatible with normal food. Toy stuffing or other similar foreign material could still appear similar. No definitive foreign objects or obstructive pattern are identified. No evidence of peritonitis or other explanation for the fever is identified.
(amended on 09/26/2024 17:27)
The mild splenomegaly is likely a reactive change secondary to inflammatory disease. The possibility of lymphoma causing fever, lethargy, and mild splenomegaly cannot be excluded.</t>
  </si>
  <si>
    <t>The cause of the fever and clinical signs is not apparent in the radiographs._x000D_
Symptomatic therapy and supportive care is recommended._x000D_
Thoracic radiographs should be considered due to the coughing._x000D_
CBC, serum chemistry, and urinalysis is recommended.</t>
  </si>
  <si>
    <t xml:space="preserve">
1.Splenic size, shape and margin are normal._x000D_
2.Liver size, shape and margin are normal._x000D_
3.Abdominal detail is normal._x000D_
4.The stomach contains gas and ingesta or prominent rugae, suggestive of gastritis. The small bowel is diffusely fluid filled but without segmental small bowel dilation.</t>
  </si>
  <si>
    <t>Appearance of the stomach is suggestive of gastritis. No small bowel obstruction is suspected.</t>
  </si>
  <si>
    <t xml:space="preserve">
Blood work and abdominal ultrasound, with empirical therapy for gastritis/gastroenteritis as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</si>
  <si>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12 images of the spine, thorax, abdomen, pelvis and pelvic limbs dated September 26, 2024_x000D_
_x000D_
Findings:_x000D_
There is narrowing of the C2-C3 and C3-C4 intervertebral disc spaces. The patient has multiple, breed associated, congenitally anomalous thoracic vertebrae. There is no associated kyphosis or scoliosis. There is mild multifocal thoracic spondylosis deformans. The L4-L5 and L5-L6 intervertebral disc space appears mildly narrowed in comparison to the adjacent to spaces. There is no evidence of discospondylitis. The coxofemoral joints are unremarkable with good coverage of the femoral head by the acetabulum bilaterally. The patella is in the correct anatomic location bilaterally. The degree of soft tissue opacity within the stifle joint spaces is bilaterally symmetric and within normal limits. No degenerative change is present in either stifle. The bones of the tarsus and pes are unremarkable bilaterally. The included portions of the thoracic limbs are unremarkable._x000D_
_x000D_
The cardiac silhouette and pulmonary vasculature are normal in size. The pulmonary parenchyma is unremarkable. The pleural space is normal. There is no intrathoracic lymphadenopathy. The trachea is normal in diameter and course. The stomach contains a small volume of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t>
  </si>
  <si>
    <t>1. C2-C3, C3-C4, L4-L5 and L5-L6 intervertebral disc disease is suspected. Neurology consultation and MRI can be considered for further evaluation if the clinical signs persist or worsen in spite of strict activity restriction and pain management._x000D_
2. Unremarkable coxofemoral joints and pelvic limbs._x000D_
3. Normal thorax._x000D_
4. Unremarkable abdomen.</t>
  </si>
  <si>
    <t xml:space="preserve">
1.No abnormal AI findings reported._x000D_
2.No abnormal AI findings reported._x000D_
3.The spleen is normal size._x000D_
4.Large-volume soft tissue opacity fills the stomach._x000D_
5.Small intestines are diffusely mildly filled with a mixture of fluid and gas. No evidence of obstruction._x000D_
6.Scant formed feces is present in the distal colon.</t>
  </si>
  <si>
    <t>Study:_x000D_
Abdominal radiography: three images dated September 26, 2024_x000D_
_x000D_
Findings:_x000D_
The serosal detail is normal. The stomach contains a small volume of gas with the pylorus appropriately gas-filled on the left lateral image. The thickness of the gastric wall and rugae are within normal limits. The degree of gastric distention. The small intestines are normal in size, course and content. The colon contains a small volume of gas with a normal diameter. The liver and spleen are normal in size and margin. The renal silhouettes are normal in size and contour. The urinary bladder is normal in size and opacity. The included thorax is normal. No skeletal abnormalities are present.</t>
  </si>
  <si>
    <t>Unremarkable abdomen. A cause of the reported diarrhea is not evident. There is no radiographic evidence of gastrointestinal foreign material or small intestinal mechanical obstruction. Abdominal sonography can be considered for further evaluation if clinical signs persist or worsen in spite of medical management.</t>
  </si>
  <si>
    <t xml:space="preserve">
1.Serosal detail is adequate._x000D_
2.There is a heterogeneous soft tissue opacity associated with the gastric lumen._x000D_
3.The small intestines have a diffuse fragmented gas pattern._x000D_
4.Splenic size, shape and margin are normal._x000D_
5.Liver size, shape and margin are normal._x000D_
6.The colon is gas filled with a rigid appearance.</t>
  </si>
  <si>
    <t>The AI result for this case is most compelling  for:  normal post-prandial GI tract in a patient WITHOUT GI signs. In a patient WITH GI signs, gastric foreign material or low grade gastroenteritis is a consideration. Primary differential consideration for the appearance of the gastric lumen include normal ingesta. However, if vomiting or anorexia are present, gastric foreign material becomes a consideration. Fragmented gas pattern associated with the small intestines and gas filled rigid colon which may be secondary to enterocolitis. No small intestinal segmental dilation is identified.</t>
  </si>
  <si>
    <t xml:space="preserve">
If GI signs are present, withhold food for 12-15 hours followed by repeat abdominal radiographs to assess for retention of the gastric contents. If the gastric contents persist after withholding food or if there is non-productive vomiting, the concern for gastric foreign material increases._x000D_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</si>
  <si>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Thoracic radiography: three images dated September 26, 2024_x000D_
_x000D_
Findings:_x000D_
There is severe left ventricular and left atrial enlargement. The pulmonary vasculature is normal in size. There is a mild diffuse bronchointerstitial pulmonary pattern. The pleural space is normal. There is no intrathoracic lymphadenopathy. There is dilation of the trachea lumen at the thoracic inlet on the right lateral projection relative to the left lateral view. The left caudal lobar bronchus appears mildly narrowed on the left lateral projection comparison to the right lateral view. There indistinct mineral opacity caudal to each kidney thought to represent incidental suture granulomas from prior ovariohysterectomy. The included abdomen is otherwise unremarkable. The T 13 vertebra is transitional.</t>
  </si>
  <si>
    <t>1. Severe left-sided cardiomegaly, indicative of mitral valve disease, without evidence of decompensation. Echocardiography should be considered for further evaluation._x000D_
2. Suspect bronchomalacia and dynamic bronchial compression/collapse. The relative dilation of the trachea lumen at the thoracic inlet on the right lateral projection is suggestive of concurrent tracheomalacia. Fluoroscopy can be considered to further evaluate for possible concomitant tracheal collapse._x000D_
3. The diffuse bronchointerstitial pulmonary pattern is a nonspecific finding. This could be a benign age-related change or may indicate allergic, inflammatory, infectious, inhaled irritant or parasitic bronchitis. Airway sampling plus/minus heartworm testing and Baermann fecal flotation can be considered to further evaluate for lower airway disease.</t>
  </si>
  <si>
    <t xml:space="preserve">
1.Serosal detail is adequate._x000D_
2.The stomach appears within normal limits. The small bowel contains a mild amount of gas. No obvious signs of obstruction._x000D_
3.The liver is mildly enlarged with normal shape and smooth margins._x000D_
4.No abnormal AI findings reported.</t>
  </si>
  <si>
    <t>Abdomen: There is a moderate amount of soft tissue opacity within the gastric lumen.  There are no abnormalities involving the small intestines.  The liver is considered on the lower limits of normal for size.  The spleen is unremarkable.  It is difficult to assess the kidneys due to silhouetting and summation with the gastrointestinal tract.  The visible portions of the urinary bladder are unremarkable._x000D_
_x000D_
Thorax: The pulmonary parenchyma, cardiac silhouette, and pulmonary vasculature are unremarkable.  There is no evidence of pleural effusion or lymphadenopathy._x000D_
_x000D_
Thoracolumbar spine: There is narrowing of the intervertebral disc space at T13-L1 spondylosis deformans is noted at this level.  Spondylosis deformans is noted at L1-2 and L2-3.</t>
  </si>
  <si>
    <t>The soft tissue opacity within the gastric lumen most likely represents normal ingesta._x000D_
_x000D_
Mild microhepatica most likely incidental._x000D_
_x000D_
Suspect intervertebral disc disease at 1213-L1._x000D_
_x000D_
Regions of spondylosis deformities.</t>
  </si>
  <si>
    <t>Pelvis: There is moderate osseous remodeling involving the right acetabulum.  The right femoral head is flattened and there is moderate femoral neck thickening.  The right femoral head and neck appear to be displaced medially with thickened medial acetabulum.  The appearance of these abnormalities suggest chronicity.  There is a suspected femoral neck fracture.  There are no abnormalities involving the left coxofemoral joint._x000D_
_x000D_
Right stifle: There are no abnormalities identified.  There are no abnormalities involving the visible portions of the right tarsus.</t>
  </si>
  <si>
    <t>The appearance of the right coxofemoral joint is consistent with chronic degenerative changes most likely from previous trauma.  It is uncertain if the suspected fracture involving the right femoral neck is chronic or acute.</t>
  </si>
  <si>
    <t xml:space="preserve">
1.Abdominal detail is normal._x000D_
2.Splenic size, shape and margin are normal._x000D_
3.Liver size, shape and margin are normal._x000D_
4.The stomach is moderately gas-distended and the gastric rugae are prominent. The small bowel is diffusely gas- and fluid-filled without segmental small bowel dilation.</t>
  </si>
  <si>
    <t>Possible soft tissue opacity within the stomach may represent residual ingesta and rugal folds. However, findings can also be seen with small volume foreign material causing gastritis. There is no evidence of intestinal obstruction. The AI result for this case is most compelling for: Normal liver, spleen, GI tract and abdominal detail.</t>
  </si>
  <si>
    <t xml:space="preserve">
In a vomiting or anorexic patient, supportive care and therapy for gastroenteritis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</si>
  <si>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Thoracic and abdominal radiography: three images dated September 26, 2024_x000D_
_x000D_
Findings:_x000D_
There is a soft tissue opaque mass effect at the heart base causing dorsal displacement of the caudal trachea. The cardiac silhouette and pulmonary vasculature are normal in size. There is a mild alveolar pattern in the caudal segment of the left cranial lung lobe. No pulmonary nodules or masses are present. The pleural space is normal. The trachea is normal in diameter.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There is narrowing of the T 13-L1 and L2-L3 intervertebral disc spaces with chronic endplates and moderate spondylosis deformans.</t>
  </si>
  <si>
    <t>1. A heart base mass is suspected. Rule out chemodectoma, hemangiosarcoma or reactive or neoplastic tracheobronchial lymphadenopathy. Recommend echocardiography or computed tomography of the thorax for further evaluation._x000D_
2. The mild alveolar pattern in the caudal segment the left cranial lung lobe is concerning for pneumonia. Empiric antibiotic therapy with repeat radiography in 10 to 14 days to monitor for response to treatment should be considered._x000D_
3. Unremarkable abdomen._x000D_
4. Chronic T 13-L1 and L2-L3 intervertebral disc disease.</t>
  </si>
  <si>
    <t xml:space="preserve">
1.Liver size, shape and margin are normal._x000D_
2.Borderline splenomegaly is present but a splenic mass has NOT been detected._x000D_
3.Abdominal detail is normal._x000D_
4.The stomach is normal._x000D_
5.The small bowel is diffusely gas- and fluid-filled without segmental small bowel dilation.</t>
  </si>
  <si>
    <t>Borderline splenomegaly. No splenic mass. DDx: sedation vs. lymphoid hyperplasia vs. extramedullary hematopoiesis vs.  less suspected, infiltrative  neoplasia.</t>
  </si>
  <si>
    <t xml:space="preserve">
Virtual Radiologist Case Difficulty: MODERATE_x000D_
Virtual Radiologist Confidence: MODERATE_x000D_
If this result is inconsistent with the clinical picture or if you would like another opinion, this study can be submitted to Vetology for further evaluation._x000D_
Consider an abdominal ultrasound if a CBC abnormality is present or there is unexplained illness.</t>
  </si>
  <si>
    <t>Patient Name : Mocha Stout, Date of study: Sep 26, 2024
8 images are provided for review
There are no previous radiographs for comparison.
Pulmonary parenchyma: A minimal to mild diffuse interstitial pattern is present.  A mild diffuse bronchial pattern is present.  
Pulmonary vasculature: The pulmonary vasculature is subjectively normal in size and tapers in the periphery of the lungs.
Cardiac silhouette: The cardiac silhouette is subjectively tall with slight dorsal trachea displacement in a right lateral image.  Ill-defined increased soft tissue is suspected in the region of the left atrium in the ventrodorsal images.
Mediastinum: The cranial mediastinum is normal.
Trachea: The trachea is normal.
Esophagus: The esophagus is not well-identified.
Pleural space: The pleural space is normal.
Musculoskeletal: The included musculoskeletal structures are normal.</t>
  </si>
  <si>
    <t xml:space="preserve">1. Equivocal left-sided cardiomegaly versus artifact from patient positioning/phase of the cardiopulmonary cycle.  
- If present consider evolving myxomatous mitral valvular disease and insufficiency or dilated cardiomyopathy versus other.
- There is no current evidence of left-sided congestive heart failure.
2. Minimal to mild diffuse interstitial pulmonary pattern and mild bronchial pulmonary pattern.
- Differential diagnoses include fibrosis from prior disease, age-related changes, or less likely infectious/immune-mediated lower airway disease, or unlikely other.
</t>
  </si>
  <si>
    <t>Consider echocardiography, eCG and blood pressure for further evaluation, especially if a murmur is later identified.  Routine blood work, abdominal radiographs and urinalysis if not recently performed.  Computed tomography may better evaluate the thorax in a patient of this size.  Empirical therapy/supportive care in the interim as needed.  Monitoring as directed, or sooner if clinical signs acutely change, fail to improve or worsen.</t>
  </si>
  <si>
    <t xml:space="preserve">
1.The liver extends moderately beyond the costal arch with a smooth margin._x000D_
2.Resource: https://platform.v2.vetology.net/doc/liver_disease_x000D_
3.The spleen is normal in size and margin._x000D_
4.Abdominal detail is normal._x000D_
5.The abdomen is pendulous._x000D_
6.The small intestines are normal in size, course and content._x000D_
7.The stomach contains a small volume of gas._x000D_
8.The colon contains partially formed fecal material.</t>
  </si>
  <si>
    <t>Moderate hepatomegaly is nonspecific. Rule out metabolic/vacuolar hepatopathy, including Cushing's disease, vs. hyperplasia, hepatitis or infiltrative neoplasia.</t>
  </si>
  <si>
    <t xml:space="preserve">
Blood work and abdominal ultrasound +/- pre- and post-prandial bile acids for further evaluation of the hepatomegaly. Bile acids are NOT recommended if bilirubin is elevated._x000D_
If clinical signs of Cushing's disease are present, adrenal function testing, systemic blood pressure evaluation and urinalysis with culture are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</si>
  <si>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thorax, two views of the thoracic limbs, and three views of the abdomen are provided. Images dated February 24, 2023 are available for comparison. Cardiac silhouette and pulmonary vessels are normal size and shape. There are several incidental pulmonary osteomas. No soft tissue pulmonary nodules or pleural effusion. Normal cranial mediastinal width. No cervical spinal abnormalities. There is a small well delineated concave defect in the right humeral deltoid tuberosity on the craniocaudal view. Mild enthesophyte formation on the caudal aspect of both humeral heads. Otherwise the humeri are symmetric on the lateral views. No cubital or carpal abnormalities. Mild to moderate osteoarthritis in the metacarpophalangeal joints, worse than before. Soft tissues of the right 3rd digit appear mildly thickened compared to other digits. No other soft tissue swelling. There is no fracture or subluxation._x000D_
_x000D_
In the abdomen there is no effusion. The gastrointestinal tract is moderately filled. Several smoothly irregular mineral opaque rock-like objects measuring up to 1.8 cm in the distal colon, incidental. Normal-sized liver. The spleen and kidneys are obscured. Spondylosis deformans in the cranial lumbar spine is likely incidental.</t>
  </si>
  <si>
    <t>1. Progressive metacarpophalangeal osteoarthritis in both thoracic limbs. This, coupled with soft tissue sprain/strain is the most likely cause for lameness._x000D_
2. Thickened soft tissues in the right 3rd digit, consider artifact due to digit position versus cellulitis/edema which can be seen with soft tissue insult._x000D_
3. Smoothly irregular right deltoid tuberosity, likely due to chronic insult. This is of doubtful clinical significance today._x000D_
4. Normal thorax and abdomen.</t>
  </si>
  <si>
    <t>Recommend close inspection for evidence of a puncture wound in the right thoracic limb 3rd digit.</t>
  </si>
  <si>
    <t xml:space="preserve">
1.The liver is mildly enlarged but with smooth margins. No liver mass is noted._x000D_
2.Splenic size, shape and margin are normal._x000D_
3.Abdominal detail is normal however the abdomen is mildly pendulous._x000D_
4.The stomach is normal. The small bowel contains gas and fluid but no segmental small bowel dilation is noted.</t>
  </si>
  <si>
    <t>Mild hepatomegaly. DDx: rule out steroid hepatopathy given the pendulous abdomen. Other considerations are fat deposition or vacuolar hepatopathy secondary to a non-metabolic cause, hepatitis or in an older patient, infiltrative neoplasia.</t>
  </si>
  <si>
    <t xml:space="preserve">
Further evaluation of the liver via blood work +/- pre- and post-prandial bile acids._x000D_
Adrenal function testing if clinical signs are suggestive of Cushing's disease._x000D_
Abdominal ultrasound if a hepatopathy and/or metabolic cause (i.e. Cushing's disease or diabetes) for the hepatomegaly is present._x000D_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</si>
  <si>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thorax in orthogonal views of the abdomen are provided. There is prominence of the left ventricle and left atrium. Pulmonary vessels are normal size. There is a well-defined smoothly marginated 1.8 cm soft tissue opaque nodule in the left caudal lung lobe. There are several additional probable pulmonary nodules, such as seen within the right 9th intercostal space on the VD view, cranial to the heart and overlying the mid ventral heart on both lateral views. These additional nodular contours measure up to 0.9 cm. The nodular contour on the VD projection could be a superimposed nipple, however does not explain the additional nodules. There is no pleural effusion. Mild narrowed cervical trachea on the left lateral view. Incidental punctate laryngeal mineralization. Mild degenerative change in the shoulders._x000D_
_x000D_
In the abdomen the liver is mildly enlarged with smooth margins. Normal-sized spleen and kidneys. The gastrointestinal tract is moderately filled. No radiopaque urolithiasis. Narrowed T11-12, T12-13 intervertebral disc spaces. Mild degenerative change in the coxofemoral joints. The left patella is medially displaced. There is curved 4.2 cm soft tissue opacity overlying the inguinal region on the lateral view.</t>
  </si>
  <si>
    <t>1. Several pulmonary nodules, most consistent with malignant neoplasia. Whether this is primary pulmonary neoplasia or metastatic disease from a distant site is not known._x000D_
2. Prominent left atrium and ventricle consistent with acquired mitral valve disease. There is no evidence of pulmonary venous congestion or pulmonary edema. This is of doubtful clinical significance today._x000D_
3. Mild hepatomegaly, a nonspecific finding that may be steroid or other hepatopathy, acute inflammation, or neoplasia. This should be correlated with history and blood work._x000D_
4. The curved soft tissue density in the inguinal region may be lymphadenopathy, superimposed skin fold, or a mass lesion originating from cutaneous tissues. This should be correlated with palpation._x000D_
5. Probable intervertebral disc disease in the caudal thoracic spine, bilateral mild coxofemoral osteoarthritis, and medial patellar luxation on the left. Any of these may be responsible for discomfort.</t>
  </si>
  <si>
    <t>If a definitive diagnosis is desired for type of neoplasia and there are no external or oral lesions that could be the primary lesion, abdominal ultrasound could be considered in an effort to identify neoplasia for guided sampling purposes.</t>
  </si>
  <si>
    <t xml:space="preserve">
1.The ventral abdominal line is likely pendulous._x000D_
2.In most cases, there is a small quantity of ingesta in the stomach and the pylorus is caudally displaced by the hepatomegaly. Infrequently, the stomach is ingesta distended and overlying the liver creating the appearance of hepatomegaly._x000D_
3.No small intestinal obstruction is noted._x000D_
4.Splenic size, shape and margin are normal._x000D_
5.Mild to moderate hepatomegaly with smooth margins is likely present on the lateral projection._x000D_
6.Abdominal detail is satisfactory.</t>
  </si>
  <si>
    <t>The AI result for this case is most compelling for: Mild to moderate hepatomegaly or less likely an ingesta distended stomach overlying the hepatic silhouette. In cases of mild to moderate hepatomegaly and a pendulous abdomen, steroid induction or other metabolic hepatopathy is the primary consideration. Other considerations are hepatitis or neoplasia, including lymphoma.</t>
  </si>
  <si>
    <t xml:space="preserve">
Virtual Radiologist Case Difficulty: MODERATE_x000D_
Virtual Radiologist Confidence: MODERATE_x000D_
Hyperadrenocorticism or other endocrinopathies should be ruled out._x000D_
Abdominal ultrasound. Liver biopsy may be indicated if no underlying cause for the hepatomegaly is found.</t>
  </si>
  <si>
    <t>Orthogonal radiographs of the thorax and of the abdomen are provided. The cardiac silhouette and pulmonary vessels are normal size. The lungs are clear. There is no pleural effusion. Normal tracheal diameter. All of the cervical intervertebral disc spaces are narrowed, with spondylosis deformans. No abnormalities in the proximal thoracic limbs. The patient is overweight, with moderate volume subcutaneous fat._x000D_
_x000D_
In the abdomen there is no effusion or organomegaly. The gastrointestinal tract is minimally filled. No radiopaque urolithiasis. The coxofemoral joints are congruent. The patellar location is normal. The T12-13, T13-L1, L1-2, L2-3 intervertebral disc spaces are narrowed.</t>
  </si>
  <si>
    <t>Multiple narrowed intervertebral discs in the cervical spine and thoracolumbar spine. This is the most likely cause for discomfort and lameness. Soft tissue sprain/strain is next on the differential list. The thorax and abdomen are normal.</t>
  </si>
  <si>
    <t>Recommend palpate for spinal discomfort, and a neurologic examination. Also recommend weight management.</t>
  </si>
  <si>
    <t xml:space="preserve">
1.The liver is prominent with smooth margins._x000D_
2.The spleen is within normal limits for size._x000D_
3.The stomach and small bowel are minimally filled. No signs of obstruction._x000D_
4.No abnormal AI findings reported.</t>
  </si>
  <si>
    <t xml:space="preserve">
Virtual Radiologist Case Difficulty: MODERATE_x000D_
Virtual Radiologist Confidence: MODERATE_x000D_
Hepatomegaly may be evaluated with blood work, and an abdominal ultrasound.</t>
  </si>
  <si>
    <t>Three radiographs of the thorax and of the abdomen are provided. The cardiac silhouette and pulmonary vessels are normal size and shape. The lungs are clear. No abnormalities along the plane of the esophagus. Normal tracheal diameter. Osseous structures are age-appropriate._x000D_
_x000D_
In the abdomen there is no effusion. The stomach contains a small amount of mineral density. This is comprised of stippled mineral opacity and several thin flat fragments that measure up to 3.0 cm. Small intestines are diffusely mildly fluid filled. Small-volume semi-formed feces in the colon. There are a few punctate mineral densities in the intestines. The urinary bladder is not definitively seen. Normal-sized liver, spleen, kidneys.</t>
  </si>
  <si>
    <t>1. Gastric foreign material. These fragments are of a size that is too large to pass successfully. These are likely causing gastritis and pyloric outflow obstruction. There is no evidence of intestinal obstruction._x000D_
2. Normal thorax.</t>
  </si>
  <si>
    <t>Retrieval of gastric contents is recommended. This could be via inducing emesis, gastroscopy, or surgical retrieval.</t>
  </si>
  <si>
    <t xml:space="preserve">
1.The spleen is normal._x000D_
2.There is a focal loss of serosal detail in the cranial abdomen on the lateral projection._x000D_
3.On the lateral projection, the liver size is at the lower limits of normal to slightly small or a portion of the liver has been cut-off from the image._x000D_
4.The gastric rugae are prominent._x000D_
5.The small intestine is of uniform population size and is diffusely of soft tissue and gas opacity with a rigid appearance to several loops._x000D_
6.No mechanical ileus is visualized._x000D_
7.The colon is gas filled and has a rigid appearance.</t>
  </si>
  <si>
    <t>Appearance to the stomach suggestive of gastritis. Appearance of the small intestine and colon is consistent with non-specific enteritis and colitis, potentially secondary to #1. Decreased cranial abdominal detail on the lateral projection consistent with cranial abdominal inflammation (i.e - pancreatitis, gastritis, duodenitis). Liver size at the lower limits of normal to mild microhepatia vs. artifact secondary to a portion of the liver being cut-off from the image. This finding should be corroborated on the VD projection, blood work and clinical concerns.</t>
  </si>
  <si>
    <t xml:space="preserve">
Virtual Radiologist Case Difficulty: MODERATE_x000D_
Virtual Radiologist Confidence: MODERATE_x000D_
Recommend full bloodwork, canine pancreatic lipase assay and abdominal ultrasound, if not already performed. Also consider liver function testing (pre- and post-prandial bile acids) if clinically and/or biochemically warranted._x000D_
In the interim, recommend fluids, analgesics, gastroprotectants, antiemetics, and appetite stimulants as clinically indicated.</t>
  </si>
  <si>
    <t>WHOLE-BODY (2 radiographs for review)._x000D_
_x000D_
- Caudal thoracic vertebral column normal._x000D_
- Thoracolumbar junction normal._x000D_
- Lumbar vertebral column normal._x000D_
- Lumbosacral junction normal._x000D_
- Included portions of the pelvis and pelvic limbs normal._x000D_
- Stomach contains mild gas and soft-tissue opaque material._x000D_
- Small intestine and colon mild multifocal gas and soft-tissue opaque material. A small mineralized body is present in the rectum._x000D_
- The liver, spleen, kidneys and urinary bladder normal._x000D_
- The caudal thorax is normal.</t>
  </si>
  <si>
    <t>1. Radiographically unremarkable spine. No obvious abnormalities are noted. This does not necessarily rule out intervertebral disc disease or other spinal pathology (such as FCE) as radiographic sensitivity can be limited. If clinically indicated, consider neurologist consultation and/or spinal CT for further evaluation._x000D_
_x000D_
2. Unremarkable abdomen and limited thorax.</t>
  </si>
  <si>
    <t>Steven Robillard</t>
  </si>
  <si>
    <t xml:space="preserve">
1.The liver and spleen are normal in size and shape._x000D_
2.Serosal detail within the peritoneal space is normal._x000D_
3.The stomach contains a small volume of fluid opaque material and gas. The gastric rugae appear prominent._x000D_
4.No abnormal AI findings reported._x000D_
5.The small bowel contains gas and fluid and is normal in diameter._x000D_
6.The colon contains scant fecal material and gas.</t>
  </si>
  <si>
    <t>Patient Name : bosco ruano, Date of study: Sep 25, 2024
3 images are provided for review
Prior images dated December 6, 2022 are available.
Cranial abdomen excluded in the ventrodorsal image.
Liver: The liver is subjectively normal in size.
Spleen: The spleen is normal in size with smooth margins and homogeneous soft tissue.
Kidneys: The left kidney is  normal.  The right kidney is obscured without obvious enlargement or mineral.  
Retroperitoneum: Retroperitoneal detail is adequate.
Urinary bladder/Urethra: The urinary bladder is normal in size, homogeneous soft tissue, and smoothly marginated.
Peritoneum: Peritoneal detail is adequate.
Gastrointestinal tract: The stomach contains a moderate volume of heterogeneous soft tissue material admixed with gas.   The stomach is within normal limits for size.
The small intestine contains mild to moderate fluid, mild gas and minimal soft tissue material, with a subjectively uniform population for size. 
The colon contains mild to moderate gas and mild heterogeneous soft tissue material with gas.  The distal descending colon has a spastic wall that is subjectively thickened dorsally in the lateral images.  The colon is within normal limits for size.  
Musculoskeletal: The included musculoskeletal structures are normal.</t>
  </si>
  <si>
    <t>1. Gastric material due to recent meal, versus gastritis/delayed gastric emptying or less likely pyloric outflow tract obstruction.
2. Non-specific small intestinal and colon appearance such as from enteritis, colitis, or unlikely individual variation of normal given reported history.
- There is no current evidence of gastrointestinal mechanical ileus.
- Differential diagnoses include dietary indiscretion (consistent with provided history), toxin ingestion, diet/antibiotic responsive disease, inflammatory bowel disease, pancreatitis, occult systemic disease or unlikely other.
3. Colonic mural thickening versus artifact from submaximal distension.
- If present, this may be due to non-specific colitis such as from passage of foreign material or unlikely primary infectious/immune-mediated disease.</t>
  </si>
  <si>
    <t>Consider GI panel, fecal analysis/deworming, and routine blood work for further evaluation.   Repeat abdominal radiographs after 8-12 hours of empirical therapy and fasting to monitor for passage of the gastric contents.  Abdominal ultrasonography for further evaluation of the colon and small intestine may be contributory.  Empirical therapy and supportive care in the interim as needed.  Monitoring as directed or sooner if clinical signs acutely change, fail to improve or worsen.</t>
  </si>
  <si>
    <t>Study:_x000D_
Abdominal radiography: three images dated September 25, 2024_x000D_
_x000D_
Findings:_x000D_
The serosal detail is normal. The stomach contains heterogeneous soft tissue material presumed to be ingesta. The small intestines are gas and fluid-filled and normal in size and course. The colon contains formed fecal material with a normal diameter. The liver and spleen are normal in size and margin. The renal silhouettes are normal in size and contour. The urinary bladder is normal in size and opacity. There is no prostatomegaly. The included thorax is normal. There is mild L2-L3 and L3-L4 spondylosis deformans.</t>
  </si>
  <si>
    <t>Postprandial stomach=ZZ90= otherwise, unremarkable abdomen. There is no small intestinal mechanical obstruction. Abdominal sonography can be considered for further evaluation if clinical signs persist or worsen in spite of insulin therapy and supportive care.</t>
  </si>
  <si>
    <t xml:space="preserve">
1.Detail in the abdomen is normal._x000D_
2.The liver is within normal limits for size._x000D_
3.The stomach is mildly gas and fluid filled with some soft tissue density material. The small bowel is gas and fluid-containing. No obvious obstruction._x000D_
4.The spleen is within normal limits.</t>
  </si>
  <si>
    <t>The AI result for this case is most compelling for: Normal liver, spleen, GI tract and abdominal detail. The appearance of the GI tract is likely related to normal ingesta in the absence of GI symptoms. However, if GI symptoms are present, gastroenteritis/colitis secondary to dietary indiscretion or infectious etiology is favored. No evidence of obstruction.</t>
  </si>
  <si>
    <t>Patient Name : Ace Sharp, Date of study: Sep 25, 2024
5 images are provided for review
There are no previous radiographs for comparison.
Liver: The liver has a slightly rounded caudoventral margin but is normal in overall size.
Spleen: The spleen is normal in size with smooth margins and homogeneous soft tissue.
Kidneys: The right kidney is obscured without obvious renomegaly or mineral.  The left kidney is normal.
Retroperitoneum: Retroperitoneal detail is adequate.
Urinary bladder/Urethra: The urinary bladder is normal in size, homogeneous soft tissue, and smoothly marginated.
Peritoneum: Peritoneal detail is adequate.
Gastrointestinal tract: The stomach contains a mild fluid and moderate gas. The stomach is within normal limits for size.
The small intestine contains mild fluid or is empty with a subjectively uniform population for size. 
The colon contains moderate admixed soft tissue material and gas.  The colon is within normal limits for size.  
Musculoskeletal: T13-L1, L1-2, L2-3 and L3-4 spondylosis deformans is present.  The remaining included musculoskeletal structures are normal.</t>
  </si>
  <si>
    <t>1. Non-specific gastric and small intestinal appearance such as from enteritis, colitis, or less likely given reported history variation of normal.
- There is no current evidence of gastrointestinal mechanical ileus.
- Differential diagnoses include dietary indiscretion, toxin ingestion, diet/antibiotic responsive disease, inflammatory bowel disease, pancreatitis, occult systemic disease or unlikely other.
2. Slight hepatomegaly due to vacuolar hepatopathy, nodular hyperplasia, hepatitis, evolving neoplasia or artifact.</t>
  </si>
  <si>
    <t>Consider GI panel, fecal analysis/deworming, coagulation testing, and abdominal ultrasonography versus computed tomography for further evaluation of the liver and gastrointestinal tract.  
 tissue sampling of the liver depending on results.  Thoracic imaging with radiographs or computed tomography may also be contributory.  Tissue samping of reported left shoulder cutaneous mass may also be contributory.  Oncologist consultation depending on results.  Radiographs of the pelvis/pelvic limbs may be contributory for further evaluation of possible lameness.  Empirical therapy and supportive care in the interim as needed for possible gastroenteritis.  Monitoring as directed or sooner if clinical signs acutely change, fail to improve or worsen.</t>
  </si>
  <si>
    <t>Patient Name : Benji Nguyen, Date of study: Sep 25, 2024
4 images are provided for review
There are no previous radiographs for comparison.
Pulmonary parenchyma: A  mild to moderate diffuse bronchial and minimal interstitial pattern is present.
Pulmonary vasculature: The pulmonary vasculature is subjectively normal in size and tapers in the periphery of the lungs.
Cardiac silhouette: The cardiac silhouette is moderately enlarged and tall, occupying greater than 2/3 the height of the thorax.  The trachea is dorsally displaced.  The caudodorsal margin of the cardiac silhouette is flattened.  Rounded increased soft tissue is in the region of the left atrium, with lateral displacement of mainstem bronchi.  Convex soft tissue bulge is at the 2-3 o'clock region (left auricular appendage) in the ventrodorsal image.
Mediastinum: The cranial mediastinum is normal.
Trachea: A soft tissue band partially superimposes over the dorsal margin of the cervical trachea.
Esophagus: The esophagus is not well-identified.
Pleural space: The pleural space is normal.
Musculoskeletal: The included musculoskeletal structures are normal.</t>
  </si>
  <si>
    <t>1. Moderate left-sided cardiomegaly such as from myxomatous mitral valvular disease and insufficiency or unlikely other.
2. Moderate diffuse bronchial and minimal interstitial pulmonary patterns due to early/evolving left-sided congestive heart failure versus infectious/immune-mediated lower airway disease, and/or fibrosis from prior disease, age-related changes, or unlikely other.
3. Redundant dorsal tracheal membrane with/without underlying dynamic airway disease, versus superimposed normal structures.</t>
  </si>
  <si>
    <t>Consider diuretic therapy, oxygen therapy and repeat thoracic radiographs to monitor for progression/resolution of the pulmonary pattern, especially if dyspnea manifests or worsens. 
 Echocardiography, blood pressure and eCG for further evaluation once stable.  Routine blood work and urinalysis if not recently performed.  Consider respiratory PCR panel and/or airway sampling for further evaluation of the lower airway if clinically indicated.  Empirical therapy and supportive care in the interim as needed.  Monitoring as directed, or sooner if clinical signs acutely change, fail to improve or worsen.</t>
  </si>
  <si>
    <t xml:space="preserve">
Virtual Radiologist Case Difficulty: LOW_x000D_
Virtual Radiologist Confidence: HIGH</t>
  </si>
  <si>
    <t>Patient Name : Angus Gary, Date of study: Sep 25, 2024
4 images are provided for review
There are no previous radiographs for comparison.
Cranial abdomen excluded in the ventrodorsal image.
Liver: The liver is subjectively normal in size.
Spleen: The spleen is normal in size with smooth margins and homogeneous soft tissue.
Kidneys: The left kidney is normal.  The right kidney is partially obscured without obvious mineral or enlargement.
Retroperitoneum: Retroperitoneal detail is adequate.
Urinary bladder/Urethra: The urinary bladder is normal in size, homogeneous soft tissue, and smoothly marginated.
Peritoneum: Peritoneal detail is adequate.
Gastrointestinal tract: The stomach contains a moderate heterogeneous soft tissue material admixed with gas.  The stomach is within normal limits for size.
The small intestine contains moderate heterogeneous soft tissue material, fluid, gas, or is empty with a subjectively uniform population for size. 
The colon contains mild well-defined and heterogeneous soft tissue material and gas.  The colon is within normal limits for size.  
Musculoskeletal: Mildly undulant lateral margin to the left ilial body is suspicious for healed fracture.  The remaining included musculoskeletal structures are normal.</t>
  </si>
  <si>
    <t>1. No radiopaque urocystoliths are identified.  
2. Gastric material due to recent meal, versus gastritis/delayed gastric emptying or unlikely pyloric outflow tract obstruction given lack of vomiting in reported history.
3. Non-specific small intestinal and colon appearance such as from enteritis, colitis, or passing ingesta/variation of normal.
- Differential diagnoses for enteritis/colitis include dietary indiscretion, toxin ingestion, diet/antibiotic responsive disease, inflammatory bowel disease, parasitism/primary infectious disease, or pancreatitis or occult systemic disease.
- There is no current evidence of gastrointestinal mechanical ileus.</t>
  </si>
  <si>
    <t>Consider abdominal ultrasonography, urinalysis, and urine culture/sensitivity testing for further evaluation.  This examination does not rule out occult coagulopathy, urinary bladder/urethral neoplasm, or idiopathic renal hematuria contributing to current signs.  Empirical therapy and supportive care for occult cystitis in the interim as needed. Monitoring as directed or sooner if clinical signs acutely change, fail to improve or worsen.</t>
  </si>
  <si>
    <t xml:space="preserve">
1.Moderate volume ingesta fills the stomach._x000D_
2.Small intestines are mildly gas filled._x000D_
3.Formed feces is present in the distal colon._x000D_
4.The liver is upper limits of normal for size to mildly enlarged but retains a smooth margins._x000D_
5.The spleen is normal for size._x000D_
6.Abdominal detail is normal.</t>
  </si>
  <si>
    <t>The AI result for this case is most compelling for: a normal abdomen. However, blood work should be correlated to this finding as this AI result can also be present with mild hepatomegaly. Liver size at the upper limits of normal to mild hepatomegaly. This is nonspecific and may represent fat deposition/vacuolar change vs. steroid hepatopathy vs. hepatitis or in an older patient, infiltrative neoplasia, such as lymphoma. No discrete hepatic mass has been identified. This should be correlated with blood work.</t>
  </si>
  <si>
    <t xml:space="preserve">
A CBC and blood chemistry profile are recommended, if not already performed. Pre- and post-prandial bile acids should be considered if liver values are elevated._x000D_
Based on results and patient clinical signs and blood results, further investigation of the liver with ultrasound may be indicated._x000D_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</si>
  <si>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thorax, and orthogonal views of the abdomen of an adult canine are provided. The cardiac silhouette and pulmonary vessels are normal size. There are a few incidental pulmonary osteomas. No soft tissue pulmonary nodules, pleural effusion, or enlarged intrathoracic lymph nodes. Increased opacity overlying the caudal lateral left thorax on the VD projection is superimposed skin fold. No proximal thoracic limb abnormalities are appreciated. Cervical vertebral alignment is normal. No narrowed intervertebral disc spaces or endplate lysis. Normal lumbar spine._x000D_
_x000D_
In the abdomen there is no organomegaly or effusion. The gastrointestinal tract is minimally filled. The urinary bladder is minimally distended and soft tissue opaque. No narrowed intervertebral disc spaces or foramina. The coxofemoral joints are congruent.</t>
  </si>
  <si>
    <t>Normal thorax and abdomen. No spinal abnormalities are appreciated on this study.</t>
  </si>
  <si>
    <t>Advanced soft tissue imaging of the spine and surrounding soft tissues with MRI could be considered.</t>
  </si>
  <si>
    <t xml:space="preserve">
1.The liver and spleen are normal in size with smooth margins._x000D_
2.No abnormal AI findings reported._x000D_
3.The serosal detail is adequate._x000D_
4.The stomach is within normal limits. The small bowel is gas- and fluid-filled without segmental small bowel dilation or signs of obstruction.</t>
  </si>
  <si>
    <t>The AI result for this case is most compelling for: No detected abdominal abnormalities.</t>
  </si>
  <si>
    <t xml:space="preserve">
Virtual Radiologist Case Difficulty: MODERATE_x000D_
Virtual Radiologist Confidence: MODERATE_x000D_
No specific recommendations based on these findings.</t>
  </si>
  <si>
    <t>4 images of the entire body are provided for review.  The cardiovascular structures are normal.  There is a moderate bronchial pattern in all lung lobes.  The mediastinal and pleural structures are normal.  Abdominal serosal detail is adequate in all quadrants.  The stomach contains a moderate amount of ingesta.  The small intestines are normal in size.  Gas and feces are present in the colon.  The urinary bladder is small.  The remaining abdominal organs are normal.
(amended on 09/27/2024 09:06)
On the VD view, the appearance of cardiac enlargement is secondary to the extreme expiratory nature of the images.  The fullness of the right side of the heart on this view is due to fat within the pericardium.</t>
  </si>
  <si>
    <t>Radiographically normal abdomen.  Moderate bronchial pulmonary pattern=ZZ90= consider bronchitis, response to inhaled irritants, response to circulating parasites, eosinophilic bronchopneumopathy.
(amended on 09/27/2024 09:06)
No additional.</t>
  </si>
  <si>
    <t>Airway sampling may be helpful in further evaluation.
(amended on 09/27/2024 09:06)
No additional.</t>
  </si>
  <si>
    <t xml:space="preserve">
1.The liver is mildly enlarged, and retains a smooth margin._x000D_
2.Splenic size, shape and margin are normal._x000D_
3.Abdominal detail is normal._x000D_
4.The stomach is normal. The small bowel is diffusely gas- and fluid-filled without segmental small bowel dilation.</t>
  </si>
  <si>
    <t>The AI result for this case is most compelling for: Mild hepatomegaly. This is a nonspecific finding that could steroid hepatopathy, versus acute inflammation or infiltrative neoplasia.</t>
  </si>
  <si>
    <t xml:space="preserve">
Findings of hepatomegaly should be correlated with blood work. An ultrasound evaluation of the liver could also be considered._x000D_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</si>
  <si>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Eight orthogonal radiographs of the abdomen dated 25th September 2024 are available for review. There are no previous radiographs available for comparison. _x000D_
_x000D_
Intra-abdominal findings: The hepatic silhouette is enlarged, with smooth borders. There is diffuse loss of serosal detail within the abdomen. Faint wispy opacification is also present. The stomach contains some granular food material and has a mildly caudally displaced axis. The small intestines are diffusely mainly empty with a mild amount of gas. The descending colon contains little faeces. The head of the spleen is normal. The tail is normal._x000D_
_x000D_
Extra-abdominal findings: There is mild multisite spondylosis deformans._x000D_
_x000D_
Included thorax: There is ventral soft tissue opacification of the pleural space with rounding of the pulmonary lobes indicative of pleural effusion.</t>
  </si>
  <si>
    <t>1. Hepatomegaly with enlarged abdomen is indicative of endocrine underlying disease such as Cushing=ZZ91=s disease. Alternatively, infectious-inflammatory (hepatitis-viral-parasitic), infiltrative origins (nodular hyperplasia-round cell infiltration/lymphoma-adenoma-adenocarcinoma) or less likely hemodynamic (right heart failure) origins should be considered._x000D_
2. The loss of serosal detail may be due to an inflammatory transudate, ascites secondary to protein-losing enteropathy or other causes of hypoalbuminaemia, unlikely a paraneoplastic transudate._x000D_
3. Pleural effusions may be infectious, secondary to cardiac insufficiency or paraneoplastic._x000D_
4. The empty GI tract is likely secondary to innapetence, or secondary ileus.</t>
  </si>
  <si>
    <t>Correlate with laboratory evaluation. A 3 view thoracic series is advised. Thoracic and abdominal complete ultrasonographic examination with FNA of any free fluid or abdominal organs is also indicated.</t>
  </si>
  <si>
    <t xml:space="preserve">
1.Abdominal detail is normal._x000D_
2.The stomach contains small volume gas and scant soft tissue density. The small bowel is diffusely gas- and fluid-filled without segmental small bowel dilation._x000D_
3.The liver is mild to moderately enlarged._x000D_
4.Splenic size, shape and margin are normal.</t>
  </si>
  <si>
    <t>Study:_x000D_
Abdominal radiography: orthogonal views (two images) dated September 25, 2024_x000D_
_x000D_
Findings:_x000D_
The stomach contains a moderate amount of heterogeneous soft tissue material. The small intestines are normal in size, course and content. The cecum is gas distended. The colon contains a small amount of formed fecal material. The liver and spleen are normal in size and margin. The kidneys are normal in size and contour. The urinary bladder is normal in size and opacity. The liver and spleen are normal in size and margin. The renal silhouettes are normal in size and contour. The urinary bladder is normal in size and opacity. There is no prostatomegaly. The included thorax is normal. The osseous structures are unremarkable.</t>
  </si>
  <si>
    <t>The gastric contents likely represent ingesta. Foreign material cannot be completely excluded. There is no evidence of small intestinal mechanical obstruction. Repeat fasted radiography can be considered to ensure gastric emptying. Alternatively, sonography can be considered if clinical signs persist or worsen in spite of medical management.</t>
  </si>
  <si>
    <t xml:space="preserve">
1.The right cranial quadrant has a hazy appearance on the VD projection otherwise serosal detail is adequate._x000D_
2.The liver and spleen are normal size._x000D_
3.No abnormal AI findings reported._x000D_
4.Small intestines are minimally filled. No small intestinal segmental dilation is noted._x000D_
5.The colon contains gas and scant semiformed feces._x000D_
6.In the abdomen the stomach contains small volume gas, soft tissue and mildly prominent rugae.</t>
  </si>
  <si>
    <t>A lateral radiograph of the thorax, and three views of the thorax/abdomen are provided. The cardiac silhouette is normal size with no chamber enlargement. Pulmonary vessels and caudal vena cava are normal size. There are no abnormalities in the pulmonary parenchyma or pleural space. Tracheal diameter is adequate. Normal tracheal position. No esophageal dilation. In the abdomen there is large volume of ingesta in the stomach. Small bowel are mildly filled. Formed feces in the colon. There is no effusion. The liver and spleen are normal size. The kidneys are partially visible, with no abnormalities appreciated. No osseous abnormalities.</t>
  </si>
  <si>
    <t>Normal thorax and abdomen. There is no evidence of cardiovascular disease on the study. No tracheal abnormalities are appreciated. Dynamic collapse remains possible, as it may not be imaged on a static radiographic study.</t>
  </si>
  <si>
    <t>Recommend a CBC, blood chemistry profile, and cranial nerve assessment.</t>
  </si>
  <si>
    <t>Patient Name : Rascal Nevarez, Date of study: Sep 25, 2024
6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fn fluid.  Gastric rugal folds are prominent.   The stomach is within normal limits for size.
The small intestine contains mild fluid or is empty with a subjectively uniform population for size. 
The colon contains minimal soft tissue material and gas.  The colon is within normal limits for size.  
Musculoskeletal: The included musculoskeletal structures are normal.</t>
  </si>
  <si>
    <t xml:space="preserve">1. Prominent gastric rugal folds such as from non-specific gastritis or variation of normal.
2. Non-specific small intestinal and colon appearance such as from enteritis, colitis, or recent bowel movement/variation of normal.
- There is no current evidence of gastrointestinal mechanical ileus.
- Differential diagnoses include dietary indiscretion, toxin ingestion, diet/antibiotic responsive disease, inflammatory bowel disease, pancreatitis, occult systemic disease or unlikely other.
</t>
  </si>
  <si>
    <t>Consider GI panel including canine TLI testing, fecal analysis/deworming, and routine blood work for further evaluation.  Etiology of reported poor weight gain is not definitively identified.  Consider diet elimination trial, internist consultation and abdominal ultrasonography for further evaluation of the gastrointestinal tract and pancreas.  Empirical therapy and supportive care in the interim as needed.  Monitoring as directed or sooner if clinical signs acutely change, fail to improve or worsen.</t>
  </si>
  <si>
    <t xml:space="preserve">
1.Liver size, shape and margin are normal._x000D_
2.Splenic size, shape and margin are normal._x000D_
3.Abdominal detail is normal._x000D_
4.The stomach contains gas and ingesta or prominent rugae, suggestive of gastritis. The small bowel is diffusely fluid filled but without segmental small bowel dilation.</t>
  </si>
  <si>
    <t>Orthogonal views that include the neck, thorax, and abdomen are provided._x000D_
_x000D_
No laryngeal or tracheal abnormalities are identified. There is mild narrowing of the trachea the thoracic inlet that is considered within the limits of benign variation. The heart appears enlarged in the lateral view but this is most likely artifactual due to hypoinflation. The appearance of the cardiac silhouette is normal in the VD view. No pulmonary infiltrates or pleural effusion are identified._x000D_
_x000D_
The abdominal organs are within normal size and shape limits. No mass lesions or loss of detail are seen in the abdomen.</t>
  </si>
  <si>
    <t>No significant anatomic abnormalities are identified.</t>
  </si>
  <si>
    <t>The cause of the primary complaint of respiratory distress is not apparent in the radiographs. There are no changes suggestive of pneumonia, heart failure, or tracheal disease._x000D_
_x000D_
Nasal or nasal pharyngeal pathology should be ruled out.</t>
  </si>
  <si>
    <t xml:space="preserve">
1.The liver is mildly enlarged but with a normal shape and smooth margins. No hepatic mass has been identified._x000D_
2.Abdominal detail is normal._x000D_
3.The stomach and intestinal tract are normal._x000D_
4.Splenic size, shape and margin are normal.</t>
  </si>
  <si>
    <t xml:space="preserve">
Blood work +/- abdominal ultrasound to further assess the liver._x000D_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</si>
  <si>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Six orthogonal radiographs of the abdomen dated 25th September 2024 are available for review. There are no previous radiographs available for comparison. _x000D_
_x000D_
Intra-abdominal findings: The hepatic silhouette is normal. The tail of the spleen is mildly irregular in outline and mildly enlarged. The kidneys are partially obscured by gastrointestinal contents, but the visible aspect are normal. The stomach has a normal axis. There is appropriate gas in the pylorus on the left lateral image. The small intestines are variably distended/filled with gas and some fluid. No foreign body is seen. The colon is only gas filled. The urinary bladder is filled. The serosal detail is normal._x000D_
_x000D_
Extra-abdominal findings: There is multisite ventral spondylosis deformans._x000D_
_x000D_
Included thorax: No significant abnormalities are detected.</t>
  </si>
  <si>
    <t>1. 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Hemorrhagic gastroenteritis, or pancreatitis cannot be excluded._x000D_
2. Mild splenomegaly with undulating borders: Nodular hyperplasia, extramedullary haematopoiesis, haematoma, haemangioma, haemangiosarcoma is possible.</t>
  </si>
  <si>
    <t>Supportive management including rehydration, gastroprotectants,  full blood work, faecal analysis if clinically indicated is advised, if not already performed. Repeat 3-view post fasting radiographs depending on clinical progression or consider an abdominal ultrasound. If vomiting continues without development of diarrhea, an upper GI contrast study may also be considered. Consider ultrasound with FNA to evaluate the spleen.</t>
  </si>
  <si>
    <t xml:space="preserve">
1.The liver is mildly enlarged._x000D_
2.The stomach contains a moderate amount of mixed gas and fluid._x000D_
3.Small intestinal bowel loops are normal in size and distribution and have mainly a soft tissue pattern._x000D_
4.The colon contains gas and fluid._x000D_
5.Resource: https://platform.v2.vetology.net/doc/gi_protectants_1_x000D_
6.The spleen is normal._x000D_
7.Cranial abdominal detail is mildly decreased._x000D_
8.Resource: https://platform.v2.vetology.net/doc/pancreatitis</t>
  </si>
  <si>
    <t>The AI result for this case is most compelling for: Active pancreatitis and gastroenteritis in a patient WITH GI signs. Mild hepatomegaly is also present. Decreased cranial abdominal detail. DDx: secondary to superimposition of the hepatomegaly vs. regional inflammation or less likely, hemorrhage. Gastroenteritis, pancreatitis, or infiltrative disease cannot be excluded if the patient has a decreased appetite. Mild hepatomegaly is a nonspecific finding that has rule outs including: Nonspecific and vacuolar hepatopathies (such as hyperadrenocorticism), hyperplasia, hepatitis,  congestion associated with right heart failure, or in an older patient, infiltrative neoplasia.</t>
  </si>
  <si>
    <t xml:space="preserve">
Abdominal ultrasound would be beneficial to further evaluate the liver +/- gastrointestinal tract and pancreas, depending on clinical signs._x000D_
A cPLI could be performed to evaluate for pancreatitis, as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</si>
  <si>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Nala Pollard, Date of study: Sep 25, 2024
2 images are provided for review
There are no previous radiographs for comparison.
Liver: The right liver is equivocal enlarged in the ventrodorsal image, but not well-identified in the lateral image.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No obvious evidence of uterine enlargement is identified.
Peritoneum: Peritoneal detail is adequate.
Gastrointestinal tract: The stomach contains a moderate volume of soft tissue material, fluid and gas.  Gastric rugal folds are prominent in the ventrodorsal image. Metal material is admixed with pyloric content in the right lateral image.   The stomach is within normal limits for size.
The small intestine contains mild fluid or is empty with a subjectively uniform population for size. 
The colon contains moderate heterogeneous soft tissue material and gas.  The colon is within normal limits for size.  
Musculoskeletal: Multifocal thoracolumbar spondylosis deformans is present.  The remaining included musculoskeletal structures are normal.</t>
  </si>
  <si>
    <t xml:space="preserve">1. Equivocal right hepatomegaly versus artifact from positioning/technique.
- If present, consider evolving vacuolar hepatopathy (such as from underlying endocrinopathy such as hyperadrenocorticism), and/or evolving neoplasia (primary versus metastatic), or nodular hyperplasia, or artifact. 
2. Prominent gastric rugal folds such as from non-specific gastritis, or variation of normal.
3. Gastric material due to recent meal/dietary indiscretion and gastritis/delayed emptying, or unlikely given reported history pyloric outflow tract obstruction.
4. Non-specific small intestinal and colon appearance such as from enteritis/colitis, or variation of normal.
</t>
  </si>
  <si>
    <t xml:space="preserve">Etiology of reported fever and edema in pelvic limbs is not definitively identified.  Consider vascular accident/occlusion versus vasculitis, or less likely lymphedema.
Abdominal ultrasonography versus computed tomography for further evaluation of the liver, adrenal glands, uterine horns, kidneys/urinary bladder, and consider evluation of the pelvis/pelvic limbs and caudal vasculature given reported limb edema.  Coagulation testing and tissue sampling depending on results.  Oncologist and/or internist consultation depending on results.   Consider urinalysis, urine culture/sensitivity testing, urine cortisol:creatinine ratio versus ACTH stimulation/LDDS testing for further evaluation.  Empirical therapy and supportive care in the interim as needed. </t>
  </si>
  <si>
    <t>Three orthogonal radiographs of the abdomen dated 25th September 2024 are available for review. There are no previous radiographs available for comparison. The images are mildly underexposed._x000D_
_x000D_
Intra-abdominal findings: The hepatic silhouette is normal. There is mild loss of serosal detail in the region of the falciform fat. The stomach is empty with some gas and has a normal axis. There is appropriate gas in the pylorus on the left lateral image. The small intestines are distributed evenly and are within normal limits for shape, size and contents. The ascending, transverse and descending colon have a normal position and contain gradually more formed faeces. The urinary bladder is filled. The kidneys are partially obscured by gastrointestinal contents, but the visible aspect are normal. The spleen is normal._x000D_
_x000D_
Extra-abdominal findings: There is mild mid lumbar spondylosis deformans._x000D_
_x000D_
Included thorax: No significant abnormalities are detected.</t>
  </si>
  <si>
    <t>Relatively unremarkable abdomen. The mild loss of serosal detail may be due to technical factors. A cranial abdominal inflammatory process such as pancreatitis, cholangiohepatitis is possible.</t>
  </si>
  <si>
    <t>Consider CPL testing and abdominal ultrasound. Alternatively, observational/supportive management, repeat radiographs post fasting may be considered.</t>
  </si>
  <si>
    <t xml:space="preserve">
1.No abnormal AI findings reported._x000D_
2.No hepatomegaly is identified however a caudate liver lobe mass extending caudal to the stomach cannot be excluded._x000D_
3.There is a mildly defined rounded mass effect in the cranial ventral abdomen._x000D_
4.The mass may be an artifact caused by fluid in the stomach the appearance is more suggestive of a mass involving the spleen._x000D_
5.There is a slight reduction in serosal detail in the abdomen suggestive of a small volume of free fluid.</t>
  </si>
  <si>
    <t>There is a mass effect in the cranial abdomen. The appearance is suspicious for a mass involving the spleen, but a mass originating from the liver or artifact caused by fluid filled stomach cannot be entirely excluded. A small volume of free abdominal fluid is also suspected. Mild hemorrhage secondary to a bleeding tumor would be the primary differential.</t>
  </si>
  <si>
    <t xml:space="preserve">
This could be addressed with more definitive imaging such as CT or ultrasound, with consideration of surgical exploration if the mass lesion can be confirmed and thoracic and abdominal metastases ruled out._x000D_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</si>
  <si>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Abdominal radiography: orthogonal views (two images) dated September 24, 2024_x000D_
_x000D_
Findings:_x000D_
The stomach contains a small amount of unstructured heterogeneous soft tissue material. The small intestines are normal in size, course and content. The colon contains poorly formed fecal material with a normal diameter. There is a small metallic opacity within the fecal material in the rectum. The liver and spleen are normal in size and margin. The renal silhouettes are normal in size and contour. The urinary bladder is normal in size and opacity. There is no uterine dilation. The included thorax is normal. The right 13th rib is hypoplastic.</t>
  </si>
  <si>
    <t>The metallic opacity in the rectum is indicative of prior dietary indiscretion. The heterogeneous soft tissue material in the stomach likely represents ingesta. Foreign material cannot be completely excluded. There is no evidence of small intestinal mechanical obstruction.</t>
  </si>
  <si>
    <t>Abdominal sonography can be considered for further evaluation if the reported diarrhea persists or worsens in spite of medical management.</t>
  </si>
  <si>
    <t>Study:_x000D_
Thoracic/abdominal radiography: three images dated September 25,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gas with the pylorus appropriately gas-filled on the left lateral image. The small intestines are normal in size, course and content. The colon contains a small volume of gas and a small amount formed fecal material with a normal diameter. The liver and spleen are normal in size and margin. The renal silhouettes are normal in size and shape. The urinary bladder is not visualized and is likely small/empty. There is no uterine dilation. The osseous structures are unremarkable/age appropriate._x000D_
_x000D_
A human digit is present in the primary beam on the right lateral projection.</t>
  </si>
  <si>
    <t>1. Unremarkable abdomen. A cause of vomiting is not evident.There is no radiographic evidence of gastrointestinal foreign material or small intestinal mechanical obstruction. Abdominal sonography can be considered for further evaluation if clinical signs persist or worsen in spite of medical management._x000D_
2. Normal thorax.</t>
  </si>
  <si>
    <t xml:space="preserve">
1.The liver is small with cranial displacement of the gastric axis, slightly more asymmetric on the ventrodorsal image._x000D_
2.Splenic size, shape and margin are normal._x000D_
3.Abdominal detail is mildly decreased on the lateral projection but normal on the VD projection._x000D_
4.The stomach is normal. The small bowel is diffusely gas- and fluid-filled but without segmental bowel dilation.</t>
  </si>
  <si>
    <t>Mild microhepatia due to occult portosystemic shunting vessel, microvascular dysplasia or both, or unlikely chronic hepatitis/cirrhosis. Mild decrease in abdominal detail on the lateral projection. DDx: confluence of soft tissue structures vs. small volume abdominal fluid.</t>
  </si>
  <si>
    <t xml:space="preserve">
Virtual Radiologist Case Difficulty: LOW_x000D_
Virtual Radiologist Confidence: HIGH_x000D_
CBC, serum biochemistry, pre- post-prandial bile acids and ammonia testing for further evaluation of the liver._x000D_
If a portosystemic shunt is suggested on these results, consider computed tomography portography for further evaluation, with/without hepatic biopsy.</t>
  </si>
  <si>
    <t>Study:_x000D_
Thoracic and abdominal radiography: four images dated September 25,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Some small intestinal segments contain a small amount of granular soft tissue material presumed to be ingesta. The small intestines are normal in size and course. The colon contains formed fecal material with a normal diameter. The liver and spleen are normal in size and margin. The renal silhouettes are normal in size and contour. The urinary bladder is unremarkable. There is narrowing of the T 11-T 12 through T 13- L1 intervertebral disc spaces. There is mild to moderate multifocal thoracic spondylosis deformans. The patient is of overweight body condition.</t>
  </si>
  <si>
    <t>1. T 11-T 12 through T 13-L1 intervertebral disc disease. Correlate with any spinal pain and/or proprioceptive deficits. Consider neurology consultation and MRI for further evaluation._x000D_
2. Postprandial intestinal tract=ZZ90= otherwise, unremarkable abdomen. Abdominal sonography and cPLI testing can be considered to further evaluate for sources of intra-abdominal pain._x000D_
3. Unremarkable thorax.</t>
  </si>
  <si>
    <t xml:space="preserve">
1.The liver is mildy enlarged._x000D_
2.Abdominal detail is normal._x000D_
3.The stomach is normal. The small bowel is diffusely gas- and fluid-filled without segmental small bowel dilation._x000D_
4.Splenic size, shape and margin are normal.</t>
  </si>
  <si>
    <t>Three radiographs of the abdomen are provided. There is no effusion. The entire gastrointestinal tract is minimally filled. Small volume gas in the stomach, cecum, and colon. No radiopaque foreign material. Normal-sized liver and spleen. The kidneys and prostate are obscured. No radiopaque urolithiasis. The appearance of soft tissue density dorsal to the distal descending colon on the right lateral view is normal musculature. Osseous structures and the caudal thorax are unremarkable. Congenital vertebral malformations in the caudal thoracic spine are incidental today.</t>
  </si>
  <si>
    <t>Normal abdomen. Gastroenteritis secondary to dietary indiscretion or infectious etiology is most likely. There is no evidence of an obstructive process.</t>
  </si>
  <si>
    <t>If clinical signs persist, options include either strictly fasted abdominal ultrasound or an upper GI series.</t>
  </si>
  <si>
    <t xml:space="preserve">
1.Cranial abdominal detail is decreased._x000D_
2.No dilation of the small intestine is seen._x000D_
3.The gastric rugae are prominent._x000D_
4.Liver size is normal to upper limits of normal. Liver margin is normal._x000D_
5.Splenic size, shape and margin are normal.</t>
  </si>
  <si>
    <t>Study:_x000D_
Thoracic/abdominal radiography: three images dated September 25, 2024_x000D_
_x000D_
Findings:_x000D_
The cardiac silhouette and pulmonary vasculature are normal in size. There is a mild to moderate alveolar pattern in the ventral aspect of the caudal segment of the left cranial lung lobe and the right middle lung lobe. The pleural space is normal. There is no intrathoracic lymphadenopathy. The trachea is normal in diameter and course. The stomach contains a small volume of gas with the pylorus appropriately gas-filled on the left lateral image. The small intestines are normal in size, course and content. The colon contains gas and a small amount of poorly formed fecal material. The liver and spleen are normal in size and margin. The kidneys are normal in size and contour. The urinary bladder is normal in size and opacity. There is no uterine dilation. The osseous structures are unremarkable/age appropriate.</t>
  </si>
  <si>
    <t>1. The multifocal alveolar pattern likely indicates fungal pneumonia. Recommend empiric antibiotic therapy with repeat radiography in 10 to 14 days to monitor for response to treatment._x000D_
2. Unremarkable abdomen.</t>
  </si>
  <si>
    <t xml:space="preserve">
1.No abnormal AI findings reported._x000D_
2.The liver and spleen are normal._x000D_
3.Serosal detail in the abdomen is normal._x000D_
4.Rugal folds in the stomach are slightly prominent._x000D_
5.No segmental dilation of the small intestine is seen._x000D_
6.The colon contains gas and has a rigid appearance.</t>
  </si>
  <si>
    <t>The appearance to the colon is compatible with colitis. Gastric appearance could be due to low grade gastritis or gastric contents. No small intestinal obstruction is identified. Normal abdominal detail which does not rule out pancreatitis.</t>
  </si>
  <si>
    <t xml:space="preserve">
Virtual Radiologist Case Difficulty: LOW_x000D_
Virtual Radiologist Confidence: HIGH_x000D_
Supportive care as needed and symptomatic therapy for colitis +/- gastritis, as clinically warranted._x000D_
Infectious causes of colitis should be ruled out, if clinically indicated. Fecal examination if not already performed._x000D_
Pancreatitis is an additional consideration if clinically relevant.</t>
  </si>
  <si>
    <t>Three radiographs of the thorax and of the abdomen are provided. The cardiac silhouette and pulmonary vessels are normal size and shape. There is increased opacity with lobar sign and faint air bronchograms in the right cranial lung lobe. No pleural effusion or esophageal dilation. Normal tracheal diameter. Mild congenital vertebral malformations in the caudal thoracic spine, of doubtful clinical significance today._x000D_
_x000D_
In the abdomen there is no effusion. The prostate is mildly enlarged. The patient is listed as neutered but appears to be intact on these images. Moderate volume gas and small volume amorphous soft tissue density in the stomach. Small intestines are minimally filled. Small volume formed feces in the colon. No radiopaque foreign material. Normal-sized liver, spleen, left kidney. The right kidney is obscured. Normal coxofemoral joints.</t>
  </si>
  <si>
    <t>1. Aspiration pneumonia in the right cranial lung._x000D_
2. No definitive abdominal abnormalities. Gastric contents appears to be residual ingesta. Small radiolucent gastric foreign material causing gastritis and pyloric outflow obstruction is not ruled out and would be suspected if the patient has persistent vomiting.</t>
  </si>
  <si>
    <t>Recommend antibiotics and supportive care. A positive contrast gastrogram could be considered to rule out gastric foreign material.</t>
  </si>
  <si>
    <t xml:space="preserve">
1.No abnormal AI findings reported._x000D_
2.The liver and spleen appear within normal limits for size and contour._x000D_
3.Abdominal detail is adequate._x000D_
4.The stomach appears within normal limits._x000D_
5.Small intestines are diffusely mildly fluid-filled. No evidence to suggest obstruction.</t>
  </si>
  <si>
    <t>The appearance of the stomach is likely related to normal ingesta in the absence of GI symptoms. However, if GI symptoms are present, gastroenteritis secondary to dietary indiscretion or infectious etiology could be considered.</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</si>
  <si>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 with the gastric axis cranioventrally shifted due to a radiographically small hepatic silhouette._x000D_
Small intestines are mildly gas and fluid filled, not overtly distended. _x000D_
Serosal detail is preserved._x000D_
Spleen is within normal limits of size and smoothly marginated._x000D_
Kidneys and urinary bladder WNL._x000D_
_x000D_
Multifocal signs of chronic IVDD.</t>
  </si>
  <si>
    <t>1) Unremarkable thorax without signs of cardiomegaly (this does not exclude a cardiac disease), pulmonary metastases nor signs of thoracic lymphadenopathy. _x000D_
2) Microhepatia: rul hout relative microhepatia (individual/breed related variation) vs a true congenital PSS for acquired hepatopathy are not excluded but felt less likely.</t>
  </si>
  <si>
    <t>Given the lack of cardiomegaly but audible murmur, consider a cardiology consultation with ECG and echocardiogram. Evaluate the convenience of and abdominal US top better visualize the hepatic silhouette with +/- dynamic bile acids._x000D_
Full neuro exam with MRI if necessary.</t>
  </si>
  <si>
    <t xml:space="preserve">
1.The stomach contains gas and small amount of amorphous soft tissue density. Small intestines are diffusely, minimally distended._x000D_
2.Abdominal detail is normal._x000D_
3.Liver size, shape and margin are normal._x000D_
4.Splenic size, shape and margin are normal.</t>
  </si>
  <si>
    <t>The AI result for this case is most compelling for: normal post prandial GI tract. If GI signs are present, low grade gastritis cannot be excluded. No signs of small bowel obstruction. Scant amorphous soft tissue density within the stomach may represent mucus, residual ingesta, and/or foreign material.</t>
  </si>
  <si>
    <t xml:space="preserve">
Virtual Radiologist Case Difficulty: MODERATE_x000D_
Virtual Radiologist Confidence: MODERATE_x000D_
In a vomiting or anorexic patient, and material is present in the stomach, withhold food, supportive care and therapy for gastroenteritis (including IV fluid therapy or access to water) are recommended.  If the symptoms persist, repeat abdominal radiographs 12-15 hours after this series. If the material persists in the stomach, concern for gastric foreign material increases and an abdominal ultrasound, positive contrast gastrogram, or endoscopy could be considered to assess for gastric foreign material.</t>
  </si>
  <si>
    <t>Patient Name : Toby Villa, Date of study: Sep 25, 2024
5 images are provided for review
There are no previous radiographs for comparison.
More caudal ventrodorsal image is mislabeled with a digital "R" on the left of the patient.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Thin mineral/metal foreign body is over the right cranioventral abdomen, likely incidental to current presentation.  
Gastrointestinal tract: The stomach contains a moderate volume of heterogeneous soft tissue material admixed with gas.   The stomach is within normal limits for size.
The small intestine contains mild gas and minimal fluid or is empty with a subjectively uniform population for size. 
The colon contains mild gas, or minimal soft tissue material or is empty.  The colon is within normal limits for size.  
Musculoskeletal: L1-2 spondylosis deformans is present.  The remaining included musculoskeletal structures are normal.</t>
  </si>
  <si>
    <t>1. Gastric material due to recent meal, versus gastritis/delayed gastric emptying or unlikely pyloric outflow tract obstruction given lack of vomiting in reported history.
2. Non-specific small intestinal and colon appearance such as from enteritis, colitis, or recent bowel movement/ variation of normal.
- There is no current evidence of gastrointestinal mechanical ileus.
- Differential diagnoses include dietary indiscretion, toxin ingestion, diet/antibiotic responsive disease, inflammatory bowel disease, pancreatitis, occult systemic disease or unlikely other.
3. No obvious prostatomegaly or radiopaque urinary bladder mineral.</t>
  </si>
  <si>
    <t>Consider GI panel, fecal analysis/deworming, and abdominal ultrasonography versus computed tomography for further evaluation of the gastrointestinal tract. Diet elimination trial and internist consultation may be contributory. 
Contrast urethrography/cystourethrography may be contributory to screen for occult urethral stenosis/stricture or soft tissue lesion contributing to reported signs.  Thoracic imaging to screen for occult systemic disease if not recently performed.  Empirical therapy and supportive care in the interim as needed.  Monitoring as directed or sooner if clinical signs acutely change, fail to improve or worsen.</t>
  </si>
  <si>
    <t>Orthogonal radiographs of the thorax/abdomen, and two lateral radiographs of the thoracolumbar spine are provided. There is mild generalized cardiomegaly. Fat deposition may be augmenting apparent cardiac silhouette size on the VD projection. Pulmonary vessels are normal size. Hazy increased opacity extending lateral to the cardiac apex on the VD view is fat deposition. No abnormalities are appreciated in the pulmonary parenchyma. No pleural effusion. Tracheal diameter is adequate. The patient is overweight. In the abdomen serosal detail is adequate, with no evidence of effusion. Moderate volume soft tissue opaque ingesta in the stomach. Small and large bowel are mildly filled. Normal-sized liver, spleen, kidneys. No radiopaque urolithiasis. Possible reduced size of the L3-4 intervertebral disc space. No other spinal abnormalities are appreciated.</t>
  </si>
  <si>
    <t>1. Mild cardiomegaly most consistent with acquired mitral and tricuspid valve disease. There is no evidence of heart failure at this time. No other thoracic abnormalities._x000D_
2. The appearance of L3-4 is suggestive of a protruding/extruded intervertebral disc. Such a lesion at this or another site may be responsible for discomfort._x000D_
3. Normal abdomen.</t>
  </si>
  <si>
    <t>Weight management is recommended. An echocardiogram should be considered to help guide treatment. If the patient develops pain with spinal palpation and/or neurologic deficits, consultation with a neurologist and advanced spinal imaging with MRI should be considered at that time.</t>
  </si>
  <si>
    <t xml:space="preserve">
1.No abnormal AI findings reported._x000D_
2.The abdomen is pendulous._x000D_
3.On the VD projection, there is asymmetric liver enlargement, caudal displacement of the stomach and increased soft tissue opacity caudal to the stomach in the splenic region._x000D_
4.Abdominal detail is decreased through the mid-abdomen._x000D_
5.The gastrointestinal tract is displaced caudally by the changes in the cranial abdomen. The small bowel is diffusely gas and fluid filled. On the lateral projection, a portion of the small bowel has a rigid appearance.</t>
  </si>
  <si>
    <t>Asymmetric hepatomegaly and increased soft tissue caudal to the stomach on the lateral projection. DDx: hepatosplenomegaly vs. pedunculated liver mass with caudal extension to the stomach vs. liver and splenic masses vs. hepatomegaly with cranial abdominal lymph node enlartgement. Decreased abdominal detail. DDx: secondary to organomegaly/mass alone and/or mesenteric inflammation with abdominal fluid. Small bowel appearance is suggestive of a functional ileus, potentially secondary to peritonitis or abdominal hemorrhage.</t>
  </si>
  <si>
    <t xml:space="preserve">
Virtual Radiologist Case Difficulty: MODERATE_x000D_
Virtual Radiologist Confidence: MODERATE_x000D_
Blood work, abdominal ultrasound. Tissue sampling as warranted by the abdominal ultrasound.</t>
  </si>
  <si>
    <t>A ventral dorsal and both lateral radiographs of the abdomen are provided. Peritoneal and retroperitoneal detail is adequate. The stomach is minimally distended with gas. Small intestines are diffusely mildly filled with a mixture of fluid and gas. Several loops of small bowel appear thickened, however this must be interpreted with caution, as fluid-gas interface can mimic wall thickening. Gas and small volume semi-formed feces in the colon. No radiopaque foreign material. Normal-sized liver, spleen, and kidneys. The urinary bladder is minimally filled and soft tissue opaque. Normal caudal thorax.</t>
  </si>
  <si>
    <t>Normal abdomen. Gastroenteritis secondary to dietary indiscretion is most likely. Small radiolucent gastric foreign material causing gastritis and pyloric outflow obstruction is next on the differential list. There is no evidence of small bowel obstruction.</t>
  </si>
  <si>
    <t>If the patient does not rapidly improve with supportive care, either a strictly fasted abdominal ultrasound or upper GI series should be considered.</t>
  </si>
  <si>
    <t xml:space="preserve">
1.The gastric rugae are prominent._x000D_
2.The colon contains a mild amount of gas caudally and ill-formed heterogenous fecal material cranially._x000D_
3.No abnormal AI findings reported._x000D_
4.The liver and spleen are normal._x000D_
5.There is a focal loss of serosal detail in the cranial abdomen on the lateral projection._x000D_
6.On the lateral projection, the gastric lumen contains a mild amount of soft tissue and gas opacity. The small intestine is diffusely gas-filled and segments have a rigid appearance. No mechanical ileus is visualized.</t>
  </si>
  <si>
    <t>These findings are consistent with cranial abdominal inflammation (i.e - pancreatitis, gastritis, duodenitis or less commonly, hepatobiliary disease). Appearance to the stomach suggestive of gastritis. Appearance of the small intestine and colon is consistent with non-specific enteritis and colitis, potentially secondary to #1.</t>
  </si>
  <si>
    <t>Patient Name : Finn Carey, Date of study: Sep 25, 2024
4 images are provided for review
Canine Thorax (4 Images) - 2 Lateral, 2 Vd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tall and occupies just over 2/3 the height of the thorax, with dorsal tracheal displacement.  The caudodorsal margin of the cardiac silhouette is enlarged.  Rounded increased soft tissue is in the region of the left atrium in the ventrodorsal image.   The cardiac silhouette is prominent in the region of the right atrium (9-11 o'clock position) in the straight ventrodorsal image.
Mediastinum: The cranial mediastinum is normal.
Trachea: The trachea has a slightly undulant margin.
Esophagus: The esophagus is not well-identified.
Pleural space: The pleural space is normal.
Musculoskeletal: The included musculoskeletal structures are normal.</t>
  </si>
  <si>
    <t>1. Mild-moderate left-sided cardiomegaly and suspected right atrial enlargement such as from myxomatous mitral valvular disease and insufficiency with/without tricuspid valvular disease, cor pulmonale/pulmonary hypertension, or less likely other.
- There is no current evidence of left-sided congestive heart failure.
2. Minimal diffuse bronchial pulmonary pattern due to fibrosis from prior disease, age-related changes, infectious/immune-mediated lower airway disease or unlikely other.
3. Mild tracheal margin undulation due to chondromalacia and underlying dynamic airway disease, versus artifact, variation of normal, or unlikely other.</t>
  </si>
  <si>
    <t>Consider echocardiography, eCG and blood pressure for further evaluation.  Routine blood work and urinalysis if not recently performed. Consider tracheoscopy/bronchoscopy and/or fluoroscopy for further evaluation, with/without airway sampling and respiratory PCR panel.  Empirical therapy and supportive care in the interim as needed. Monitoring as directed or sooner if clinical signs acutely change, fail to improve or worsen.</t>
  </si>
  <si>
    <t xml:space="preserve">
1.The ventral abdominal line is mildly pendulous._x000D_
2.No gastrointestinal abnormalities._x000D_
3.On the lateral projection, the liver is mildly enlarged._x000D_
4.On the VD projection, a mild decrease in cranial abdominal detail is present. This is suspected to be secondary to caudal extension of the liver._x000D_
5.Splenic size, shape and margin are normal._x000D_
6.As mentioned above, cranial abdominal detail is mildly decreased. A global reduction in abdominal detail is NOT present.</t>
  </si>
  <si>
    <t>Orthogonal views of the abdomen are provided. and compared to the previous study on the 07/15/24:_x000D_
_x000D_
Abdomen:_x000D_
_x000D_
The previously described hepatic mass has moderately increased in size, today looking more like a pedunculated and multi nodular hepatic mass reaching the mid abdomen dorsally displacing the stomach (mildly food filled) and colon. Around the mass and in the central abdomen today there is poor serosal detail._x000D_
Small intestines are mildly gas and fluid filled, not overtly distended. No signs of mechanical ileus._x000D_
Spleen is within normal limits of size and smoothly marginated._x000D_
Kidneys and urinary bladder WNL.</t>
  </si>
  <si>
    <t>1) Findings most consistent with moderate progression of the described hepatic mass now presenting as a larger and likely ruptured pedunculated multi nodular hepatic mass such as neoplasm (i.e: hepatocellular carcinoma vs sarcoma) with likely secondary hemoabdomen or serohemorrhagic exudate. Other differentials not being neoplasm are unlikely.</t>
  </si>
  <si>
    <t>Consider abdominal US with three views of the thorax ruling out pulmonary metastases and sternal lymphadenopathy. Evaluate the convenience of a CT of the thorax and abdomen evaluating therapeutical options along with an oncologist consultation.</t>
  </si>
  <si>
    <t xml:space="preserve">
1.Splenic size, shape and margin are normal._x000D_
2.The liver is mild to moderately enlarged._x000D_
3.Abdominal detail is normal._x000D_
4.The stomach contains small volume gas and scant soft tissue density. The small bowel is diffusely gas- and fluid-filled without segmental small bowel dilation.</t>
  </si>
  <si>
    <t>Multiple (total of 5) sets of radiographs of the thorax and abdomen made from May 13, 2024 through September 25, 2024 are submitted for review.  All of the images are interpreted in this report._x000D_
_x000D_
In the initial study made May 13, a generalized, primarily ventrally distributed bronchointerstitial to alveolar pattern is noted in the right and left cranial lung lobes and right mid to caudal lung lobe.  Generalized bronchial markings are noted throughout the remainder of the lung fields.  The cardiac silhouette is partially procured but appears generally normal in size and shape.  No pleural effusion is noted in the study.  The cranial mediastinal region appears within normal limits._x000D_
In the abdomen, the GI tract is within normal limits.  No organomegaly is noted.  Serosal detail is normal.  No osseous abnormalities are seen._x000D_
_x000D_
In the next study, dated May 21, the pulmonary pattern appears similar but moderately worse in degree._x000D_
In the May 29 study, the lung fields are significantly improved with mild persistent interstitial pattern in the region of the left cranial and right middle lung lobe._x000D_
_x000D_
In the June 11 study, there is continued general improvement of the lung fields with only a mild bronchial pattern remaining.  There is increased opacity in the left cranial quadrant of the thorax on the VD view in this set of films, which contains only 2 VD views.  However, interpretation is significantly hindered by obliquity and is likely represent superimposition of the cranial mediastinal region over the left cranial thorax._x000D_
In the last study dated September 25, the cardiovascular structures remain within normal limits.  A diffuse mild bronchial pattern is noted throughout the lung fields.  No alveolar infiltrates are noted.  There is again mild widening of the cranial mediastinal region and increased opacity in the left cranial quadrant of the thorax.  There is also a leftward obliquity in both the VD views and this study which is hinders interpretation.  No definitive abnormalities are noted in the cranial mediastinal region on the lateral view.</t>
  </si>
  <si>
    <t>The general appearance of the lung fields throughout the studies is consistent with bronchopneumonia initially which appears to have significantly improved throughout the films.  The remaining bronchial pattern in the last set of films could be consistent with persistent chronic bronchitis or mild bronchopneumonia.  Definitive interpretation of the cranial mediastinal region and the latter films is difficult is thought to be most likely due to artifact due to obliquity.</t>
  </si>
  <si>
    <t>Given the chronic and recurrent history of the clinical signs, further diagnostics as with transtracheal wash or bronchoalveolar lavage could be considered.  Depending on the level of clinical concern, repeat straightened VD radiographs of the thorax as well as being centered directly over the thorax without including the abdomen may be helpful for more precise evaluation of the left cranial thorax.</t>
  </si>
  <si>
    <t>Aaron Feagin</t>
  </si>
  <si>
    <t xml:space="preserve">
1.The stomach contains a small amount of gas. The small bowel is diffusely gas- and fluid-filled without segmental small bowel dilation._x000D_
2.Abdominal detail is normal._x000D_
3.Liver size, shape and margin are normal._x000D_
4.Splenic size, shape and margin are normal.</t>
  </si>
  <si>
    <t>Orthogonal views of the abdomen are provided:_x000D_
_x000D_
Abdomen:_x000D_
_x000D_
The stomach is empty._x000D_
Small intestines are mildly gas and fluid filled, not overtly distended. No signs of mechanical ileus._x000D_
Cecum is gas distended. Gas and fluid in the colon._x000D_
Serosal detail is preserved._x000D_
Liver and spleen are within normal limits of size and smoothly marginated._x000D_
Kidneys and urinary bladder WNL.</t>
  </si>
  <si>
    <t>1) Unremarkable abdomen. Rule out gastroenterocolitis of allergic/inflammatory/idiopathic origin vs gastroenterocolitis secondary to dietary indiscretion vs gastroenterocolitis of infectious or parasitic origin is less likely with this acute presentation.</t>
  </si>
  <si>
    <t>Consider CBC, TP and +/- IV fluids with abdominal US to further evaluate causes of gastroenterocolitis.</t>
  </si>
  <si>
    <t xml:space="preserve">
1.No abnormal AI findings reported._x000D_
2.The stomach is mildly gas and fluid filled with some soft tissue density material. The small bowel is gas and fluid-containing. No findings of obstruction._x000D_
3.The liver and spleen are normal._x000D_
4.Abdominal detail is within normal limits.</t>
  </si>
  <si>
    <t xml:space="preserve">
Virtual Radiologist Case Difficulty: MODERATE_x000D_
Virtual Radiologist Confidence: MODERATE_x000D_
If GI signs are present, supportive and symptomatic therapy for gastroenteritis/colitis can be considered. Repeat radiographs to assess for passage of gastric contents or obstruction, and abdominal ultrasound could be performed for further evaluation.</t>
  </si>
  <si>
    <t>5 images of the thorax and abdomen are provided for review.  The trachea is dorsally deviated, indicating left ventricular enlargement.  A small bulge is present in the region of the left atrium.  No pulmonary infiltrates are seen.  The pulmonary vasculature is normal in size.  The mediastinal and pleural structures are normal.  Abdominal serosal detail is adequate in all quadrants.  The liver margins are rounded and extend mildly beyond the costal arch.  The stomach contains a moderate amount of ingesta.  The small intestines are normal in size.  Gas and feces are present in the colon.  The urinary bladder is small.  The remaining abdominal organs are normal.</t>
  </si>
  <si>
    <t>Mild hepatomegaly=ZZ90= this is a nonspecific finding that may be seen with congestion, vacuolar hepatopathy, inflammation, neoplasia, etc.  Abdominal ultrasound may be helpful in further evaluation if biochemically indicated.  Left-sided cardiomegaly without current evidence of cardiogenic pulmonary edema.  Echocardiography may be helpful in further evaluation.</t>
  </si>
  <si>
    <t xml:space="preserve">
1.No abnormal AI findings reported._x000D_
2.The liver is prominent with smooth margins._x000D_
3.The spleen is within normal limits for size._x000D_
4.The stomach and small bowel are minimally filled. No signs of obstruction.</t>
  </si>
  <si>
    <t>Patient Name : Ella Charlick, Date of study: Sep 25, 2024
6 images are provided for review
Previous images dated [09/25/2024 Case#2768687] are available for comparison.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Peritoneum: Peritoneal detail is adequate.
Gastrointestinal tract: The stomach contains a moderate volume of heterogeneous soft tissue admixed with gas.   The stomach is within normal limits for size.
The small intestine contains mild gas, soft tissue material, and fluid or is empty with a subjectively uniform population for size. 
The colon contains mild admixed soft tissue material and gas.  The colon is within normal limits for size.  
Musculoskeletal: Severe right coxofemoral joint osteoarthrosis and femoral head luxation with shallow right acetabulum. 
 A metal right femoral intramedullary pin is present with five circumferential cerclage wires around the mid-diaphysis.  Right gluteal soft tissues are slightly small compared to the left.  The remaining included musculoskeletal structures are normal.</t>
  </si>
  <si>
    <t>1. Gastric material due to recent meal, versus gastritis/delayed gastric emptying or unlikely pyloric outflow tract obstruction given lack of vomiting in reported history.
2. Non-specific small intestinal and colon appearance such as from enteritis, colitis, or given reported history, less likely variation of normal.
- There is no current evidence of gastrointestinal mechanical ileus.
- Differential diagnoses include dietary indiscretion, toxin ingestion, diet/antibiotic responsive disease, inflammatory bowel disease, pancreatitis, occult systemic disease or unlikely other.
3. Severe right coxofemoral joint osteoarthrosis with right hip dysplasia versus osseous modelling from differential weight-bearing.
4. Slight right gluteal disuse muscle atrophy.
5. Prior right femoral fracture repair, consistent with reported history.</t>
  </si>
  <si>
    <t>Consider GI panel, fecal analysis/deworming, and diet elimination trial with/without internist consultation.  Empirical therapy and supportive care in the interim as needed.  Abdominal ultrasonography for further evaluation, especially if signs fail to improve, change or worsen in the face of empirical therapy.   Monitoring as directed or sooner if clinical signs acutely change, fail to improve or worsen.</t>
  </si>
  <si>
    <t xml:space="preserve">
1.Moderate volume ingesta fills the stomach._x000D_
2.Abdominal detail is normal._x000D_
3.The liver is upper limits of normal for size to mildly enlarged but retains a smooth margins._x000D_
4.The spleen is normal for size._x000D_
5.Small intestines are mildly gas filled._x000D_
6.Formed feces is present in the distal colon.</t>
  </si>
  <si>
    <t>Orthogonal views of the abdomen are provided:_x000D_
_x000D_
Abdomen:_x000D_
_x000D_
The stomach is distended with fluid and gas._x000D_
Some of the small intestines are abnormally gas and fluid filled, measuring up to 2.5 times the height of L5, whereas others are normal in distension. _x000D_
Serosal detail is preserved._x000D_
Liver and spleen are within normal limits of size and smoothly marginated._x000D_
Kidneys and urinary bladder WNL.</t>
  </si>
  <si>
    <t>1) Findings of small intestines are concerning for a mechanical ileus. Rule out soft tissue in opacity foreign body vs intussusception is not excluded but less likely.</t>
  </si>
  <si>
    <t>Consider abdominal US to further evaluate causes of the reported radiological and clinical changes.</t>
  </si>
  <si>
    <t xml:space="preserve">
1.No abnormal AI findings reported._x000D_
2.The liver and spleen are normal._x000D_
3.Detail in the abdomen is adequate._x000D_
4.The stomach is minimally distended and has prominent rugae._x000D_
5.The small intestines contains both gas and fluid but is uniform in diameter._x000D_
6.There is gas present in the colon and portions of the colon have a rigid and/or corrugated appearance.</t>
  </si>
  <si>
    <t>Changes to the G.I. track are most consistent with gastroenterocolitis of undetermined origin. Dietary indiscretion, inflammatory and metabolic causes could be considered. Correlation with lab work and physical exam findings would be suggested. Supportive medical management could be instituted. If no improvement is noted, repeat radiographs or abdominal ultrasound would be suggested.</t>
  </si>
  <si>
    <t xml:space="preserve">
Virtual Radiologist Case Difficulty: MODERATE_x000D_
Virtual Radiologist Confidence: MODERATE_x000D_
As above</t>
  </si>
  <si>
    <t>Orthogonal views of the abdomen are provided:_x000D_
_x000D_
Abdomen:_x000D_
_x000D_
The stomach is filled with small volume of food._x000D_
Small intestines are mildly gas and fluid filled, not overtly distended. No signs of mechanical ileus._x000D_
Unformed feces in the colon._x000D_
Serosal detail is preserved._x000D_
Liver and spleen are within normal limits _x000D_
_x000D_
Counting T13 shows no ribs, L4-L5 shows mineral material dorsal to the IVD superimposed with the IV foramen._x000D_
T6 is abnormally foreshortened with ventral sclerotic body margin and irregular periosteal reaction.</t>
  </si>
  <si>
    <t>1) Unformed feces in the colon. Rule out colitis of allergic/inflammatory/idiopathic origin vs IBD flare up vs colitis secondary to dietary indiscretion/diet change._x000D_
2) L4-L5: rule out old disc extrusion._x000D_
3) T6: Probably a hemivertebra with unknown causes for the with ventral sclerotic body margin and irregular periosteal reaction.</t>
  </si>
  <si>
    <t>Consider empirical treatment for colitis followed by abdominal US._x000D_
Full neuro exam with MRI if necessary with orthogonal views centered on T6.</t>
  </si>
  <si>
    <t xml:space="preserve">
1.Liver size, shape and margin are normal._x000D_
2.Splenic size, shape and margin are normal._x000D_
3.Abdominal detail is normal._x000D_
4.The stomach contains small volume gas and scant amorphous soft tissue density material. Diffuse, mild to moderate gas dilation of the small bowel without evidence of obstruction.</t>
  </si>
  <si>
    <t>The AI result for this case is most compelling for: Gastric contents which may represent ingesta or foreign material. This finding may be associated with gastroenteritis. The appearance of the small intestinal tract may be incidental, but can suggest a functional ileus in the correct clinical context. There is no evidence of intestinal obstruction.</t>
  </si>
  <si>
    <t>Patient Name : Chispita Farias, Date of study: Sep 24, 2024
5 images are provided for review
There are no previous radiographs for comparison.
Bones/Joints:
The coxofemoral joints have no obvious osteoarthrosis.  There is adequate coverage of the femoral heads by the acetabulums.
Bilateral femoral trochlear hypoplasia is present.  The patellas are medially luxated and/or positioned over the distomedial femurs, more severe on the right.
Minimal left stifle osteoarthrosis is present with slight osteophyte suspected at the medial tibial condyle.The left infrapatellar fat pad is well-defined. The included left tarsus is normal.
Minimal right stifle osteoarthrosis is present with slight osteophyte suspected at the medial tibial condyle.  The right infrapatellar fat pad is obscured by moderate increased soft tissue. The included right tarsus is normal.  
Eight vertebrae without ribs are present, presumably from a transitional T13 without ribs.  
There is no evidence of medullary sclerosis, osteolysis, endosteal scalloping, or periosteal proliferation.
Soft tissues:  The included soft tissues are normal.</t>
  </si>
  <si>
    <t>1.  Bilateral medial patellar luxation and femoral trochlear hypoplasia.
2.  Minimal right stifle osteoarthrosis and moderate synovial effusion/proliferation or less likely artifact.
- This is suspicious for intracapsular soft tissue injury (cranial cruciate ligament versus other).
3. Minimal left stifle osteoarthrosis without obvious synovial effusion.
4. Normal coxofemoral joints.
5. Presumed transitional T13 without ribs.</t>
  </si>
  <si>
    <t>Empirical therapy and supportive care in the interim as needed.  Consider orthopedist consultation and possible surgical versus medical intervention to the stifles.   Monitoring as directed or sooner if clinical signs acutely change, fail to improve or worsen.</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</si>
  <si>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small volume of food._x000D_
Small intestines are mildly gas and fluid filled, not overtly distended. No signs of mechanical ileus._x000D_
Serosal detail is preserved._x000D_
Liver and spleen are within normal limits of size and smoothly marginated._x000D_
Kidneys and urinary bladder WNL._x000D_
No sublumbar masses appreciated. However, in the left caudal abdominal wall there is a cutaneous oval soft tissue nodule or mass ant the level of L5-L6 (being partially superimposed with the cranial aspect of the bladder ventral to the descending colon in the RL view).</t>
  </si>
  <si>
    <t>1) Unremarkable thorax without signs of pulmonary metastases nor signs of thoracic lymphadenopathy._x000D_
2) Unremarkable abdomen except for the left caudal abdominal cutaneous mass. Rule out neoplasm (i.e: MCT vs sarcoma vs other) vs inflammatory/infectious.</t>
  </si>
  <si>
    <t>Consider FNAs from the reported mass with oncologist consultation.</t>
  </si>
  <si>
    <t xml:space="preserve">
1.Liver size is at the upper limits of normal to mildly enlarged but no mass is noted in the region of the liver._x000D_
2.Splenic size is at the upper limits of normal to mildly enlarged but no mass is noted in the region of the spleen._x000D_
3.Cranial abdominal detail is mildly decreased. DDx: confluence of soft tissue structures vs. less suspected, regional inflammation._x000D_
4.The stomach contains a small amount of gas and ingesta. The small bowel is diffusely gas- and fluid-dilated. The degree of distention raises concern for both a severe functional ileus and segment bowel dilation due to a mechanical obstruction._x000D_
5.The colon is gas filled and a portion of the colon has a rigid appearance.</t>
  </si>
  <si>
    <t>Appearance to the small and large bowel likely indicates a component of enterocolitis. However, a partial or evolving complete small intestinal obstruction cannot be ruled out. Splenic size at the upper limits of normal to mildly enlarged. No splenic mass identified. Lymphoid hyperplasia, potentially secondary to gastrointestinal or pancreatic disease, is a primary consideration. Mild decrease in cranial abdominal detail. DDx: superimposition of soft tissue structures vs. decreased detail secondary to regional inflammation, potentially secondary to gastroenteritis or pancreatitis.</t>
  </si>
  <si>
    <t xml:space="preserve">
Virtual Radiologist Case Difficulty: MODERATE_x000D_
Virtual Radiologist Confidence: MODERATE_x000D_
If GI signs are present and gastric contents are present, withhold food for 12-15 hours followed by repeat abdominal radiographs to assess for retention of the gastric contents. If the gastric contents persist after withholding food or if there is non-productive vomiting, the concern for gastric foreign material increases._x000D_
Supportive care in the interim as clinically warranted._x000D_
Blood work +/- pancreatic testing, if GI signs are present._x000D_
If there is clinical concern for a small intestinal obstruction, these radiographs should be submitted for Vetology evaluation.</t>
  </si>
  <si>
    <t>Orthogonal views of the abdomen are provided:_x000D_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No signs of sublumbar lymphadenopathy._x000D_
_x000D_
Multifocal signs of chronic IVDD._x000D_
No abnormalities seen in the thorax.</t>
  </si>
  <si>
    <t>1) Hepatomegaly: Metabolic vs Vacuolar infiltration vs Hepatic nodular hyperplasia vs Inflammatory vs Toxic vs Neoplastic or a combination of these differentials.</t>
  </si>
  <si>
    <t>Consider abdominal US to further evaluate the liver evaluating the need of US guided FNAs.</t>
  </si>
  <si>
    <t xml:space="preserve">
1.The liver extends moderately beyond the costal arch with a smooth margin._x000D_
2.The spleen is normal in size and margin._x000D_
3.Abdominal detail is normal._x000D_
4.The abdomen is pendulous._x000D_
5.The small intestines are normal in size, course and content._x000D_
6.The colon contains partially formed fecal material._x000D_
7.The stomach contains a small volume of gas.</t>
  </si>
  <si>
    <t xml:space="preserve">
Virtual Radiologist Case Difficulty: MODERATE_x000D_
Virtual Radiologist Confidence: MODERATE_x000D_
Blood work and abdominal ultrasound +/- pre- and post-prandial bile acids for further evaluation of the hepatomegaly. Bile acids are NOT recommended if bilirubin is elevated._x000D_
If clinical signs of Cushing's disease are present, adrenal function testing, systemic blood pressure evaluation and urinalysis with culture are recommended.</t>
  </si>
  <si>
    <t>Study:_x000D_
Abdominal radiography: two right lateral images dated September 23, 2024_x000D_
_x000D_
Findings:_x000D_
The stomach contains heterogeneous soft tissue material presumed to be ingesta. The small intestines are normal in size, course and content. The colon contains gas and formed fecal materia with a normal diameter l. The liver and spleen are normal in size and margin. The kidneys are normal in size and contour. The urinary bladder is normal in size and opacity. No mineral opaque calculi present in the bladder or region of the urethra. There is no uterine dilation. The included thorax is normal. The osseous structures are unremarkable.</t>
  </si>
  <si>
    <t>Unremarkable abdomen. There is no urocystolithiasis. Urine culture can be considered for further evaluation.</t>
  </si>
  <si>
    <t>Study:_x000D_
Abdominal radiography: three images dated September 24, 2024_x000D_
_x000D_
Findings:_x000D_
The abdominal serosal detail is normal. The stomach contains a small volume of gas. The pylorus is appropriately gas-filled on the left lateral image. The thickness of the gastric wall on rugae is within normal limits for the degree of gastric distention.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 included thorax is normal. No skeletal abnormalities are present.</t>
  </si>
  <si>
    <t xml:space="preserve">
1.Abdominal detail is normal._x000D_
2.Liver size, shape and margin are normal._x000D_
3.The gastric rugae are prominent on the VD proojection suggestive of gastritis. Alternatively, gastric luminal contents could be mimicking the appearance of prominent gastric rugae._x000D_
4.Splenic size, shape and margin are normal._x000D_
5.The small bowel is diffusely fluid filled without segmental small bowel dilation._x000D_
6.The colon is normal.</t>
  </si>
  <si>
    <t>Potential gastritis. No small bowel obstruction noted.</t>
  </si>
  <si>
    <t xml:space="preserve">
Virtual Radiologist Case Difficulty: MODERATE_x000D_
Virtual Radiologist Confidence: MODERATE_x000D_
Empirical therapy for gastritis/gastroenteritis as clinically warranted. Blood work and abdominal ultrasound as clinically warranted.</t>
  </si>
  <si>
    <t>Orthogonal views of the thorax are provided:_x000D_
_x000D_
Thorax:_x000D_
_x000D_
Cardiac silhouette has a normal shape and size._x000D_
Pulmonary vessels are within normal limits of size and shape._x000D_
Pulmonary parenchyma shows a generalized mild bronchial pattern. _x000D_
No signs of tracheobronchial lymphadenopathy._x000D_
Pleural space, mediastinum, diaphragm and thoracic wall within normal limits._x000D_
_x000D_
Unremarkable abdomen.</t>
  </si>
  <si>
    <t>1) Generalized bronchial pattern is compatible with a chronic lower airway disease such as asthma vs feline chronic bronchitis vs bronchitis of parasitic origin.</t>
  </si>
  <si>
    <t>Consider a bronchoscopy with BAL, culture, cytology and Baermann test with deworming vs empirical treatment for asthma and deworming.</t>
  </si>
  <si>
    <t xml:space="preserve">
1.Liver size, shape and margin are normal._x000D_
2.Splenic size, shape and margin are normal._x000D_
3.Abdominal detail is normal._x000D_
4.The stomach is moderately gas-distended and the gastric rugae are prominent. The small bowel is diffusely gas- and fluid-filled without segmental small bowel dilation.</t>
  </si>
  <si>
    <t>Five radiographs of the thorax and abdomen are provided. Images dated 8/10/21 are available for comparison. There is severe left atrial enlargement, with dorsal deviation of the thoracic trachea and mainstem bronchi. The remaining heart is moderately enlarged. The cranial pulmonary vein is larger than the artery. There is a moderate interstitial pattern in the perihilar region. Mild bronchial pattern in the remaining lungs is normal for the age of this patient. No pleural effusion. Adequate tracheal diameter._x000D_
_x000D_
In the abdomen the liver is mildly enlarged with rounded margins. Serosal detail is adequate. Normal size spleen and kidneys. Large volume soft tissue opaque ingesta in the stomach. The intestines are moderately filled. No effusion or radiopaque urolithiasis.</t>
  </si>
  <si>
    <t>1. Moderate to severe generalized cardiomegaly consistent with acquired mitral and tricuspid valve disease. There is pulmonary venous congestion and mild pulmonary edema indicating left-sided heart failure. Increased vagal tone is likely responsible for the syncopal episode._x000D_
2. Mild hepatomegaly as before. Hepatopathy or venous congestion are the top two differentials. No other abdominal abnormalities.</t>
  </si>
  <si>
    <t>Recommend treatment for heart failure and follow-up echocardiogram.</t>
  </si>
  <si>
    <t xml:space="preserve">
1.There is moderate to marked hepatomegaly that extends caudally to the mid-abdomen on the lateral projection._x000D_
2.The serosal margins of the liver are irregular and there is caudal deviation of the gastric axis._x000D_
3.Resource: https://platform.v2.vetology.net/doc/liver_disease_x000D_
4.There is increased soft tissue in the splenic region along with bowel displacement suggestive of a mass effect._x000D_
5.Abdominal detail is decreased._x000D_
6.The ventral abdominal line is pendulous secondary to the cranial abdominal organomegaly/mass._x000D_
7.The stomach is caudally displaced by the hepatomegaly. The small bowel is normal.</t>
  </si>
  <si>
    <t>Marked hepatomegaly with rounded hepatic serosal margins. Differentials for this would include hepatic neoplasia, nodular hyperplasia, or, slightly less likely, given the irregularity of the serosal margins a vacuolar hepatopathy. Lesser considerations for the soft tissue mass in the cranial abdomen are severe gastric distention or a cranially positioned splenic mass. Decreased abdominal detail. DDx: secondary to the mass only +/- abdominal fluid. Radiographic  technique likely contributes to this appearance. Increased soft tissue opacity in the splenic region with a mass effect. DDx: caudal extension of the liver into the region of the spleen vs. confluence of soft tissue structures displaced caudally by the hepatomegaly vs. concurrent splenic mass, or less commonly, pancreatic mass or lymphadenopathy.</t>
  </si>
  <si>
    <t xml:space="preserve">
Virtual Radiologist Case Difficulty: LOW_x000D_
Virtual Radiologist Confidence: HIGH_x000D_
A CBC, biochemistry profile, and urinalysis are recommended if not recently performed._x000D_
Abdominal ultrasound +/- abdominocentesis +/- tissue sampling. Coagulation profile, platelet count and PCV prior to tissue sampling.</t>
  </si>
  <si>
    <t>Patient Name : Louie Jones, Date of study: Sep 24, 2024
5 images are provided for review
There are no previous radiographs for comparison.  Ventrodorsal image is presumed mislabeled given position of caudal vena cava.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t>
  </si>
  <si>
    <t>1. Mild diffuse bronchial pulmonary pattern such as from infectious/immune-mediated lower airway disease (mycoplasma spp., bordetella spp., parasitism, inhaled allergen/irritant), or fibrosis from prior disease, age-related changes, or unlikely other.</t>
  </si>
  <si>
    <t>Etiology of reported respiratory distress is not definitively identified but may be due to nasal discharge/obstruction, especially if signs improved after clearance of this material.  Consider computed tomography of the head/neck with/without rhinoscopy/ laryngoscopy for further evaluation of upper airway obstruction contributing to reported signs.
Consider respiratory PCR panel, airway sampling, and fecal analysis/deworming for further evaluation.    Tracheoscopy/bronchoscopy/fluoroscopy to evaluated for underlying dynamic airway disease if clinically indicated.  Routine blood work to screen for occult systemic disease may be contributory.  Empirical therapy and supportive care in the interim as needed for coughing. Monitoring as directed or sooner if clinical signs acutely change, fail to improve or worsen.</t>
  </si>
  <si>
    <t xml:space="preserve">
1.Liver size, shape and margin are normal._x000D_
2.Splenic size, shape and margin are normal._x000D_
3.Abdominal detail is normal._x000D_
4.Small amount of irregular opacity at the stomach. Small intestines are mildly filled with fluid and gas without segmental small bowel dilation.</t>
  </si>
  <si>
    <t>The AI result for this case is most compelling for: Normal post prandial GI tract, versus gastric foreign material secondary to dietary indiscretion. Gastric contents likely represent normal ingesta. If vomiting and/or anorexia are present, gastric foreign material is a consideration. Less likely considerations include delayed gastric emptying or gastritis. No signs of small bowel obstruction.</t>
  </si>
  <si>
    <t xml:space="preserve">
In a vomiting or anorexic patient, supportive care or therapy for gastroenteritis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</si>
  <si>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Thoracic radiography: three images dated September 24,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heterogeneous soft tissue material presumed to be ingesta. The included abdomen is otherwise unremarkable. No skeletal abnormalities are present. The patient is of overweight body condition.</t>
  </si>
  <si>
    <t>Normal thorax. There is no radiographic evidence of cardiopulmonary disease. A cause of respiratory signs is not evident. Consider upper airway disease/laryngeal paralysis. Lack of a definitive bronchial pulmonary pattern does not exclude the possibility of allergic/inflammatory, infectious, irritant or parasitic bronchitis. Normal diameter of the trachea does not exclude the possibility of dynamic airway disease.</t>
  </si>
  <si>
    <t>Infectious respiratory disease PCR testing, sedated laryngeal exam, fluoroscopy, airway sampling plus/minus heartworm testing and Baermann fecal flotation can be considered to further evaluate the respiratory signs.</t>
  </si>
  <si>
    <t xml:space="preserve">
1.Moderate volume ingesta fills the stomach._x000D_
2.The liver is upper limits of normal for size to mildly enlarged but retains a smooth margins._x000D_
3.The spleen is normal for size._x000D_
4.Abdominal detail is normal._x000D_
5.Small intestines are mildly gas filled._x000D_
6.Formed feces is present in the distal colon.</t>
  </si>
  <si>
    <t>The AI result for this case is most compelling for: liver size at the upper limits of normal to mildly enlarged. Blood work should be correlated to this finding to determine significance of this finding. This AI finding more likely represents benign liver change such as fat deposition/vacuolar change over hepatitis or infiltrative neoplasia, such as lymphoma. No discrete hepatic mass has been identified.</t>
  </si>
  <si>
    <t xml:space="preserve">
Based on results and patient clinical signs and blood results, further investigation of the liver with ultrasound may be indicated._x000D_
A CBC and blood chemistry profile are recommended, if not already performed. Pre- and post-prandial bile acids should be considered if liver values are elevated._x000D_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</si>
  <si>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Seven radiographs of the thorax (two laterals), abdomen (two laterals), pelvis (one VD), left elbow (one lateral, suspected right elbow given provided history), and stifle (one lateral view labeled left carpus) dated September 24, 2024 are provided.
Stifle (unknown laterality, suspected left based on history): There is severe periarticular osseous proliferation along the femoral trochlear ridges, apex and base of the patella, proximal aspect of the tibia, and fabellae. There is a moderate increase of soft tissue opacity within the cranial aspect of the stifle joint which cranially displaces the infrapatellar fat pad. There is no evidence of an aggressive osseous lesion.
Pelvis: No aggressive osseous lesions are identified. There is mild osseous proliferation along the left coxofemoral joint. Unfortunately patient rotation and positioning precludes complete evaluation of the hips.
Abdomen: The urinary bladder is moderately distended and normal in opacity. The visible margins of the kidneys are within normal limits. The liver is mildly enlarged with rounded caudal margins which extend beyond the costal arch. The stomach contains a small volume of heterogeneous ingesta admixed with gas. The small intestine is within normal limits of diameter and is primarily gas-filled. There is adequate serosal detail.
Thorax: The cardiac silhouette is within normal limits of size and shape. The pulmonary vessels are normal in size and are symmetrical. The pulmonary parenchyma is unremarkable. The trachea is normal in diameter and course. The region of the esophagus is unremarkable. There is no evidence of intrathoracic lymphadenopathy.
Spine: There is severe, intermittently bridging spondylosis deformans of the cranial to mid thoracic spine, cranial lumbar spine, and lumbosacral junction. There is moderate osteoarthritis of the articular process joints of L1-2 through L5-6. The vertebral bodies and endplates are normal.
Elbow (presumed right elbow based on history, image labeled left humerus): There is severe osteoarthritis of the elbow. The periarticular margins are severely remodeled and enlarged with osseous proliferation. There is a rounded osseous body at the cranial aspect of the elbow joint. Several variably sized, mineral opaque fragments are associated with the anconeal process. There is mild regional soft tissue swelling at the cranial aspect of the elbow joint.</t>
  </si>
  <si>
    <t>1. There is severe osteoarthritis of the elbow. There is no evidence of an aggressive osseous lesion. The development of septic arthritis is should be considered given the degree of lameness and cranial soft tissue swelling.
2. There is severe osteoarthritis of the presumed right stifle. An intra-articular soft tissue injury such as a cranial cruciate ligament tear or meniscal tear is considered.
3. There is moderate distention of the urinary bladder. Consider an obstruction versus voluntary retention/stress retention.
4. Mild hepatomegaly.  This is a nonspecific finding, differentials include metabolic disease, endocrine disease, inflammation, and less likely, infiltrative neoplasia.
5. There are severe degenerative changes of the spine as described. Diffuse idiopathic skeletal hyperostosis (DISH) is considered for the cranial thoracic spine.
6. Unremarkable thorax. There is no evidence of metastatic pulmonary disease.</t>
  </si>
  <si>
    <t>Arthrocentesis of the right elbow is recommended to screen for septic osteoarthritis. Restricted activity and multimodal pain management is recommended in the interim. Consultation with an orthopedic surgeon could be considered.
Orthopedic evaluation of the stifle under general anesthesia or heavy sedation is recommended to screen for stifle instability. Stifle instability (cranial drawer) is diagnostic for cranial cruciate ligament tear. If instability is identified, consultation with orthopedic surgeon would be recommended.</t>
  </si>
  <si>
    <t>Casey Larsen</t>
  </si>
  <si>
    <t xml:space="preserve">
1.The liver is mildly enlarged with rounding to the caudoventral liver margin._x000D_
2.Splenic size, shape and margin are normal._x000D_
3.Abdominal detail is satisfactory_x000D_
4.There is a moderate amount of soft-tissue dense material present in the stomach._x000D_
5.The small intestines are predominantly fluid-filled._x000D_
6.No segmental small bowel dilation is identified.</t>
  </si>
  <si>
    <t>Patient Name : Basco Neagley, Date of study: Sep 24, 2024
5 images are provided for review
There are no previous radiographs for comparison.  Cranial thorax is excluded in the ventrodorsal images.
Pulmonary parenchyma: A minimal diffuse bronchial pattern is present.
Pulmonary vasculature: The pulmonary vasculature is subjectively normal in size and tapers in the periphery of the lungs.
Cardiac silhouette: The cardiac silhouette has a slightly flat caudodorsal margin in the lateral images.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left kidney is normal.  The right kidney is partially obscured without obvious mineral or enlargement.
Retroperitoneum: Retroperitoneal detail is adequate.
Urinary bladder/Urethra: The urinary bladder is normal in size, homogeneous soft tissue, and smoothly marginated.
Peritoneum: Peritoneal detail is adequate.
Gastrointestinal tract: The stomach contains a moderate volume of gas and soft tissue.   The stomach is within normal limits for size.
The small intestine contains mild to moderate fluid or mild gas is empty with a subjectively uniform population for size. 
The colon contains minimal gas and fluid or is empty. The colon is within normal limits for size.  
Musculoskeletal: Multiple gas foci are in the soft tissues over the mid and caudal dorsal extra-abdominal soft tissues.  A large, well-defined ovoid gas opacity is in the left caudolateral and inguinal soft tissues, superimposing over the caudal abdomen in the lateral images.  Mild gas is in the right caudolateral extra-abdominal soft tissues.  The remaining included musculoskeletal structures are normal.</t>
  </si>
  <si>
    <t xml:space="preserve">1. Severe left and mild right/dorsal extra-abdominal subcutaneous gas from reported recent trauma.
2. No obvious peritoneal gas or fluid is identified.  
3. Minimal diffuse bronchial pulmonary pattern such as from fibrosis from prior disease, age-related changes, or unlikely  infectious/immune-mediated lower airway disease or other.
4. Minimal left atrial enlargement versus artifact from phase of the cardiopulmonary cycle/patient positioning.
- If present, this may be consistent with reported murmur and possible myxoamtous mitral valvular disease, or unlikely other.
- No current evidence of left-sided congestive heart failure.  </t>
  </si>
  <si>
    <t>Consider echocardiography, eCG and blood pressure for further evaluation, and judicious use of fluid therapy in the short-term  Consider diuretics/oxygen if dyspnea acutely manifests, and recheck thoracic radiographs for monitoring.  Consider wound exploration/debridement and lavage.  If occult communication with peritoneum is identified during exploration, consider celiotomy and lavage.  Empirical therapy and supportive care in the interim as needed.  Monitoring as directed or sooner if clinical signs acutely change, fail to improve or worsen.</t>
  </si>
  <si>
    <t xml:space="preserve">
1.The hepatic silhouette is normal._x000D_
2.The spleen is normal for size, shape and margin._x000D_
3.Abdominal detail is normal._x000D_
4.There is a moderate amount of fluid and gas within the stomach._x000D_
5.The stomach has a normal axis._x000D_
6.The small intestines are homogenously fluid-filled, and mildly dilated._x000D_
7.The colon is gas-filled._x000D_
8.The descending colon contains mainly fluid opaque material.</t>
  </si>
  <si>
    <t>The  overall  impression  is  one  of  gastroenteritis/colitis.  Hemorrhagic  gastroenteritis,  or pancreatitis  cannot  be  excluded.  The  fluid  distended  duodenum  may  be  consistent  with aerophagia, or cranial abdominal inflammatory process such as pancreatitis.</t>
  </si>
  <si>
    <t xml:space="preserve">
Virtual Radiologist Case Difficulty: LOW_x000D_
Virtual Radiologist Confidence: HIGH_x000D_
If GI signs are present, empirical management, and repeat radiographs as necessary may be considered. If signs persist, an upper GI contrast examination, or abdominal ultrasound may be considered. Blood work is also recommended.</t>
  </si>
  <si>
    <t>Abdomen: There is a mild to moderate amount of normal take material (suspect gravel) within the gastric lumen and suspected colon.  There are several segments of small intestine that are gas filled and considered within normal limits for diameter.  The spleen is diffusely enlarged.  The liver is unremarkable.  There are no abnormalities involving the visible portions of the urinary tract.  Serosal detail is normal.</t>
  </si>
  <si>
    <t>Gastric foreign bodies.  It is unsure if these are causing an obstruction._x000D_
_x000D_
Mineral foreign material that has progressed through the gastrointestinal tract to the colon._x000D_
_x000D_
Several segments of jejunum that are fluid-filled.  Primary differential consideration is enteritis.  An obstructive process cannot definitively be ruled out.</t>
  </si>
  <si>
    <t>If clinical signs persist, consider abdominal ultrasound.</t>
  </si>
  <si>
    <t xml:space="preserve">
1.Splenic size, shape and margin are normal._x000D_
2.Abdominal detail is normal._x000D_
3.Liver size, shape and margin are normal._x000D_
4.Gas containing stomach with segmental gas distension involving bowel loops.</t>
  </si>
  <si>
    <t xml:space="preserve">
The need  for  further  intervention is  highly  dependent  upon  clinical  signs  and  patient  progress. If there is clinical improvement, continued conservative management with follow up radiographs every 6-8 hours could be performed. Otherwise, more  advanced  imaging, such as ultrasound, is recommended to rule our small bowel impaction._x000D_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</si>
  <si>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Orthogonal radiographs of the thorax/abdomen are provided. The left ventricle is mildly elongated. Pulmonary vessels are normal size. There are no abnormalities in the pulmonary parenchyma. No pleural effusion. Adequate tracheal diameter. In the abdomen serosal detail is normal. There is formed feces in the distal colon. The cecum is gas filled. The stomach and small bowel are minimally filled. Normal-sized liver, spleen, kidneys. No osseous abnormalities. The urinary bladder and prostate are not identified.</t>
  </si>
  <si>
    <t>1. Prominent left ventricle consistent with acquired mitral valve disease. There is no pulmonary venous congestion or pulmonary edema. The thorax is otherwise normal._x000D_
2. Normal abdomen.</t>
  </si>
  <si>
    <t xml:space="preserve">
1.No abnormal AI findings reported._x000D_
2.Mild microhepatia is present along with cranial positioning to the pylorus on the lateral projection. Splenic size, shape and margin are normal._x000D_
3.Resource: https://platform.v2.vetology.net/doc/liver_enzymes_and_tests_x000D_
4.Serosal detail within the peritoneal space is normal._x000D_
5.The stomach contains a small amount of soft tissue opaque material._x000D_
6.The small bowel contains gas and fluid and is normal in diameter._x000D_
7.The colon contains scant fecal material and gas.</t>
  </si>
  <si>
    <t>Microhepatia. Further evaluation for underlying hepatic disease if liver values and/or pre- and post-bile acids are abnormal. There is a small amount of soft tissue opaque material in the stomach on the VD projection. A normal post-prandial stomach is suspected. IF this patient is vomiting, gastric foreign material cannot be excluded.</t>
  </si>
  <si>
    <t xml:space="preserve">
Virtual Radiologist Case Difficulty: MODERATE_x000D_
Virtual Radiologist Confidence: MODERATE_x000D_
Further evaluation of the liver and/or gastric contents as clinically and/or biochemically indicated._x000D_
If there is clinical concern for gastric foreign material, withhold food for 12-15 hours (water should be accessible or IV fluid therapy implemented during that time). Repeat abdominal radiographs should be obtained after no food for 12-15 hours. If gastric material persists on the follow-up radiographs, concern for gastric foreign material increases and abdominal ultrasound, abdominal CT, a positive contrast gastrogram or gastroscopy may be warranted.</t>
  </si>
  <si>
    <t>A three view thoracoabdominal study including the neck is provided for interpretation._x000D_
_x000D_
There is moderate to severe dynamic narrowing of the cervical trachea including redundant dorsal tracheal membrane. This finding extends through the thoracic inlet but most of the intrathoracic trachea still appears normal. No mainstem bronchial collapse is seen. There is mild bronchial mineralization and some irregular bronchial markings. No alveolar infiltrates or pleural effusion are identified. The heart is at the upper end of normal size range with normal shape._x000D_
_x000D_
The abdominal organs are within normal size and shape limits. No mass lesions or loss of detail are seen in the abdomen._x000D_
_x000D_
There is severe disc space narrowing and spondylosis involving C3-C4 and L1-L2. L2-L3 is moderately narrowed.</t>
  </si>
  <si>
    <t>The mild bronchial pattern is slightly more prominent than typical age related change for the age of the patient. The appearance would be compatible with prominent age related changes or low-grade chronic bronchitis. No evidence of pneumonia, neoplasia, or heart failure is identified._x000D_
_x000D_
The appearance of the cervical trachea is consistent with collapsing trachea as a likely contributor to the coughing._x000D_
_x000D_
No abdominal abnormalities are identified._x000D_
_x000D_
There is evidence of chronic disc degeneration in the cervical and cranial lumbar spine.</t>
  </si>
  <si>
    <t>Symptomatic therapy for the cough is recommended._x000D_
Bronchoscopy could be considered for more definitive evaluation.</t>
  </si>
  <si>
    <t>Three orthogonal thoracic radiographs dated 24th September 2024 are available for review. These are compared with previous radiographs dated 15th May 2024._x000D_
_x000D_
Airway findings: There is near complete collapse of the dorsal pharyngeal wall, causing 90% reduction of the dorsoventral diameter. This extends from the mid cervical region to the tracheal bifurcation. The tracheal bifurcation is widened. There is a faint bronchointerstitial opacification of the pulmonary parenchyma._x000D_
_x000D_
Cardiovascular findings: There is generalised cardiac enlargement. A soft tissue opacity is contiguous with the caudal dorsal border. The pulmonary vasculature is prominent. The mainstem vessels are normal._x000D_
_x000D_
Mediastinum and pleural space: No significant abnormalities are detected._x000D_
_x000D_
Musculoskeletal findings: The patient is obese._x000D_
_x000D_
Included abdomen: There is mild smoothly marginated hepatomegaly.</t>
  </si>
  <si>
    <t>1. The dorsal attenuation of the trachea is consistent with tracheomalacia, and/or redundant trachealis membrane. The extent of attenuation would be expected to cause coughing. This is also previously present._x000D_
2. Generalised cardiomegaly. Considering breed this is likely due to mitral and tricuspid valve insufficiency. The prominent pulmonary vasculature are are indicative of venous congestion secondary to early cardiogenic pulmonary oedema. In comparison with previous radiographs, this is a subjective mild deterioration._x000D_
3. The pulmonary opacification is likely a combination of hypoinflation and body habitus, however early/faint interstitial opacification secondary to cardiogenic pulmonary oedema is possible.</t>
  </si>
  <si>
    <t>Medical Management of tracheal collapse is advised. Consider surgical consultation depending on clinical progression._x000D_
Complete bloodwork if not already performed. Management for left sided congestive heart failure including diuretic therapy with oxygen support as needed. ECG and systemic blood pressure monitoring. Recommend repeat thoracic radiographs after 24-48 hours of therapy, sooner if clinically indicated. Continued monitoring of renal values and urinalysis._x000D_
_x000D_
Once stabilized, an echocardiogram is recommended.</t>
  </si>
  <si>
    <t xml:space="preserve">
1.The liver is mild to moderately enlarged._x000D_
2.Splenic size, shape and margin are normal._x000D_
3.Abdominal detail is normal._x000D_
4.The stomach contains small volume gas and scant soft tissue density. The small bowel is diffusely gas- and fluid-filled without segmental small bowel dilation.</t>
  </si>
  <si>
    <t>Study:_x000D_
Abdominal radiography: three images dated September 24, 2024_x000D_
_x000D_
Findings:_x000D_
The abdominal serosal detail is normal. The stomach contains a small amount of unstructured heterogeneous/granular soft tissue material. Similar material seen in some small intestinal segments in the caudoventral abdomen on the left lateral view. The small intestines are normal in size and course. The colon contains a small volume of gas and a small amount of poorly formed fecal material with a normal diameter. The liver and spleen are normal in size and margin. The renal silhouettes are normal in size and contour. The included thorax is normal. There is variable mild to severe multifocal spondylosis deformans. The patient is of overweight body condition.</t>
  </si>
  <si>
    <t>Opposite lateral and VD views of the thorax and abdomen are provided._x000D_
_x000D_
The cardiovascular structures are within normal limits. Interstitial lung opacity is mildly increased, but within the limits of age related change. No alveolar infiltrates or pulmonary nodules are identified. No pleural effusion is seen. In the left lateral views there is a poorly defined but suspicious ovoid soft tissue opacity just dorsal to the xiphoid, superimposed over the caudal mediastinal fat in this area._x000D_
_x000D_
The liver is within normal size limits overall, but there is mild unusual alteration of the shape contour at the caudal ventral liver margin. The other abdominal organs are within normal limits. No foreign bodies are seen in the GI tract. There is a small quantity of soft tissue dense content within the stomach=ZZ90= the appearance is compatible with food. No intestinal abnormalities are identified. Serosal detail in the abdomen is normal.</t>
  </si>
  <si>
    <t>No significant cardiopulmonary abnormalities are identified._x000D_
No abnormalities are identified involving the GI tract._x000D_
No specific explanation for the coughing or the vomiting is seen._x000D_
_x000D_
There are two unusual anatomic findings:_x000D_
there is a focal area of soft tissue opacity that appears to be associated with the caudal mediastinum the apex of the heart dorsal to the xiphoid. The appearance in the left lateral thorax view is suspicious for inflammatory lesion such as a granuloma or abscess in this area. However, is less apparent in the VD abdomen view and not visible in the right lateral views. Artifactual causes cannot be excluded._x000D_
_x000D_
The caudal ventral contour the liver is variable between views but appears somewhat irregular in all views. A small mass or nodular infiltration of the liver should be ruled out with follow up imaging.</t>
  </si>
  <si>
    <t>Symptomatic therapy for the clinical signs is recommended._x000D_
_x000D_
Ultrasound of the abdomen to better evaluate the liver, pancreas, and GI tract is recommended. The caudal mediastinal area around the xiphoid could potentially be evaluated at that time.</t>
  </si>
  <si>
    <t xml:space="preserve">
1.The caudoventral margin of the liver is enlarged and rounded._x000D_
2.The spleen has a slightly rounded, well-defined margin, and is normal in overall size._x000D_
3.The overall peritoneal serosal detail is mildly reduced._x000D_
4.The abdomen is pendulous._x000D_
5.The small bowel is diffusely gas- and fluid-filled without segmental small bowel dilation._x000D_
6.The stomach contains granular food material, with a moderately caudally displaced axis.</t>
  </si>
  <si>
    <t>The AI result for this case is most compelling for: hepatomegaly. Fat deposition or steroid induction to the liver are primary considerations. Hepatomegaly due to fat deposition/vacuolar change, metabolic hepatopathy such as Cushing's disease, or hepatitis. In an older patient, infiltrative neoplasia is a consideration. Equivocal splenic changes due to evolving nodular change (extramedullary hematopoiesis or metastatic/multicentric neoplasia) or artifact. The mildly reduced peritoneal serosal detail is likely due to displacement by the liver</t>
  </si>
  <si>
    <t xml:space="preserve">
Ultrasonography for further evaluation of the liver._x000D_
CBC/serum biochemistry if not already performed, particularly to assess liver values. Adrenal function testing may also be warranted if the patient has clinical signs consistent with Cushing's disease._x000D_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</si>
  <si>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abdomen are provided. There is no effusion. The stomach contains a moderate amount of soft tissue opacity that is stippled with gas and a small accumulation of thin linear mineral densities measuring up to 0.9 cm. Small intestines are minimally distended. Formed feces and several small metal fragments measuring up to 0.7 cm in the colon. Normal size liver, spleen, kidneys. Normal osseous structures and a caudal thorax.</t>
  </si>
  <si>
    <t>Thin mineral densities in the stomach are likely be reported shaving razor blades, and there are additional small metal fragments in the colon. Based on their size, all of these structures should be able to pass successfully. There is no evidence of an obstructive process or gastrointestinal perforation.</t>
  </si>
  <si>
    <t>Consider feeding the patient bulky meals and monitoring for development of gastrointestinal signs.</t>
  </si>
  <si>
    <t xml:space="preserve">
1.Liver size, shape and margin are normal._x000D_
2.Abdominal detail is normal._x000D_
3.The stomach is normal. The small bowel is diffusely gas- and fluid-filled without segmental small bowel dilation._x000D_
4.Splenic size, shape and margin are normal.</t>
  </si>
  <si>
    <t>A three view study of the abdomen is provided for interpretation._x000D_
_x000D_
There is a mild reduction in serosal detail in the abdomen. The caudal margin of the liver is mildly irregular. A discrete mass lesion cannot be seen. The right kidney is small. Both kidneys have calculi, more prominent on the left. The other organs are within normal limits. There is a small to moderate quantity of semi formed soft tissue dense ingesta in the stomach. The appearance is compatible with food. In the VD view, the body of the stomach appears slightly displaced caudally and to the left, and there is a vague increase in opacity and reduced detail in the area of the pylorus._x000D_
There is severe narrowing of the L1-L2 intervertebral disc space, and moderate narrowing at T13-L1 and L2-L3.</t>
  </si>
  <si>
    <t>There is reduced abdominal detail that likely represents mild ascites._x000D_
_x000D_
There is mild irregularity involving the caudal liver margin in the lateral views, and an ill defined increase in opacity and focally reduced detail in the right cranial quadrant._x000D_
Primary differentials for these changes would include an inflammatory or neoplastic lesion involving the pancreas or the liver. No definitive mass is seen. Considerations include liver abscess, gallbladder mucocele, neoplasia, and pancreatic abscess or severe pancreatitis. Pancreatic causes are less likely given the negative pancreatic lipase test. Follow up imaging is indicated.</t>
  </si>
  <si>
    <t>More advanced imaging of the abdomen with ultrasound or CT is recommended.</t>
  </si>
  <si>
    <t xml:space="preserve">
1.Small intestines are mildly fluid filled. No signs of obstruction._x000D_
2.No abnormal AI findings reported._x000D_
3.Mild splenic enlargement._x000D_
4.Slight decrease in abdominal detail._x000D_
5.The stomach contains small volume gas and scant soft tissue density.</t>
  </si>
  <si>
    <t>Hepatomegaly with lobulated margins versus abdominal mass. If a mass is present, this is most likely of hepatic origin, however spleen or pancreas are also considerations. Etiologies of hepatomegaly include infiltrative neoplasia, with other considerations for steroid or endocrine hepatopathy, or acute inflammation.</t>
  </si>
  <si>
    <t>Right lateral and VD abdomen views are provided._x000D_
_x000D_
Rugal folds in the stomach are slightly prominent. The stomach is not dilated or malpositioned. The small intestine has mildly increased gas overall. No dilation or plication the intestine is seen. No foreign bodies are identified. Serosal detail is normal. The other abdominal organs are unremarkable.</t>
  </si>
  <si>
    <t>The appearance of the abdomen would be compatible with gastroenteritis as a cause of the clinical signs. Infectious causes should be ruled out if clinically indicated._x000D_
No foreign bodies or obstructive pattern are identified.</t>
  </si>
  <si>
    <t>Supportive care and symptomatic therapy for gastroenteritis/pancreatitis is recommended.</t>
  </si>
  <si>
    <t>A three view thoracoabdominal study is provided for interpretation._x000D_
_x000D_
There is a very large abdominal mass. The mass appears to arise dorsally, obscuring the retroperitoneal area and extending toward the ventral abdomen. The mass is moderately defined with lobular margins, and mild mineralization is apparent in the left side of the mass. Extends from midline to the periphery on both sides of the abdomen, overall size measuring in the range of 8 cm x 13 cm. The kidneys cannot be reliably identified. In the right lateral view there is a rounded shadow in the ventral abdomen, that is suspected to be associated with the mass but could be arising from spleen or bowel. A definitive tissue of origin of the large mass cannot be determined. The GI tract is displaced by the mass but appears otherwise normal. The appearance of the liver is within normal limits. Serosal detail in the areas not obscured by the mass is normal._x000D_
_x000D_
The cardiovascular structures are within normal limits. Interstitial lung opacity is mildly increased but within the limits of age related change. No pulmonary nodules or pleural effusion are identified.</t>
  </si>
  <si>
    <t>There is a very large lobular/nodular mass that occupies most of the dorsal abdomen from the stomach to the bladder. The mass is partially mineralized on the left side. A tissue of origin cannot be definitively determined. Primary rule outs would include renal neoplasia, primary retroperitoneal soft tissue neoplasia, spleen, or less likely adrenal._x000D_
_x000D_
No evidence of pulmonary metastasis or other significant cardiopulmonary disease is identified.</t>
  </si>
  <si>
    <t>Tissue origin of the large mass described cannot be determined from the radiographs. Retroperitoneal origin complicating surgical removal is possible. CT would be ideal for more definitive anatomic evaluation. Ultrasound may be helpful but sonographic evaluation could be challenging due to the size of the mass.</t>
  </si>
  <si>
    <t xml:space="preserve">
1.No abnormal AI findings reported._x000D_
2.No abnormal AI findings reported._x000D_
3.Overall, the small intestine is normal in size._x000D_
4.The colon contains moderate fluid and mild gas._x000D_
5.The stomach contains mild gas and is normal in size._x000D_
6.The small intestine contains heterogeneous soft tissue material and gas._x000D_
7.The visible margins of the liver and spleen are obscured by the decrease in abdominal detail.</t>
  </si>
  <si>
    <t>Moderate abdominal distention. Rule out abdominal fluid and/or abdominal mass(es) vs. less likely, increased intra-abdominal fat deposition with concurrent, mild splenomegaly. - Differential diagnoses for abdominal fluid include hemorrhage, malignant effusion, or evolving peritoneal sepsis, such as from a perforate hollow viscous. Non-specific small and large intestinal changes such as from enterocolitis, without obvious evidence of mechanical ileus.</t>
  </si>
  <si>
    <t xml:space="preserve">
Virtual Radiologist Case Difficulty: MODERATE_x000D_
Virtual Radiologist Confidence: MODERATE_x000D_
Abdominal ultrasonography and abdominocentesis for fluid analysis/cytology if abdominal fluid is identified and fluid sampling can be safely performed._x000D_
Thoracic imaging to screen for occult systemic disease if an abdominal mass is identified._x000D_
If peritoneal sepsis is identified, exploratory celiotomy for occult gastrointestinal ulceration would be warranted._x000D_
Testing for systemic coagulopathy is recommended if a hemoabdomen is present and an abdominal mass is not identified.</t>
  </si>
  <si>
    <t>Patient Name : Diesel Moreno-Suares, Date of study: Sep 24, 2024
6 images are provided for review
There are no previous radiographs for comparison.
Bones/Joints:
The coxofemoral joints have no obvious osteoarthrosis.  There is adequate coverage of the femoral heads by the acetabulums.
Bilateral femoral trochlear hypoplasia is present.  No obvious medial patella luxation is identified.
The left stifle has no evidence of osteoarthrosis. Increased soft tissue is suspected in the left infrapatellar fat pad.
The included left tarsus is normal.
The right stifle has no evidence of osteoarthrosis.  The right infrapatellar fat pad is well-defined.
The included right tarsus, metatarsus are normal.  
A small mineral focus is over the ventral aspect of the L1-2 intervertebral foramina in the lateral image, without obvious disc space narrowing at this site.  The remainder of the lumbar spine is normal.
There is no evidence of medullary sclerosis, osteolysis, endosteal scalloping, or periosteal proliferation.
Soft tissues:  Multiple gas foci are in the right lateral gluteal soft tissues in the ventrodorsal image, and this region is mildly enlarged and convex compared to the left, but is partially superimposed by the label in this image. The remaining included soft tissues are normal.</t>
  </si>
  <si>
    <t>1. Bilateral femoral trochlear hypoplasia without obvious medial patella luxation.
2. Suspected left stifle joint synovial effusion/proliferation versus artifact from positioning/technique.
- If present, consider intra-capsular soft tissue injury, or unlikely evolving non-erosive arthritis/polyarthritis or other.
3. Minimal L1-2 intervertebral disc mineralization and herniation versus superimposed lateralized spondylosis deformans.
4. Gas foci and suspected enlarged right lateral gluteal soft tissues such as from recent medication/sedation administration, or unlikely evolving mass (neoplasm, abscess) other given reported history.</t>
  </si>
  <si>
    <t>Consider routine blood work, and possibly cross-sectional imaging of the pelvis for further evaluation of soft tissue changes.  Routine blood work and thoracic imaging depending on results. 
Etiology of lameness is otherwise not well-defined, but may be due to femoral trochlear hypoplasia and intermittent medial patella luxation, and/or underlying left stifle injury, or a combination of these.  Consider ventrodorsal radiograph of the L1-2 region to further evaluate for lateral spondylosis deformans.  If ruled out, consider neurologist consultation and MRI for further evaluation of extruded disc material.  Empirical therapy and supportive care in the interim as needed. Monitoring as directed, or sooner if clinical signs acutely change, fail to improve or worsen.</t>
  </si>
  <si>
    <t xml:space="preserve">
1.The liver, spleen and abdominal serosal detail are all within normal limits._x000D_
2.No abnormal AI findings reported._x000D_
3.No abnormal AI findings reported._x000D_
4.The stomach contains gas and some soft tissue material/fluid._x000D_
5.The intestinal tract is diffusely gas- and fluid-filled but without segmental bowel dilation._x000D_
6.The colon contains fecal material.</t>
  </si>
  <si>
    <t>There is no evidence of small intestinal mechanical obstruction. If GI signs are present, the gastrointestinal appearance is suggestive of a functional ileus. The AI result is most compelling for: A normal post-prandial GI tract in a patient WITHOUT GI signs. However, in a patient WITH vomiting and/or anorexia, this AI report can be associated with gastric foreign material and/or a functional ileus.</t>
  </si>
  <si>
    <t xml:space="preserve">
Alternatively, or if clinical signs persist despite supportive care, abdominal ultrasound should be considered._x000D_
If GI signs are present, supportive care and repeat abdominal radiographs after withholding food for 12-15 hours to reassess the gastric contents. If gastric contents were present and persist, the concern for gastric foreign material increases and warrants further evaluation._x000D_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</si>
  <si>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Six orthogonal thoracic and abdominal radiographs dated 24th September 2024 are available for review. The patient is not identified on the DICOM images. These are compared with previous radiographs dated 8th February 2024._x000D_
_x000D_
Airway findings: The thorax is severely hypoinflated in the ventrodorsal image. There is a moderate bronchial pattern throughout the lung parenchyma. In the ventrodorsal image, the left caudal and cranial pulmonary lobes are severely opacified, up to a mild alveolar pattern._x000D_
_x000D_
Cardiovascular findings: The cardiac silhouette, pulmonary vasculature and mainstem vessels are normal in the single lateral image. There is border effacement in the ventrodorsal image._x000D_
_x000D_
Mediastinum and pleural space: No significant abnormalities are detected._x000D_
_x000D_
Musculoskeletal findings: No significant abnormalities are detected._x000D_
_x000D_
Included abdomen: The hepatic silhouette is normal in size with smooth borders. The spleen is normal in shape, size and position. The left kidney is small with smooth borders. A faint mineral opacity is visible in the hilar region. The stomach is mainly empty, with a normal axis. The small intestines are distributed evenly and are within normal limits for shape, size and contents. The ascending, transverse and descending colon have a normal position and contains an increased amount of formed faeces. The urinary bladder is filled. The serosal detail is normal.</t>
  </si>
  <si>
    <t>1. Chronic kidney disease, as previously described._x000D_
2. Diffuse mild bronchial pattern: Primary consideration should be given to normal ageing/fibrosis from previous disease. Allergic bronchitis (feline asthma), chronic bacterial /viral bronchitis +/- parasitic bronchitis should also be considered. This is subjectively deteriorated in comparison to previous images. The severe opacification in the ventrodorsal image is most likely due to severe hypoinflation, and positional atelectasis, however more severe underlying infectious-inflammatory disease is possible.</t>
  </si>
  <si>
    <t>Consider repeat well inflated 3 view thoracic series._x000D_
Respiratory workup including CBC, serum chemistry, urinalysis, Baermann faecal testing, 4DX, +/- respiratory panel as indicated may be considered.  Alternatively, diagnostic /empirical therapy for lower airway disease, empirical deworming, and removal of allergens and environmental irritants (i.e. smoke, dust, perfumes, etc.) can be considered.</t>
  </si>
  <si>
    <t xml:space="preserve">
1.The spleen is normal in size and margin._x000D_
2.The small intestines appear normal in size, course and content. No signs of small bowel obstruction._x000D_
3.The liver is mildly enlarged with a smooth margin._x000D_
4.Resource: https://platform.v2.vetology.net/doc/liver_disease_x000D_
5.No abnormal AI findings reported._x000D_
6.The stomach appears within normal limits.</t>
  </si>
  <si>
    <t>The AI result for this case is most compelling for: Hepatomegaly. This is a nonspecific finding that may be due to steroid or endocrine hepatopathy. Less likely considerations include infiltrative neoplasia, or acute inflammation.</t>
  </si>
  <si>
    <t xml:space="preserve">
Virtual Radiologist Case Difficulty: MODERATE_x000D_
Virtual Radiologist Confidence: MODERATE_x000D_
Hepatomegaly should be evaluated with blood work, and an abdominal ultrasound.</t>
  </si>
  <si>
    <t>6 views of the thorax and abdomen are submitted for review.  The stomach contains a minimal amount of gas and ingesta.  The small bowel is normal in uniform diameter without overt dilation or plication.  A mild amount of gas and stool is noted in the colon.  The liver is slightly prominent with smooth serosal margins.  The spleen is normal in size and shape.  Mild diverticular mineralization is noted in the kidneys.  The urinary bladder is moderately distended.  Serosal detail is adequate._x000D_
In the thorax, the left atrium is mild to moderately enlarged.  The pulmonary vasculature is normal.  No pulmonary parenchymal abnormalities are noted.  No pleural effusion or intrathoracic lymphadenopathy is seen.  The trachea is normal._x000D_
No significant osseous abnormalities are seen.</t>
  </si>
  <si>
    <t>Mild dependent megaly.  Differentials include normal variation, vacuolar change, inflammation, or much less likely neoplasia._x000D_
Mild mineralization of the kidneys, consistent with chronic nephritis and degenerative change of unknown clinical significance._x000D_
No evidence of mechanical obstruction of the GI tract is seen._x000D_
Mild to moderate left atrial enlargement.  This is most consistent with myxomatous mitral valve disease.  No evidence of congestive heart failure is noted.  Otherwise, radiographically normal thorax.</t>
  </si>
  <si>
    <t>An abdominal ultrasound and echocardiogram could be considered for further evaluation.</t>
  </si>
  <si>
    <t xml:space="preserve">
1.The stomach contains soft tissue material and gas._x000D_
2.Splenic size, shape and margin are normal._x000D_
3.Liver size, shape and margin are normal._x000D_
4.Abdominal detail is normal._x000D_
5.The small intestine is rigid and gas filled but of normal, uniform size.</t>
  </si>
  <si>
    <t>Rigid small intestine suggestive of enteritis. No small bowel obstruction noted at this time. Small amount of soft tissue material in the stomach. DDx: normal ingesta vs.  small amount of gastric foreign material.</t>
  </si>
  <si>
    <t xml:space="preserve">
Virtual Radiologist Case Difficulty: MODERATE_x000D_
Virtual Radiologist Confidence: MODERATE_x000D_
Withhold food for 12-15 hours followed by recheck abdominal radiographs, including a left lateral projection._x000D_
If material persists in the stomach on follow-up radiographs, concern for gastric foreign material increases and additional diagnostics such as an upper GI or abdominal ultrasound may be warranted.</t>
  </si>
  <si>
    <t>Study:_x000D_
Thoracic and abdominal radiography: eight images dated September 24,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adequate. The stomach contains a small volume of gas with the pylorus appropriately gas-filled on the left lateral images. The small intestines are normal in size, course and content. The colon contains a small amount of poorly formed fecal material. The liver and spleen are normal in size and margin. The kidneys are normal in size and contour. The urinary bladder is normal in size and opacity. Suture material from prior ovariohysterectomy is present caudal to each kidney, situated between the descending colon/urinary bladder and in the mid-ventral abdominal body wall and subcutaneous fat. No skeletal abnormalities are present.</t>
  </si>
  <si>
    <t>1. Unremarkable abdomen. A cause of the gastrointestinal signs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t>
  </si>
  <si>
    <t xml:space="preserve">
1.The stomach contains gas and ingesta or prominent rugae, suggestive of gastritis. The small bowel is diffusely fluid filled but without segmental small bowel dilation._x000D_
2.Abdominal detail is normal._x000D_
3.Liver size, shape and margin are normal._x000D_
4.Splenic size, shape and margin are normal.</t>
  </si>
  <si>
    <t>6 views of the thorax and abdomen are submitted for review._x000D_
In the abdomen, the stomach contains a minimal amount of gas.  The small bowel is normal in uniform diameter and contains a mild amount of gas.  The colon is moderately gas-distended.  The liver, spleen, renal silhouettes, and urinary bladder are within normal limits.  Serosal detail is adequate._x000D_
In the thorax, the cardiac silhouette and pulmonary vasculature are within normal limits.  An approximately 3 to 4 cm rounded soft tissue opacity mass is noted in the peripheral aspect of the right caudal lung lobe.  Mild generalized bronchointerstitial markings are noted throughout the remainder of the lung fields.  No pleural effusion or intrathoracic lymphadenopathy is noted.  The trachea is normal in diameter._x000D_
No aggressive bony changes are noted.</t>
  </si>
  <si>
    <t>The appearance of the GI tract is very nonspecific but could be associated with mild functional ileus as with enterocolitis from any cause.  No evidence of mechanical obstruction is seen._x000D_
Solitary mass in the right caudal lung lobe.  This is most consistent with primary pulmonary neoplasia such as carcinoma or adenocarcinoma.  A pulmonary granuloma, fluid-filled bulla, or abscess cannot be excluded.</t>
  </si>
  <si>
    <t>Tissue sampling of the pulmonary mass is needed for more definitive diagnosis.  Due to the location of the lesion, ultrasound-guided fine-needle aspiration may be feasible._x000D_
An abdominal ultrasound could be considered for further evaluation of the GI tract if there is sufficient clinical concern.</t>
  </si>
  <si>
    <t>Opposite lateral and VD views that include the neck, thorax, and abdomen are provided. There are 13 images total._x000D_
_x000D_
No laryngeal or tracheal abnormalities are identified. The soft tissues of the neck and cervical spine are unremarkable._x000D_
_x000D_
There is a moderately defined round to ovoid mass in the range of 7 cm in the right caudal dorsal lung. The other lung fields have a patchy interstitial pattern. No pleural effusion or thoracic lymphadenopathy is seen. No significant cardiovascular abnormalities are identified._x000D_
_x000D_
The abdominal organs are all within normal size and shape limits. The GI tract is mildly gassy but otherwise unremarkable. No mass lesions or loss of detail are seen in the abdomen._x000D_
There is moderate lumbosacral spondylosis.</t>
  </si>
  <si>
    <t>There is a pulmonary mass in the right caudal lobe. Is appears to be a solitary lesion, although there is patchy interstitial opacity in the other lung fields. A primary lung tumor would be the top differential, but granuloma associated with parasitic or fungal disease should still be ruled out. A pulmonary abscess (possibly secondary to an aspirated foreign body) should also be ruled out._x000D_
_x000D_
No abnormalities are identified involving the neck or trachea._x000D_
No abdominal abnormalities are identified.</t>
  </si>
  <si>
    <t>Bronchoscopy would be ideal for definitive diagnosis._x000D_
If this is not an option, BAL/TTW for cytology and culture should be considered._x000D_
It is possible this lesion might be accessible for FNA with ultrasound, but potential for success is questionable, as the lesion might not be accessible._x000D_
_x000D_
CBC, Baermann fecal exam for lungworms, and heartworm testing is not performed recently is recommended.</t>
  </si>
  <si>
    <t>The AI result for this case is most compelling for: Mild hepatomegaly. This is a nonspecific finding that could represent a normal variant, versus less likely steroid hepatopathy, acute inflammation or infiltrative neoplasia.</t>
  </si>
  <si>
    <t>A three view thoracoabdominal study is provided for interpretation._x000D_
_x000D_
The stomach is moderately distended with gas. No evidence of gastric rotation or foreign body is seen. A few segments of small intestine are mildly gas dilated, but no obstructive pattern is identified. There are multiple irregular mineral dense choleliths in the gallbladder. The liver is mildly enlarged, with smooth margins. The spleen is mildly to moderately enlarged, also with smooth margins and normal shape. Serosal detail in the abdomen is normal._x000D_
_x000D_
The shape of the heart is consistent with mild to moderate left atrial dilation. The cardiac silhouette is mildly enlarged overall. There is a moderate bronchial pattern, due partly to bronchial mineralization. No pulmonary edema or pleural effusion is seen.</t>
  </si>
  <si>
    <t>The appearance of the lungs is suggestive of chronic bronchitis. In the absence of relevant clinical signs this more likely represents prominent age related change._x000D_
There is left sided heart enlargement with atrial dilation, but no evidence of congestive heart failure._x000D_
_x000D_
The liver and spleen are both enlarged. Primary rule outs would include inflammatory/infectious hepatopathy with reactive splenomegaly, other systemic infectious/inflammatory disease, or lymphoreticular neoplasia such as lymphoma._x000D_
_x000D_
There is many mineral dense irregular calculi in the gallbladder. This is abnormal but often an incidental, so relevance to the current clinical signs is unknown but probably limited._x000D_
_x000D_
The GI tract is gassy, but no foreign body, obstructive pattern, or mass is identified. The appearance of the GI tract is suspected to be the result of physiologic ileus or aerophagia.</t>
  </si>
  <si>
    <t>Supportive care and symptomatic therapy is recommended._x000D_
_x000D_
Ultrasound of the abdomen to better evaluate the liver and gallbladder as well as the spleen for changes that might be concerning for lymphoma is recommended.</t>
  </si>
  <si>
    <t xml:space="preserve">
1.Both have normal shape and smooth margins._x000D_
2.The spleen is also mildly enlarged._x000D_
3.There is ill defined increased opacity in the cranial abdomen._x000D_
4.No mass margins or mass effect are identified._x000D_
5.The GI tract appears unremarkable._x000D_
6.The liver is mildly enlarged.</t>
  </si>
  <si>
    <t>The liver and spleen enlargement is mild, which could also be seen as an incidental finding or associated with inflammatory disease. However, lymphoreticular neoplasia could present with similar findings and should be ruled out in this patient. There is a subtle but suspicious ill defined increase in opacity in the cranial abdomen. This could be a benign variant, but this appearance can also be associated with mesenteric lymph node enlargement or possibly a splenic mass not visible in the radiographs.</t>
  </si>
  <si>
    <t>Six orthogonal survey radiographs of the thorax and abdomen dated 24th September 2024 are available for review. There are no previous radiographs available for comparison. _x000D_
_x000D_
Thorax: _x000D_
Airway findings: The cervical and thoracic trachea have a normal size, outline and position. The carina, tracheal bifurcation and mainstem bronchi are normal. Dorsal to the tracheal bifurcation there is a smoothly marginated soft tissue opacity. There is a diffuse mild to moderate bronchointerstitial opacification of the lung parenchyma. This is most dominant caudodorsally._x000D_
_x000D_
Cardiovascular findings: There is a moderate sized smoothly marginated soft tissue opacity contiguous with the caudal dorsal border of the cardiac silhouette. A soft tissue opacity is superimposed on the caudal cardiac silhouette in the dorsoventral image.  The overall cardiac silhouette is still within normal limits. The pulmonary vessels as well as the mainstem vasculature are normal._x000D_
_x000D_
Mediastinum and pleural space: No significant abnormalities are detected._x000D_
_x000D_
Abdomen: The stomach contains a moderate amount of granular food material and has a normal axis. The small intestines dorsally displaced by an enlarged spleen. They contain a mixture of granular food material, gas and fluid. The descending colon contains some gas. The urinary bladder is filled. The kidneys are partially obscured by gastrointestinal contents, but the visible aspect are normal. The hepatic silhouette is normal. The urinary bladder is filled._x000D_
_x000D_
Musculoskeletal findings: No significant abnormalities are detected.</t>
  </si>
  <si>
    <t>1. The soft issue caudal dorsal to the cardiac silhouette may be left atrial dilation, or a left atrial dilation and tracheobronchial lymphadomegaly combined. The left atrial dilation is most likely due to mixoid degeneration of the mitral valve. There is no evidence for cardiac insufficiency. The tracheobronchial lymphadomegaly, if present is likely reactive to the pulmonary pattern._x000D_
2. Moderate bronchointerstitial opacification: This is most likely consistent with lower airway infectious-inflammatory disease such as viral-bacterial bronchitis, parasitic bronchitis, potential fungal disease. Pulmonary fibrosis, eosinophilic bronchopneumopathy is considered less likely. Considered potential tracheobronchomegaly, fungal disease needs to be excluded._x000D_
3. Splenomegaly: differential diagnoses include passive congestion from sedation (if administered), splenitis, extramedullary hematopoiesis, lymphoid hyperplasia, or neoplasia (haematoma, haemangioma, haemangiosarcoma, or a lymphoma) . Considering smooth borders and size, round cell infiltration should be prioritised.</t>
  </si>
  <si>
    <t>Respiratory workup including CBC, serum chemistry, urinalysis, Baermann faecal testing, 4DX, +/- respiratory panel or fungal testing as indicated is advised.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 Evaluate for upper airway disease as clinically indicated._x000D_
Radiography is insensitive for early cardiac insufficiency, therefore ECG, blood pressure measurements, and echocardiography may be considered for further evaluation, or baseline measurements._x000D_
A complete abdominal ultrasonographic examination is advised, with a view to FNA of abnormal organs, after a normal coagulation panel.</t>
  </si>
  <si>
    <t xml:space="preserve">
1.The liver is normal._x000D_
2.On the VD projection, there is increased soft tissue opacity in the left mid-abdomen. On the lateral projection, mild splenomegaly is present._x000D_
3.Abdominal detail is normal._x000D_
4.The gastrointestinal tract is unremarkable.</t>
  </si>
  <si>
    <t>Increased soft tissue opacity in the left mid-abdomen on the VD projection. DDx: splenomegaly vs. splenic mass vs. superimposition of the spleen and left kidney. The visible serosal margins of the spleen are smooth. Greatest consideration would be given to extramedullary hematopoiesis, hyperplasia, or inflammation. Much lesser consideration would be given to a neoplastic process.</t>
  </si>
  <si>
    <t xml:space="preserve">
Virtual Radiologist Case Difficulty: MODERATE_x000D_
Virtual Radiologist Confidence: MODERATE_x000D_
The staging is also somewhat dependent on lab work findings and clinical signs. If warranted, abdominal ultrasound +/- splenic FNA.</t>
  </si>
  <si>
    <t>Three radiographs of the abdomen are provided. No peritoneal or retroperitoneal effusion. The liver is prominent with smooth margins. Normal-sized kidneys and spleen. The gastrointestinal tract is minimally filled. No radiopaque gastrointestinal foreign material. Metal opaque hemoclips had previous oophorectomy site. No radiopaque cystic calculi. Degenerative change in the mid lumbar spine is likely incidental. Normal caudal thorax.</t>
  </si>
  <si>
    <t>Prominent liver, a nonspecific finding that may be steroid or other hepatopathy, acute inflammation, or neoplasia. This should be correlated with history and blood work. Otherwise normal abdomen. A reason for  vomiting is not identified. Gastroenteritis is suspected. There is no evidence of an obstructive process.</t>
  </si>
  <si>
    <t>If the patient does not improve with supportive care, strictly fasting abdominal ultrasound would be recommended.</t>
  </si>
  <si>
    <t xml:space="preserve">
1.The liver is normal._x000D_
2.On the VD projection, an increase in soft tissue opacity is noted in the left lateral abdomen. This is attributed to superimposition of the spleen and left kidney. The spleen appears normal on the lateral projection making splenomegaly a secondary consideration._x000D_
3.Serosal detail in the cranial abdomen is mildly decreased on the lateral projection._x000D_
4.A minimal quantity of soft tissue dense ingesta is visible in the stomach and there is mild prominence to the gastric rugae._x000D_
5.The small bowel is diffusely gas- and fluid-filled but without segmental bowel dilation._x000D_
6.No intestinal plication is seen.</t>
  </si>
  <si>
    <t>There is a small quantity of soft tissue dense ingesta in the stomach. Clinical significance is probably limited but gastritis or a small quantity of gastric foreign material cannot be excluded. This finding needs to be correlated with clinical signs. If vomiting is present, gastroenteritis is most likely. Gastric foreign material is a lesser consideration. Pancreatitis should also be ruled out given the decreased cranial abdominal on the lateral projection. Increased soft tissue opacity in the left mid-abdomen on the VD projection. Likely due to superimposition of the spleen and left kidney. Splenomegaly is a lesser consideration.</t>
  </si>
  <si>
    <t xml:space="preserve">
Virtual Radiologist Case Difficulty: MODERATE_x000D_
Virtual Radiologist Confidence: MODERATE_x000D_
If clinically warranted, CBC, serum chemistry including pancreatic specific lipase, and urinalysis is recommended._x000D_
Infectious enteritides should be ruled out if clinically indicated._x000D_
Symptomatic therapy and supportive care for gastroenteritis/pancreatitis is recommended.</t>
  </si>
  <si>
    <t>Four orthogonal radiographs of the abdomen dated 24th September 2024 are available for review. There are no previous radiographs available for comparison. _x000D_
_x000D_
Intra-abdominal findings: The stomach is mainly empty with a normal axis. There is appropriate gas in the left lateral image in the pyloric region. The duodenum is mild to moderately gas dilated. The small intestines are variably filled with gas, fluid and soft tissue opaque material. In the caudal aspect of the abdomen there is a dilated viscus with granular heterogenous faeces like material. The ascending colon is filled with semiformed faeces. The descending colon is mainly empty. The serosal detail is normal. The hepatic silhouette is normal in size with smooth borders. The spleen is normal in shape, size and position. The kidneys are partially obscured by gastrointestinal contents, but the visible aspect are normal. The urinary bladder is filled._x000D_
_x000D_
Extra-abdominal findings: No significant abnormalities are detected._x000D_
_x000D_
Included thorax: No significant abnormalities are detected.</t>
  </si>
  <si>
    <t>The distended viscus in the caudal ventral aspect of the abdomen is atypical, and may represent a distended ileum or ascending colon. A displaced descending colon is unlikely. This may be due to a partial ileal or caecal or transverse colon obstruction by non-radiopaque foreign material. Adhesion formation is considered less likely. Post-operative ileus is considered unlikely. A mineral opaque foreign body is not seen.</t>
  </si>
  <si>
    <t>Supportive management including rehydration, gastroprotectants,  full blood work if clinically indicated is advised, if not already performed. Repeat 3-view post fasting radiographs depending on clinical progression or consider an abdominal ultrasound.</t>
  </si>
  <si>
    <t>Study:_x000D_
Thoracic radiography: four images dated September 24, 2024_x000D_
_x000D_
Findings:_x000D_
The cardiac is normal in size and shape. The pulmonary vasculature is normal in size. There is a large (approximately 6 cm) lobulated soft tissue opaque mass in the left caudal lung lobe. There is a smaller 2.2 cm soft tissue opaque mass partially superimposed with the apex of the heart on both lateral projections. This appears to correspond to a mass superimposed with the cardiac silhouette in the caudal segment of the left cranial lung lobe on the orthogonal view. The pleural space is normal. There is no intrathoracic lymphadenopathy. The ventral tracheal wall is mildly undulating on the right lateral projection. The stomach contains a small volume of gas. The small intestines are normal in size, course and content. The colon contains formed fecal material. The liver and spleen are normal in size and margin. The renal silhouettes are normal in size and contour. Both kidneys contain multiple small mineral opacities. There is a mineral opacity in the retroperitoneal space ventral to L3 on the lateral projections. This finding is not clearly visualized on the orthogonal view. There is a 0.2 cm mineral opacity in the trigonal region the urinary bladder. There is narrowing of the L1-L2 and L5-L6 intervertebral disc spaces with mild spondylosis deformans._x000D_
_x000D_
A human digit is present in the primary beam on the right lateral view.</t>
  </si>
  <si>
    <t>1. Left caudal lung lobe mass. Primary pulmonary neoplasia (e.g. carcinoma) is prioritized. A granuloma cannot be completely excluded. Consider computed tomography of the thorax, abdominal sonography to evaluate for any evidence of intra-abdominal neoplasia plus/minus regionally/travel appropriate fungal serology testing for further evaluation._x000D_
2. The smaller mass in the caudal segment of the left cranial lung lobe may represent metastatic disease from the larger pulmonary mass or a distant site neoplasm. A granuloma cannot be completely excluded._x000D_
3. Bilateral nephrolithiasis and/or nephrocalcinosis. The indistinct mineral opacity in the retroperitoneal space ventral to L3 may represent a ureterolith. There is also a cystolith. Urinalysis and abdominal sonography can be considered for further evaluation of these findings._x000D_
4. L1-L2 and L4-L5 intervertebral disc disease.</t>
  </si>
  <si>
    <t xml:space="preserve">
1.The spleen and visualized kidneys are normal size._x000D_
2.The liver is moderately enlarged with smooth margins._x000D_
3.Serosal detail is normal._x000D_
4.Small-volume gas is present within the stomach._x000D_
5.Small intestines are diffusely moderately fluid and gas filled._x000D_
6.Formed feces is present in the distal colon.</t>
  </si>
  <si>
    <t>In the presence of GI symptoms, the appearance of the GI tract can support gastroenteritis/colitis (likely secondary to dietary indiscretion or infectious/inflammatory causes) or a small intestinal functional ileus. This is a nonspecific finding that may be due to gastroenteritis, partial obstruction, metabolic abnormality, or stress/discomfort. Moderate hepatomegaly. Etiologies can include steroid hepatopathy, endocrine (diabetes mellitus, Cushings), infectious-inflammatory (hepatitis-viral-parasitic), hemodynamic (right heart failure), and infiltrative origins (nodular hyperplasia-round cell infiltration-lymphoma-adenoma-adenocarcinoma).</t>
  </si>
  <si>
    <t xml:space="preserve">
Virtual Radiologist Case Difficulty: MODERATE_x000D_
Virtual Radiologist Confidence: MODERATE_x000D_
Ultrasound evaluation of the liver and GI tract can be performed for further evaluation._x000D_
In a vomiting or anorexic patient, supportive care and therapy for gastroenteritis/colitis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</si>
  <si>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Study:_x000D_
Thoracic and abdominal radiography: five images dated September 24, 2024_x000D_
_x000D_
Findings:_x000D_
The cardiac silhouette is normal in size and shape (VHS approximately 10.5). The pulmonary vasculature is normal in size. The pulmonary parenchyma is unremarkable. The pleural space is normal. There is no intrathoracic lymphadenopathy. There is an indistinct broad-based soft tissue opaque band superimposed with the dorsal aspect of the cervical trachea lumen on the lateral projections representing either a redundant dorsal tracheal membrane or superimposition of the esophagus. The trachea is normal in diameter. There is no esophageal dilation. The abdominal serosal detail is normal.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There is no prostatomegaly. There is mild to moderate multifocal thoracolumbar spondylosis deformans. Moderate periarticular bone formation is present at the caudodistal aspect of the femoral head and infraglenoid process of the scapula bilaterally. Mild periarticular bone formation is present at the cranioproximal aspect of the left radial head. The patient is of overweight body condition. There is a small lipomatous mass in the subcutaneous tissues of the cranioventral abdomen.</t>
  </si>
  <si>
    <t>1. Normal thorax. There is no radiographic evidence of heart disease. Consider echocardiography for further evaluation of the reported heart murmur._x000D_
2. Unremarkable abdomen._x000D_
3. Moderate bilateral shoulder and mild left elbow osteoarthrosis.</t>
  </si>
  <si>
    <t xml:space="preserve">
1.No abnormal AI findings reported._x000D_
2.The liver and spleen are normal size and shape._x000D_
3.Serosal detail caudal to the stomach is mildly decreased on the lateral projection._x000D_
4.The stomach contains small-volume gas._x000D_
5.Small intestines are mildly filled with fluid and scant gas._x000D_
6.The colon is minimally filled.</t>
  </si>
  <si>
    <t>If no GI signs are present, these AI findings are consistent with a normal post-prandial GI tract. If GI signs are present, rule out low grade gastroenteritis/pancreatitis. No small bowel obstruction is noted.</t>
  </si>
  <si>
    <t xml:space="preserve">
Virtual Radiologist Case Difficulty: MODERATE_x000D_
Virtual Radiologist Confidence: MODERATE_x000D_
If GI signs are present, empirical therapy for potential gastroenteritis and/or pancreatitis. A CBC, blood chemistry profile, pancreatic testing and abdominal ultrasound should also be considered.</t>
  </si>
  <si>
    <t>6 views of the thorax and abdomen are submitted for review._x000D_
In the abdomen, there is generalized decreased serosal detail.  A large ill-defined mass effect is noted in the cranial abdomen.  The small bowel contains a mild amount of gas.  Formed stool is noted in the colon.  The unobscured margins of the renal silhouettes and urinary bladder are normal.  The head of the spleen appears normal in size and shape on the VD view._x000D_
In the thorax, the cardiac silhouette and pulmonary vasculature are within normal limits.  A medium sized soft tissue opacity nodule is noted in the dorsal thorax on the lateral views.  There is ill-defined increased opacity in the cranial mediastinal region on the lateral views and widening of the cranial mediastinum on the VD view.  No pleural effusion is noted.  The trachea is normal._x000D_
No aggressive bony changes are seen.</t>
  </si>
  <si>
    <t>Large mass effect in the cranial abdomen with moderate peritoneal effusion.  Differentials include neoplasia arising from the spleen or liver or possibly the GI tract.  The peritoneal effusion could be associated with inflammation, hemorrhage, or other paraneoplastic effusion._x000D_
The nodule in the cranial thorax is consistent with pulmonary metastatic disease.  There is also suspicion for cranial mediastinal lymphadenopathy which would also be concerning for metastatic disease.</t>
  </si>
  <si>
    <t>An abdominal ultrasound and ultrasound of the cranial mediastinal region is recommended for further evaluation.</t>
  </si>
  <si>
    <t xml:space="preserve">
1.The liver is enlarged._x000D_
2.The spleen is mildly enlarged with a focal bulge in the splenic capsular margin._x000D_
3.Within the abdomen, there is reduced abdominal serosal detail._x000D_
4.There is a oval soft tissue opaque mass lesion noted within the mid abdomen._x000D_
5.The gastrointestinal tract is within normal limits.</t>
  </si>
  <si>
    <t>There is an abdominal mass within the mid abdomen. The exact organ of origin is unknown but this may represent a lesion within the spleen, lymph node, gastrointestinal tract, or mesentery. Neoplasia is most likely with secondary consideration given to a granuloma, abscess or cyst. There is a bulge in the splenic margin which could represent metastatic neoplasia, a disseminated neoplastic process such as lymphoma, or a small hematoma or nodular hyperplasia. There is also hepatomegaly which could also be due to an infiltrative neoplastic process or metastatic neoplasia, vacuolar change, or inflammation. These concurrent changes along with the abnormalities within the abdomen would be highly suspect for disseminated neoplastic process such as lymphoma or malignant histiocytosis.</t>
  </si>
  <si>
    <t xml:space="preserve">
Abdominal ultrasound with possible fine-needle aspiration for cytology would be recommended._x000D_
Coagulation profile, platelet count and PCV prior to abdominocentesis and/or tissue sampling._x000D_
Three view thoracic radiographs after confirmation of an abdominal mass._x000D_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</si>
  <si>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thorax and three views of the abdomen are provided. The cardiac silhouette and pulmonary vessels are normal size and shape. The lungs are clear. No esophageal dilation. The trachea is normal diameter._x000D_
_x000D_
In the abdomen the prostate is moderately enlarged consistent with the reproductive status of this patient. There is no effusion. Small volume gas in the stomach. Small and large bowel are minimally filled. There is faint stippled mineral density in the cranial abdomen on the lateral views, likely located in the proximal colon. No severe intestinal distention. Normal-sized liver, spleen. The kidneys are incompletely visible. No osseous abnormalities.</t>
  </si>
  <si>
    <t>Stippled mineral density in the cranial abdomen is most likely feces in the proximal colon. Foreign material in small bowel causing partial obstruction is not definitively ruled out. There is no severe intestinal distention to suggest complete obstruction. The thorax is normal.</t>
  </si>
  <si>
    <t>If the patient does not improve with supportive care, consider either an upper GI series or strictly fasted abdominal ultrasound.</t>
  </si>
  <si>
    <t xml:space="preserve">
1.Liver size, shape and margin are normal._x000D_
2.Splenic size, shape and margin are normal._x000D_
3.Abdominal detail is normal._x000D_
4.Gas containing stomach with segmental gas distension involving bowel loops.</t>
  </si>
  <si>
    <t>Four radiographs of the abdomen are provided. Radiographs dated 8/24/23 are available for comparison. There is no abdominal effusion. The urinary bladder is minimally distended and soft tissue opaque. There are no abnormalities along the plane of the urethra or in the region of the medial iliac lymph nodes. Renal size, shape, opacity is normal. There is no effusion. The gastrointestinal tract is minimally filled. Normal-sized liver and spleen. Normal caudal thorax.</t>
  </si>
  <si>
    <t>Normal abdomen. There is no radiopaque urolithiasis.</t>
  </si>
  <si>
    <t>If further evaluation of the urinary tract is desired, ultrasound would be recommended.</t>
  </si>
  <si>
    <t xml:space="preserve">
1.No abnormal AI findings reported._x000D_
2.Liver and spleen appear within normal limits._x000D_
3.Peritoneal detail is normal._x000D_
4.Small-to-moderate volume ingesta in the stomach._x000D_
5.Small intestines and colon are minimally filled without compelling evidence for obstruction.</t>
  </si>
  <si>
    <t xml:space="preserve">
Virtual Radiologist Case Difficulty: LOW_x000D_
Virtual Radiologist Confidence: HIGH_x000D_
If gastric foreign material is clinically suspected, withhold food for 12-15 hours (access to water or IV fluid therapy should be supplied) followed by repeat abdominal radiographs to reassess gastric contents. If gastric contents persist, gastric foreign material becomes more concerning and further evaluation via ultrasound or positive contrast gastrogram may be warranted.</t>
  </si>
  <si>
    <t>Three orthogonal thoracic radiographs dated 24th September 2024 are available for review. There are no previous radiographs available for comparison. _x000D_
_x000D_
Airway findings: The cervical and thoracic trachea have a normal size, outline and position. The carina, tracheal bifurcation and mainstem bronchi are normal. Caudal dorsal to the tracheal bifurcation there is a large smoothly marginated spherical soft tissue opacity. Surrounding spherical soft tissue opacity there is interstitial opacification. There is likely some compression of one of the mainstem bronchi. The remainder of the lung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 The soft tissue opacity may be mediastinal._x000D_
_x000D_
Musculoskeletal findings: No significant abnormalities are detected._x000D_
_x000D_
Included abdomen: No significant abnormalities are detected.</t>
  </si>
  <si>
    <t>1. Differentials include severe tracheobronchial lymphadomegaly (consider primary or metastatic lymphoma, other metastatic disease, less likely reactive lymphadomegaly). Left atrial dilation is considered highly unlikely. A primary bronchial adenocarcinoma is possible. The coughing is most likely secondary to bronchial compression.</t>
  </si>
  <si>
    <t>Complete bloodwork, thoracic CT or ultrasound with aspirates if a peripheral lesion identified, and abdominal ultrasound are recommended for further staging.</t>
  </si>
  <si>
    <t xml:space="preserve">
1.Liver size, shape and margin are normal._x000D_
2.Splenic size, shape and margin are normal._x000D_
3.Abdominal detail is normal._x000D_
4.Small small-volume amorphous soft tissue opacity is present within the stomach. The small bowel is diffusely gas- and fluid-filled without segmental small bowel dilation.</t>
  </si>
  <si>
    <t>The AI result for this case is most compelling for: Normal liver, spleen, GI tract and abdominal detail. Gastric findings likely represent residual ingesta. However, with appropriate clinical symptoms findings could be seen with gastritis.</t>
  </si>
  <si>
    <t>5 images of the thorax and abdomen dated 9/20 and 9/24/2024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on current images, overall improved from previous images.  The small intestines are normal in size.  Gas and feces are present in the colon.  The urinary bladder is small.  The remaining abdominal organs are normal.  A linear metallic structure is seen within the peritoneum consistent with a migrating foreign body.  There is spondylosis deformans of the caudal thoracic spine.  Mineral opaque intervertebral discs are seen in situ at T10-12 and L1-2.</t>
  </si>
  <si>
    <t>Incidental migrating wire foreign body.  Otherwise, radiographically normal abdomen.  Radiographically normal thorax for patient of this age.  Intervertebral disc disease at multiple sites.</t>
  </si>
  <si>
    <t>Orthogonal views of the abdomen are provided:_x000D_
_x000D_
Abdomen:_x000D_
_x000D_
The stomach is empty._x000D_
Some of the small intestines are more distended than expected reaching more than 2.4 times the center of L5. No radiopaque foreign bodies are observed, however this change is concerning for an early or partial obstruction._x000D_
Serosal detail is preserved._x000D_
Liver and spleen are within normal limits of size and smoothly marginated._x000D_
Kidneys and urinary bladder WNL.</t>
  </si>
  <si>
    <t>1) Given the small intestinal changes concerning for an early or partial obstruction, an abdominal US should be performed.</t>
  </si>
  <si>
    <t>Abdominal US to better visualize the small intestines and its contents.</t>
  </si>
  <si>
    <t>Patient Name : Rocio Garcia, Date of study: Sep 23, 2024
3 images are provided for review
There are no previous radiographs for comparison.  Mild overexposure partially limits evaluation of soft tissues, which are slightly saturated.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Tubular to lobular soft tissue is in the left caudal abdomen in the ventrodorsal image.  This is superimposed over the caudal abdomen in the right lateral image, and is suspected to be between the colon and urinary bladder.
Peritoneum: Peritoneal detail is adequate.
Gastrointestinal tract: The stomach contains a moderate volume of gas.   The stomach is within normal limits for size.
The small intestine contains minimal gas and fluid or is empty with a subjectively uniform population for size. 
The colon contains moderate well-defined admixed soft tissue material and gas.  The colon is within normal limits for size.  
Musculoskeletal: The inguinal soft tissues are mildly heterogeneous with small mineral foci and suspected fluid superimposed over this region.  There are multiple prominent nippldes.  The remaining  included musculoskeletal structures are normal.</t>
  </si>
  <si>
    <t>1. Suspected left caudal abdominal uterine horn enlargement, or less likely other.
- If present, consider early/evolving pyometra versus early pregnancy or unlikely other.
2. Inguinal soft tissue changes such as from foreign material (small mineral foci) versus recent trauma, or a combination of these.
3. Prominent nipples due to intact patient status.</t>
  </si>
  <si>
    <t>For possible inguinal soft tissue changes, consider cross-sectional imaging for further evaluation of small mineral foci acting as a nidus of infection, especially if signs fail to fully resolve or reoccur after cessation of medical therapy.  Surgeon consultation, en bloc resection of persistent mineral material/nidus of infection may ultimately be necessary.
Consider routine blood work and abdominal ultrasonography/computed tomography for further evaluation of the uterus and left caudal abdomen, especially if clinical signs attributable to pyometra manifest.  Ovariohysterectomy may be beneficial depending on results.  Monitoring as directed or sooner if clinical signs acutely change, fail to improve or worsen.</t>
  </si>
  <si>
    <t xml:space="preserve">
1.The stomach is normal. The small bowel is diffusely gas- and fluid-filled without segmental small bowel dilation._x000D_
2.Liver size, shape and margin are normal._x000D_
3.Splenic size, shape and margin are normal._x000D_
4.Abdominal detail is normal.</t>
  </si>
  <si>
    <t>Study:_x000D_
Abdominal radiography: three images dated September 23, 2024_x000D_
_x000D_
Findings:_x000D_
The stomach contains gas with the pylorus appropriately gas-filled on the left lateral image. There is a smoothly marginated fragmented gas pattern in the descending duodenum on the VD view. The small intestines are normal in size and course. The colon contains formed fecal material with with a normal diameter. The liver extends mildly beyond the costal arch with with margins. Numerous mineral opacities measuring up to 0.7 cm are clustered in the region of the gallbladder. The spleen is normal in size and margin. The renal silhouettes are normal in size and contour. The urinary bladder is not clearly visualized and is likely small/empty. There is narrowing of the T 11-T 12 and L1-L2 through L4-L5 intervertebral disc spaces. There is mild to moderate multifocal lumbar spondylosis deformans. The patella is medially luxated bilaterally.</t>
  </si>
  <si>
    <t>1. The smoothly marginated fragmented gas pattern seen in the descending duodenum on the VD view may indicate duodenitis. There is no radiographic evidence of gastrointestinal foreign material or small intestinal mechanical obstruction. Abdominal sonography can be considered for further evaluation if clinical signs persist or worsen in spite of medical management._x000D_
2. Cholelithiasis._x000D_
3. The generalized hepatomegaly is nonspecific. Rule out metabolic/vacuolar hepatopathy, hyperplasia, hepatitis or infiltrative neoplasia. Sonography can be considered for further evaluation._x000D_
4. Multifocal intervertebral disc disease._x000D_
5. Bilateral medial luxating patella.</t>
  </si>
  <si>
    <t xml:space="preserve">
1.Abdominal detail is within normal limits._x000D_
2.The liver is mildly enlarged._x000D_
3.Splenic size, shape and margin are normal._x000D_
4.The stomach is mildly gas and fluid filled with some soft tissue density material. The small bowel is gas and fluid-containing. No findings to indicate obstruction.</t>
  </si>
  <si>
    <t>Mild to moderate hepatomegaly. This is a nonspecific finding that may be due to steroid or endocrine hepatopathy. Less likely considerations include infiltrative neoplasia, or acute inflammation. The appearance of the stomach is likely related to normal ingesta in the absence of GI symptoms. However, if GI symptoms are present, gastroenteritis/pancreatitis secondary to dietary indiscretion or infectious etiology could be considered.</t>
  </si>
  <si>
    <t xml:space="preserve">
Virtual Radiologist Case Difficulty: MODERATE_x000D_
Virtual Radiologist Confidence: MODERATE_x000D_
If of clinical concern, hepatomegaly may be evaluated with blood work, and an abdominal ultrasound._x000D_
If GI signs are present, supportive and symptomatic therapy for gastroenteritis/pancreatitis can be considered. Repeat radiographs to assess for passage of gastric contents or obstruction, and abdominal ultrasound could be performed for further evaluation.</t>
  </si>
  <si>
    <t>Patient Name : Frosting Chavez, Date of study: Sep 23, 2024
2 images are provided for review
Canine Abdomen (2 Images) - 1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mild to moderate volume of gas.  Gastric rugal folds are prominent. The stomach is within normal limits for size.
The small intestine contains minimal gas and mild fluid or soft tissue material, or is empty with a subjectively uniform population for size. 
The colon contains mild gas.  The colon is within normal limits for size.  
Musculoskeletal: The included musculoskeletal structures are normal.</t>
  </si>
  <si>
    <t>1. Prominent gastric rugal folds such as from non-specific gastritis versus variation of normal.
2. Non-specific small intestine and colon appearance such as from enterocolitis or recent bowel movement/variation of normal.
- There is no current evidence of gastrointestinal mechanical ileus.
- Differential diagnoses include dietary indiscretion, toxin ingestion, diet/antibiotic responsive disease, inflammatory bowel disease, pancreatitis, occult systemic disease or unlikely other.</t>
  </si>
  <si>
    <t>Consider GI panel, fecal analysis/deworming, and routine blood work for further evaluation.  Empirical therapy and supportive care in the interim as needed for suspected dietary indiscretion and gastroenteritis in the interim.  Abdominal ultrasonography may be contributory for further evaluation. Monitoring as directed or sooner if clinical signs acutely change, fail to improve or worsen.</t>
  </si>
  <si>
    <t xml:space="preserve">
1.Small intestines are minimally filled._x000D_
2.Serosal detail is normal with no evidence of effusion._x000D_
3.Small-volume gas is present within the stomach and cecum._x000D_
4.The liver and spleen are normal size._x000D_
5.No abnormal AI findings reported.</t>
  </si>
  <si>
    <t>The AI result for this case is most compelling for: Radiographically normal liver, spleen, GI tract and abdominal detail. There is no convincing evidence of an obstructive process. The appearance of the stomach is likely related to normal ingesta in the ABSENCE of GI symptoms. However, if GI symptoms are PRESENT, gastroenteritis secondary to dietary indiscretion or infectious etiology could be considered.</t>
  </si>
  <si>
    <t xml:space="preserve">
Virtual Radiologist Case Difficulty: MODERATE_x000D_
Virtual Radiologist Confidence: MODERATE_x000D_
In a vomiting or anorexic patient, supportive care and therapy for gastroenteritis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</si>
  <si>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Patient Name : Luna Cantu, Date of study: Sep 23, 2024
7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admixed soft tissue material.  Mild small metal foci are admixed with gastric content.  Soft tissue material and mineral/metal content are in the pylorus in the left lateral and ventrodorsal images.   The stomach is within normal limits for size.
The small intestine contains minimal gas and mild fluid or is empty with a subjectively uniform population for size. 
The colon contains mild admixed soft tissue material and gas.  Mild mineral/metal material ias admixed with colon content.  The colon is within normal limits for size.  
Musculoskeletal: L3-4 and L4-5 spondylosis deformans is present.  The remaining included musculoskeletal structures are normal.</t>
  </si>
  <si>
    <t>1. Persistent pyloric material due to pyloric outflow tract obstruction versus gastritis/delayed gastric emptying.
2. Non-specific small intestinal appearance such as from enteritis, individual variation of normal.
- There is no current evidence of small intestinal mechanical ileus.
- Differential diagnoses include dietary indiscretion, versus other.
3. Minimal colonic mineral/metal material due to dietary indiscretion and passage of foreign material, with/without colitis.</t>
  </si>
  <si>
    <t>Empirical therapy for gastritis/enteritis and dietary indiscretion in the interim as needed.  Consider repeat abdominal radiographs after 8-12 hours of fasting and empirical therapy to monitor for passage of gastric material.  If gastric content is persistent, consider gastroscopy for further evaluation/retrieval of foreign material as needed.  Consider GI panel, fecal analysis/empirical deworming if not recently performed.  Consider abdominal ultrasonography if clinical signs fail to improve or worsen and repeat radiographs are inconclusive.</t>
  </si>
  <si>
    <t xml:space="preserve">
1.The spleen is smoothly margined and at the upper limits of normal for size to mildly enlarged on the lateral projection._x000D_
2.Serosal detail is normal._x000D_
3.The stomach is unremarkable._x000D_
4.The small intestines contain gas and fluid and are normal in diameter._x000D_
5.The colon is unremarkable._x000D_
6.The liver is normal in size with smooth serosal margins.</t>
  </si>
  <si>
    <t>Splenic size at the upper limits of normal to mildly enlarged. Splenic appearance is most suggestive of normal for breed (Shepherd), sedation, extramedullary hematopoiesis or lymphoid hyperplasia.</t>
  </si>
  <si>
    <t xml:space="preserve">
Virtual Radiologist Case Difficulty: MODERATE_x000D_
Virtual Radiologist Confidence: MODERATE_x000D_
Depending on clinical signs and blood work, further evaluation of the spleen may be warranted._x000D_
A CBC could be beneficial if this is not a Shepherd breed and the splenomegaly is an unexpected finding, along with unexplained illness._x000D_
Abdominal ultrasound and tick titers could also be considered to further assess the spleen if clinically warranted or there is an unexplained CBC abnormality.</t>
  </si>
  <si>
    <t xml:space="preserve">Patient Name : Marley Rodriguez, Date of study: Sep 23, 2024
7 images are provided for review
There are no previous radiographs for comparison.
Bones/Joints:
The coxofemoral joints have no obvious osteoarthrosis.  There is adequate coverage of the femoral heads by the acetabulums.
The left stifle has no evidence of osteoarthrosis.  The left infrapatellar fat pad is well-defined.
The included left tarsus is normal.
The right stifle has no evidence of osteoarthrosis.  The left infrapatellar fat pad is well-defined.
The included right tarsus is normal.  
The included portion of the lumbar spine is normal.
There is no evidence of medullary sclerosis, osteolysis, endosteal scalloping, or periosteal proliferation.
Soft tissues:  The right thigh soft tissues are suspiciously slightly small compared to the left.  The remaining included soft tissues are normal.
</t>
  </si>
  <si>
    <t xml:space="preserve">1. Suspicious for right thigh disuse muscle atrophy or unlikely other, versus artifact from positioning/technique.
2. No obvious left or right stifle osteoarthrosis.
3. Normal coxofemoral joints.
</t>
  </si>
  <si>
    <t>Etiology of the reported right-sided clinical signs are not definitively identified.  An occult soft tissue strain/sprain injury (such as the iliopsoas muscle) is considered given reported history.  Consider orthopedist consultation MRI and/or ultrasonography for further evaluation of the iliopsoas muscle. Empirical therapy and supportive care as needed in the interim.  Monitoring as directed or sooner if clinical signs acutely change, fail to improve or worsen.</t>
  </si>
  <si>
    <t xml:space="preserve">
1.The entire liver or a portion of the liver is at the lower limits of  normal for size to slightly small._x000D_
2.Splenic size, shape and margin are normal._x000D_
3.Detail in the abdomen is adequate._x000D_
4.The stomach is distended with gas, fluid and some granular luminal material._x000D_
5.The small intestinal track is mostly fluid filled and mildly dilated._x000D_
6.There is soft appearing fecal material within the colon.</t>
  </si>
  <si>
    <t>Liver size at the lower limits of normal to mild microhepatia. Ddx: Normal for breed vs. microvascular dysplasia. In an older dog, a component of hepatic cirrhosis secondary to chronic liver disease is a consideration. No abdominal fluid is noted at this time. Changes in the G.I. track are suggestive of gastroenteritis.</t>
  </si>
  <si>
    <t xml:space="preserve">
If abnormal liver values are present or there is clinical suspicion of hepatopathy, pre- and post-prandial bile acids testing should be considered._x000D_
Blood work and abdominal ultrasound as clinically warranted. Empirical therapy for gastritis/gastroenteritis as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</si>
  <si>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Kiwi  Garcia, Date of study: Sep 23, 2024
7 images are provided for review
There are no previous radiographs for comparison.
Pulmonary parenchyma: A minimal to mild diffuse bronchial and interstitial pattern is present.
Pulmonary vasculature: The pulmonary vasculature is subjectively normal in size and tapers in the periphery of the lungs.
Cardiac silhouette: The cardiac silhouette has a slightly flat caudodorsal margin.
Mediastinum: The cranial mediastinum is normal.
Trachea: The trachea is normal.
Esophagus: The esophagus is not well-identified.
Pleural space: The pleural space is normal.
Musculoskeletal: The included musculoskeletal structures are normal.</t>
  </si>
  <si>
    <t>1. Equivocal left atrial enlargement or less likely given reported murmur, artifact from phase of the cardiopulmonary cycle/patient positioning. 
- Consider evolving myxomatous mitral valvular disease and insufficiency, or less likely other.
- There is no current evidence of left-sided congestive heart failure.
2. Mild diffuse bronchial and interstitial pulmonary patterns.
- Differential diagnoses include fibrosis from prior disease, age-related changes, infectious/immune-mediated lower airway disease, inhaled allergen/irritant, or unlikely other.</t>
  </si>
  <si>
    <t>Consider echocardiography, eCg and blood pressure, especially given reported murmur.  Consider respiratory PCR panel, airway sampling, and fecal analysis/deworming for further evaluation of coughing.  Empirical therapy and supportive care in the interim as needed.    Monitoring as directed or sooner if clinical signs acutely change, fail to improve or worsen.</t>
  </si>
  <si>
    <t xml:space="preserve">
1.The liver is prominent with smooth margins._x000D_
2.No abnormal AI findings reported._x000D_
3.The spleen is within normal limits for size._x000D_
4.The stomach and small bowel are minimally filled. No signs of obstruction.</t>
  </si>
  <si>
    <t>Patient Name : Bonnie Ramirez-Garcia, Date of study: Sep 23, 2024
7 images are provided for review
There are no previous radiographs for comparison.
Pulmonary parenchyma: A minimal diffuse bronchial pattern is present.  A ventral extra-thoracic nodule superimposes over the left caudal thorax in the ventrodorsal image.
Pulmonary vasculature: The pulmonary vasculature is subjectively normal in size and tapers in the periphery of the lungs.
Cardiac silhouette: The cardiac silhouette is  tall and occupies 2/3 the height of the thorax.  The trachea is dorsally displaced.  The caudodorsal margin of the cardiac silhouette is flattened.  Rounded increased soft tissue is in the region of the left atrium in the ventrodorsal image.  
Mediastinum: The cranial mediastinum is normal.
Trachea: The trachea is normal.
Esophagus: The esophagus is not well-identified.
Pleural space: The pleural space is normal.
Musculoskeletal: The included musculoskeletal structures are normal.</t>
  </si>
  <si>
    <t>1. Mild left-sided cardiomegaly such as from myxomatous mitral valvular disease and insufficiency.
- No current evidence of left-sided congestive heart failure.  
2. Minimal diffuse bronchial pulmonary pattern due to infectious/immune-mediated lower airway disease (such as from bordetella spp., mycoplasma spp., or parasitism such as lung worms), or less likely other.</t>
  </si>
  <si>
    <t>Echocardiography, eCG and blood pressure for further evaluation.  Consider routine blood work, and urinalysis for further evaluation if not recently performed.  Monitoring as directed, or sooner if clinical signs acutely change, fail to improve or worsen.</t>
  </si>
  <si>
    <t>Patient Name : green rosie, Date of study: Sep 23, 2024
4 images of the caudal thorax and abdomen are provided for review
There are no previous radiographs for comparison.
Abdomen:
Liver: Normal
Spleen: Normal
Kidneys and urinary bladder: Normal
GI: The stomach is moderately distended with gas and faint soft tissue opacities concerning for gastric foreign material. The gastric rugae are prominent. On one of the VD projections, the proximal portion of the descending duodenum is mildly distended with gas and fluid. At the level of the right 12th intercostal space, a soft tissue opaque structure with a lucent margin appears to reside within the descending duodenum. On the right lateral projection, segmental small bowel dilation is present in the caudal abdomen with a max:min diameter of &gt; 2:1. On the left lateral projection, a combination of segmental small bowel dilation and mineral dense material is present in the small bowel and large bowel. 
Abdominal detail: Mid-abdominal detail is decreased on the lateral projections. Several lucent regions are noted cranioventral to the urinary bladder on both lateral projections that cannot be definitively localized to within the bowel lumen. 
Caudal thorax: Normal
Msk: Normal</t>
  </si>
  <si>
    <t xml:space="preserve">1) Gastric foreign material.
2) Segmental small bowel dilation in the caudal abdomen with a max:min diameter of &gt; 2:1. Ddx: mechanical obstruction vs. slow moving or partial obstruction.
3) Decreased mid-abdominal detail concerning for regional inflammation and/or mesenteric inflammation and/or small volume abdominal fluid. Potential focal free abdominal air on the lateral projections associated with the suspected intestinal foreign body. </t>
  </si>
  <si>
    <t xml:space="preserve">Abdominal ultrasound to confirm the suspicion of a mechanical obstruction with gastric foreign material vs. iodinated contrast upper GI series vs. exploratory laparotomy. </t>
  </si>
  <si>
    <t>Seth Wallack</t>
  </si>
  <si>
    <t>Study:_x000D_
Thoracic and abdominal radiography: six images dated September 23, 2024_x000D_
_x000D_
Compared to prior study dated April 15, 2024_x000D_
_x000D_
Findings:_x000D_
There is progressive, now severe, cardiomegaly characterized by biventricular, left auricular and left atrial enlargement. The pulmonary vasculature is normal in size. On the lateral projections, there is a mild perihilar and caudodorsal unstructured interstitial pulmonary pattern. The pleural space is normal. There is no intrathoracic lymphadenopathy. The trachea is normal in diameter. The stomach contains unstructured heterogeneous soft tissue material presumed to be ingesta. The small intestines are normal in size, course and content. The colon contains formed fecal material. The hepatomegaly is similar to the prior examination. The spleen is normal in size and margin. The renal silhouette is normal in size and shape. The urinary bladder is normal in size and opacity. As previously noted, the C7, T 13 and L7 vertebrae are transitional. There is mild L1-L2 and severe L7-S1 spondylosis deformans. The severe left elbow periarticular new bone formation is unchanged from before. The multiple lipomatous masses along the ventrum are unchanged in size from before.</t>
  </si>
  <si>
    <t>1. Progressive biventricular cardiomegaly, suspect both mitral and tricuspid valve disease, with likely decompensated congestive heart failure/cardiogenic pulmonary edema. Recommend echocardiography for further evaluation. Diuretic therapy with repeat radiography to monitor for response to treatment should be considered in the interim._x000D_
2. Static mild nonspecific hepatomegaly. Rule out metabolic/vacuolar hepatopathy, hyperplasia, hepatitis or infiltrative neoplasia. Sonography can be considered for further evaluation._x000D_
3. Static severe left elbow osteoarthrosis.</t>
  </si>
  <si>
    <t xml:space="preserve">
1.The spleen is within normal limits for size._x000D_
2.The liver is prominent with smooth margins._x000D_
3.No abnormal AI findings reported._x000D_
4.The stomach and small bowel are minimally filled. No signs of obstruction.</t>
  </si>
  <si>
    <t>Study:_x000D_
Thoracic radiography: three images dated September 23, 2024_x000D_
_x000D_
The study also contains three images of the abdomen which are not interpreted at the request of the submitting clinician._x000D_
_x000D_
Findings:_x000D_
There is moderate left ventricular, moderate to severe left auricular and moderate left atrial enlargement. The pulmonary vasculature is normal in size. The pulmonary parenchyma is unremarkable. The pleural space is normal. There is no intrathoracic lymphadenopathy. The trachea is normal in diameter. The left caudal lobar bronchus appears narrowed on the left lateral projection in comparison to the right lateral view. On the thoracic images, the stomach contains unstructured heterogeneous soft tissue material presumed to be ingesta. The remainder of the included abdomen on the thoracic images is unremarkable. No skeletal abnormalities are present.</t>
  </si>
  <si>
    <t>1. Moderate left-sided cardiomegaly, indicative of mitral valve disease, without evidence of decompensation. Echocardiography should be considered for further evaluation._x000D_
2. Suspect bronchomalacia and dynamic bronchial compression/collapse. Normal diameter the trachea does not exclude the positive concurrent tracheal collapse. Fluoroscopy can be considered for further evaluation.</t>
  </si>
  <si>
    <t xml:space="preserve">Patient Name: Corn Chip Fujimoto, Date of study: Sep 23, 2024
5 images of the caudal thorax and abdomen are provided for review. 4 laterals and 1 VD. Previous radiographs of the lumbar spine, caudal abdomen and pelvic limbs dated 9/28/22 are available for comparison.
Abdomen: 
Liver: Microhepatia is present with the liver margin appearing mildly irregular on the left lateral projection but smooth on the right lateral projection. 
Spleen: The splenic tail is caudally displaced with a potential splenic nodule on the lateral projections. On the VD projection, the spleen is mildly enlarged but retains a smooth margin. 
Kidneys and urinary bladder: Both kidneys appear slightly small with mineral opacity overlying the more cranially positioned kidney on the right lateral projection time stamped 1:15:08 PM. On the left lateral projection time stamped 1:17:16 PM, mineral opacity overlies the urinary bladder and region dorsal to the urinary bladder, in the region of the uterine body, ureters and colon. 
GI: The gastric silhouette has an abnormal appearance with prominent gastric rugae and increased opacity within the gastric lumen. On the VD projection, a soft tissue opacity appears to reside in the descending duodenum with mild gas dilation of the duodenum cranial to this soft tissue opacity. On the lateral projection, the small bowel in the mid-abdomen is gas filled and has a rigid appearance. On the lateral projection time stamped 1:17:45 PM, segmental small bowel dilation is present with small bowel loops in the ventral abdomen and a max:min diameter &gt; 2. Formed feces are present in the distal colon. No overt colonic lesions are noted.
Abdominal detail:  Mid-abdominal detail is decreased on the lateral projections. 
Caudal thorax: On the right lateral projection time stamped 1:16:29 PM, a potential cavitary nodule overlies the 8th rib vs. end on thickened, bronchial wall. Fluid is present in the caudal thorax. CVC size is normal to upper limits of normal.
Msk: On the left lateral projection time stamped 1:17:16 PM, the caudal aspect of the right proximal femur has subtle periosteal irregularity. Periarticular osteophyte formation affects both hips. Mild progression to the ventral spondylosis is present in the recheck interim. No end-plate or vertebral lysis is noted. </t>
  </si>
  <si>
    <t xml:space="preserve">Pertaining to the historical diarrhea: 
1) Formed feces present in the distal colon and no overt colonic lesions.
2) Max:min diameter &gt;2 is strongly correlated with intestinal foreign body and mechanical obstruction. Functional ileus causing this disparity is considered far less likely. Material in the descending duodenum may represent additional foreign material vs. normal ingesta. Decreased mid abdominal detail with evidence of regional peritonitis in the mid-abdomen and enteritis. 
3) Appearance to the stomach is concerning for gastritis. 
Other:
4) Mineral opacities overlying the urinary bladder and region of the ureter or uterine stump. Rule out mural mineralization associated with chronic inflammation or neoplasia.
5) Periosteal irregularity along the caudal aspect of the right femur. Metastatic neoplasia from a urothelial neoplasia could be present if urinary neoplasia is identified. No overt ventral sacral irregularity is noted but should be assessed if urothelial neoplasia is identified.
6) Cavitary nodule in the caudal lung which could be present with urothelial neoplasia vs. end-on thickened bronchus.  
Suspected chronic conditions:
7) Small kidneys. Rule out a component of chronic renal disease associated with the gastritis. No free abdominal air is noted.
8) Microhepatia with a mildly irregular liver margin. Rule out chronic hepatopathy. 
9) Mild splenomegaly. DDx: extramedullary hematopoiesis vs. infiltrative neoplasia. </t>
  </si>
  <si>
    <t xml:space="preserve">Given the multiple findings, abdominal ultrasound with abdominocentesis for fluid analysis +/- cytology if a fluid pocket can be identified and safely sampled. Full bloodwork and urinalysis prior to proceeding with further diagnostics. 
Depending on abdominal ultrasound results, two or three view thoracic radiographs should be considered. 
Additional radiographs of the pelvis and proximal femurs if a lameness is present. </t>
  </si>
  <si>
    <t xml:space="preserve">
1.The liver is prominent but no liver mass is noted._x000D_
2.The spleen is mildly enlarged but retains a normal shape and smooth margins._x000D_
3.Abdominal serosal detail is satisfactory._x000D_
4.No segmental small bowel dilation is noted.</t>
  </si>
  <si>
    <t>The AI result for this case is most compelling for: Mild splenic enlargement. This is a nonspecific finding, but would typically be associated with inflammation or lymphoreticular neoplasia. If there is abnormal blood work results and/or continued concern regarding the spleen and liver, abdominal ultrasound could be considered.</t>
  </si>
  <si>
    <t>Four radiographs of the thorax are provided. The larynx is partially visible on the 2nd lateral view and no abnormalities are appreciated. The tracheal diameter and position is normal. No significant/persistent esophageal dilation. The left atrium margins are faintly visible on all views. Cardiac to thoracic ratio and pulmonary vessel size is normal. Increased opacity ventral to the heart on the right lateral view is incidental pleural fat deposition. There are no abnormalities in the pulmonary parenchyma. No pleural effusion. The cranial abdomen is unremarkable.</t>
  </si>
  <si>
    <t>Equivocal prominent left atrium, concerning for acquired mitral valve disease. In the absence of a murmur or arrhythmia, significance is doubtful. Otherwise normal thorax. A reason for the upper airway noise is not identified.</t>
  </si>
  <si>
    <t>Consider visual inspection of the oropharyngeal/laryngeal region.</t>
  </si>
  <si>
    <t>A three-view study of the abdomen is provided for interpretation._x000D_
_x000D_
The stomach is not dilated or malpositioned. Rugal folds in the gastric mucosa are mildly prominent. There is a very small quantity of amorphous soft-tissue dense content in the stomach with a slightly striated appearance. The appearance is suggestive of grass or something similar. No dilation or plication the intestine is seen. Abdominal serosal detail is normal. The other organs are within normal limits.</t>
  </si>
  <si>
    <t>The appearance of the stomach is compatible with gastritis._x000D_
Infectious causes of gastritis or that responsive gastrotomy should be ruled out._x000D_
The minimal quantity of suspected ingesta in the stomach is compatible with a small quantity of grass or something similar, although more relevant for material cannot be entirely excluded. Persistent gastric foreign material is not felt to be likely.</t>
  </si>
  <si>
    <t>Symptomatic therapy for suspected gastritis is recommended.</t>
  </si>
  <si>
    <t xml:space="preserve">
1.Serosal detail is normal._x000D_
2.The liver and spleen appear within normal limits for size._x000D_
3.No abnormal AI findings reported._x000D_
4.There is small-volume gas and soft tissue density present within the stomach._x000D_
5.Small intestines are diffusely mildly filled with gas and fluid._x000D_
6.Formed feces is present in the descending colon.</t>
  </si>
  <si>
    <t>The appearance of the stomach and bowel is likely related to normal ingesta in the ABSENCE of GI symptoms. However, if GI symptoms are PRESENT, gastroenteritis secondary to dietary indiscretion or infectious etiology could be considered. A partial obstruction or ileus could also be considered. There is no severe intestinal dilation to suggest a complete obstruction at this time.</t>
  </si>
  <si>
    <t xml:space="preserve">
Virtual Radiologist Case Difficulty: LOW_x000D_
Virtual Radiologist Confidence: HIGH_x000D_
In a vomiting or anorexic patient, supportive care and therapy for gastroenteritis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</si>
  <si>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Patient Name : Louie Caamano, Date of study: Sep 23, 2024
5 images are provided for review
There are no previous radiographs for comparison.
Cranial thorax is excluded.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included is normal.
Trachea: A soft tissue band partially superimposes over the caudal cervical trachea.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bladder/Urethra:   At least two, partially ill-defined and stellate urocystoliths are over the urinary bladder.  Ill-defined mineral is between these foci over the urinary bladder.  The urinary bladder is normal in size, and smoothly marginated.   Ill-defined mineral is possibly in the region of the penile urethra over the obturator foramen in the lateral image.
Reproductive:  The prostate gland is enlarged and well-defined with smooth margined and homogeneous soft tissue, just caudal to the urinary bladder.
Peritoneum: Peritoneal detail is adequate.
Gastrointestinal tract: The stomach contains a moderate volume of gas.  Gas is in the pylorus in the left lateral image.  The stomach is within normal limits for size.
The small intestine contains mild to moderate gas and mild fluid or is empty with a subjectively uniform population for size. 
The colon contains moderate heterogeneous admixed soft tissue material and gas.  The colon is within normal limits for size.  
Musculoskeletal: Minimal left coxofemoral joint osteoarthrosis is suspected.  The remaining included musculoskeletal structures are normal.</t>
  </si>
  <si>
    <t>1. Multiple urocystoliths and possible penile urethrolith versus artifact, with presumed underlying cystitis/urethritis
2. Prostatomegaly due to benign prostatic hyperplasia given intact patient status, and/or prostatitis.
3. Mild diffuse bronchial pulmonary pattern such as from fibrosis from prior disease, age-related changes, or unlikely infectious/immune-mediated lower airway disease, or unlikely other.
4. Non-specific gastrointestinal appearance due to normal variation or given reported history unlikely gastritis/enteritis.
5. Minimal left coxofemoral joint osteoarthrosis.</t>
  </si>
  <si>
    <t>Consider routine blood work, urinalysis and urine culture/sensitivity testing for further evaluation.  Consider repeat pelvic radiographs and/or contrast urethrography (radiographic versus computed tomography) for further evaluation of possible urethroliths versus other, and consider retropulsion if confirmed.  Ultrasonography for further evaluation of the urinary bladder and prostate gland may be contributory.  Cystotomy and urocystolith retrieval with mineral analysis for further evaluation.   Empirical therapy and supportive care in the interim as needed.  Monitoring as directed or sooner if clinical signs acutely change, fail to improve or worsen.</t>
  </si>
  <si>
    <t>Three radiographs of the thorax and three views of the abdomen are provided. The cardiac silhouette and pulmonary vessels are normal size and shape. The lungs are clear. No pleural effusion or esophageal dilation. The trachea is normal diameter._x000D_
_x000D_
In the abdomen there is small volume gas in the stomach. Normal rugal folds are faintly visible. Small intestines are diffusely minimally distended with fluid. Small volume gas in the cecum and proximal colon, with formed feces in the distal descending colon. No radiopaque foreign material or severe intestinal distention. Serosal detail is normal.</t>
  </si>
  <si>
    <t>Normal thorax and abdomen. Gastroenteritis secondary to dietary indiscretion is most likely. There is no evidence of an obstructive process. Small radiolucent gastric foreign material is not definitively ruled out.</t>
  </si>
  <si>
    <t>If the patient does not rapidly improve with supportive care, options include either a positive contrast gastrogram, or strictly fasted abdominal ultrasound (as long as there is minimal gas in the stomach at the time of imaging).</t>
  </si>
  <si>
    <t xml:space="preserve">
1.The liver and spleen are normal._x000D_
2.Abdominal detail is normal._x000D_
3.The stomach is distended._x000D_
4.The small intestinal tract is diffusely mildly distended and mostly gas-filled with some of the intestinal loops containing heterogenous material._x000D_
5.The colon and cecum are gas-filled and the colon has a rigid appearance._x000D_
6.No abnormal AI findings reported.</t>
  </si>
  <si>
    <t>If GI signs are present, consider supportive medical management for presumptive gastroenterocolitis secondary to dietary indiscretion. No definitive GI obstruction is noted at this time.</t>
  </si>
  <si>
    <t xml:space="preserve">
Blood work. If no improvement is noted, repeat radiographs or consider an abdominal ultrasound._x000D_
Empirical therapy for gastritis/gastroenteritis as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</si>
  <si>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Four radiographs of the thorax and abdomen are provided. The cardiac silhouette and pulmonary vessels are normal size and shape. No cardiac chamber enlargement. A mild bronchial pattern is present within the lungs consistent with age. No soft tissue pulmonary nodules or pleural effusion. Redundant dorsal trachealis membrane causes moderate narrowed cervical trachea on the left lateral view, of doubtful significance today. In the abdomen there is no effusion or organomegaly. The gastrointestinal tract is mildly filled. No radiopaque cystic calculi. Narrowed T13-L1 intervertebral disc space, of doubtful significance today.</t>
  </si>
  <si>
    <t>Normal thorax. There is no evidence of cardiovascular disease. A small valvular regurgitant jet can result in a relatively loud murmur. The abdomen is normal.</t>
  </si>
  <si>
    <t xml:space="preserve">
1.The small intestine is a uniform population size and is diffusely of soft tissue opacity with a small amount of gas throughout._x000D_
2.The colon contains a moderate amount of formed, heterogenous fecal material caudally._x000D_
3.The liver is moderately enlarged with sharp, caudal margins._x000D_
4.No abnormal AI findings reported._x000D_
5.The spleen is normal._x000D_
6.The gastric lumen contains a mild amount of soft tissue and gas opacity.</t>
  </si>
  <si>
    <t>Moderate hepatomegaly with sharp, caudal margins. Differential diagnoses include fat deposition, nodular regeneration, early endocrine hepatopathy, hepatitis or in an older patient, early infiltrative neoplasia, such as lymphoma. Fat deposition is considered most likely.</t>
  </si>
  <si>
    <t xml:space="preserve">
Virtual Radiologist Case Difficulty: MODERATE_x000D_
Virtual Radiologist Confidence: MODERATE_x000D_
Blood work and abdominal ultrasound to further assess the hepatomegaly.</t>
  </si>
  <si>
    <t>Four survey radiographs of the vertebral column dated 23rd September 2024 are available for review. There are no previous radiographs available for comparison._x000D_
_x000D_
Vertebral column: The cervical vertebral column is normal. The vertebral body alignment is good. No mineral opaque material is seen within, or dorsal to the intervertebral disc spaces. The intervertebral disc width is within normal limits and the vertebral endplates are smooth. The thoracic and lumbar vertebral column is also normal. The lumbosacral junction and sacroiliac joints are also normal.</t>
  </si>
  <si>
    <t>Normal vertebral column. Occult intervertebral disease such as intervertebral disk protrusion or other spinal cord pathology including embolic (FCE), high velocity disk, inflammatory or neoplastic disease or degenerative myelopathy is not excluded .</t>
  </si>
  <si>
    <t>Full neurologic examination if not already performed. If no proprioceptive deficits or patients back pain is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can be considered</t>
  </si>
  <si>
    <t>Orthogonal radiographs of the thorax/abdomen are provided. The cardiac silhouette is normal size and shape. There is soft tissue opacity with faint air bronchograms in the mid ventral left lungs. There is a thin walled round 1.0 cm lucency overlying the mid heart on the right lateral view, not definitively seen on the VD projection. Mild bronchial pattern. No pleural effusion. Adequate tracheal diameter. In the abdomen there is no effusion or organomegaly. The gastrointestinal tract is minimally filled. Osseous structures are unremarkable.</t>
  </si>
  <si>
    <t>1. Ventral alveolar pattern on the left most consistent with aspiration pneumonia. Lobar collapse/fibrosis secondary to chronic insult is given much lesser consideration at this time. Possible bulla versus focal bronchiectasis causing the round lucent structure._x000D_
2. Normal abdomen.</t>
  </si>
  <si>
    <t>Antibiotics are recommended, with follow-up radiographs upon completion (VD and both lateral views) to ensure resolution of pneumonia.</t>
  </si>
  <si>
    <t xml:space="preserve">
1.The liver and spleen are normal._x000D_
2.Abdominal detail is within normal limits._x000D_
3.The stomach is mildly gas and fluid filled with some soft tissue density material. The small bowel is gas and fluid-containing. No findings of obstruction._x000D_
4.No abnormal AI findings reported.</t>
  </si>
  <si>
    <t>A two view study of the abdomen is provided for interpretation._x000D_
_x000D_
There is a moderate quantity of soft tissue dense ingesta in the stomach in spite of the history of no appetite. The appearance of the gastric content is compatible with normal food. The stomach is not distended or malpositioned._x000D_
In the VD view there is one loop of small intestine in the right caudal abdomen that appears as if it may be mildly dilated with slightly irregular soft tissue dense content. This cannot be confirmed in the lateral view. No obstructive pattern or evidence of intestinal plication is seen. Serosal detail in the abdomen is normal. The other organs are within normal limits.</t>
  </si>
  <si>
    <t>There is one suspicious loop of intestine in the right caudal abdomen, visible in the VD view only. Clinical significance is unknown at this time, as this could represent small bowel loop with foreign material, a small bowel loop with slowly moving normal ingesta due to functional ileus, or artifact. No definitive obstructive pattern is seen._x000D_
The appearance of the content in the stomach is within normal limits._x000D_
_x000D_
Primary rule outs include gastroenteritis, pancreatitis, and small intestinal foreign material without obstruction.</t>
  </si>
  <si>
    <t>Supportive care and follow-up radiographs in 5 to 6 hours is recommended._x000D_
_x000D_
Depending on severity of clinical signs and clinical concern, follow up imaging such as an ultrasound exam or barium study could also be considered.</t>
  </si>
  <si>
    <t xml:space="preserve">
1.The liver is prominent but no liver mass is noted._x000D_
2.The spleen is mildly enlarged but retains a normal shape and smooth margins._x000D_
3.No segmental small bowel dilation is noted._x000D_
4.Abdominal serosal detail is satisfactory.</t>
  </si>
  <si>
    <t>Study:_x000D_
Thoracic and abdominal radiography: five images dated September 23, 2024_x000D_
_x000D_
Findings:_x000D_
The cardiac silhouette is normal in size and shape. The pulmonary vasculature is normal in size. The pulmonary parenchyma is unremarkable. The pleural space is normal. There is no intrathoracic lymphadenopathy. The larynx is normal. The trachea is normal in diameter. There is a small volume of fluid in the caudal esophagus on multiple lateral projections. The abdominal serosal detail is normal. The stomach contains a small volume of gas. On the VD view, there is a smoothly marginated fragmented gas pattern in some small intestinal segments. The small intestines are normal in size and course. The colon contains a small volume of gas with a normal diameter. The liver is small with associated cranial rotation of the gastric axis. The spleen is normal in size and margin. The renal silhouettes are normal in size and contour. The urinary bladder is normal in size and opacity. The osseous structures are unremarkable.</t>
  </si>
  <si>
    <t>1. There is no radiographic evidence of heart disease. Consider echocardiography for further evaluation of the reported heart murmur._x000D_
2. Fluid in the caudal esophagus may be an incidental finding may indicate gastroesophageal reflux disease and/or esophagitis. An esophagogram and and endoscopy can be considered for further evaluation._x000D_
3. The smoothly marginated fragmented gas pattern seen in the small intestines on the VD view can be an indicator of nonspecific enteritis.There is no radiographic evidence of gastrointestinal foreign material or small intestinal mechanical obstruction. Abdominal sonography can be considered for further evaluation if clinical signs persist or worsen in spite of ongoing medical management._x000D_
4. In the absence of any liver enzyme abnormalities, the microhepatia is likely an individual normal variant. A vascular anomaly or chronic hepatitis/cirrhosis cannot be completely excluded but are unlikely in the absence of any ALT elevation.</t>
  </si>
  <si>
    <t xml:space="preserve">
1.The colon is gas filled in corrugated._x000D_
2.The small intestinal track is mostly fluid filled uniform in diameter._x000D_
3.The stomach is partially distended with food material and fluid._x000D_
4.The spleen is within normal limits._x000D_
5.The liver is enlarged with rounded borders._x000D_
6.There is decreased detail in the cranial abdomen.</t>
  </si>
  <si>
    <t>Hepatomegaly. Given the additional findings, consider Cushing's disease with accompanying active pancreatitis and enterocolitis. Decreased cranial abdominal detail. DDx: regional inflammation secondary to pancreatitis or gastroenteritis vs. extension of the hepatomegaly into the cranial abdomen. There is evidence of concurrent colitis and regional enteritis.</t>
  </si>
  <si>
    <t xml:space="preserve">
Blood work, pancreatic testing and abdominal ultrasound._x000D_
Adrenal function testing if Cushing's disease is clinically suspected._x000D_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</si>
  <si>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Six orthogonal survey radiographs of the thorax and abdomen dated 23rd September 2024 are available for review. There are no previous radiographs available for comparison. These images are submitted for assessment of the abdomen._x000D_
_x000D_
Abdomen: The hepatic silhouette is normal in size with smooth borders. The spleen is normal in shape, size and position. The kidneys are partially obscured by gastrointestinal contents, but the visible aspect are normal. The stomach contains some heterogenous soft tissue opaque material and has a normal axis. Some soft issue material is present in the region of the pylorus. The duodenum is mildly filled/mildly distended in the ventrodorsal image. The small intestines are variably filled with fluid/soft tissue opaque material and some gas. The descending colon contains poorly formed faeces. The urinary bladder is filled. There is mild loss of serosal detail in the region of the falciform fat._x000D_
_x000D_
Musculoskeletal findings: No significant abnormalities are detected. The patient is overweight.</t>
  </si>
  <si>
    <t>1. Relatively unremarkable abdomen. The loss of serosal detail in the cranial aspect of the abdomen and mildly filled duodenum raises suspicion of a pancreatitis. There is no evidence for a foreign body, or segmental obstruction.</t>
  </si>
  <si>
    <t xml:space="preserve">
1.Liver size, shape and margin are normal._x000D_
2.The stomach is normal. The small bowel is diffusely gas- and fluid-filled without segmental small bowel dilation._x000D_
3.Abdominal detail is normal._x000D_
4.Splenic size, shape and margin are normal.</t>
  </si>
  <si>
    <t>Study:_x000D_
Thoracolumbar/lumbosacral spinal radiography (including the abdomen): three images dated September 23, 2024_x000D_
_x000D_
Findings:_x000D_
There is narrowing of the T 12-T 13 intervertebral disc space in comparison to the adjacent to spaces on both lateral projections. There is in situ mineralization of the T 10-T 11 intervertebral disc. The remainder the spine is unremarkable. There is no evidence of discospondylitis. There are no vertebral fractures or luxations. The coxofemoral joints are normal with good coverage of the femoral head by the acetabulum bilaterally. The stomach contains recently ingested food. Some small intestinal segments contain granular soft tissue material presumed to be ingesta. The small intestines are normal in size and course. The colon contains formed fecal material. The liver and spleen are normal in size and margin. The kidneys are normal in size and contour. The urinary bladder is normal in size and opacity. There is no prostatomegaly. The included thorax is normal.</t>
  </si>
  <si>
    <t>1. T 11-T 12 intervertebral disc disease is suspected._x000D_
2. There is also T 10-T 11 in situ degenerative disc disease._x000D_
3. Postprandial gastrointestinal tract=ZZ90= otherwise, unremarkable abdomen.</t>
  </si>
  <si>
    <t>Neurology consultation and MRI can be considered for further evaluation if clinical signs persist or worsen in spite of ongoing pain management and strict activity restriction.</t>
  </si>
  <si>
    <t xml:space="preserve">
1.No effusion is present._x000D_
2.Moderate volume soft tissue opacity and/or gas fills the stomach._x000D_
3.The liver and spleen are normal size._x000D_
4.No abnormal AI findings reported._x000D_
5.No segmental small intestinal distention is present._x000D_
6.Small intestines are mildly filled with a mixture of fluid and gas.</t>
  </si>
  <si>
    <t>The AI result for this case is most compelling for: Normal post prandial GI tract. The appearance of the stomach is likely related to normal ingesta in the absence of GI symptoms. However, if GI symptoms are present, gastroenteritis secondary to dietary indiscretion or infectious etiology could be considered.</t>
  </si>
  <si>
    <t xml:space="preserve">
Virtual Radiologist Case Difficulty: LOW_x000D_
Virtual Radiologist Confidence: HIGH_x000D_
If GI signs are present, supportive and symptomatic therapy for gastroenteritis can be considered. In the absence of improvement, repeat radiographs to assess for passage of gastric contents or obstruction, and abdominal ultrasound could be performed for further evaluation.</t>
  </si>
  <si>
    <t>Abdomen: There is no evidence of the gastrointestinal obstructive process.  There is a mild amount of heterogeneous soft tissue opacity within the gastric lumen as well as a heterogeneous soft tissue opacity within segments of small intestines.  The liver and spleen are unremarkable.  There are no abnormalities involving the visible portions of the urinary tract.  The pelvis and lumbar vertebral column are unremarkable.</t>
  </si>
  <si>
    <t>The heterogeneous soft tissue opacity within the gastric lumen and segments of jejunum most likely represents normal ingesta.  Foreign material cannot definitively be ruled out.</t>
  </si>
  <si>
    <t>If clinical signs persist, consider abdominal ultrasound for further evaluation.</t>
  </si>
  <si>
    <t xml:space="preserve">
1.Liver size, shape and margin are normal._x000D_
2.Abdominal detail is normal._x000D_
3.The GI tract is normal._x000D_
4.Splenic size, shape and margin are normal.</t>
  </si>
  <si>
    <t xml:space="preserve">
Virtual Radiologist Case Difficulty: MODERATE_x000D_
Virtual Radiologist Confidence: MODERATE_x000D_
No recommendations based on the radiographs alone.</t>
  </si>
  <si>
    <t>Opposite lateral and VD views of the thorax and abdomen are provided._x000D_
_x000D_
There is a moderate diffuse interstitial pattern, with peribronchial infiltrates involving the smaller airways. No alveolar infiltrates or pleural effusion are identified. No tracheal abnormalities or thoracic lymphadenopathy are seen._x000D_
There is a slight reduction in abdominal serosal detail. The appearance of the GI tract is unremarkable. The uterus is not visible. There is subtle ill defined soft tissue opacity in the caudal sublumbar area that is suspicious for mild sublumbar lymph node enlargement. Slightly increased opacity is also present in the cranial dorsal abdomen caudal to the stomach. Ill defined soft tissue opacity is also present external to the abdomen in the inguinal region._x000D_
_x000D_
There is moderate lumbosacral spondylosis. No destructive bone lesions are identified.</t>
  </si>
  <si>
    <t>There is a moderate diffuse bronchointerstitial pattern. Primary rule outs would include infectious bronchitis, interstitial forms of pneumonia including fungal pneumonia, allergic or immune mediated lung disease, and lymphoreticular neoplasia such as lymphoma._x000D_
_x000D_
There is a slight reduction in abdominal detail and subtle increase soft tissue opacity in the area of sternal and mesenteric lymph nodes. These findings would be most compatible with systemic infectious/inflammatory disease or lymphoreticular neoplasia._x000D_
_x000D_
Primary rule outs for this patient would include fungal disease or other systemic infectious disease, lymphoreticular neoplasia, or immune mediated disease.</t>
  </si>
  <si>
    <t>FNA or biopsy of the subcutaneous lesions in the mammary and inguinal region described in the history is recommended._x000D_
_x000D_
Fungal panel should be considered._x000D_
Ultrasound of the abdomen should also be considered.</t>
  </si>
  <si>
    <t>Three radiographs of the thorax and of the abdomen are provided. The heart is a normal size and shape. There is fat deposition in the cranial mediastinum and ventral to the heart and lungs. The rounded lucent lung cranial to the heart on the right lateral view is incidental appearance of the left cranial lung lobe. No soft tissue pulmonary nodules or pleural effusion are present. The C2-3 and C6-7 intervertebral disc spaces are narrowed. Normal proximal thoracic limbs. In the abdomen the liver is mildly enlarged with smooth margins. Normal-sized spleen and kidneys. Blunted caudal lateral margin of the left kidney suggestive of previous infarct, likely incidental. There is gas and small volume soft tissue opaque ingesta in the stomach. The intestines are mildly filled. No radiopaque cystic calculi. No lumbar spinal abnormalities. There is moderate degenerative change in both coxofemoral joints, with poor coverage of the femoral heads by the dorsal acetabular rims. The left patella is medially displaced.</t>
  </si>
  <si>
    <t>1. The appearance of C2-3 and C6-7 may represent intervertebral disc disease. A lateralized lesion may be responsible for the clinical signs._x000D_
2. Mild hepatomegaly, a nonspecific finding that may be hepatopathy, acute inflammation, or neoplasia. This should be correlated with history and blood work._x000D_
3. Gastric contents appears to be normal ingesta. Foreign material causing gastritis and pyloric outflow obstruction is given lesser consideration._x000D_
4. Bilateral coxofemoral osteoarthritis with subluxation and medial patellar luxation on the left, of uncertain significance today.</t>
  </si>
  <si>
    <t>In addition to current diagnostics, also recommend cranial nerve assessment.</t>
  </si>
  <si>
    <t xml:space="preserve">
1.The liver is mildly to moderately enlarged but retains a relatively smooth margin._x000D_
2.Splenic size, shape and margin are normal._x000D_
3.Mid-abdominal detail is mildly decreased on the lateral projection._x000D_
4.The abdomen is pendulous._x000D_
5.The stomach contains a mild quantity of soft tissue opaque material and gas._x000D_
6.The small bowel is diffusely gas- and fluid filled however no segmental small bowel dilation is noted.</t>
  </si>
  <si>
    <t>Diffusely fluid filled small bowel. This could be normal for a post-prandial patient however if GI signs are present, enteritis is the primary consideration. No evidence of a small intestinal obstruction. Mild to moderate hepatomegaly. DDx: fat deposition vs. metabolic hepatopathy (i.e. Cushing's disease or diabetes) vs. hepatic venous congestion are primary considerations. Hepatitis or infiltrative neoplasia are secondary considerations. Pendulous abdomen. Decreased mid-abdominal detail. DDx: secondary to confluence of soft tissues due to the hepatomegaly vs. small volume abdominal fluid.</t>
  </si>
  <si>
    <t xml:space="preserve">
Virtual Radiologist Case Difficulty: MODERATE_x000D_
Virtual Radiologist Confidence: MODERATE_x000D_
Based on clinical signs and blood work, further evaluation of the liver and/or GI tract via pre- and post-prandial bile acids and/or abdominal ultrasound and/or IM consultation may be warranted._x000D_
Bile acids are not recommended if blood work shows hyperbilirubinemia.</t>
  </si>
  <si>
    <t>Two orthogonal survey radiographs of the thorax and abdomen dated 23rd September 2024 are available for review. There are no previous radiographs available for comparison. _x000D_
_x000D_
Abdomen: The hepatic silhouette is normal in size with smooth borders. The spleen is normal in shape, size and position. The kidneys are partially obscured by gastrointestinal contents, but the visible aspect are normal. The stomach contains a moderate amount of kibble. The small intestines are variably filled with granular food material, fluid, and gas. The caecum is mildly gas distended. The colon has a normal position and contains gradually more formed faeces. The urinary bladder is small. The serosal detail is normal._x000D_
_x000D_
Musculoskeletal findings: No significant abnormalities are detected. _x000D_
_x000D_
Included thorax: No significant abnormalities are detected.</t>
  </si>
  <si>
    <t>Normal post-prandial abdomen. Pancreatitis is possible. A diffuse enteropathy such as IBD, food allergy, unlikely lymphoma is possible.</t>
  </si>
  <si>
    <t>Consider repeat 3 view abdominal series post fasting. Consider full abdominal ultrasound and CPL testing.</t>
  </si>
  <si>
    <t>Three radiographs of the thorax/abdomen are provided. Previous abdominal images dated 2/15/18 are available for comparison. The cardiac silhouette and pulmonary vessels are normal size. There are a few incidental pulmonary osteomas. No soft tissue pulmonary nodules or pleural effusion. Normal tracheal diameter. In the abdomen the stomach contains a large amount of fluid and moderate volume gas. Several punctate mineral densities in the stomach are of doubtful clinical significance. Serosal detail is adequate. Small bowel are mildly filled with a mixture of fluid and gas. Semi-formed feces fills the distal colon. Normal-sized spleen, kidneys, liver. No radiopaque cystic calculi. Mineral density overlying the L3-4 intervertebral foramen is of doubtful clinical significance today.</t>
  </si>
  <si>
    <t>Fluid-filled stomach, likely due to large volume water ingestion. Gastric stasis is given lesser consideration. Otherwise normal abdomen and thorax.</t>
  </si>
  <si>
    <t>If further evaluation of the abdomen is desired, fasted ultrasound would be recommended.</t>
  </si>
  <si>
    <t xml:space="preserve">
1.Abdominal detail is normal to slightly reduced._x000D_
2.Splenic size is at the upper limits of normal to mildly enlarged. The splenic margin is smooth and no mass is identified in the region of the spleen._x000D_
3.Mild hepatomegaly._x000D_
4.The stomach contains ingesta and the small bowel is mildly gas- and fluid-filled.</t>
  </si>
  <si>
    <t>Decreased peritoneal serosal detail, with poor margination of the tip of the spleen may represent artifact or superimposition of structures, however, this can also be seen with a splenic mass, which may be haematoma, haemangioma, haemangiosarcoma, or metastatic disease. Non specific hepatomegaly may be a result of endocrine (diabetes mellitus, Cushings), infectious-inflammatory (hepatitis-viral-parasitic), hemodynamic (right heart failure), or less likely infiltrative origins (nodular hyperplasia-round cell infiltration-lymphoma-adenoma-adenocarcinoma).</t>
  </si>
  <si>
    <t xml:space="preserve">
Virtual Radiologist Case Difficulty: MODERATE_x000D_
Virtual Radiologist Confidence: MODERATE_x000D_
Abdominal ultrasound to further evaluate the liver and spleen._x000D_
Blood work, particularly to assess for a CBC abnormality or evidence of systemic inflammation._x000D_
If there is clinical concern for gastric foreign material, withhold food for 12-15 hours in an adult dog (access to water or IV fluid therapy is permitted), followed by repeat abdominal radiographs. If gastric material persists on follow-up radiographs, concern for gastric material increases and warrants further evaluation via abdominal ultrasound.</t>
  </si>
  <si>
    <t>Four orthogonal radiographs of the abdomen dated 23rd September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is mainly empty, with a normal axis. There is appropriate gas in the pyloric region on the left lateral image. There is mild filling of the duodenum in the ventrodorsal image. The small intestines are distributed evenly and are within normal limits for shape, size and contents. The ascending, transverse and descending colon have a normal position and contain soft faeces. The urinary bladder is filled. A smoothly marginated soft tissue opacity is present caudal to the bladder consistent with an enlarged prostate. The serosal detail is normal._x000D_
_x000D_
Extra-abdominal findings: There is mild spondylosis at T13-L1._x000D_
_x000D_
Included thorax: No significant abnormalities are detected.</t>
  </si>
  <si>
    <t>1. Relatively unremarkable abdomen. The mild filling of the duodenum is most likely transient, however pancreatitis is possible. The soft faeces may be due to dietary indiscretion, or a mild diffuse enteropathy of infectious-inflammatory origin. There is no evidence for a foreign body._x000D_
2. Prostatomegaly: Considering the symmetric shape, lack of mineralisation, and normal sublumbar region, this is most likely due to benign prostatic hypertrophy, however prostatitis, prostatic abscessation, or prostatic adenocarcinoma cannot be excluded.</t>
  </si>
  <si>
    <t>Supportive management including rehydration, gastroprotectants,  full blood work, faecal analysis if clinically indicated is advised, if not already performed. Repeat 3-view post fasting radiographs depending on clinical progression or consider an abdominal ultrasound. If vomiting continues without development of diarrhea, an upper GI contrast study may also be considered. _x000D_
Consider urinalysis and culture. Depending on findings, ultrasound-guided prostatic wash may be considered.</t>
  </si>
  <si>
    <t>Three radiographs of the thorax are provided. There is no peritoneal or retroperitoneal effusion. Small volume gas in the stomach. Fluid in the pylorus causes round soft tissue contour in the cranioventral abdomen on the right lateral view. Small and large bowel are minimally distended. Small volume fluid in the distal colon. Gas in the cecum causes the round soft tissue contour in the midabdomen on the right lateral projection. No radiopaque foreign material. Normal-sized liver, spleen, kidneys. No radiopaque cystic calculi. Normal caudal thorax.</t>
  </si>
  <si>
    <t>Diarrhea. Gastroenteritis secondary to dietary indiscretion is most likely. Small radiolucent gastric foreign material causing gastritis and pyloric outflow obstruction is not ruled out. There is no evidence of small bowel obstruction.</t>
  </si>
  <si>
    <t>Recommend a CBC, blood chemistry profile, supportive care. A positive contrast gastrogram should be considered to rule out gastric foreign material. Strictly fasted abdominal ultrasound is another option, as long as there is minimal gas in the stomach at the time of imaging.</t>
  </si>
  <si>
    <t xml:space="preserve">
1.No abnormal AI findings reported._x000D_
2.The liver and spleen are normal size._x000D_
3.The right cranial quadrant has a hazy appearance on the VD projection otherwise serosal detail is adequate._x000D_
4.In the abdomen the stomach contains small volume gas, soft tissue and mildly prominent rugae._x000D_
5.Small intestines are minimally filled. No small intestinal segmental dilation is noted._x000D_
6.The colon contains gas and scant semiformed feces.</t>
  </si>
  <si>
    <t>Four radiographs of the thorax, and three views of the abdomen are provided. The left atrium margin is faintly visible on the VD projection but is not enlarged on the lateral views. There are no abnormalities in the pulmonary parenchyma. No pleural effusion. Normal tracheal diameter. Normal cranial mediastinal width._x000D_
_x000D_
In the abdomen there is a well-defined smoothly lobulated round 15.7 cm soft tissue opaque mass in the cranioventral left peritoneal space. There is no effusion. Normal size liver. Formed feces in the distal colon. The stomach and small bowel are minimally filled. No radiopaque cystic calculi. Smoothly marginated round 6.4 cm soft tissue opaque mass in the mid left extra-abdominal subcutaneous tissues. No osseous abnormalities.</t>
  </si>
  <si>
    <t>1. Large cranioventral abdominal mass, most likely originating from the spleen. Neoplasia such as hemangiosarcoma is the most likely diagnosis. A mesenteric mass or pedunculated hepatic mass are given lesser consideration. No other intra-abdominal abnormalities._x000D_
2. Left flank subcutaneous mass consistent with the history provided._x000D_
3. Normal thorax.</t>
  </si>
  <si>
    <t>Recommend abdominal ultrasound to confirm origin of the mass and determine if there are additional intra-abdominal lesions. There is no contraindication for general anesthesia based on this study.</t>
  </si>
  <si>
    <t xml:space="preserve">
1.The gastric axis is deviated caudally indicating an enlarged liver._x000D_
2.The spleen is also questionably enlarged but poorly visible._x000D_
3.Serosal detail is poor._x000D_
4.Small-volume gas is present within the stomach._x000D_
5.The colon is minimally filled.</t>
  </si>
  <si>
    <t>The AI result for this case is most compelling for: Hepatosplenomegaly with decreased abdominal detail +/- abdominal fluid. Neoplasia such as lymphoma is of concern. A severe inflammatory process is next on the differential list.</t>
  </si>
  <si>
    <t xml:space="preserve">
Abdominal ultrasound is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</si>
  <si>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Barkhim Pritchard, Date of study: Sep 22, 2024
3 images are provided for review
Canine Abdomen (3 Images) - 1 Vd, 2 Lateral
There are no previous radiographs for comparison.
The stomach contains gas and a small amount of heterogeneous soft tissue.  In particular mineral the small intestines are normal and uniform in size and contain gas, heterogeneous soft tissue, and homogeneous soft tissue.  The colon contains gas, a few small linear and angular mineral structures, and feces.
The liver, spleen, kidneys, and urinary bladder are normal.
The serosal detail is normal.
The musculoskeletal structures are normal.
The caudal thorax is normal.</t>
  </si>
  <si>
    <t>1.  Colonic mineral foreign matter, consistent with reported chicken bone ingestion.
2.  Gastrointestinal undigested food or foreign matter, there is no small intestinal mechanical obstruction.  Findings are likely due to gastroenteritis, which may be secondary to recent chicken bone ingestion.</t>
  </si>
  <si>
    <t xml:space="preserve">Repeating radiographs after 12-24 hours of fasting may be useful to reassess the gastrointestinal tract.
If clinical signs are persistent despite medical treatment, an abdominal ultrasound may be considered.
</t>
  </si>
  <si>
    <t>Daniel Lantz</t>
  </si>
  <si>
    <t xml:space="preserve">
1.No abnormal AI findings reported._x000D_
2.Small intestines and colon are minimally filled without compelling evidence for obstruction._x000D_
3.Small-to-moderate volume ingesta in the stomach._x000D_
4.Peritoneal detail is normal._x000D_
5.Liver and spleen appear within normal limits.</t>
  </si>
  <si>
    <t>Patient Name : Iceberg Miller, Date of study: Sep 22, 2024
4 images are provided for review
There are no previous radiographs for comparison.
The stomach contains gas and heterogeneous soft tissue.  The small intestines are normal and uniform in size and contain gas and homogeneous soft tissue.  The cecum is gas filled.  The colon contains gas and feces.
The liver, spleen, kidneys, and urinary bladder are normal.
The serosal detail is normal.
The musculoskeletal structures are normal.
The caudal thorax is normal.</t>
  </si>
  <si>
    <t>1.  Normal postprandial abdomen, there is no small intestinal mechanical obstruction.</t>
  </si>
  <si>
    <t xml:space="preserve">Given the patient signalment and history, it may be useful to investigate for back pain.  Referred back pain can mimic abdominal pain, and patients with back pain may also have a reduced appetite; therefore this should be considered aside from GI disease, particularly as the patient is not vomiting or having diarrhea.  
If no back pain is identified and there is further concern for abdominal disease, then an abdominal ultrasound may be useful for further assessment.
</t>
  </si>
  <si>
    <t xml:space="preserve">
1.The liver, spleen, and kidneys are normal size and shape._x000D_
2.Gas and soft tissue density are present within the stomach._x000D_
3.Small intestines are mildly fluid filled._x000D_
4.No abnormal AI findings reported._x000D_
5.No abnormal AI findings reported.</t>
  </si>
  <si>
    <t>Patient Name : Luna Bowden, Date of study: Sep 22, 2024
6 images are provided for review
There are no previous radiographs for comparison.
Thorax:
The cardiovascular structures are normal.
The lungs are normal.
The pleural space is normal.
Abdomen:
The stomach contains gas and some foamy soft tissue.  The small intestines are normal and uniform in size and contain gas and homogeneous soft tissue.  The cecum and colon are filled with gas and unformed feces.
The liver, spleen, kidneys, and urinary bladder are normal.
The serosal detail is normal.
Musculoskeletal:
There is mild multifocal spondylosis deformans.</t>
  </si>
  <si>
    <t>1. Normal thorax, no pulmonary metastasis.
2. Normal abdomen.</t>
  </si>
  <si>
    <t>Advanced imaging of the abdomen may be useful to investigate for causes of the reported anemia and thrombocytopenia (eg paraneoplastic disease) for which radiography may be insensitive.</t>
  </si>
  <si>
    <t xml:space="preserve">
1.Splenic size, shape and margin are normal._x000D_
2.Cranial abdominal detail is decreased._x000D_
3.No dilation of the small intestine is seen._x000D_
4.The gastric rugae are prominent._x000D_
5.Liver size is normal to upper limits of normal. Liver margin is normal.</t>
  </si>
  <si>
    <t>Patient Name : Mickey Hutton, Date of study: Sep 22, 2024
3 images are provided for review
There are no previous radiographs for comparison.
The stomach is distended with gas and foamy soft tissue.  The small intestines are normal and uniform in size and contain gas and homogeneous soft tissue.  The colon contains gas and feces.
There is a 12 mm diameter faint heterogeneous mineral structure superimposed with the right cranial liver.  The hepatic margins are rounded.
The spleen, kidneys, and urinary bladder are normal.
The serosal detail is normal.
The T12-T13 and T13-L1 intervertebral disc spaces are narrowed, and there is mild associated spondylosis deformans.
There is a broad-based, dorsal tracheal, soft tissue structure which is superimposed with the caudal cervical and cranial thoracic trachea.</t>
  </si>
  <si>
    <t>1.  Gastric distension with foamy soft tissue and gas.  Fluid and gas distension secondary to functional causes (such as gastritis, ulceration, or gastric neoplasia) are prioritized, though low density gastric foreign matter (such as stuffing) cannot be ruled out.
2.  No small intestinal mechanical obstruction.
3.  Cholecystolithiasis.
4.  Nonspecific hepatomegaly (vacuolar hepatopathy, hepatitis, neoplasia).
5.  Redundant tracheal membrane, overriding esophagus, or superimposition of longus colli muscles.</t>
  </si>
  <si>
    <t>Repeating radiographs after 6-12 hours of fasting may be useful to reassess gastric content.</t>
  </si>
  <si>
    <t xml:space="preserve">
Virtual Radiologist Case Difficulty: MODERATE_x000D_
Virtual Radiologist Confidence: MODERATE_x000D_
No recommendations based on radiographs alone.</t>
  </si>
  <si>
    <t>Patient Name : Rocco Behiry, Date of study: Sep 22, 2024
3 images are provided for review
Canine Abdomen (3 Images) - 2 Lateral, 1 VD
There are no previous radiographs for comparison.
The stomach is filled with gas and heterogeneous soft tissue.  The small intestines are normal and uniform in size and contain predominantly homogeneous soft tissue.  The colon contains gas and feces.
The liver, spleen, kidneys, and urinary bladder are normal.
The serosal detail is normal.  The peritoneum/retroperitoneum are normal.
The skeletal structures are normal.
The left abdominal (dorsally, laterally, and ventrally) soft tissues are heterogeneous and contain multiple gas bubbles.
The caudal thorax is normal.</t>
  </si>
  <si>
    <t>1.  Left abdominal subcutaneous emphysema and subcutaneous hemorrhage/edema.  Consistent with reported bite wounds.  No body cavity penetration is seen.</t>
  </si>
  <si>
    <t>Wound management is recommended.  No further imaging is required at this time.</t>
  </si>
  <si>
    <t xml:space="preserve">
1.The stomach is normal. The small bowel is diffusely gas- and fluid-filled without segmental small bowel dilation._x000D_
2.Splenic size, shape and margin are normal._x000D_
3.Abdominal detail is normal._x000D_
4.Liver size, shape and margin are normal.</t>
  </si>
  <si>
    <t>The AI result for this case is most compelling for: Normal post prandial GI tract. Gastric contents likely represent normal ingesta. If vomiting and/or anorexia are present, gastric foreign material is a consideration.</t>
  </si>
  <si>
    <t>Study:_x000D_
Spinal radiography (including the thorax and abdomen): five images dated September 21, 2024_x000D_
_x000D_
Findings:_x000D_
The atlantoaxial joint space is normal. There is no apparent intervertebral disc space or foraminal narrowing. There is no evidence of discospondylitis. There are no vertebral fractures or luxations. The coxofemoral joints are normal with good coverage of the femoral head by the acetabulum bilaterally. The included appendicular skeletal structures are normal. The cardiac silhouette and pulmonary vasculature are normal in size. The pulmonary parenchyma is unremarkable. The pleural space is normal. There is no intrathoracic lymphadenopathy. The trachea is normal in diameter and course. The stomach contains a small amount of unstructured heterogeneous soft tissue material presumed to be ingesta. Granular soft tissue material also presumed to be ingesta is seen in some small intestinal segments. There is a thin linear metallic opacity in the mesentery adjacent to the pylorus. The colon contains formed fecal material with a normal diameter. The liver is small with associated cranial rotation of the gastric axis. The spleen is normal in size and margin. The renal silhouettes are normal in size and shape. The urinary bladder is normal in size and opacity. There is no prostatomegaly.</t>
  </si>
  <si>
    <t>1. The spine is unremarkable. The lack of any apparent intervertebral disc space or foraminal narrowing does not exclude the possibility of intervertebral disc disease. Neurology consultation and MRI can be considered to further evaluate for a compressive myelopathy if the clinical signs persist or worsen in spite of activity restriction and pain management._x000D_
2. Microhepatia. Rule out normal variant, vascular anomaly or chronic hepatitis/cirrhosis. Correlate with any liver enzyme abnormalities. Abdominal sonography and bile acid testing can be considered for further evaluation if clinically relevant._x000D_
3. Peritoneal linear metallic, possibly wire or brush bristle, foreign body. This is a relatively common incidental finding._x000D_
4. Normal thorax.</t>
  </si>
  <si>
    <t xml:space="preserve">
1.The liver is normal in shape, size and opacity._x000D_
2.The spleen is visible and within normal limits._x000D_
3.There is a mildly reduced cranial abdominal serosal detail._x000D_
4.The stomach has a normal axis, with subjectively thickened mucosal folding._x000D_
5.The small intestines are mildly dilated with a mixture of gas and fluid, and have a mild turgid appearance._x000D_
6.The ascending, transverse and descending colon contain gradually more formed faeces.</t>
  </si>
  <si>
    <t>The overall impression is one of mild gastroenteritis. This may be due to dietary indiscretion, or infectious-inflammatory causes. Pancreatitis should equally be considered. There is no evidence of a complete mechanical obstruction. The mild reduced peritoneal serosal detail may be due to mild peritoneal effusion, which would most likely be an inflammatory modified transudate.</t>
  </si>
  <si>
    <t xml:space="preserve">
Virtual Radiologist Case Difficulty: LOW_x000D_
Virtual Radiologist Confidence: HIGH_x000D_
If GI signs are present, empirical management with fluids, antiemetics, antacids, prophylactic deworming, and gastroprotectants as clinically indicated._x000D_
Abdominal ultrasound could be considered to assess intestinal architecture and the pancreas, depending on clinical signs.</t>
  </si>
  <si>
    <t>Study:_x000D_
Spinal radiography (including the thorax and abdomen) four images dated September 21, 2024_x000D_
_x000D_
Findings:_x000D_
The dens is intact and well defined. The atlantoaxial joint space is normal. On the lateral projections, the T 12-T 13 intervertebral disc space appears slightly narrowed in comparison to the adjacent to spaces. There is no evidence of discospondylitis. There are no vertebral fractures or luxations. The coxofemoral joints are normal with good coverage of the femoral head by the acetabulum bilaterally. The included appendicular skeletal structures are unremarkable. The cardiac silhouette and pulmonary vasculature are normal in size. The pulmonary parenchyma is unremarkable.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There is no prostatomegaly.</t>
  </si>
  <si>
    <t>1. T 12-T 13 intervertebral disc disease is suspected. Neurology consultation and MRI should be considered for further evaluation if the clinical signs persist or worsen in spite of strict activity restriction and pain management._x000D_
2. Normal thorax._x000D_
3. Postprandial stomach=ZZ90= otherwise, unremarkable abdomen.</t>
  </si>
  <si>
    <t xml:space="preserve">
1.The liver is normal in size with smooth serosal margins._x000D_
2.Serosal detail is normal._x000D_
3.The stomach is unremarkable._x000D_
4.The small intestines contain gas and fluid and are normal in diameter._x000D_
5.The colon is unremarkable._x000D_
6.The spleen is smoothly margined and at the upper limits of normal for size to mildly enlarged on the lateral projection.</t>
  </si>
  <si>
    <t>Three radiographs of the thorax and abdomen are provided. The cardiac silhouette and pulmonary vessels are normal size. There are no abnormalities in the pulmonary parenchyma. No pleural effusion. Small volume fat deposition in the cranial mediastinum. Tracheal diameter is adequate. In the abdomen the liver, spleen, and kidneys are normal size. Formed feces in the distal colon. The stomach and small bowel are minimally filled. No radiopaque cystic calculi. No narrowed intervertebral disc spaces or foramina are appreciated.</t>
  </si>
  <si>
    <t>Normal thorax and abdomen. A reason for discomfort is not identified. Non-mineralized intervertebral disc lesion remains possible.</t>
  </si>
  <si>
    <t>Current treatment is appropriate. If the patient does not improve and there is spinal discomfort or neurologic deficits, consultation with a neurologist and advanced spinal imaging such as MRI should be considered.</t>
  </si>
  <si>
    <t xml:space="preserve">
1.Liver size, shape and margin are normal._x000D_
2.Mild irregularity of the splenic contour._x000D_
3.Abdominal detail is normal._x000D_
4.The stomach is normal. The small bowel is diffusely gas- and fluid-filled without segmental small bowel dilation.</t>
  </si>
  <si>
    <t>The AI result for this case is most compelling for: Normal abdominal radiograph. However, a mild irregularity of the splenic contour is suspected. This could represent prominent spleen or intra-abdominal lesion.</t>
  </si>
  <si>
    <t xml:space="preserve">
Abdominal ultrasound is recommended for further evaluation._x000D_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</si>
  <si>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Jason Tran, Date of study: Sep 21, 2024
3 images are provided for review
Canine Thorax (3 Images) - 2 Lateral, 1 Vd
There are no previous radiographs for comparison.
Pulmonary parenchyma: A  mild diffuse bronchial pattern is present.  Ill-defined interstitial soft tissue is in the cranial lung lobes bilaterally.  In the right lateral image, the presumed left lobar bronchial and carina are severely narrowed in a dorsoventral dimension.  The suspected right cranial lobar bronchus in the left lateral image is mildly columnar in shape and does not taper as expected in the periphery of the lungs.
Pulmonary vasculature: The right and left caudal lobar pulmonary arteries are suspiciously enlarged in the periphery of the lungs in the ventrodorsal image.
Cardiac silhouette: The cardiac silhouette is tall and occupies over 2/3 the height of the thorax, with dorsal tracheal displacement.  The caudodorsal margin of the cardiac silhouette is flattened.  The cardiac silhouette is widened and occupies the width of 3.5-4 intercostal spaces.
Mediastinum: The cranial mediastinum is widened symmetrically in the ventrodorsal image, without obvious increased soft tissue in the lateral image.
Trachea: The thoracic tracheal segment is narrowed in a dorsoventral dimension, most severe in the right lateral image.  
Esophagus: The esophagus is not well-identified.
Pleural space: The pleural space is normal.
Musculoskeletal: The included musculoskeletal structures are normal.</t>
  </si>
  <si>
    <t>1.  Moderate right-sided nad possible left-sided cardiomegaly such as from heartworm disease, cor pulmonale/pulmonary hypertension, tricuspid valvular disease, or less likely other, with/without myxomatous mitral valvular disease, or unlikely other.
2. Suspicious for right and left caudal lobar pulmonary arterial enlargement versus artifact.
- If present, pulmonary hypertension and/or heartworm disease are considered.
3. Transient lobar bronchi, carina and tracheal narrowing such as from dynamic airway disease and bronchomalacia.
4. Mild interstitial pattern in the cranial lung lobes due to hypoinflation, fibrosis from prior disease, age-related changes, evolving bronchopneumonia, or less likely left-sided congestive heart failure/pulmonary edema.
5. Mild diffuse bronchial pattern such as from infectious/immune-mediated lower airway disease (mycoplasma spp., bordetella spp., parasitism such as lung worms, or less likely other), and/or inhaled allergen/irritant, fibrosis from prior disease, age-related changes, or unlikely other.
6. Cranial mediastinal widening due to fat deposition/superimposed normal structures or less likely lymphadenomegaly or evolving mass (thymoma or ectopic thyroid carcinoma, or least likely other).</t>
  </si>
  <si>
    <t>Consider echocardiography, eCG and blood pressure for further evaluation of the heart. Routine blood work, urinalysis, heartworm testing, and abdominal imaging (ultrasonography) for further evaluation of the liver and occult systemic disease.
 Consider tracheoscopy/bronchoscopy/fluoroscopy, respiratory PCR panel, airway sampling, fecal analysis/deworming for further evaluation of lower airway disease.  Empirical therapy for infectious/immune-mediated lower airway disease in the interim.   If dyspnea manifests, oxygen therapy, diuretic therapy and monitoring with thoracic radiographs after 4-6 hours to monitor progression/improvement of the pulmonary pattern.  Monitoring as directed or sooner if clinical signs acutely change, fail to improve or worsen.</t>
  </si>
  <si>
    <t xml:space="preserve">
1.The stomach is caudally displaced by the hepatomegaly. No dilation of the stomach or small intestine is identified._x000D_
2.The liver is enlarged with asymmetric enlargement on the VD projection._x000D_
3.There is increased soft tissue opacity in the splenic region. This may be secondary to splenomegaly, a splenic mass or caudal extension of the liver into the splenic region._x000D_
4.Abdominal detail is decreased which may be secondary to organ crowding and/or abdominal fluid._x000D_
5.The ventral abdominal line is pendulous._x000D_
6.The colon is normal.</t>
  </si>
  <si>
    <t>Hepatomegaly. This finding can be nonspecific,  and is often due to fat deposition, steroid  hepatopathy, or metabolic hepatopathy (Cushing's disease). Another consideration in this case is infiltrative neoplasia such as lymphoma or metastatic neoplasia such as hemangiosarcoma, given #2. Increased soft tissue opacity in the splenic region. DDx: splenomegaly vs. splenic mass vs. caudal extension of the hepatomegaly vs. lymphadenopathy. Decreased abdominal detail. DDx: organ crowding vs. abdominal fluid.</t>
  </si>
  <si>
    <t xml:space="preserve">
Virtual Radiologist Case Difficulty: MODERATE_x000D_
Virtual Radiologist Confidence: MODERATE_x000D_
Blood work and abdominal ultrasound._x000D_
Coagulation profile, platelet count and PCV prior to abdominocentesis, if fluid is identified, or tissue sampling. Three view thoracic radiographs if abdominal neoplasia is identified on ultrasound.</t>
  </si>
  <si>
    <t>Study:_x000D_
Abdominal radiography: four images dated September 21, 2024_x000D_
_x000D_
Findings:_x000D_
The serosal detail is normal. The stomach contains a small volume of gas with the pylorus appropriately gas-filled on the left lateral image. The small intestines are normal in size, course and content. The colon contains a small volume of gas and poorly formed fecal material with a normal diameter. The liver and spleen are normal in size and margin. The kidneys are normal in size and contour. The urinary bladder is small and poorly visualized just cranial to the pelvic inlet. The included thorax is normal. The L7 vertebra is transitional.</t>
  </si>
  <si>
    <t>Unremarkable abdomen. A cause the gastrointestinal signs is not evident. There is no radiographic evidence of gastrointestinal foreign material or small intestinal mechanical obstruction. Abdominal sonography can be considered for further evaluation if clinical signs persist or worsen in spite of medical management.</t>
  </si>
  <si>
    <t>Study:_x000D_
Abdominal radiography: three images dated September 21, 2024_x000D_
_x000D_
Findings:_x000D_
There is an approximately 18 cm round soft tissue opaque mass in the midabdomen. There is mild peritoneal effusion seen along the ventral aspect of the mass on the left lateral projection. The stomach contains heterogeneous soft tissue material presumed to be ingesta. The small intestines are displaced caudally and dorsally by the aforementioned mass. There is no small intestinal dilation. The liver is situated within the costal arch with smooth and sharp margins. The renal silhouettes are normal in size and shape. The urinary bladder is not visualized and is likely small/empty. The included thorax is unremarkable. The osseous structures are unremarkable.</t>
  </si>
  <si>
    <t>1. Mid abdominal mass. A splenic mass is prioritized. Rule out neoplasia, hyperplasia or hematoma. A pedunculated liver origin cannot be completely excluded. Recommend abdominal sonography or computed tomography for further evaluation. A three view thoracic met check is also recommended._x000D_
2. Mild nonspecific peritoneal effusion. Given the concern for a splenic mass a hemoabdomen is considered. Recommend abdominocentesis for further evaluation.</t>
  </si>
  <si>
    <t xml:space="preserve">
1.The caudoventral hepatic serosal margins are somewhat poorly defined but appear to be rounded._x000D_
2.The splenic serosal margins are also poorly defined._x000D_
3.There is a marked reduction in serosal detail within the peritoneal space and the abdomen has a pendulous appearance._x000D_
4.The stomach is normal in position but the intestine is displaced._x000D_
5.There is a very large mass-effect within the cranial abdomen that is displacing colon and small intestines into the caudal abdomen. The gastrointestinal tract is considered within normal limits with the exception of being displaced by the mass-effect.</t>
  </si>
  <si>
    <t>In summary, this abdomen is highly concerning for a neoplastic process. Abdominal fluid is also likely. The reduced abdominal serosal detail is likely due in part to the mass lesion summating with normal abdominal structures. Liver lobe or splenic torsion or inflammatory disease would be given lesser consideration. I would also consider a primary hepatic neoplasm such as hepatocellular carcinoma, soft tissue sarcoma or hepatic adenoma with acute hemorrhage. Consideration could be given to a disseminated neoplastic process affecting both the liver and spleen such as lymphoma or malignant histiocytosis. The splenic serosal margins are also not clearly defined and I cannot rule out concurrent splenomegaly. There is suspicion of a hepatic mass lesion versus generalized hepatomegaly with a mass effect in the cranial abdomen.</t>
  </si>
  <si>
    <t xml:space="preserve">
Abdominal ultrasound +/- fine-needle aspiration for cytology would be beneficial for further evaluation._x000D_
Coagulation profile, platelet count and PCV prior to tissue sampling._x000D_
Three view thoracic radiographs upon confirmation of an abdominal mass for metastasis evaluation._x000D_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</si>
  <si>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Abdominal radiography: three images dated September 21, 2024_x000D_
_x000D_
Findings:_x000D_
Seen on both the left lateral and orthogonal views, there a 5.6 cm ovoid soft tissue opaque structure in the fundic portion of the stomach. The pylorus is appropriately gas-filled on the left lateral image. The small intestines are normal in size, course and content. The colon contains poorly formed fecal material. The liver and spleen are normal in size and margin. The renal silhouettes are normal in size and contour. The uterine body and horns are visualized partially superimposed with the urinary bladder in the caudal abdomen on the lateral projections and in the left caudal abdomen on the orthogonal view. The urinary bladder is normal in size and opacity. The included thorax is normal. The osseous structures are unremarkable. The patient is of overweight body condition.</t>
  </si>
  <si>
    <t>1. The ovoid soft tissue opaque structure in the stomach may represent food, foreign material or, less likely, and intraluminal mass. There is no evidence of small intestinal mechanical obstruction. Repeat fasted radiography can be considered to monitor for persistence or resolution of this finding._x000D_
2. Visualization of the uterus is suggestive of mild dilation. Rule out pyometra, mucometra, metritis, hydrometra, cystic endometrial hyperplasia or early pregnancy. Abdominal sonography can be considered for further evaluation.</t>
  </si>
  <si>
    <t xml:space="preserve">
1.Liver size, shape and margin are normal._x000D_
2.Abdominal detail is normal._x000D_
3.The stomach contains gas and ingesta or prominent rugae. The small bowel is diffusely fluid filled but without segmental small bowel dilation._x000D_
4.Splenic size, shape and margin are normal.</t>
  </si>
  <si>
    <t>The small bowel is fluid filled but without significant distention. Findings would be most consistent with a normal post-prandial intestinal tract or gastroenteritis. A small intestinal obstruction is not suspected.</t>
  </si>
  <si>
    <t xml:space="preserve">
If this result is inconsistent with the clinical picture or if you would like another opinion, this study can be submitted to Vetology for further evaluation._x000D_
If symptoms persist despite supportive care, fasting abdominal ultrasound would be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</si>
  <si>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Abdominal radiography: seven images dated September 21, 2024_x000D_
_x000D_
Findings:_x000D_
The stomach contains gas with the pylorus appropriately gas-filled on the left lateral image. There is a small amount of heterogeneous soft tissue material and a small intestinal segment in the caudal abdomen. There is no small intestinal dilation. The colon contains gas and a small amount of poorly formed fecal material. The liver and spleen are normal in size and margin. The renal silhouettes are normal in size and contour. The urinary bladder is bladder is small and poorly visualized just cranial to the pelvic inlet. There is no prostatomegaly. The included thorax is normal. The osseous structures are unremarkable.</t>
  </si>
  <si>
    <t>The heterogeneous soft tissue material seen in the small intestinal segment in the caudal abdomen may represent ingesta or foreign material. There is no small intestinal dilation to suggest secondary mechanical obstruction. Recommend repeat fasted radiography to monitor for intestinal emptying. Alternatively, abdominal sonography can be considered for further evaluation if clinical signs persist or worsen in spite of medical management.</t>
  </si>
  <si>
    <t xml:space="preserve">
1.Liver and splenic size, shape and margin are unremarkable._x000D_
2.Abdominal detail is satisfactory._x000D_
3.The gastric rugae are prominent._x000D_
4.There are a few gas-distended loops of small bowel._x000D_
5.The remainder of the small bowel loops are diffusely fluid filled with a max:min small bowel diameter ratio of &lt; 2:1._x000D_
6.No abnormal AI findings reported.</t>
  </si>
  <si>
    <t>Gas- and fluid-filled small bowel with a max:min small bowel diameter ratio of &lt; 2:1. DDx: enteritis vs.  partial or slow moving foreign material. Prominent gastric rugae consistent with gastritis. Satisfactory abdominal detail.</t>
  </si>
  <si>
    <t xml:space="preserve">
Virtual Radiologist Case Difficulty: LOW_x000D_
Virtual Radiologist Confidence: HIGH_x000D_
Hospitalization with fluid therapy, omeprazole therapy and repeat abdominal radiographs in 4-6 hours to reassess the small bowel pattern.</t>
  </si>
  <si>
    <t>Orthogonal radiographs of the thorax/abdomen are provided. Redundant dorsal trachealis membrane causes severe narrowed cervical trachea. Normal thoracic tracheal diameter. The left atrium is prominent. Pulmonary vessels are normal size. No abnormalities in the pulmonary parenchyma. No pleural effusion. In the abdomen the gastrointestinal tract is moderately filled. No peritoneal or retroperitoneal effusion. Normal-sized spleen, kidneys, liver. No radiopaque cystic calculi. No narrowed intervertebral disc spaces are appreciated.</t>
  </si>
  <si>
    <t>1. Cervical tracheal collapse. This is the most likely cause for coughing._x000D_
2. Prominent left atrium consistent with acquired mitral valve disease. There is no pulmonary venous congestion or evidence of heart failure. This is not the cause for the cough._x000D_
3. Normal abdomen. No spinal abnormalities are appreciated. A protruding/extruded intervertebral disc remains possible.</t>
  </si>
  <si>
    <t>Current diagnostics are appropriate.  Recommend utilization of a body harness in place of a neck lead.</t>
  </si>
  <si>
    <t xml:space="preserve">
1.The stomach appears within normal limits._x000D_
2.Small intestines are diffusely mildly fluid-filled. No evidence to suggest obstruction._x000D_
3.No abnormal AI findings reported._x000D_
4.The liver and spleen appear within normal limits for size and contour._x000D_
5.Abdominal detail is adequate.</t>
  </si>
  <si>
    <t>Opposite lateral views of the abdomen are provided:_x000D_
_x000D_
Abdomen:_x000D_
_x000D_
The stomach is almost empty with small volume of soft tissue material. No GI foreign material is observed._x000D_
Small intestines are mildly gas and fluid filled, not overtly distended. No signs of mechanical ileus._x000D_
Serosal detail is preserved._x000D_
Liver and spleen are within normal limits of size and smoothly marginated._x000D_
Kidneys and urinary bladder WNL. No signs of cystic/urethral calculi.</t>
  </si>
  <si>
    <t>1) Unremarkable abdomen and urinary tract (incomplete exam without a VD view).</t>
  </si>
  <si>
    <t>Consider abdominal US to further evaluate the urinary tract with renal function test, urinalysis, UPC and urine culture.</t>
  </si>
  <si>
    <t>Study:_x000D_
Abdominal radiography: four images dated September 21, 2024_x000D_
_x000D_
Findings:_x000D_
The abdomen is distended with severely reduced peritoneal detail secondary to a large volume of peritoneal effusion. The severity of the effusion limits evaluation of the abdominal viscera. The stomach contains a small volume of gas. The small intestines are normal in size and course. On the right lateral projection, there are gas lucencies in the caudal ventral abdomen that do not to be appear within any small intestinal lumen. Similarly, on the VD views, there are gas foci in the left mid abdomen that appear free within the peritoneum. On the lateral projections, there is the impression of a indistinct soft tissue opaque mass effect in the central abdomen. The liver is normal in size and margin. The spleen is not clearly visualized. The renal silhouettes are normal in size and contour. The urinary bladder is unremarkable. There is narrowing of the caudal vena cava on both lateral projections. The osseous structures are unremarkable.</t>
  </si>
  <si>
    <t>1. Severe peritoneal effusion and suspected pneumoperitoneum, concerning for septic peritonitis/intestinal perforation._x000D_
2. Questionable mid abdominal mass. Consider intestinal mass and/or lymphadenopathy, a splenic mass or mesenteric mass. Possible that this finding is artifact created by pulling the pleural effusion cannot be completely excluded._x000D_
3. Narrowing of the caudal vena cava suggestive of hypovolemia.</t>
  </si>
  <si>
    <t>Recommend abdominal sonography and abdominocentesis with fluid analysis for further evaluation.</t>
  </si>
  <si>
    <t>Two lateral radiographs of the thorax/abdomen, VD abdomen, and three lateral stifle views are provided. Moderate to severe narrowed cervical trachea. The cardiac silhouette and pulmonary vessels are normal size and shape. The lungs are clear. There is no pleural effusion. In the abdomen the gastrointestinal tract is moderately filled. No radiopaque urolithiasis. The uterus is not identified. No organomegaly. No lumbar spinal abnormalities. The coxofemoral joints are congruent. Both patellas are medially displaced. There is moderate to large volume fluid in the cranial aspect of the left stifle joint. Small volume fluid in the right stifle. No popliteal lymphadenomegaly. Possible mild degenerative change in the left tibiotarsal joint, of doubtful clinical significance today.</t>
  </si>
  <si>
    <t>1. Moderate to severe left stifle effusion most consistent with cranial cruciate ligament tear/rupture. This is the cause for lameness._x000D_
2. Bilateral medial patellar luxation._x000D_
3. Cervical tracheal collapse. Normal thorax and abdomen.
(amended on 09/23/2024 05:40)
4. Mild right stifle effusion suggestive of partial cranial cruciate ligament tear. This is of doubtful clinical significance today.</t>
  </si>
  <si>
    <t>If lameness is severe/persistent and there is palpable stifle instability, surgical stabilization would be recommended.</t>
  </si>
  <si>
    <t xml:space="preserve">
1.The liver appears small on the VD projection but normal on the lateral projection._x000D_
2.The spleen is normal in size and shape._x000D_
3.Cranial abdominal detail is mildly decreased on the VD projection._x000D_
4.Resource: https://platform.v2.vetology.net/doc/pancreatitis_x000D_
5.The stomach contains a small volume of fluid opaque material and gas. The gastric rugae are prominent._x000D_
6.The bowel contains gas and fluid with portions of the bowel having a rigid appearance._x000D_
7.Resource: https://platform.v2.vetology.net/doc/canine-en-gastrointestinal</t>
  </si>
  <si>
    <t>If vomiting is present, the GI appearance is most consistent with gastroenterocolitis +/- low grade pancreatitis. Decreased cranial abdominal detail. Mesenteric inflammation secondary to GI disease and/or pancreatitis is a primary consideration and should be correlated to clinical signs.</t>
  </si>
  <si>
    <t xml:space="preserve">
Virtual Radiologist Case Difficulty: MODERATE_x000D_
Virtual Radiologist Confidence: MODERATE_x000D_
Further evaluation of the GI tract and pancreas as clinically and/or biochemically indicated.</t>
  </si>
  <si>
    <t>Six radiographs of the thorax and abdomen are provided. The cardiac silhouette and pulmonary vessels are normal size. There are no abnormalities in the pulmonary parenchyma. No pleural effusion. Normal tracheal diameter and cranial mediastinal width. Small volume fluid in the caudal esophagus is transient and incidental. In the abdomen there is no effusion or organomegaly. The gastrointestinal tract is mildly filled. No radiopaque cystic calculi.</t>
  </si>
  <si>
    <t>Normal thorax and abdomen. A reason for respiratory signs and hyporexia is not identified. Upper airway inflammation or infectious airway disease should be considered. There is no evidence of aspiration pneumonia.</t>
  </si>
  <si>
    <t xml:space="preserve">
1.The stomach is normal. The small bowel is diffusely gas- and fluid-filled without segmental small bowel dilation._x000D_
2.Abdominal detail is normal._x000D_
3.Liver size, shape and margin are normal._x000D_
4.Splenic size, shape and margin are normal.</t>
  </si>
  <si>
    <t>The AI result for this case is most compelling for: Normal visualized abdomen.
Radiographically normal liver, spleen, GI tract and abdominal detail.</t>
  </si>
  <si>
    <t>3 views of the abdomen are presented for review.  Serosal detail is adequate in all quadrants.  The stomach contains a moderate amount of ingesta.  The small intestines are normal in size.  Gas and feces are present in the colon.  The urinary bladder is small. No mineral is seen associated with the urinary tract.  The remaining abdominal organs are normal.  There is consistent narrowing of the intervertebral disc spaces at T10-L1.  There is spondylosis deformans at L1-2.  No fractures or aggressive osseous lesions are seen.</t>
  </si>
  <si>
    <t>Radiographically normal abdomen.  Narrowed intervertebral disc spaces suggestive of herniations.</t>
  </si>
  <si>
    <t>CT or  MRI could be considered if clinically indicated.</t>
  </si>
  <si>
    <t xml:space="preserve">
1.The liver is moderately enlarged but retains a smooth margin._x000D_
2.Abdominal detail is normal._x000D_
3.Splenic size, shape and margin are normal._x000D_
4.The stomach is normal. Small intestinal bowel loops are normal in size and distribution and have a mixed pattern. No signs of obstruction.</t>
  </si>
  <si>
    <t>Patient Name : Jane Souza, Date of study: Sep 20, 2024
8 images are provided for review
There are no previous radiographs for comparison.
Abdomen image evaluation is requested.
Liver: The liver is minimal to mildly enlarged with a rounded caudoventral margin, but normal gastric axis.
Spleen: The spleen is normal in size with smooth margins and homogeneous soft tissue in the ventrodorsal image.
Kidneys: The left kidney is suspiciously enlarged and measures up to 3.5 x L2 vertebra. In the ventrodorsal image, the left kidney has a suspiciously undulant caudolateral margin.  The right kidney is not well-identified but is not obviously enlarged.  
Retroperitoneum: In the caudal retroperitoneum is tubular or lobular increased soft tissue.  This is dorsal to the descending colon, and the colon is ventrally displaced mildly.  Ill-defined mineral is superimpose over this soft tissue dorsal to the colon at the level of L7.  The cranial margin of this tissue is rounded and mass-like.  Retroperitoneal detail is adequate.
Urinary bladder/Urethra: Ill-defined mineral is over the caudal and slightly dorsal aspect of the urinary bladder in the presumed region of the urinary bladder neck.  Ill-defined mineral is over the cranioventral portion of the urinary bladder.  The urinary bladder is normal in size and well-defined, but has slightly undulant margins in the left lateral image.
Peritoneum: Peritoneal detail is adequate.
Gastrointestinal tract: The stomach contains moderate gas. Gastric rugal folds are mildly prominent.   The stomach is within normal limits for size.
The small intestine contains mild gas and fluid or is empty with a subjectively uniform population for size. 
The colon contains minimal heterogeneous soft tissue material and gas.  The colon is within normal limits for size.  
Musculoskeletal: Bilateral stifle osteoarthrosis is suspected. Mild bilateral coxofemoral joint osteoarthrosis is present.  The remaining included musculoskeletal structures are normal.</t>
  </si>
  <si>
    <t>1. Caudal retroperitoneal mass-like soft tissue with ill-defined mineral.
- This may be due to evolving neoplasia in the ureters such as from transitional cell carcinoma, or less likely mechanical obstruction/ureterolith and evolving urinoma or other. 
2. Suspicious left renomegaly and marginal change for evolving neoplasia (metastatic or less likely primary) versus other.
3. Atypical urinary bladder mineral in the cranioventral and urinary bladder neck regions is suspicious for dystrophic mineralization of neoplasia such as from transitional cell carcinoma, or less likely chronic cystitis/polypoid cystitis with mineralization from cystitis, or unlikely other.
4. Minima-mild hepatomegaly due to vacuolar change, nodular hyperplasia, evolving neoplasia (metastatic or unlikely primary), versus artifact.
5. Prominent gastric rugal folds due to non-specific gastritis versus variation of normal.
6. Non-specific small intestinal/colon appearance from enteritis/colitis (such as from evolving systemic disease) or variation of normal.
7. Bilateral stifle joint osteoarthrosis is suspected.
8. Bilateral coxofemoral joint osteoarthrosis.</t>
  </si>
  <si>
    <t>Consider abdominal ultrasonography for further evaluation of the urinary bladder, kidneys and ureters, as well as the liver.  BRAF testing and/or traumatic catheterization versus coagulation testing and percutaneous tissue sampling depending on results.  Consider computed tomography of the abdomen/pelvis/thorax for further evaluation, with/without contrast vaginocystourethrography/urethrography for further evalaution.  Routine blood work if not recently performed.  Empirical therapy and supportive care in the interim for cystitis and gastrointestinal clinical signs as needed.  Monitoring as directed or sooner if clinical signs acutely change, fail to improve or worsen.</t>
  </si>
  <si>
    <t xml:space="preserve">
1.The liver, spleen and abdominal detail are normal._x000D_
2.No abnormal AI findings reported._x000D_
3.No abnormal AI findings reported._x000D_
4.The remainder of the small intestinal tract is normal. A portion of the colon has a questionably rigid appearance._x000D_
5.The gastric rugae are prominent or the gastric lumen contains soft tissue opaque material that mimics the appearance of prominent gastric rugae.</t>
  </si>
  <si>
    <t>Concern for gastritis +/- colitis. This finding should be correlated with clinical signs of GI disease. Normal liver and spleen. Normal abdominal detail.</t>
  </si>
  <si>
    <t xml:space="preserve">
Virtual Radiologist Case Difficulty: MODERATE_x000D_
Virtual Radiologist Confidence: MODERATE_x000D_
See above for recommendations.</t>
  </si>
  <si>
    <t>Abdomen: There is no evidence of a gastrointestinal foreign body or obstruction.  There is mild diffuse splenomegaly.  The liver is unremarkable.  There are no abnormalities involving the visible portions of the urinary tract.  Serosal detail is normal.</t>
  </si>
  <si>
    <t>Mild splenomegaly which may be incidental, reactive, or possible extramedullary hematopoiesis.</t>
  </si>
  <si>
    <t xml:space="preserve">
1.The colon is unremarkable._x000D_
2.The liver is normal in size with smooth serosal margins._x000D_
3.The spleen is smoothly margined and at the upper limits of normal for size to mildly enlarged on the lateral projection._x000D_
4.Serosal detail is normal._x000D_
5.The stomach is unremarkable._x000D_
6.The small intestines contain gas and fluid and are normal in diameter.</t>
  </si>
  <si>
    <t>Three radiographs of the abdomen dated September 19, 2024 are provided. Peritoneal detail is adequate. The patient appears to be intact, and the prostate is visible, consistent with benign hyperplasia. Moderate volume gas in the stomach. Small bowel are minimally filled. Small volume formed feces in the distal colon. Several punctate mineral densities in the distal colon are likely incidental. No other foreign material is appreciated. The liver, spleen, left kidney are normal size. The right kidney is obscured. Normal caudal thorax._x000D_
_x000D_
An additional lateral view of the abdomen was obtained on September 20, 2024. The name on this image is =ZZ92=Barrett.Bert=ZZ92=. On this image the small volume feces remains in the distal colon. The stomach and small bowel are minimally filled. There is no effusion.</t>
  </si>
  <si>
    <t>Normal abdomen. Gastroenteritis secondary to dietary indiscretion is most likely. There is no evidence of an obstructive process. Small radiolucent gastric foreign material is not definitively ruled out.</t>
  </si>
  <si>
    <t>If the patient has not improved with supportive care, fasted abdominal ultrasound would be recommended.</t>
  </si>
  <si>
    <t xml:space="preserve">
1.A portion of the colon is gas filled and has a rigid appearance._x000D_
2.Liver size, shape and margin are normal._x000D_
3.The spleen is mildly enlarged overall with smooth, well-defined margins and homogeneous soft tissue._x000D_
4.Mid-abdominal detail is decreased._x000D_
5.The gastric rugae are mildly prominent or the stomach contains material that mimics the appearance of prominent gastric rugae._x000D_
6.The small intestine contains a mild volume of gas, fluid or is empty._x000D_
7.Overall, the small intestine is normal in size.</t>
  </si>
  <si>
    <t>There is no evidence of mechanical ileus. Free abdominal air CANNOT currently be detected with AI so it CANNOT be ruled out from this study. Non-specific small and large intestinal changes are suspicious for enterocolitis such as from dietary indiscretion, toxin ingestion, parasitism, inflammatory bowel disease or secondary to systemic disease. A mild gastritis is also suspected. Decreased mid-abdominal detail. DDx: regional mesenteric inflammation secondary to gastroenterocolitis, including GI ulcerative disease, vs. active pancreatitis vs. lymph node enlargement vs. less likely, hepatobiliary disease. Mild splenomegaly due to sedation, lymphoid hyperplasia secondary to abdominal inflammation, extramedullary hematopoiesis splenitis, or in an older patient, neoplasia.</t>
  </si>
  <si>
    <t xml:space="preserve">
Virtual Radiologist Case Difficulty: MODERATE_x000D_
Virtual Radiologist Confidence: MODERATE_x000D_
If you are concerned, but uncertain, about free abdominal air in this case, submission of this case to Vetology for a full radiograph interpretation is recommended._x000D_
Based on clinical signs and blood work, consider abdominal ultrasonography and screening for causes of mild splenomegaly, such as tick-borne illness._x000D_
Coagulation testing and splenic tissue sampling may be contributory._x000D_
If GI signs are present, consider empirical therapy for enterocolitis and repeat 3-view abdominal radiographs for further evaluation._x000D_
Fecal evaluation and empirical deworming may be contributory. Pancreatic testing is also recommended.</t>
  </si>
  <si>
    <t>3 views centered over the thorax and abdomen are submitted for review.  The cardiac silhouette is generally enlarged with moderate to marked left atrial enlargement.  The intrathoracic trachea is dorsally deviated.  The pulmonary vasculature is mildly prominent.  Mild bronchointerstitial markings are noted in the lung fields.  No evidence of cardiogenic pulmonary edema is seen.  No pleural effusion or intrathoracic lymphadenopathy is noted.  The trachea is normal in diameter._x000D_
In the abdomen, the stomach and small bowel contain mild amount of gas.  Formed stool is noted throughout the colon.  The liver and spleen are normal in size, shape, and margination.  The bilateral renal silhouettes are within normal limits.  The urinary bladder is unremarkable.  Serosal detail is normal.</t>
  </si>
  <si>
    <t>The appearance of the heart is most consistent with left-sided cardiomegaly associated with at least stage B2 myxomatous mitral valve disease.  No evidence of congestive heart failure is noted in the current study. The very mild changes in the lung fields are nonspecific and could be associated with chronic inflammatory airway disease and/or age-related change._x000D_
Essentially radiographically normal abdomen.</t>
  </si>
  <si>
    <t>Chronic inflammatory airway disease, dynamic large airway collapse or compression associated with left atrial enlargement could be considered as a cause of the cough.  No evidence of congestive heart failure is noted in the current study although cardiac medication as with Pimobendan is likely indicated.  An echocardiogram should be considered for further evaluation of the heart.</t>
  </si>
  <si>
    <t xml:space="preserve">
1.On the lateral projection, the liver is small with cranial displacement of the gastric axis to lower limits of normal for size._x000D_
2.Abdominal detail is satisfactory._x000D_
3.The stomach is normal. The small bowel is diffusely gas- and fluid-filled but without segmental bowel dilation._x000D_
4.Splenic size, shape and margin are normal.</t>
  </si>
  <si>
    <t>Mid microhepatia to lower limits of normal. DDx: variant of normal vs. microvascular dysplasia vs. less suspected, congenital portosystemic shunting vessel vs. chronic hepatitis/cirrhosis.</t>
  </si>
  <si>
    <t xml:space="preserve">
Virtual Radiologist Case Difficulty: MODERATE_x000D_
Virtual Radiologist Confidence: MODERATE_x000D_
CBC, serum biochemistry, pre- post-prandial bile acids and ammonia testing for further evaluation of the liver._x000D_
If a portosystemic shunt is suggested on these results, consider computed tomography portography for further evaluation, with/without hepatic biopsy.</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</si>
  <si>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Unformed feces in the colon._x000D_
Serosal detail is preserved._x000D_
Liver and spleen are within normal limits of size and smoothly marginated._x000D_
Kidneys and urinary bladder WNL.</t>
  </si>
  <si>
    <t>1) Unremarkable thorax without signs of pulmonary metastases nor signs of thoracic lymphadenopathy._x000D_
2) Unremarkable abdomen other than the unformed feces in the colon.</t>
  </si>
  <si>
    <t>Consider abdominal US to further evaluate causes of diarrhea for 3-4 weeks (ideally internist consultation).</t>
  </si>
  <si>
    <t xml:space="preserve">
1.Liver size is at the lower limits of normal but retains a smooth margin._x000D_
2.Splenic size, shape and margin are normal._x000D_
3.Abdominal detail in the cranial abdomen is mildly decreased on the lateral projection._x000D_
4.A mild amount of air is present in the cranial duodenum in the ventrodorsal image._x000D_
5.The small intestinal tract contains normal volumes of fluid, gas and ingesta but portions have a rigid appearance._x000D_
6.The ascending, transverse and descending colon are in a normal position and contain gradually more formed feces._x000D_
7.The stomach contains a small amount of air and either has prominent gastric rugae or contains a small amount of soft tissue material.</t>
  </si>
  <si>
    <t>The overall impression is one of a normal post-prandial GI tract. However, in a vomiting patient, gastroenteritis, primary or secondary to pancreatitis, should be ruled out. Gastroenteritis may be due to dietary indiscretion, or infectious-inflammatory causes. There is no evidence of a complete mechanical obstruction.</t>
  </si>
  <si>
    <t xml:space="preserve">
Virtual Radiologist Case Difficulty: LOW_x000D_
Virtual Radiologist Confidence: HIGH_x000D_
Empirical management with fluids, antiemetics, antacids, prophylactic deworming, and gastroprotectants as clinically indicated and repeat radiographs may be considered. Blood work, including pancreatic testing, should also be considered._x000D_
If GI signs persist, an upper GI contrast study or abdominal ultrasound may be considered.</t>
  </si>
  <si>
    <t>Abdomen. Five radiographs of the abdomen (four lateral, one VD) dated September 20, 2024 are provided.
Urinary: The urinary bladder is moderately distended. On all views there are several variably sized gas foci within the lumen of the urinary bladder. On the last image timestamp 14:48:24 there is positive contrast media within the mid aspect of the urinary bladder. There is no evidence of contrast within the peritoneal space. The kidneys are largely obscured due to superimposition of bowel and reduced detail.
Gastrointestinal tract: The stomach is small in size and primarily soft tissue opaque. The small intestines are poorly delineated due to reduced serosal detail. Pathologic dilation is not identified. There is loosely formed feces and gas in the colon.
Liver: The liver is within normal limits of size and shape.
Spleen: The spleen is normal in size with smooth margins.
Peritoneal/retroperitoneal space: There is a diffuse reduction in detail in the peritoneal and retroperitoneal spaces.
Musculoskeletal: The included skeletal and superficial soft tissue structures of the study are within normal limits.</t>
  </si>
  <si>
    <t>1. Reduced serosal detail in the peritoneal and retroperitoneal spaces. Differentials include modified/pure transudate, hemorrhage, and exudate. The uroperitoneum is unlikely given no evidence of bladder rupture.
2. There is intraluminal gas within the urinary bladder, likely secondary to the reported urinary catheterization. Calculi within urinary bladder or urethra are not identified.
3. The gastrointestinal tract is unremarkable. A soft tissue opaque foreign body is not ruled out.</t>
  </si>
  <si>
    <t xml:space="preserve">Consider abdominal ultrasound for further evaluation of the urinary bladder and peritoneal/retroperitoneal space. Urine culture and sensitivity testing may be contributory if not already performed. If peritoneal effusion is confirmed, abdominocentesis with cytology would be recommended.
</t>
  </si>
  <si>
    <t xml:space="preserve">
1.Splenic size, shape and margin are normal._x000D_
2.Abdominal detail is normal._x000D_
3.Liver size, shape and margin are normal._x000D_
4.The stomach is normal. The small bowel is diffusely gas- and fluid-filled without segmental small bowel dilation.</t>
  </si>
  <si>
    <t>Study:_x000D_
Thoracic and abdominal radiography: six images dated September 20, 2024_x000D_
_x000D_
Findings:_x000D_
There is moderate left ventricular and left atrial enlargement. The pulmonary vasculature is normal in size. There is a mild generalized bronchial pulmonary pattern. No pulmonary nodules or masses are present. The pleural space is normal. There is no intrathoracic lymphadenopathy. The trachea is normal in diameter. The stomach contains a small volume of gas. The small intestines are normal in size, course and content. The colon contains formed fecal material. The liver is moderately enlarged with smooth and sharp margins. The spleen is normal in size and margin. The renal silhouettes are normal in size and contour. The urinary bladder is normal in size and opacity. There is narrowing of the L2-L3, L4-L5 and L5-L6 intervertebral disc spaces with mild to moderate spondylosis deformans. There is mild spondylosis deformans at L7-S1 without intervertebral disc space narrowing. TPLO implants are present in the proximal aspect of the right tibia. There is no peri-implant lucency. There is a lipomatous mass in the subcutaneous tissues of the ventral thorax. There is a 3 cm soft tissue opaque mass in the subcutaneous tissues of the left lateral thorax. A small lipomatous mass is present in the subcutaneous tissues of the caudoventral abdomen.</t>
  </si>
  <si>
    <t>1. Moderate left-sided cardiomegaly, indicative of mitral valve disease, without evidence of decompensation. Echocardiography should be considered for further evaluation._x000D_
2.  The mild generalized bronchial pulmonary pattern may indicate allergic, inflammatory, infectious, parasitic or irritant bronchitis. Airway sampling, heartworm testing and Baermann fecal flotation can be considered for further evaluation._x000D_
3. There is no radiographic evidence of pulmonary metastatic disease._x000D_
4. The generalized hepatomegaly is nonspecific. Rule out metabolic/vacuolar hepatopathy, hyperplasia, hepatitis or infiltrative neoplasia. Sonography can be considered for further evaluation._x000D_
5. The remainder the abdomen is unremarkable. Abdominal sonography can be considered for further staging._x000D_
6. Multifocal lumbar intervertebral disc disease._x000D_
7. Left lateral thoracic subcutaneous is soft tissue mass. Rule out benign or malignant neoplasia, abscess or granuloma.</t>
  </si>
  <si>
    <t xml:space="preserve">
1.On the lateral projection, the hepatic serosal margins are mildly rounded in the liver is mildly enlarged._x000D_
2.Equivocal splenomegaly is present._x000D_
3.No abnormal AI findings reported._x000D_
4.The stomach contains a small volume of fluid and gas._x000D_
5.The small bowel contains fluid and gas diffusely. No segmental small bowel dilation is noted._x000D_
6.The colon is largely empty with only scant gas.</t>
  </si>
  <si>
    <t>Patient Name : MISSY ROLDAN, Date of study: Sep 20, 2024
5 images are provided for review
There are no previous radiographs for comparison.
Bones/Joints:
T12-13, L1-2 spondylosis deformans is present.  The L1-2, L3-4 intervertebral disc spaces are narrowed relative to adjacent spaces.  There is no evidence of mineral over the intervertebral foramina.  There is no evidence of intervertebral dorsal articulation osteoarthrosis.
The coxofemoral joints have no obvious osteoarthrosis.  There is adequate coverage of the femoral heads by the acetabulums.
Bilateral femoral trochlear hypoplasia is present.  The left patella is medially positioned over the distal femur in one of the craniocaudal images.
Moderate left stifle osteoarthrosis is present, with osteophytes at the femoral trochlea ridges, fabellae, and medial/lateral tibial condyles. The left infrapatellar fat pad is well-defined.
The included left tarsus is normal.
Moderate right stifle osteoarthrosis is present, with osteophytes at the femoral trochlea ridges, fabellae, and medial/lateral tibial condyles.  The right infrapatellar fat pad is well-defined.
The included right tarsus is normal.  
There is no evidence of medullary sclerosis, osteolysis, endosteal scalloping, or periosteal proliferation.
Soft tissues:  The included soft tissues are normal.
Limited abdomen:  Bilateral renal mineral is present.  The kidneys has undulant or rounded margins, more severe on the left.</t>
  </si>
  <si>
    <t>1. Moderate right stifle osteoarthrosis such as from intra-capsular soft tissue injury and instability (cranial cruciate ligament), possibly exacerbated by occult patella luxation.
2. Moderate left stifle osteoarthrosis.
3. Bilateral femoral trochlear hypoplasia, and left medial patella subluxation.
4. L1-2 and L3-4 intervertebral disc space narrowing such as from intervertebral disc disease.
5. Bilateral nephroliths and presumed chronic renal disease/cortical infarcts or unlikely other.</t>
  </si>
  <si>
    <t>Consider orthopedist consultation and medical versus surgical intervention to the right and/or left stifle joint. Routine blood work and urinalysis, SDMA, blood pressure may be contributory, as well as abdominal imaging.  Consider neurologist consultation and MRI for further evaluation of myelopathy if clinically indicated. Empirical therapy and supportive care in the interim as needed.  Monitoring as directed or sooner if clinical signs acutely change, fail to improve or worsen.</t>
  </si>
  <si>
    <t xml:space="preserve">
1.There is mild hepatomegaly with smooth margins. No hepatic mass is identified._x000D_
2.The spleen is unremarkable._x000D_
3.The serosal detail is normal._x000D_
4.The gastrointestinal tract is also unremarkable.</t>
  </si>
  <si>
    <t>Hepatomegaly. Differential diagnoses include vacuolar hepatopathy (such as from hyperadrenocorticism or diabetes mellitus), nodular hyperplasia, hepatitis/cholangiohepatitis, or evolving neoplasia (metastatic versus primary).</t>
  </si>
  <si>
    <t xml:space="preserve">
Further evaluation of the liver with routine blood work and abdominal ultrasonography may be beneficial._x000D_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</si>
  <si>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3 views of the abdomen are provided for review.  Serosal detail is adequate in all quadrants.  The stomach contains a small amount of gas and the rugal folds are prominent.  The small intestines are normal in size.  Gas is present in the colon.  The urinary bladder is small.  The remaining abdominal organs are normal.</t>
  </si>
  <si>
    <t>Prominent rugal folds suggestive of gastritis.  This does not rule out underlying pancreatitis or infiltrative neoplasia.</t>
  </si>
  <si>
    <t>Abdominal ultrasound could be considered in further evaluation.</t>
  </si>
  <si>
    <t>Three radiographs of the abdomen are provided. The cranial right quadrant has a hazy appearance on the VD projection, otherwise serosal detail is adequate. Small volume amorphous soft tissue opaque ingesta in the stomach. Small bowel are mildly gas-filled. Large volume gas in the cecum and colon. No radiopaque foreign material is appreciated. The liver is upper normal size with smooth margins. Normal-sized spleen and kidneys. No radiopaque urolithiasis. Osseous structures and the caudal thorax are normal.</t>
  </si>
  <si>
    <t>Hazy cranial right quadrant can be seen with pancreatitis. This could also be artifact caused by summating normal anatomy. Otherwise normal abdomen. There is no evidence of an obstructive process.</t>
  </si>
  <si>
    <t>If clinical signs persist despite supportive care, a CBC, blood chemistry profile, and testing for pancreatitis should be considered.</t>
  </si>
  <si>
    <t xml:space="preserve">
1.No abnormal AI findings reported._x000D_
2.The liver and spleen appear within normal limits for size and contour._x000D_
3.No abnormal AI findings reported._x000D_
4.The stomach is minimally distended._x000D_
5.The small intestinal tract is gas and fluid filled. No evidence of obstruction._x000D_
6.Resource: https://platform.v2.vetology.net/doc/gi_protectants_1</t>
  </si>
  <si>
    <t>The appearance of the stomach is likely related to normal ingesta in the absence of GI symptoms. However, if GI symptoms are present, gastroenteritis/colitis secondary to dietary indiscretion or infectious etiology could be considered.</t>
  </si>
  <si>
    <t xml:space="preserve">
Virtual Radiologist Case Difficulty: MODERATE_x000D_
Virtual Radiologist Confidence: MODERATE_x000D_
In a vomiting or anorexic patient, supportive care and therapy for gastroenteritis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</si>
  <si>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Study:_x000D_
Abdominal radiography: four images dated September 20, 2024_x000D_
_x000D_
Findings:_x000D_
There is a structured heterogeneous soft tissue opacity in the stomach which extends into the pylorus on the left lateral projection. There is a smoothly marginated fragmented gas pattern in the small intestines The small intestines are normal in size and course. The colon is gas filled. The liver is moderately enlarged with smooth margins. The spleen is normal in size and margin. The renal silhouettes are normal in size and contour. The urinary bladder is normal in size and opacity. There is no prostatomegaly. The included thorax is unremarkable. There mineral foci superimposed with the L3-L4 through L5-L6 intervertebral foramen. There is mild L1-out to spondylosis deformans.</t>
  </si>
  <si>
    <t>1. The structured soft tissue opacity in the stomach is concerning for a foreign body. Ingesta cannot be completely excluded. Repeat radiography in 3 to 5 hours can be considered to monitor for persistence or passage of this material before considering endoscopy._x000D_
2. The smoothly marginated fragmented gas pattern seen in the small intestines can be an indicator of nonspecific enteritis. There is no evidence of small intestinal mechanical obstruction._x000D_
3. The generalized hepatomegaly is nonspecific. Rule out metabolic/vacuolar hepatopathy, hyperplasia, hepatitis or infiltrative neoplasia. Sonography can be considered for further evaluation._x000D_
4. The punctate mineral foci superimposed with the L3-L4 through L5-L6 intervertebral foramen may indicate herniated mineralized intervertebral disc material or lateralized spondylosis deformans.</t>
  </si>
  <si>
    <t xml:space="preserve">
1.The spleen is upper limits of normal to mildly enlarged but retains a smooth margin._x000D_
2.Mid-abdominal detail is mildly decreased on the lateral projection._x000D_
3.The abdomen is mildly pendulous._x000D_
4.The stomach contains a mild quantity of soft tissue opaque material and gas._x000D_
5.The small bowel is diffusely gas- and fluid filled however no segmental small bowel dilation is noted._x000D_
6.The liver is mildly enlarged but retains a smooth margin.</t>
  </si>
  <si>
    <t>Diffusely fluid filled small bowel. This could be normal for a post-prandial patient however if GI signs are present, gastroenterocolitis is the primary consideration. No evidence of a small intestinal obstruction. Mild hepatomegaly. No hepatic mass noted. DDx: fat deposition vs. hepatitis secondary to GI disease vs. hepatic venous congestion. Metabolic hepatopathy or infiltrative neoplasia are considered less likely. Pendulous abdomen. DDx: secondary to intra-abdominal fat deposition vs. abdominal pain secondary to GI disease. Decreased mid-abdominal detail. DDx: secondary to confluence of soft tissues due to the hepatomegaly vs. small volume abdominal fluid. Splenic size at the upper limits of normal to mildly enlarged. DDx: lymphoid hyperplasia secondary to abdominal disease vs. extramedullary hematopoiesis.</t>
  </si>
  <si>
    <t xml:space="preserve">
Virtual Radiologist Case Difficulty: MODERATE_x000D_
Virtual Radiologist Confidence: MODERATE_x000D_
Based on clinical signs and blood work, further evaluation of the liver and/or GI tract via abdominal ultrasound and/or IM consultation may be warranted.</t>
  </si>
  <si>
    <t>3 lateral views of the abdomen and lumbar spine are provided for review.  Serosal detail is adequate in all quadrants.  The stomach contains a moderate amount of mottled soft tissue material.  The small intestines are normal in size.  Gas and feces are present in the colon.  The urinary bladder is small.  The remaining abdominal organs are normal.  Mineral opaque intervertebral discs are seen in situ at T11-13, L1 4, and L5-6.  There is consistent narrowing of the intervertebral disc space at T13-L1.  No fractures or aggressive osseous lesions are seen.</t>
  </si>
  <si>
    <t>Material within the stomach may represent residual ingesta or foreign material.  Consider repeat radiographs following strict fasting to determine if gastric contents persist.  Multiple sites of intervertebral disc disease.  Narrowed intervertebral disc space suggestive of intervertebral disc herniation.  CT or MRI could be considered if clinically indicated.</t>
  </si>
  <si>
    <t xml:space="preserve">
1.Moderate volume ingesta fills the stomach._x000D_
2.Small intestines are mildly gas filled._x000D_
3.Abdominal detail is normal._x000D_
4.The spleen is normal for size._x000D_
5.The liver is upper limits of normal for size to mildly enlarged but retains a smooth margins._x000D_
6.Formed feces is present in the distal colon.</t>
  </si>
  <si>
    <t>Study:_x000D_
Abdominal radiography: six images dated September 20, 2024_x000D_
_x000D_
Findings:_x000D_
The stomach contains a large amount of unstructured heterogeneous soft tissue material. The pylorus is appropriately gas-filled and in the correct anatomic location on the left lateral view. The small intestines are normal in size, course and content. The colon contains poorly formed fecal material with a normal diameter. The liver and spleen are normal in size and margin. The renal silhouettes are normal in size and contour. The urinary bladder is normal in size and opacity. There is no prostatomegaly. The included thorax is normal. There is severe lumbosacral spondylosis deformans.</t>
  </si>
  <si>
    <t>Gastric contents likely represent ingesta. Foreign material cannot be completely excluded. The abdomen is otherwise unremarkable.</t>
  </si>
  <si>
    <t>Repeat fasted radiography can be considered to ensure gastric emptying._x000D_
_x000D_
Neurology consultation plus/minus MRI can be considered for further evaluation of the suspected seizure.</t>
  </si>
  <si>
    <t xml:space="preserve">
1.Abdominal detail is normal._x000D_
2.The stomach is normal. The small bowel is diffusely gas- and fluid-filled without segmental small bowel dilation._x000D_
3.The liver is mildly enlarged, and retains a smooth margin._x000D_
4.Splenic size, shape and margin are normal.</t>
  </si>
  <si>
    <t>Patient Name : Gemma Rivera, Date of study: Sep 20, 2024
2 images are provided for review
There are no previous radiographs for comparison.
Cranial abdomen excluded in the ventrodorsal image.
Liver: The liver is subjectively normal in size.
Spleen: The spleen is normal in size with smooth margins and homogeneous soft tissue.
Kidneys: The kidneys are at the lower limits of normal for size with smooth, well-defined margins.
Retroperitoneum: Retroperitoneal detail is adequate.
Urinary bladder/Urethra: The urinary bladder is normal in size, homogeneous soft tissue, and smoothly marginated.
Reproductive:  No obvious uterine enlargement is identified.  
Peritoneum: Peritoneal detail is adequate.
Gastrointestinal tract: The stomach contains a moderate gas admixed with soft tissue material.   The stomach is within normal limits for size.
The small intestine contains  mild gas and minimal fluid or is empty with a subjectively uniform population for size. 
The colon contains moderate well-defined soft tissue material and gas.  A well-defined mineral bocus is admixed with colonic content.  The colon is within normal limits for size.  
Musculoskeletal: The included musculoskeletal structures are normal.</t>
  </si>
  <si>
    <t>1. Gastric material due to recent meal, versus gastritis/delayed gastric emptying or unlikely pyloric outflow tract obstruction given lack of vomiting in reported history.
2. Non-specific small intestinal appearance such as from enteritis or variation of normal.
- There is no current evidence of gastrointestinal mechanical ileus.
- Differential diagnoses include dietary indiscretion (possibly passing colonic mineral), toxin ingestion, diet/antibiotic responsive disease, inflammatory bowel disease, pancreatitis, occult systemic disease or unlikely other.
3. Small colon mineral foreign body such as from dietary indiscretion.
4. Borderline small kidneys due to variation of normal/artifact or unlikely evolving chronic renal disease or other.</t>
  </si>
  <si>
    <t>Consider GI panel, fecal analysis/deworming, urinalysis, SDMA and routine blood work for further evaluation.  Empirical therapy and supportive care in the interim as needed for suspected dietary indiscretion.  Monitoring as directed or sooner if clinical signs acutely change, fail to improve or worsen.</t>
  </si>
  <si>
    <t>Study:_x000D_
Thoracic/abdominal radiography: right lateral and orthogonal views (two images) dated September 20, 2024_x000D_
_x000D_
Findings:_x000D_
The cardiac silhouette and pulmonary vasculature are normal in size. The pulmonary parenchyma is unremarkable. The pleural space is normal. There is no intrathoracic lymphadenopathy. There is a broad-based soft tissue opaque band superimposed with the dorsal aspect of the trachea lumen at the thoracic inlet likely representing a redundant dorsal tracheal membrane. The tracheal diameter is normal. The stomach contains a small volume of gas. The small intestines are normal in size, course and content. The colon contains formed fecal material. The liver extends mildly beyond the costal arch with a rounded caudoventral margin. The spleen is normal in size and margin. The kidneys are normal in size and contour. The urinary bladder is normal in size and opacity. There is no prostatomegaly. Suture material is present in the inguinal region. There is narrowing of the T 12-T 13 and T 13-L1 intervertebral disc spaces. The C3-C4 through C6-C7 intervertebral disc spaces also appear narrowed=ZZ90= however, this finding could be overestimated by patient positioning and beam distortion. There is variable mild to severe multifocal spondylosis deformans.</t>
  </si>
  <si>
    <t>1. Redundant dorsal tracheal membrane. Normal diameter of the trachea does not to the positive concomitant tracheal collapse. Fluoroscopy can be considered to further evaluate for possible dynamic airway disease as a cause of coughing is not ever otherwise evident._x000D_
2. There is no radiographic evidence of heart disease. Consider echocardiography for further evaluation of the reported heart murmur._x000D_
3. There is no radiographic evidence of pulmonary metastatic disease._x000D_
4. The mild hepatomegaly and rounding of the caudal ventral liver margin is likely secondary to the reported liver mass. The remainder the abdomen is unremarkable._x000D_
5. Multifocal intervertebral disc disease.</t>
  </si>
  <si>
    <t xml:space="preserve">
1.The spleen is normal in size._x000D_
2.There is a minimal amount of mottled soft tissue density material mixed with gas within the stomach._x000D_
3.Minimal decrease in abdominal detail._x000D_
4.Small intestinal bowel loops are normal in size and have a mixed pattern. No obvious obstruction._x000D_
5.The liver is normal in size.</t>
  </si>
  <si>
    <t>The appearance of the stomach is likely related to normal ingesta in the absence of GI symptoms. However, if GI symptoms are present, gastroenteritis secondary to dietary indiscretion or infectious etiology could be considered. Appearance of the small bowel may be within normal limits, however, particularly in the presence of GI symptoms, this could represent partial obstruction or ileus. A complete obstruction is not suspected. Decreased abdominal detail is within normal limits for a thin patient, however a small volume regional peritoneal effusion such as secondary pancreatitis could also be considered.</t>
  </si>
  <si>
    <t xml:space="preserve">
Virtual Radiologist Case Difficulty: MODERATE_x000D_
Virtual Radiologist Confidence: MODERATE_x000D_
In a vomiting or anorexic patient, supportive care and therapy for gastroenteritis/pancreatitis are recommended. If the symptoms persist, repeat abdominal radiographs following fasting to assess for obstruction, access to water or IV fluid therapy is recommended. Blood work and an abdominal ultrasound could be performed for further assessment of the pancreas and GI tract.</t>
  </si>
  <si>
    <t>Abdomen. Four radiographs of the abdomen (two lateral, two VD) dated September 20, 2024 are provided.
Gastrointestinal tract: The stomach is small in size and normal in opacity. The rugal folds are prominent. The small intestine is diffusely within normal limits of diameter and contains gas and soft tissue/fluid. The colon is normal in size and contains gas and loosely formed feces.
Liver: The liver is normal in size and shape.
Spleen: The spleen is normal in size with smooth margins.
Urinary: The visible margins of the kidneys are within normal limits. The urinary bladder is small in size and normal in opacity.
Peritoneal space: There is adequate serosal detail.
Musculoskeletal: The included skeletal and superficial soft tissue structures of the study are within normal limits.</t>
  </si>
  <si>
    <t>1. Prominent gastric rugal folds are suggestive of gastritis.
2. There is no evidence of a mechanical small intestinal obstruction or mineral/metal opaque foreign body. Differentials for vomiting include nonspecific gastroenteritis and pancreatitis.</t>
  </si>
  <si>
    <t>Medical management and supportive care are recommended. If vomiting persists despite treatment, recheck fasted abdominal radiographs, abdominal ultrasound, or upper GI contrast study would be recommended. Abdominal ultrasound would be more sensitive for pancreatitis. An upper GI contrast study would be more sensitive for foreign material. Barium may be therapeutic in addition to diagnostic.</t>
  </si>
  <si>
    <t xml:space="preserve">
1.No abnormal AI findings reported._x000D_
2.No abnormal AI findings reported._x000D_
3.On the VD projection, right cranial abdominal detail is decreased and the individual bowel loops cannot be distinguished._x000D_
4.The stomach is empty._x000D_
5.The small bowel is diffusely fluid- and gas-filled with a semi-rigid appearance._x000D_
6.Liver and splenic size, shape and margin are unremarkable.</t>
  </si>
  <si>
    <t>Orthogonal radiographs of the thorax, and three views of the abdomen are provided. The cardiac silhouette and pulmonary vessels are normal size. There are no abnormalities in the pulmonary parenchyma. No pleural effusion. Small volume fat deposition in the cranial mediastinum. Adequate tracheal diameter._x000D_
_x000D_
In the abdomen splenic tail margins are smoothly lobulated. There are several small poorly delineated fat opaque areas within the splenic tail. Normal-sized liver, kidneys. Moderate volume of formed feces in the colon. Punctate mineral density in the stomach is incidental. Small bowel are minimally filled. No radiopaque cystic calculi. Tubular soft tissue structure overlying the retroperitoneal space is likely normal caudal vena cava.</t>
  </si>
  <si>
    <t>1. Fat opacity within the splenic tail may represent incidental fat deposition. The lobulated splenic tail margins is more concerning for a neoplastic process. Lymphoid hyperplasia could cause this appearance. No other abdominal abnormalities._x000D_
2. Normal thorax.</t>
  </si>
  <si>
    <t>Recommend routine blood work, urinalysis, and abdominal ultrasound.</t>
  </si>
  <si>
    <t>Study:_x000D_
Abdominal radiography: three images dated September 19, 2024_x000D_
_x000D_
Findings:_x000D_
The stomach and some small intestinal segments contain unstructured heterogeneous/granular soft tissue material presumed to be ingesta. The small intestines are normal in size and course. The colon contains formed fecal material with a normal diameter. The liver and spleen are normal in size and margin. The renal silhouettes are normal in size and contour. The urinary bladder is normal in size and opacity. The included thorax is normal. There is variable mild to severe multifocal spondylosis deformans. There is mild bilateral stifle periarticular bone formation.</t>
  </si>
  <si>
    <t>1. Postprandial gastrointestinal tract=ZZ90= otherwise, unremarkable abdomen. A cause of the reported bloody stool is not evident. Abdominal sonography can be considered for further evaluation if the clinical signs persist or worsen in spite of medical management._x000D_
2. Mild bilateral stifle osteoarthrosis.</t>
  </si>
  <si>
    <t xml:space="preserve">
1.The liver and spleen are normal size and shape._x000D_
2.Abdominal detail is normal._x000D_
3.The stomach contains small volume gas and equivocal scant soft tissue density._x000D_
4.No abnormal AI findings reported._x000D_
5.Small intestines are minimally distended. No evidence of obstruction.</t>
  </si>
  <si>
    <t>Normal liver, spleen and abdominal detail. The appearance of the GI tract is likely related to normal ingesta in the absence of GI symptoms. However, if GI symptoms are present, gastroenteritis/colitis secondary to dietary indiscretion or infectious etiology is favored. No findings to suggest obstruction.</t>
  </si>
  <si>
    <t xml:space="preserve">
Virtual Radiologist Case Difficulty: LOW_x000D_
Virtual Radiologist Confidence: HIGH_x000D_
In a vomiting or anorexic patient, supportive care and therapy for gastroenteritis is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</si>
  <si>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Abdomen. Four radiographs of the abdomen ([two] lateral, two VD) dated September 20, 2024 are provided.
Urinary: The urinary bladder is severely distended and there are two large, ovoid mineral opaque calculi within the urinary bladder. Each calculus measures approximately 5 cm in length. The kidneys are within normal limits of size, shape, and margination.
Gastrointestinal tract: The stomach contains a small volume of heterogeneous ingesta admixed with gas. The duodenum is well-visualized and normal in size. The small intestine is diffusely within normal limits of diameter and is primarily soft tissue opaque. The colon contains a small volume of loosely formed feces and gas.
Liver: The liver is normal in size and shape.
Spleen: The spleen is normal in size with smooth margins.
Peritoneal space: There is adequate serosal detail.
Musculoskeletal: The included skeletal and superficial soft tissue structures of the study are within normal limits.</t>
  </si>
  <si>
    <t>1. There are two very large calculi in the urinary bladder.
2. The gastrointestinal tract is within normal limits. The small volume of gastric ingesta is most consistent with a recent meal. Foreign material or a bezoar is not ruled out. Differentials for vomiting include non-specific gastroenteritis and pancreatitis. 
3. There is no evidence of a small intestinal mechanical obstruction or mineral/metal opaque foreign body.</t>
  </si>
  <si>
    <t>-Cystotomy is recommended.
-Fasted recheck abdominal radiographs could be considered to confirm the stomach fully empties. If vomiting persists and the stomach does not fully empty, gastroscopy or gastrotomy would be recommended. Medical management and supportive care are recommended in the interim.</t>
  </si>
  <si>
    <t xml:space="preserve">
1.The duodenum is mildly dilated and the pyloroduodenal angle is widened with decreased detail in this region on the VD projection._x000D_
2.Small intestines are homogenously mildly fluid distended, with a turgid appearance._x000D_
3.The ascending, transverse and descending colon contain a small amount of formed feces._x000D_
4.The liver is at the lower limits of normal to slightly small_x000D_
5.The spleen is normal for size, shape and margin._x000D_
6.The stomach is empty._x000D_
7.No abnormal AI findings reported.</t>
  </si>
  <si>
    <t>The overall impression is one of duodenitis and potential gastroenteritis. This may be due to dietary indiscretion, pancreatitis or infectious-inflammatory causes. There is no evidence of a complete mechanical obstruction. A partial obstruction cannot be excluded. Pancreatitis should equally be considered, when considering the duodenal findings. Liver size at the lower limits of normal to mild microhepatia. DDx: normal variant vs. microvascular dypslasia vs. portosystemic shunt vs. chronic hepatopathy with cirrhosis in an older patient.</t>
  </si>
  <si>
    <t xml:space="preserve">
Virtual Radiologist Case Difficulty: LOW_x000D_
Virtual Radiologist Confidence: HIGH_x000D_
If clinically warranted, abdominal ultrasound could be considered to evaluate the pancreas and intestinal architecture._x000D_
Alternatively, continued empirical management with fluids, antiemetics, antacids, prophylactic deworming, and gastroprotectants as clinically indicated and repeat radiographs in 4-6 hours may be considered._x000D_
For the liver, further evaluation if hepatic dysfunction is suspected clinically or biochemically.</t>
  </si>
  <si>
    <t>Seven radiographs are provided, with images of the thorax, abdomen, right stifle. There is mild left atrial and ventricular enlargement. Subsequent dorsal deviation of the caudal thoracic trachea and mainstem bronchi. Cranial lobar vessels are normal size. There is soft tissue opacity with air bronchograms in the perihilar region and radiating distally. This obscures perihilar vessels. No pleural effusion. Normal tracheal diameter. Incidental laryngeal mineralization. Narrowed C4-5, C5-6 intervertebral disc spaces._x000D_
_x000D_
In the abdomen there is no effusion or organomegaly. Formed feces fills the distal colon. The stomach and small bowel are minimally filled. There is a loop of mildly gas-filled small bowel extending into the inguinal region on the right lateral view, not seen on the other projections. No lumbar spinal abnormalities. Previous left femoral head ostectomy. The left patella is likely medially displaced. Previous distal right femoral fracture with cerclage wires and abundant osseous proliferation. Fracture margins remain visible. Small volume fluid in the cranial aspect of the right stifle joint.</t>
  </si>
  <si>
    <t>1. Mild left-sided cardiomegaly consistent with acquired mitral valve disease. There is pulmonary edema indicating left-sided heart failure._x000D_
2. The appearance of C4-5 and C5-6 are both suggestive of intervertebral disc disease. This is the most likely cause for cervical discomfort._x000D_
3. Inguinal hernia involving a loop of small bowel. This is likely chronic, and of doubtful clinical significance at this time. The patient is currently not an ideal candidate for general anesthesia. No intra-abdominal abnormalities._x000D_
4. Mild right stifle effusion suggestive of partial cranial cruciate ligament tear. This should be correlated with palpation.</t>
  </si>
  <si>
    <t xml:space="preserve">
1.The liver and spleen are within normal limits for size with smooth margins._x000D_
2.Abdominal detail is within normal limits._x000D_
3.The stomach is within normal limits. The small bowel is gas- and fluid-filled without segmental small bowel dilation or signs of obstruction._x000D_
4.No abnormal AI findings reported.</t>
  </si>
  <si>
    <t>The AI result for this case is most compelling for: Normal abdominal study. The appearance of the GI tract is likely related to normal ingesta in the absence of GI symptoms. However, if GI symptoms are present, gastroenteritis secondary to dietary indiscretion or infectious etiology could be considered. No evidence of obstruction.</t>
  </si>
  <si>
    <t>10 images of the thorax and abdomen dated 9/19 and 9/20/2024 are presented for review.  The cardiovascular and pulmonary structures are normal.  The pleural and mediastinal structures are normal.  Abdominal serosal detail is adequate in all quadrants.  The stomach contains a moderate amount of soft tissue material on initial images.  A small amount of amorphous soft tissue remains in the stomach on the later images and the gastric rugal folds are prominent.  The small intestines are normal in size.  The duodenum is plicated on the later images.  Gas and feces are present in the colon.  The urinary bladder is small.  The remaining abdominal organs are normal.</t>
  </si>
  <si>
    <t>Radiographically normal thorax.  Gastric contents with subsequent improvement.  The small amount remaining is concerning for residual foreign material.  Duodenal plication on the later images suggest linear foreign body obstruction.  Prominent rugal folds are consistent with gastritis.</t>
  </si>
  <si>
    <t xml:space="preserve">
1.The small bowel is diffusely gas- and fluid-filled but without segmental bowel dilation._x000D_
2.No intestinal plication is seen._x000D_
3.A minimal quantity of soft tissue dense ingesta is visible in the stomach and there is mild prominence to the gastric rugae._x000D_
4.Serosal detail in the cranial abdomen is mildly decreased on the lateral projection._x000D_
5.On the VD projection, an increase in soft tissue opacity is noted in the left lateral abdomen. This is attributed to superimposition of the spleen and left kidney. The spleen appears normal on the lateral projection making splenomegaly a secondary consideration._x000D_
6.The liver is normal.</t>
  </si>
  <si>
    <t>Four radiographs of the abdomen are provided and are compared to images obtained approximately 22 hours earlier on September 19, 2024. The stomach is markedly less distended, containing only small volume gas today. Small bowel are diffusely minimally distended with gas and fluid. There is gas in the colon. No radiopaque foreign material. Serosal detail is adequate. There is no organomegaly. The caudal thorax is normal.</t>
  </si>
  <si>
    <t>The abdomen is normal today. Gastric distention is resolved and there is no evidence of obstruction on this study.</t>
  </si>
  <si>
    <t xml:space="preserve">
1.The stomach is mildly filled. Small intestines are mildly gas and fluid filled. No signs of obstruction._x000D_
2.The liver and spleen are within normal limits for size and contour._x000D_
3.No abnormal AI findings reported._x000D_
4.No abnormal AI findings reported.</t>
  </si>
  <si>
    <t>The appearance of the GI tractis likely related to normal ingesta in the absence of GI symptoms. However, if GI symptoms are present, gastroenteritis/colitis, and pancreatitis secondary to dietary indiscretion or infectious etiology could be considered.</t>
  </si>
  <si>
    <t>4 images of the abdomen are provided for review.  Serosal detail is adequate in all quadrants.  The stomach contains a moderate amount of mottled soft tissue material.  The small intestines are normal in size.  Gas and feces are present in the colon.  The urinary bladder is small.  The remaining abdominal organs are normal.  No overt alveolar infiltrates are seen within the included thorax.  Hemivertebrae present in the thoracic and sacrocaudal spine.</t>
  </si>
  <si>
    <t>Material within the stomach may represent normal ingesta or foreign material.  If the patient has been strictly fasted for 10 hours, gastric contents are abnormal and foreign material is likely.</t>
  </si>
  <si>
    <t>Consider repeat radiographs following continued strict fasting and supportive therapy to determine if gastric contents persist versus endoscopy/abdominal exploratory.</t>
  </si>
  <si>
    <t xml:space="preserve">
1.The stomach is normal. The small bowel is diffusely gas- and fluid-filled without segmental small bowel dilation._x000D_
2.Splenic size, shape and margin are normal._x000D_
3.Liver size, shape and margin are normal._x000D_
4.Abdominal detail is normal.</t>
  </si>
  <si>
    <t>Abdomen: There is a segment of bowel within the mid abdomen that is gas distended.  There are some segments of jejunum that are fluid-filled and considered on the upper limits of normal for diameter.  The liver and spleen are unremarkable.  There are no abnormalities involving the visible portions of the urinary tract.  Serosal detail is normal.</t>
  </si>
  <si>
    <t>The gas dilated segment of bowel is suspicious for dilated segment of jejunum.  An obstructive process should be ruled out.  Alternatively considered less likely this segment may represent gas-filled colon.</t>
  </si>
  <si>
    <t>Recommend further diagnostic imaging such as abdominal ultrasound or possible upper GI series.</t>
  </si>
  <si>
    <t xml:space="preserve">
1.The small intestines are distended._x000D_
2.The gastric rugae are prominent or the gastric lumen contains soft tissue opaque material mimicking the appearance of prominent gastric rugae._x000D_
3.Cranial abdominal detail is decreased however this is attributed to a confluence of soft tissues or lack of intra-abdominal fat over mesenteric inflammation and/or abdominal fluid._x000D_
4.A portion of the colon is gas filled and rigid consistent with inflammation._x000D_
5.The liver and spleen are normal size._x000D_
6.No abnormal AI findings reported.</t>
  </si>
  <si>
    <t>Colitis Fluid filled small bowel. DDx: normal post-prandial vs. enteritis. This finding should be correlated to clinical signs. A small intestinal mechanical obstruction is considered less likely. Decreased abdominal detail. Lack of intra-abdominal fat or confluence of soft tissue suspected over mesenteric inflammation and/or abdominal fluid.</t>
  </si>
  <si>
    <t xml:space="preserve">
Virtual Radiologist Case Difficulty: MODERATE_x000D_
Virtual Radiologist Confidence: MODERATE_x000D_
Supportive care and further diagnostics based on clinical signs.</t>
  </si>
  <si>
    <t>A two view study of the abdomen is provided for interpretation._x000D_
_x000D_
The stomach is gas filled without distention. No foreign bodies are identified in the stomach or intestine. No dilation or plication the intestine is identified. Serosal detail in the abdomen is normal. There is a minimal quantity of normal appearing fecal material in the colon. The other organs are unremarkable.</t>
  </si>
  <si>
    <t>No significant abdominal abnormalities are identified.</t>
  </si>
  <si>
    <t>No foreign bodies or obstructive pattern are identified._x000D_
Supportive care as needed and symptomatic therapy for probable gastroenteritis is recommended._x000D_
Infectious causes of enteritis should be ruled out.</t>
  </si>
  <si>
    <t xml:space="preserve">
1.Splenic size, shape and margin are normal._x000D_
2.Abdominal detail is normal._x000D_
3.Liver size, shape and margin are normal._x000D_
4.The GI tract is normal.</t>
  </si>
  <si>
    <t>Normal liver, spleen, GI tract an abdominal detail.</t>
  </si>
  <si>
    <t>3 images of the abdomen are provided for review.  Serosal detail is adequate in all quadrants.  The stomach contains a moderate amount of mottled soft tissue material.  The small intestines are normal in size.  Gas and feces are present in the colon.  The urinary bladder is small.  The remaining abdominal organs are normal.</t>
  </si>
  <si>
    <t>Material within the stomach may represent normal ingesta or foreign material.</t>
  </si>
  <si>
    <t>Consider repeat radiographs following strict fasting to determine if gastric contents persist.  Abdominal ultrasound could also be considered in evaluation of gastrointestinal wall layering and the pancreas.</t>
  </si>
  <si>
    <t>Thorax. Two radiographs of the thorax (one lateral, one VD) dated September 19, 2024 are provided.
Cardiac silhouette: There is mild left-sided enlargement of the cardiac silhouette. There is rounding/bulging in the region of the left atrium which displaces the caudal mainstem bronchi abaxially on the ventrodorsal view.
Pulmonary vessels: The pulmonary arteries and veins are within normal limits of size.
Pulmonary parenchyma: The pulmonary parenchyma is underinflated on the lateral view but well-inflated on the VD. There are no abnormal pulmonary patterns, nodules, or masses.
Pleural space: The pleural space is within normal limits.
Mediastinum: The mediastinum is normal in width and opacity. There is no evidence of intrathoracic lymphadenopathy.
Trachea: The trachea is focally collapsed at the level of the thoracic inlet. A band of soft tissue opacity superimposed with the trachea cranial to the thoracic inlet.
Esophagus: Skull region of the esophagus is within normal limits.
Cranial abdomen: The stomach is mildly distended with heterogeneous ingesta admixed with gas. There is adequate serosal detail.
Musculoskeletal: There is mild spondylosis deformans of the cranial lumbar spine. The skeletal and superficial soft tissue structures of the study are otherwise unremarkable.</t>
  </si>
  <si>
    <t>1. As reported, there is evidence of collapsing trachea. This is likely contributing to the reported cough.
2. There is mild left-sided cardiomegaly. Myxomatous mitral valve disease is the primary differential. Enlargement of the left atrium may be compressing the caudal mainstem bronchi and contributing to the reported cough.
3. The pulmonary parenchyma is normal. There is no evidence of cardiogenic pulmonary edema/congestive heart failure.</t>
  </si>
  <si>
    <t>An echocardiogram, EKG, and blood pressure are recommended to further evaluate the heart. Medical management for cardiomegaly if indicated by the echocardiogram would be recommended. Medical management for collapsing trachea is recommended.</t>
  </si>
  <si>
    <t xml:space="preserve">
1.The liver is enlarged._x000D_
2.Splenic size, shape and margin are normal._x000D_
3.The abdomen is pendulous._x000D_
4.Moderate volume ingesta fills the stomach._x000D_
5.No intestinal abnormalities are appreciated._x000D_
6.The cecum is gas filled.</t>
  </si>
  <si>
    <t>Hepatomegaly. This is nonspecific and most likely represents steroid or other metabolic hepatopathy. Fat deposition, vacuolar hepatopathy, hepatitis or hepatic venous congestion are additional considerations. In an older patient, infiltrative neoplasia, such as lymphoma, should also be considered. The AI result for this case is most compelling for: hepatomegaly. This finding should be correlated to blood work, physical exam findings and clinical signs.</t>
  </si>
  <si>
    <t xml:space="preserve">
A CBC and blood chemistry profile are recommended._x000D_
If liver values are elevated, abdominal ultrasound +/- pre and post-prandial bile acids should be considered._x000D_
Coagulation profile, platelet count and PCV should be obtained prior to liver sampling._x000D_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</si>
  <si>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Abdomen. Two radiographs of the abdomen (one lateral, one VD) dated September 19, 2024 are provided. There is motion artifact on both views which limits evaluation.
Gastrointestinal tract: The stomach contains a small volume of gas and is normal in position. The small intestines are small in size and are predominantly soft tissue opaque. There is a focus of heterogeneous ingesta within bowel at the level of the cecum. The colon is soft tissue opaque.
Liver: The liver is normal in size and shape.
Spleen: The spleen is normal in size with smooth margins.
Urinary: The left kidney is normal in size, shape, margination. The right kidney is not identified due to superimposition of bowel and motion artifact. The urinary bladder is normal in size and opacity.
Peritoneal space: There is adequate serosal detail.
Musculoskeletal: The included skeletal and superficial soft tissue structures of the study are within normal limits.</t>
  </si>
  <si>
    <t xml:space="preserve">The gastrointestinal tract is unremarkable. There is no evidence of a mechanical small intestinal obstruction or mineral/metal opaque foreign body. Nonspecific gastroenteritis, colitis, and pancreatitis are the primary differentials.
</t>
  </si>
  <si>
    <t>Medical management supportive care are recommended. If clinical signs do not rapidly resolve with medical management, fasted recheck abdominal radiographs, an abdominal ultrasound, or upper GI contrast study would be recommended. An upper GI contrast study would be more diagnostic for foreign material. Additionally, barium may be therapeutic in addition to diagnostic. An abdominal ultrasound is more sensitive for pancreatitis. A fecal analysis/flotation is recommended if not already performed.</t>
  </si>
  <si>
    <t>Thorax and abdomen. Six radiographs of the thorax (two lateral, one VD) and abdomen (two lateral, one VD) dated September 19, 2024 are provided.
Cardiac silhouette: The cardiac silhouette is normal in size and shape.
Pulmonary vessels: The pulmonary arteries and veins are normal in size and are symmetrical.
Pulmonary parenchyma: There is a mild diffuse increase of bronchointerstitial pulmonary pattern which slightly reduces the conspicuity of the pulmonary vessels.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stomach contains heterogeneous/mineral opaque ingesta admixed with gas. The small intestine is within normal limits of diameter. There is loosely formed feces and gas throughout the colon.
Liver: The liver is within normal limits of size and shape.
Spleen: The spleen is mildly enlarged causing dorsal and caudal displacement of the small intestines. A definitive mass is not identified.
Urinary: The visible margins of the kidneys are within normal limits. The urinary bladder is small in size and normal in opacity.
Peritoneal space: There is adequate serosal detail.
Musculoskeletal: There is a fatty mass along the left lateral body wall. The included skeletal structures are unremarkable.</t>
  </si>
  <si>
    <t>1. There is a mild diffuse bronchointerstitial pulmonary pattern. This may be secondary to age-related changes, fibrosis from prior disease, or chronic bronchitis.
2. Normal cardiovascular structures. The reported murmur may have been due to hypovolemia. 
3. Mild splenomegaly. Differentials include normal variation, extramedullary hematopoiesis, lymphoid hyperplasia, splenitis, or less likely, infiltrative neoplasia.
4. Left body wall lipoma.</t>
  </si>
  <si>
    <t>And abdominal ultrasound could be considered to further evaluate the abdomen. If any abnormal structures are identified, fine-needle aspirates or biopsy would be recommended.
If the murmur recurs or proBNP is elevated, an echocardiogram, EKG, and blood pressure would be recommended.</t>
  </si>
  <si>
    <t xml:space="preserve">
1.The liver is upper limits of normal for size to mildly enlarged but retains smooth margins._x000D_
2.Formed feces is present in the colon._x000D_
3.Small intestines are displaced into the mid and caudal abdomen but the bowel diameter is normal._x000D_
4.Small volume ingesta is present within the stomach._x000D_
5.Abdominal detail is diffusely decreased diffusely but with the most severe decrease in abdominal detail caudal to the stomach._x000D_
6.Pendulous abdomen secondary to organomegaly._x000D_
7.A soft tissue mass effect is present in the mid-abdomen causing bowel displacement from this region.</t>
  </si>
  <si>
    <t>Three radiographs of the thorax/abdomen are provided. There is mild generalized cardiac silhouette enlargement. Pulmonary vessels and the caudal vena cava are normal size. Perihilar vessels have crisp margins. A mild bronchial pattern is present throughout the lungs. There is no pleural effusion. Tracheal diameter is adequate. In the abdomen the liver is mildly enlarged with rounded margins. Normal-sized spleen and kidneys. The gastrointestinal tract is mildly filled. No radiopaque urolithiasis. The uterus is not visible. Osseous structures are unremarkable.</t>
  </si>
  <si>
    <t>1. Mild bronchial pattern. Chronic airway inflammation such as bronchitis is most likely. Infectious airway disease is given lesser consideration._x000D_
2. Mild cardiomegaly consistent with acquired mitral and tricuspid valve disease. There is no pulmonary venous congestion or evidence of heart failure. This is not responsible for the cough._x000D_
3. Mild hepatomegaly, a nonspecific finding that is most likely steroid earlier hepatopathy. Acute inflammation or neoplasia are next on the differential list. This should be correlated with history and blood work. Otherwise normal abdomen.</t>
  </si>
  <si>
    <t>Treatment for allergic airway disease, and follow-up echocardiogram should be considered.</t>
  </si>
  <si>
    <t xml:space="preserve">
1.On the lateral projection, the liver is mildly enlarged with rounded margins. Less commonly, gastric distention silhouetting with the liver can trigger this AI result._x000D_
2.Resource: https://platform.v2.vetology.net/doc/liver_disease_x000D_
3.Splenic size, shape and margin are normal._x000D_
4.Abdominal detail is satisfactory._x000D_
5.The ventral abdominal line is pendulous._x000D_
6.In most cases, the stomach and small bowel are minimally filled however in a small number of cases, gastric distention will silhouette with the liver artifactually creating the appearance of hepatomegaly._x000D_
7.Formed feces in the distal colon.</t>
  </si>
  <si>
    <t>Two views of the abdomen are provided for review.  Serosal detail is adequate in all quadrants.  The stomach contains a moderate amount of gas and the rugal folds are prominent.  The small intestines are normal in size.  Gas is present in the colon and cecum.  The urinary bladder is moderately distended.  The remaining abdominal organs are normal._x000D_
_x000D_
15 additional images of an upper GI contrast series are also provided for review.  Contrast is seen in the stomach on all images.  Note that the =ZZ92=final view=ZZ92= images are unlabeled for time but are after 3 hours.  Contrast travels normally through the small intestines to the colon with no evidence of intestinal obstruction.</t>
  </si>
  <si>
    <t>Prominent rugal folds suggestive of gastritis with gastric ileus.  This does not rule out underlying pancreatitis, inflammatory bowel disease, etc.</t>
  </si>
  <si>
    <t>If clinical signs persist with supportive therapy, abdominal ultrasound could be considered in further evaluation.</t>
  </si>
  <si>
    <t xml:space="preserve">
1.No abnormal AI findings reported._x000D_
2.The stomach appears empty._x000D_
3.Cranial abdominal detail is decreased. DDx: superimposition of the spleen vs. regional abdominal fluid/hemorrhage and/or mesenteric inflammation._x000D_
4.Increased soft tissue is present in the cranial abdomen. Splenomegaly with a mass vs. pedunculated hepatic mass are most common causes for this finding. See conclusions above for additional considerations._x000D_
5.The small intestine is diffusely gas- and fluid-filled. No segmental bowel dilation is noted._x000D_
6.The colon contains gas and portions of the colon have a rigid appearance.</t>
  </si>
  <si>
    <t>Increased soft tissue in the cranial abdomen. DDx: splenomegaly with a mass vs. less suspected, pedunculated hepatic mass vs. pancreatic mass vs. lymphadenopathy vs. severely fluid distended stomach. Decreased cranial abdominal detail. DDx: superimposition of a mass vs. regional inflammation and/or abdominal fluid.</t>
  </si>
  <si>
    <t xml:space="preserve">
Three view thoracic radiographs if an abdominal mass is confirmed on ultrasound._x000D_
AFAST vs. full abdominal ultrasound with abdominocentesis if a fluid pocket is identified. Tissue sampling if a solid parenchymal mass is noted. Coagulation profile, platelet count and PCV prior to tissue sampling._x000D_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</si>
  <si>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4 images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t>
  </si>
  <si>
    <t>Radiographically normal thorax for patient of this age.</t>
  </si>
  <si>
    <t>No specific recommendations based on these images.</t>
  </si>
  <si>
    <t xml:space="preserve">
1.On the lateral projection, the liver is mildly enlarged with rounded margins. The ventral abdominal line is pendulous._x000D_
2.On the VD projection, a mild asymmetric increase in soft tissue opacity is noted in the cranial abdomen. DDx: superimposition of the hepatomegaly and GI tract vs. far less likely, caudal extension of a hepatic mass._x000D_
3.Splenic size, shape and margin are normal._x000D_
4.Formed feces in the distal colon._x000D_
5.The stomach and small bowel are minimally filled._x000D_
6.No abnormal AI findings reported.</t>
  </si>
  <si>
    <t>Mild hepatomegaly with a pendulous abdomen. Steroid hepatopathy is the top differential. An inflammatory or neoplastic process are next on the differential list. This should be correlated with clinical signs and blood work. No gastrointestinal abnormalities are present on this study. Increase in soft tissue opacity in the cranial abdomen on the VD projection. DDx: superimposition of the liver and GI tract vs. caudal extension of a liver lobe vs. far less likely, caudal extension of a liver mass.</t>
  </si>
  <si>
    <t xml:space="preserve">
Virtual Radiologist Case Difficulty: MODERATE_x000D_
Virtual Radiologist Confidence: MODERATE_x000D_
A CBC, blood chemistry profile, urinalysis, adrenal function testing and systemic blood pressure are recommended, particularly if signs consistent with Cushing's disease are present.</t>
  </si>
  <si>
    <t>3 views of the thorax are provided for review.  3 abdominal images in the study are not requested to be reviewed.  The cardiovascular structures are normal.  There is a mild bronchial pattern in all lung lobes.  The mediastinal and pleural structures are normal.  Cranial abdominal detail is adequate.</t>
  </si>
  <si>
    <t>Mild bronchial pulmonary pattern=ZZ90= consider viral or Bordetella type pneumonitis most likely but cannot rule out bronchitis, response to inhaled irritants, response to circulating parasites, eosinophilic bronchopneumopathy.</t>
  </si>
  <si>
    <t>Airway sampling may be helpful in further evaluation.</t>
  </si>
  <si>
    <t xml:space="preserve">
1.Abdominal detail is normal._x000D_
2.Splenic size, shape and margin are normal._x000D_
3.Liver size, shape and margin are normal._x000D_
4.The stomach contains gas and small amount of amorphous soft tissue density. Small intestines are diffusely, minimally distended.</t>
  </si>
  <si>
    <t>Three radiographs of the thorax/abdomen are provided. The cardiac silhouette is normal size and shape. The lungs are clear. Normal tracheal diameter. No esophageal abnormalities. In the abdomen the stomach contains a moderate amount of gas, small volume amorphous soft tissue density, and several thin flat soft tissue densities measuring up to 1.1 cm. Small intestines are minimally filled. Formed feces fills the descending colon. The uterus is not visible. The urinary bladder is mildly filled and soft tissue opaque. Normal size liver, spleen, kidneys. No osseous abnormalities.</t>
  </si>
  <si>
    <t>1. Thin flat soft tissue densities in the stomach may represent normal treat material. Foreign material is given lesser consideration in the absence of vomiting. No other abdominal abnormalities._x000D_
2. Normal thorax.</t>
  </si>
  <si>
    <t>Recommended supportive care. If the patient does not improve, repeat fasted abdominal radiographs +/- positive contrast gastrogram could be considered to rule out gastric foreign material.</t>
  </si>
  <si>
    <t>Abdomen. Four radiographs of the abdomen (two lateral, two VD) dated September 19, 2024 are provided.
Musculoskeletal: There is mild intervertebral disc space narrowing of L5-6 and L6-7. There is mild spondylosis deformans of L5-6, L6-7, and L7-S1. The intervertebral foramen of L6-seven is reduced in size.
Gastrointestinal tract: The stomach contains a mild volume of gas and is normal in position. The small intestines are diffusely within normal limits of diameter and are primarily soft tissue opaque. The colon is filled with loosely formed feces and gas.
Liver: The liver is normal in size and shape.
Spleen: The spleen is normal in size with smooth margins.
Urinary: The kidneys are normal in size, shape, and margination. The urinary bladder is moderately distended.
Peritoneal space: There is adequate serosal detail.</t>
  </si>
  <si>
    <t>1. There are degenerative changes of the caudal lumbar and lumbosacral spine. There is no evidence of acute trauma/injury. A soft tissue injury, intervertebral disc disease, and toxic insult are not ruled out as causes of clinical signs.
2. The gastrointestinal tract is within normal limits. There is no evidence of a mechanical small intestinal obstruction.
3. The urinary bladder is moderately distended. Consider stress/voluntary retention.</t>
  </si>
  <si>
    <t>Restricted activity and multimodal pain management are recommended. If possible, a neurologic exam is recommended to screen for neurologic deficits.</t>
  </si>
  <si>
    <t xml:space="preserve">
1.The small intestine is normal in diameter. No obvious signs of obstruction._x000D_
2.The stomach is partially distended with gas, some fluid and some soft tissue opaque debris._x000D_
3.The liver and spleen are within normal limits for size, with smooth margins._x000D_
4.No abnormal AI findings reported._x000D_
5.No abnormal AI findings reported.</t>
  </si>
  <si>
    <t>The appearance of the stomach is likely related to normal ingesta in the absence of GI symptoms. However, if GI symptoms are present, gastroenteritis or pancreatitis secondary to dietary indiscretion or infectious etiology could be considered.</t>
  </si>
  <si>
    <t>Thorax and abdomen. Three radiographs of the thorax (two lateral, one VD) and three radiographs of the abdomen (two lateral, one VD) dated September 19, 2024 are provided (6 images total).
Cardiac silhouette: The cardiac silhouette is normal in size and shape.
Pulmonary vessels: The pulmonary arteries and veins are normal in size and are symmetrical.
Pulmonary parenchyma: The right cranial lobar bronchus is homogeneously soft tissue opaque. There is a mild diffuse bronchointerstitial pulmonary pattern.
Pleural space: The pleural space is within normal limits.
Mediastinum: The cranial mediastinum is normal in width and opacity. There is an excess amount of fat in the ventral thorax, likely within the mediastinum. There is no evidence of intrathoracic lymphadenopathy.
Trachea: The trachea is normal in diameter and course.
Esophagus: The region of the esophagus is within normal limits.
Gastrointestinal tract: The stomach is filled with heterogeneous ingesta admixed with gas and is normal in position. The small intestine is diffusely within normal limits of diameter.
Liver: The liver is within normal limits of size and shape.
Spleen: The spleen is normal in size with smooth margins.
Urinary: The kidneys are normal in size, shape, and opacity. There is a cluster of punctate mineral foci superimposed with the mid aspect of the bladder. 
Peritoneal space: There is adequate serosal detail.
Musculoskeletal: There is moderate spondylosis deformans of L7-S1.</t>
  </si>
  <si>
    <t>1. Mild diffuse bronchointerstitial pulmonary pattern with consolidation of the right cranial lobar bronchus. Infectious/immune-mediated lower airway disease such as pneumonia/aspiration pneumonia is the primary differential.
2. Cystolithiasis. A concurrent urinary tract infection is not ruled out.</t>
  </si>
  <si>
    <t xml:space="preserve">Consider respiratory PCR panel, airway sampling, and fecal analysis to guide treatment.  Empirical therapy and supportive care in the interim as needed. Recheck thoracic radiographs following antibiotic therapy is recommended, sooner if clinical signs acutely change, fail to improve, or worsen. 
Urinalysis with culture and sensitivity is recommended if not already performed. A dissolution diet may be of benefit (vs. cystotomy). </t>
  </si>
  <si>
    <t xml:space="preserve">
1.No segmental small bowel dilation is identified._x000D_
2.The small intestines are predominantly fluid-filled._x000D_
3.There is a moderate amount of soft-tissue dense material present in the stomach._x000D_
4.Abdominal detail is satisfactory_x000D_
5.Splenic size, shape and margin are normal._x000D_
6.The liver is mildly enlarged with rounding to the caudoventral liver margin.</t>
  </si>
  <si>
    <t>Patient Name : Turbo Baluyut, Date of study: Sep 19, 2024
2 images are provided for review
There are no previous radiographs for comparison.
Bones/Joints:
Caudal vertebral vertebral anomalies consistent with patient breed are present.    The presumed T4 through T11 are variably narrowed in a craniocaudal dimension and a wedge or butterfly shaped.
There is no evidence of intervertebral disc space narrowing, or mineral over the intervertebral foramina.  There is no evidence of intervertebral dorsal articulation osteoarthrosis.
There is no evidence of medullary sclerosis, osteolysis, endosteal scalloping, or periosteal proliferation.
Soft tissues:  The included paraspinal soft tissues are normal.</t>
  </si>
  <si>
    <t xml:space="preserve">1. Multifocal congenital vertebral anomalies consistent with patient breed.
2. No obvious intervertebral disc space narrowing.  </t>
  </si>
  <si>
    <t>Consider routine blood work and thoracic/abdominal imaging for further evaluation.  Consider pelvic/pelvic limb radiographs versus neurologist consultation and MRI for further evaluation of reported pelvic limb signs, especially if they progress in the interim.  Monitoring as directed, or sooner if clinical signs acutely change, fail to improve or worsen.</t>
  </si>
  <si>
    <t>Patient Name : Cici Marquez, Date of study: Sep 19, 2024
3 images are provided for review
There are no previous radiographs for comparison.
Cranial abdomen is excluded in the ventrodorsal image.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soft tissue material admixed with gas.   The stomach is within normal limits for size.
The small intestine contains mild fluid or is empty with a subjectively uniform population for size. 
The colon contains mild gas and minimal soft tissue material admixed.    the colon is minimally spastic.  The colon is within normal limits for size.  
Musculoskeletal: The included musculoskeletal structures are normal.</t>
  </si>
  <si>
    <t xml:space="preserve">1. Gastric material due to recent meal, versus gastritis/delayed gastric emptying or given reported history without vomiting, unlikely pyloric outflow tract obstruction.
2. Non-specific small intestinal and colon appearance  such as from enteritis, colitis, or recent bowel movement/variation of normal.
- There is no current evidence of gastrointestinal mechanical ileus.
- Differential diagnoses include dietary indiscretion, toxin ingestion, diet/antibiotic responsive disease, inflammatory bowel disease, pancreatitis, occult systemic disease or unlikely other.
</t>
  </si>
  <si>
    <t>Consider GI panel, fecal analysis/deworming, and routine blood work for further evaluation.  Empirical therapy and supportive care in the interim as needed for presumed dietary indiscretion and reported diarrhea.  Monitoring as directed or sooner if clinical signs acutely change, fail to improve or worsen.</t>
  </si>
  <si>
    <t xml:space="preserve">
1.Abdominal detail is normal._x000D_
2.The small bowel is diffusely gas- and fluid-filled without segmental small bowel dilation._x000D_
3.The stomach contains a small amount of gas._x000D_
4.Splenic size, shape and margin are normal._x000D_
5.The liver is mildly enlarged but retains a smooth margin.</t>
  </si>
  <si>
    <t>Intestinal appearance suggestive of enteritis. No small bowel segmental dilation or intestinal foreign body identified. Normal abdominal detail. Minimal to mild hepatomegaly. DDx: Fat deposition vs. vacuolar change is likely. Hepatitis or infiltrative neoplasia are lesser considerations. The AI result for this case is most compelling  for: Gastroenteritis in a patient WITH GI signs. In an animal WITHOUT GI signs, this appearance can be normal post-prandial. Minimal to mild hepatomegaly is also present.</t>
  </si>
  <si>
    <t xml:space="preserve">
If GI signs are present, treatment for suspected enteritis and repeat abdominal radiographs and/or abdominal ultrasound along with blood work._x000D_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</si>
  <si>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Opposite lateral and VD thoracoabdominal views are provided._x000D_
_x000D_
There is moderate dynamic narrowing of the caudal cervical trachea. The intrathoracic trachea is normal. Pulmonary interstitial and bronchial markings are mildly increased but within normal limits for the age of the patient. The cardiovascular structures are within normal limits._x000D_
_x000D_
No mass lesions or organomegaly are seen in the abdomen. The GI tract is unremarkable. Serosal detail is normal._x000D_
_x000D_
There is moderate narrowing of the T 11-T 12 intervertebral disc space. There is mild spondylosis involving the cranial lumbar spine and moderate to severe spondylosis involving the caudal lumbar spine. No destructive bone lesions are seen.</t>
  </si>
  <si>
    <t>There is moderate dynamic tracheal narrowing which is likely incidental in the absence of clinical signs. Tracheal collapse would be a concern if warranted by clinical signs._x000D_
_x000D_
No thoracic or abdominal abnormalities are identified._x000D_
_x000D_
There is likely disc degeneration in the caudal thoracic spine at T 11-T 12. The spondylosis is probably incidental.</t>
  </si>
  <si>
    <t>No contraindications to anesthesia or surgery are identified in this study.</t>
  </si>
  <si>
    <t xml:space="preserve">
1.Gas and soft tissue density are present within the stomach._x000D_
2.Small intestines are mildly fluid filled._x000D_
3.No abnormal AI findings reported._x000D_
4.No abnormal AI findings reported._x000D_
5.The liver, spleen, and kidneys are normal size and shape.</t>
  </si>
  <si>
    <t>4 images of the abdomen are provided for review.  Serosal detail is adequate in all quadrants.  The stomach contains a moderate amount of mottled soft tissue material.  The small intestines are normal in size.  Gas and feces are present in the colon.  The urinary bladder is small.  The remaining abdominal organs are normal.</t>
  </si>
  <si>
    <t>Material within the stomach may represent residual ingesta or foreign material.</t>
  </si>
  <si>
    <t>Consider repeat radiographs following strict fasting to determine if gastric contents persist.</t>
  </si>
  <si>
    <t>A three view study of the thorax, orthogonal abdomen views, a VD pelvis view, and lateral views of the forelimbs and hind limbs are provided. There are 11 images total._x000D_
_x000D_
Musculoskeletal: No abnormalities are seen involving the shoulder joint in either limb._x000D_
The medial coronoid process of the ulna is indistinct in both lateral forelimb views. No remodeling changes are seen involving the elbows. No joint effusion or soft tissue swelling is identified._x000D_
_x000D_
Both stifle joints appear normal. The pelvis and hip joints are within normal limits._x000D_
No spinal abnormalities are identified._x000D_
_x000D_
Thorax: There is a moderate increase in interstitial lung opacity. The thorax is hypoinflated in all views. No pulmonary nodules or pleural effusion are seen. The cardiovascular structures are within normal limits._x000D_
_x000D_
The abdominal organs are within normal size and shape limits. No mass lesions or loss of detail are seen.</t>
  </si>
  <si>
    <t>1) The increased interstitial opacity in the lungs is suspected to be primarily due to hypoinflation artifact an prominent age related change. Chronic bronchitis/pneumonitis of and idiopathic or allergic nature should still be ruled out if relevant clinical signs are present. Infectious disease is considered unlikely._x000D_
No cardiovascular abnormalities are identified._x000D_
_x000D_
2) The medial coronoid process of the ulna is indistinct in both elbows. This is a finding that can be associated with elbow dysplasia or corner fracture, but given the lack of effusion/swelling or remodeling changes in this patient is more likely to be a benign variant or artifact._x000D_
No abnormalities that would convincingly explain the lameness complaint are identified.</t>
  </si>
  <si>
    <t>Restricted activity and anti-inflammatory therapy for possible soft tissue injury causing the lameness is recommended.</t>
  </si>
  <si>
    <t xml:space="preserve">
1.Abdominal detail is normal._x000D_
2.The liver is mildly enlarged but with a normal shape and smooth margins. No hepatic mass has been identified._x000D_
3.The stomach and intestinal tract are normal._x000D_
4.Splenic size, shape and margin are normal.</t>
  </si>
  <si>
    <t>ABDOMEN (3 radiographs for review). _x000D_
_x000D_
- Multiple open physes are present, which is consistent with the patient age._x000D_
- Peritoneal serosal detail is reduced, which can be normal for the patient juvenile age._x000D_
- The stomach is moderately distended with gas and contains mild gas stippled soft-tissue opaque material._x000D_
- The small intestine is moderately diffusely distended and homogenously soft tissue opaque._x000D_
- The colon contains gas, soft-tissue and minimal formed fecal material._x000D_
- The liver, spleen, kidneys, urinary bladder are of limited assessment due to border effacement however no distinct abnormalities are noted._x000D_
- The caudal thorax and included musculoskeletal structures are normal.</t>
  </si>
  <si>
    <t>1. The appearance of the stomach, small intestine and colon can be compatible with a combination of aerophagia and non-specific generalized functional ileus (e.g. gastroenterocolitis). There is no obvious small intestinal foreign material or mechanical obstruction. If clinically indicated, abdominal ultrasonography might be considered.</t>
  </si>
  <si>
    <t xml:space="preserve">
1.Liver size, shape and margin are normal._x000D_
2.Splenic size, shape and margin are normal._x000D_
3.Abdominal detail is normal._x000D_
4.The stomach contains gas and small amount of amorphous soft tissue density. Small intestines are diffusely, minimally distended.</t>
  </si>
  <si>
    <t>3 views of the thorax are provided for review.  The trachea is dorsally deviated, indicating left ventricular enlargement.  A small bulge is present in the region of the left atrium.  No pulmonary infiltrates are seen.  The pulmonary vasculature is normal in size.  The mediastinal and pleural structures are normal.  Cranial abdominal detail is adequate.  The liver margins are rounded and extend beyond the costal arch.</t>
  </si>
  <si>
    <t>Left-sided cardiomegaly without current evidence of cardiogenic pulmonary edema.  Echocardiography may be helpful in further evaluation.  Mild hepatomegaly=ZZ90= this is a nonspecific finding that may be seen with congestion, vacuolar hepatopathy, inflammation, neoplasia, etc.  Abdominal ultrasound may be helpful in further evaluation if biochemically indicated.</t>
  </si>
  <si>
    <t>3 views of the abdomen are provided for review.  Serosal detail is adequate in all quadrants.  The stomach contains a small amount of gas and the rugal folds are prominent.  The small intestines are mildly variable in diameter but remain normal in size.  Gas is present in the colon.  The urinary bladder is small.  The remaining abdominal organs are normal.</t>
  </si>
  <si>
    <t>Prominent rugal folds suggestive of gastritis.  This does not rule out underlying pancreatitis, dietary indiscretion, etc.  Variable small intestinal diameter may represent enteritis, although early/partial obstruction cannot be excluded.</t>
  </si>
  <si>
    <t xml:space="preserve">
1.Splenic size, shape and margin are normal._x000D_
2.Serosal detail is adequate._x000D_
3.There is a heterogeneous soft tissue opacity associated with the gastric lumen._x000D_
4.Liver size, shape and margin are normal._x000D_
5.The small intestines have a diffuse fragmented gas pattern._x000D_
6.The colon is gas filled with a rigid appearance.</t>
  </si>
  <si>
    <t>Study:_x000D_
Thoracic radiography: three images dated September 19, 2024_x000D_
_x000D_
Findings:_x000D_
The cardiac silhouette is normal in size and shape. The pulmonary vasculature is normal in size. There is an approximately 4.5 cm ovoid gas lucency outlined by a soft tissue opaque rim in the right caudal lung lobe. The pleural space is normal. There is no intrathoracic lymphadenopathy. The trachea is normal in diameter. The included abdomen is unremarkable. No skeletal abnormalities are present.</t>
  </si>
  <si>
    <t>1. Right caudal lung lobe pulmonary bulla. This finding is likely of no clinical significance=ZZ90= however, positive pressure ventilation should be avoided in any future anesthetic events and the patient may be at risk for spontaneous pneumothorax._x000D_
2. A cause of coughing is not evident. Lack of a definitive bronchial pulmonary pattern does not exclude the possibility of allergic/inflammatory, infectious, irritant or parasitic bronchitis. Normal diameter of the trachea does not exclude the possibility of dynamic airway disease. Fluoroscopy can be considered to further evaluate for possible dynamic airway disease given the reported tracheal sensitivity on physical exam. Airway sampling plus/minus heartworm testing and Baermann fecal flotation can be considered to further evaluate for lower airway disease.</t>
  </si>
  <si>
    <t>Patient Name : Maple Tribbet, Date of study: Sep 19, 2024
3 images are provided for review
Additional images dated the same day are attached to case 2764661.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displaced into the left caudal abdomen by the stomach, but is subjectively normal in size.
Kidneys: The left kidney is normal in the ventrodorsal image.  The right kidney is obscured without obvious enlargement or mineral.
Retroperitoneum: Retroperitoneal detail is adequate.
Urinary bladder/Urethra: The urinary bladder is obscured without obvious enlargement.
Peritoneum: Peritoneal detail is adequate.
Gastrointestinal tract: The stomach contains a moderate to large volume of gas.  Gas is in the pylorus in the left lateral image. The stomach is within normal limits for size. Minimal pin-point mineral is suspected admixed with gastric content.
The small intestine contains moderate gas and mild heterogeneous soft tissue material with a subjectively uniform population for size. 
The colon contains mild soft tissue material and gas.  The colon is within normal limits for size.  
In the additional images, the stomach contains mild gas and is smaller than the prior images.  The small intestine contains mild gas and fluid, or is empty, and subjectively uniform in size. The colon contains moderate soft tissue material and gas and is normal in size.  Mild mineral material is in the caudal rectum, admixed with lumen content.
Musculoskeletal: Multiple thoracic vertebrae are narrowed in a craniocaudal dimension from T3 through T11.  T6 is wedge-shaped.  The caudal vertebral are shortened, consistent with patient breed.  The remaining included musculoskeletal structures are normal.</t>
  </si>
  <si>
    <t xml:space="preserve">1. Minimal to mild diffuse bronchial pulmonary pattern such as from infectious/immune-mediated lower airway disease (mycoplasma spp., bordetella spp., parasitism, inhaled allergen/irritant), fibrosis from prior disease, artifact, or unlikely other.
2. Gastric and intestinal gas such as from gastritis/enteritis, aerophagia, or a combination of these.
- There is no current evidence of gastrointestinal mechanical ileus, especially given improved appearance between serial images in this examination.
- Differential diagnoses include dietary indiscretion (such as passage rectal mineral material), toxin ingestion, diet/antibiotic responsive disease, inflammatory bowel disease, pancreatitis, occult systemic disease or unlikely other.
</t>
  </si>
  <si>
    <t>This examination does not rule out brachycephalic airway syndrome and/or pharyngitis/laryngitis from contributing to reported clinical signs.  Consider sedated laryngeal examination/laryngoscopy and brachycephalic airway disease evaluation of reported gagging clinical signs. Consider fecal analysis/empirical deworming, respiratory PCR panel, airway sampling for further evaluation. Empirical therapy and supportive care in the interim as needed.  Monitoring as directed, or sooner if clinical signs acutely change, fail to improve or worsen.</t>
  </si>
  <si>
    <t xml:space="preserve">
1.Liver size is normal to upper limits of normal. Liver margin is normal._x000D_
2.Splenic size, shape and margin are normal._x000D_
3.Abdominal detail is normal._x000D_
4.The stomach contains gas and ingesta or prominent rugae. The small bowel is diffusely fluid filled but without segmental small bowel dilation.</t>
  </si>
  <si>
    <t>This AI result is most compelling for a normal post prandial GI tract in the absence of GI symptoms. However, if GI symptoms are present, gastroenteritis secondary to dietary indiscretion or infectious etiology could be considered.</t>
  </si>
  <si>
    <t xml:space="preserve">
Virtual Radiologist Case Difficulty: MODERATE_x000D_
Virtual Radiologist Confidence: MODERATE_x000D_
If GI signs are present, supportive and symptomatic therapy for gastroenteritis can be considered. In the absence of improvement, repeat radiographs to assess for passage of gastric contents or obstruction, and abdominal ultrasound could be performed for further evaluation.</t>
  </si>
  <si>
    <t>A three view thoracoabdominal study is provided for interpretation._x000D_
_x000D_
Severe redundant dorsal tracheal membrane is identified. No narrowing of tracheal cartilage is seen. No pulmonary infiltrates or pleural effusion are identified. The cardiovascular structures are within normal limits._x000D_
_x000D_
Rugal folds in the stomach are prominent. No dilation the stomach or intestine is seen. The volume of intestinal gas is normal. Serosal detail in the abdomen is normal. The other organs are within normal size and shape limits._x000D_
_x000D_
There is suspicion of possible mild narrowing of the C5-C6 intervertebral disc space, but this area cannot be reliably evaluated due to positional obliquity. No abnormalities are seen involving the thoracic or lumbar spine. The pelvis and hips are within normal limits.</t>
  </si>
  <si>
    <t>The appearance of the stomach is consistent with gastritis. Considering the melena, gastric erosion/ulceration should also be ruled out._x000D_
No foreign body or obstructive pattern is seen. No findings indicative of neoplasia are identified._x000D_
_x000D_
The thorax is within normal limits._x000D_
The redundant dorsal tracheal membrane could easily be incidental, but can also be clinically correlated with tracheal collapse in some cases.</t>
  </si>
  <si>
    <t>Medical management for possible gastric ulceration/erosion is recommended. If clinical signs are not improving with empiric medical management, endoscopy should be considered.</t>
  </si>
  <si>
    <t>Three radiographs of the abdomen are provided. The liver is prominent with smooth margins. Normal-sized kidneys and spleen. The gastrointestinal tract is mildly filled. There is a moderately fluid dilated tortuous tubular structure in the caudal ventral abdomen on both sides. The urinary bladder is distended and soft tissue opaque. Normal caudal thorax.</t>
  </si>
  <si>
    <t>Fluid dilated uterus. Coupled with the history, this is most consistent with pyometra. Gastric contents appears to be normal ingesta. Foreign material causing concurrent gastritis and pyloric outflow obstruction is given lesser consideration. Prominent liver may be due to hepatopathy. Acute inflammation or neoplasia are felt to be much less likely.</t>
  </si>
  <si>
    <t>Surgical intervention is recommended for pyometra.</t>
  </si>
  <si>
    <t xml:space="preserve">
1.Liver size, shape and margin are unremarkable._x000D_
2.Mild splenomegaly is present on the lateral projection._x000D_
3.Serosal detail in the abdomen is normal._x000D_
4.The stomach is normal._x000D_
5.No segmental dilation of the small intestine is seen._x000D_
6.The colon contains gas and has a rigid appearance.</t>
  </si>
  <si>
    <t>The appearance to the colon is compatible with colitis. No small intestinal obstruction is identified. Normal abdominal detail which does not rule out pancreatitis. Mild splenomegaly. DDx: sedation vs. lymphoid hyperplasia secondary to abdominal inflammation vs. extramedullary hematopoiesis vs. less suspected, tick borne disease or infiltrative neoplasia.</t>
  </si>
  <si>
    <t xml:space="preserve">
Virtual Radiologist Case Difficulty: MODERATE_x000D_
Virtual Radiologist Confidence: MODERATE_x000D_
Supportive care as needed and symptomatic therapy for colitis, as clinically warranted._x000D_
Infectious causes of colitis should be ruled out, if clinically indicated. Fecal examination if not already performed._x000D_
Further evaluation of the mild splenomegaly if there is an unexplained CBC abnormality or concern for infiltrative neoplasia.</t>
  </si>
  <si>
    <t>Patient Name : Coco Garcia, Date of study: Sep 19, 2024
1 images are provided for review
Canine Abdomen (1 Images) - 1 Lateral
There are no previous radiographs for comparison.
Liver: The liver is normal in size with a slightly rounded caudoventral margin.
Spleen: The spleen is not well-identified.
Kidneys: The kidneys are partially obscured without obvious mineral or enlargement.
Retroperitoneum: Retroperitoneal detail is adequate.
Urinary bladder/Urethra: The urinary bladder is not well-identified without obvious mineral.  
Reproductive:  In the caudal and mid-ventral abdomen is an enlarged soft tissue structure that is subjectively tubular in shape.  
Peritoneum: Ill-defined fluid opaque striations are admixed with mid-ventral and caudal peritoneal fat.
Gastrointestinal tract: The stomach contains a mild volume of gas and fluid or is empty.   The stomach is within normal limits for size.
The small intestine contains mild fluid or is empty with a subjectively uniform population for size. 
The colon contains mild soft tissue material and gas.  The colon is within normal limits for size.  
Musculoskeletal: The included musculoskeletal structures are normal.</t>
  </si>
  <si>
    <t xml:space="preserve">1. Suspicious for mid-ventral and caudal abdominal organomegaly such as from uterine enlargement given reported intact status of this patient, or unlikely other.
- If confirmed, uterine enlargement in this patient is most suspicious for pyometra or unlikely other.
2. Mild peritoneal fluid due to peritonitis/steatitis such as from evolving pyometra versus other.
3. Non-specific small intestinal and colon appearance due to enteritis/colitis or less likely variation of normal/recent bowel movement.
- There is no current evidence of gastrointestinal mechanical ileus.
- Differential diagnoses include secondary to evolving systemic disease or unlikely other.
</t>
  </si>
  <si>
    <t>Routine blood work if not recently performed.  Orthogonal radiographs and/or abdominal ultrasonography for confirmation of uterine enlargement.  Consider celiotomy with ovariohysterectomy for suspected pyometra, especically given reported intact status and clinical signs.  Empirical therapy and supportive care in the interim as needed.  Monitoring as directed, or sooner if clinical signs acutely change, fail to improve or worsen.</t>
  </si>
  <si>
    <t xml:space="preserve">
1.Liver size, shape and margin are normal._x000D_
2.Splenic size is at the upper limits of normal to mildly enlarged._x000D_
3.Cranial abdominal detail is mildly decreased however this is attributed to superimposed soft tissue structures. Regional inflammation is a secondary consideration._x000D_
4.There are multiple loops of mildly gas distended small intestine._x000D_
5.The stomach appears empty._x000D_
6.The colon contains gas and portions of the colon have a rigid appearance.</t>
  </si>
  <si>
    <t>The intestine is not pathologically distended convincing for obstruction. Partial or slow moving obstruction cannot be excluded. Appearance of the intestinal tract would be most compatible with gastroenteritis. Splenic size at the upper limits of normal to mildly enlarged. DDx: sedation vs. lymphoid hyperplasia vs. extramedullary hematopoiesis. In an older animal, infiltrative neoplasia or a splenic mass is a consideration.</t>
  </si>
  <si>
    <t xml:space="preserve">
Supportive care as needed and symptomatic therapy for gastroenteritis/pancreatitis is recommended._x000D_
Pancreatitis or other metabolic disease should be ruled out with appropriate lab work._x000D_
If clinical signs are not improving with medical management, more advanced imaging such as a barium upper GI study or ultrasound exam is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</si>
  <si>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abdomen are provided. A previous abdominal image dated 7/2/24 was reviewed. Small volume fluid and gas in the distal colon. The cecum is gas dilated. The stomach contains a large amount of fluid and gas. Small intestines are mild to moderately dilated with a mixture of fluid and gas. No radiopaque foreign material. Serosal detail is adequate. Normal-sized liver and spleen. The kidneys are partially visible, with no abnormalities appreciated. The caudal thorax is normal.</t>
  </si>
  <si>
    <t>Large volume of fluid in the stomach may be due to stasis versus pyloric or proximal small intestinal obstruction. No definitive small intestinal abnormalities are appreciated on this study. There is small volume liquid diarrhea.</t>
  </si>
  <si>
    <t>With the lack of improvement, options include either abdominal ultrasound (with the expectation of determining gastric versus small intestinal obstruction prior to gastroscopy or surgery), or proceeding directly to exploratory surgery. Since it is unclear whether there is gastric versus proximal small intestinal obstruction, gastroscopy would not be preferred without additional imaging.</t>
  </si>
  <si>
    <t xml:space="preserve">
1.The gastric rugae are prominent._x000D_
2.The descending duodenum is gas filled, +/- alteration to the pyloroduodenal angle or descending duodenal path on the VD projection._x000D_
3.At least one rigid loop of intestine is present in the mid-abdomen._x000D_
4.There is a focal loss of serosal detail in the cranial abdomen._x000D_
5.The liver and spleen are normal._x000D_
6.No abnormal AI findings reported.</t>
  </si>
  <si>
    <t>Findings are consistent with cranial abdominal inflammation (i.e - pancreatitis, gastritis, duodenitis, or less commonly, hepatobiliary inflammation). Appearance of the stomach is suggestive of gastritis. Appearance of the small intestine and colon is consistent with non-specific enteritis and colitis, potentially secondary to #1. In cases where gas dilated loops of bowel can not be definitively localized to large or small bowel, or if there is clinical concern for small intestinal obstruction, a pneumocolon could be considered for further differentiation.</t>
  </si>
  <si>
    <t xml:space="preserve">
Virtual Radiologist Case Difficulty: MODERATE_x000D_
Virtual Radiologist Confidence: MODERATE_x000D_
Recommend full bloodwork, canine pancreatic lipase assay and abdominal ultrasound, if not already performed._x000D_
In the interim, recommend fluids, analgesics, gastroprotectants, and antiemetics as clinically indicated._x000D_
Consider pneumocolon as discussed above.</t>
  </si>
  <si>
    <t>THORAX/ABDOMEN (3 total radiographs for review).  No previous examinations are available for comparison._x000D_
_x000D_
- Caudodorsally predominant unstructured interstitial to alveolar pulmonary pattern, most severe in the right caudal lung lobe._x000D_
- Moderate left-sided cardiomegaly, characterized by straightening of the caudal cardiac margin at dorsal displacement of the caudal aspect of the thoracic trachea._x000D_
- Soft-tissue opaque band dorsally overlying the trachea extending from the cervical region through the thoracic inlet._x000D_
- Moderate enlargement of the liver, extending caudal to the costal arch with rounded margins._x000D_
- Bilaterally, there are multiple mineral opacity superimposed over the regions of both kidneys.  The right kidney appears small and mildly irregular as compared to the left.  There are a few mineral opacity superimposed over the region of the ureters are of indeterminate laterality._x000D_
- The stomach contains mild gas and gas stippled soft tissue opaque material._x000D_
- The small intestine is overall nondistended and mostly homogenously soft tissue opaque._x000D_
- The cecum is focally distended with gas._x000D_
- There are two thin, closely adjacent, linear, wire-like metallic foreign bodies in the right lateral abdomen._x000D_
- The spleen and urinary bladder are normal._x000D_
- Bilateral cubital osteoarthritis (limited assessment).</t>
  </si>
  <si>
    <t>1. Caudodorsally predominant unstructured interstitial to alveolar pulmonary pattern, most severe in the right caudal lung lobe. Given the reported history, non-cardiogenic pulmonary edema (NCPE) secondary to recent near-drowning event is prioritized, however in this case there is concurrent left-sided heart enlargement (likely secondary to degeneration of the mitral valve), and therefore cardiogenic pulmonary edema secondary to left-sided congestive heart failure is not excluded. _x000D_
_x000D_
Recommendations to consider would include in addition to careful respiratory monitoring, oxygen as needed and recheck thoracic radiographs, considering if the patient is non-responsive to oxygen therapy a diuretic trial (if safe).  Consultation with a veterinary cardiologist and echocardiography/ECG are also ultimately recommended._x000D_
_x000D_
2.  The appearance of the trachea at the level of the thoracic inlet can be compatible with tracheal collapse, secondary to chondromalacia._x000D_
_x000D_
3. Moderate hepatomegaly. Most likely vacuolar (metabolic) hepatopathy. Hepatitis, hepatic congestion or neoplasia are less likely, but possible._x000D_
_x000D_
4.  Two thin, wire-like, likely incidental, migrating peritoneal foreign bodies in the right lateral abdomen._x000D_
_x000D_
5.  Bilateral nephrolithiasis and chronic degenerative renal disease (R =ZZ93= L).  There is also the impression of potential ureterolithiasis of indeterminate laterality.  Consider echocardiographic assessment of the renal architecture and ureters._x000D_
_x000D_
6.  Bilateral cubital osteoarthritis.</t>
  </si>
  <si>
    <t xml:space="preserve">
1.Splenomegaly is detected however hepatomegaly extending caudally and overlapping the splenic region can mimic splenomegaly._x000D_
2.There is questionable loss of cranial abdominal serosal detail._x000D_
3.The stomach contains a small amount of gas._x000D_
4.The small intestines are a combination of gas-filled and fluid-filled/collapsed, and all are within normal limits for diameter._x000D_
5.The colon contains a combination of gas and granular fecal material._x000D_
6.The liver extends beyond the costal arch with a rounded caudal margin.</t>
  </si>
  <si>
    <t>Non-specific hepatomegaly may be secondary to a fat deposition/vacuolar hepatopathy, metabolic hepatopathy such as Cushing's disease, hepatitis or in an older patient, infiltrative neoplasia. Potential loss of cranial abdominal serosal detail may just be due to the hepatomegaly though could also indicate peritonitis related to pancreatitis.</t>
  </si>
  <si>
    <t xml:space="preserve">
Blood work, particularly to assess liver values._x000D_
Abdominal ultrasound._x000D_
Adrenal function testing if clinical signs are consistent with Cushing's disease._x000D_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</si>
  <si>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Two views of the abdomen dated 9/19/2024 are provided for review and compared with 3 images dated 9/18/2024 and 3 images dated 8/28/2024.  Serosal detail is adequate in all quadrants.  The stomach contains a moderate amount of mottled soft tissue material with mineral structures.  This material is unchanged from images dated 9/18/2024 and mineral appear similar to the images dated 8/28/2024.  The small intestines are normal in size.  Gas and feces are present in the colon.  The urinary bladder is small.  The remaining abdominal organs are normal.</t>
  </si>
  <si>
    <t>Persistent gastric mineral foreign material.  Persistent soft tissue contents in the stomach may represent foreign material (if the patient was fasted between the 9/18 and 9/19 studies) or normal ingesta (if the patient was fed).  Consider repeat radiographs following strict fasting to determine if soft tissue contents persist if clinically indicated.  Bone within the stomach may take several months to demineralize/digest if not passed.</t>
  </si>
  <si>
    <t xml:space="preserve">
1.There is mild hepatomegaly with smooth margins._x000D_
2.The spleen is smoothly marginated and within normal limits for size._x000D_
3.The stomach contains a small volume of gas._x000D_
4.The small bowel contains gas and fluid. No evidence of obstruction._x000D_
5.No abnormal AI findings reported.</t>
  </si>
  <si>
    <t>Patient Name : Buddy Rodriguez, Date of study: Sep 18, 2024
8 images are provided for review
There are no previous radiographs for comparison.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heterogeneous soft tissue material and gas.   The stomach is within normal limits for size.  Gas is suspected in the descending duodenum in the left lateral image.
The small intestine contains mild gas and with a subjectively uniform population for size. 
The colon contains minimal soft tissue material and gas.  The colon is within normal limits for size.  
Musculoskeletal: The included musculoskeletal structures are normal.</t>
  </si>
  <si>
    <t>1. Gastric material due to recent meal, versus gastritis/delayed gastric emptying or unlikely pyloric outflow tract obstruction given lack of vomiting in reported history.
2. Non-specific small intestinal and colon appearance such as from enteritis, colitis, or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3. Microhepatia versus individual variation of normal.
- If present, consider occult portosystemic shunt or unlikely chronic hepatitis/cirrhosis.</t>
  </si>
  <si>
    <t>Consider GI panel, fecal analysis/deworming, bile acid testing, and routine blood work for further evaluation.  Empirical therapy and supportive care in the interim as needed.  Consider abdominal ultrasonography for further evaluation of the gastrointestinal tract, pancreas and liver.   Monitoring as directed or sooner if clinical signs acutely change, fail to improve or worsen.</t>
  </si>
  <si>
    <t xml:space="preserve">
1.The liver is normal in size with smooth serosal margins._x000D_
2.The spleen is smoothly margined and at the upper limits of normal for size to mildly enlarged on the lateral projection._x000D_
3.Serosal detail is normal._x000D_
4.The stomach is unremarkable._x000D_
5.The small intestines contain gas and fluid and are normal in diameter._x000D_
6.The colon is unremarkable.</t>
  </si>
  <si>
    <t>Patient Name : Kristal Barboza, Date of study: Sep 18, 2024
3 images are provided for review
Canine Thorax (3 Images) - 2 Lateral, 1 Vd
There are no previous radiographs for comparison.
Pulmonary parenchyma: A minimal diffuse bronchial pattern is present.
Pulmonary vasculature: The pulmonary vasculature is subjectively normal in size and tapers in the periphery of the lungs.
Cardiac silhouette: The cardiac silhouette is moderately tall and occupies over 2/3 the height of the thorax, with dorsal tracheal dispalcement.  The caudodorsal margin of the cardiac silhouette is severely enlarged.  Rounded increased soft tissue is in the region of the left atrium in the ventrodorsal image.
Mediastinum: The cranial mediastinum is normal.
Trachea: A soft tissue band superimposes over the dorsal trachea in the left lateral image.
Esophagus: The esophagus is not well-identified.
Pleural space: The pleural space is normal.
Musculoskeletal: The included musculoskeletal structures are normal.</t>
  </si>
  <si>
    <t>1. Moderate-severe left-sided cardiomegaly such as from myxomatous mitral valvular disease and insufficiency or unlikely other.
- There is no current evidence of left-sided congestive heart failure.
2. Minimal diffuse bronchial pulmonary pattern due to fibrosis from prior disease, age-related changes, infectious/immune-mediated lower airway disease, or unlikely other.</t>
  </si>
  <si>
    <t>Echocardiography, eCG and blood pressure for further evaluation.  Routine blood work and urinalysis if not recently performed.  Consider respiratory PCR panel and fecal analysis/deworming for further evaluation of the reported clinical signs if clinically indicated. Empirical therapy and supportive care in the interim as needed. Monitoring as directed or sooner if clinical signs acutely change, fail to improve or worsen.</t>
  </si>
  <si>
    <t>Study:_x000D_
Thoracic/abdominal radiography: three images dated September 18, 2024_x000D_
_x000D_
Findings:_x000D_
The cardiac silhouette and pulmonary vasculature are normal in size. The pulmonary parenchyma is unremarkable. The pleural space is normal. There is no intrathoracic lymphadenopathy. The patient is originally dorsal tracheal membrane. The tracheal diameter is normal. The stomach contains a small gas. There is a punctate mineral opacity in a small intestinal segment in the midabdomen. The small intestines are otherwise normal in size, course and content. The colon contains formed fecal material with multiple interspersed mineral opacities. The liver and spleen are normal in size and margin. The kidneys are normal in size and contour. The urinary bladder is normal in size and opacity. There is no prostatomegaly. The osseous structures are unremarkable.</t>
  </si>
  <si>
    <t>1. Redundant dorsal tracheal membrane. Normal diameter of the trachea does not exclude the possibility of concomitant tracheal collapse. Consider fluoroscopy to further evaluate for possible dynamic airway disease given the reported tracheal sensitivity on physical exam._x000D_
2. Charge disease_x000D_
3. Unremarkable abdomen.</t>
  </si>
  <si>
    <t>Abdomen. Three radiographs of the abdomen (two lateral, one VD) dated September 18, 2024 are provided.
Gastrointestinal tract: The stomach is filled with abnormal material. This material as a stratified appearance with soft tissue and gas opaque lines. The soft tissue opaque portions are linear to curvilinear. The duodenum is not well-delineated. On the ventrodorsal view there is a loop of bowel in the right abdomen which contains heterogeneous ingesta and gas which may represent the duodenum. The remainder of the small intestine is empty. The colon is filled with loosely formed feces and gas.
Liver: The liver is normal in size and shape.
Spleen: The spleen is normal.
Urinary: The visible margins of the kidneys are within normal limits. The urinary bladder is small in size and normal in opacity.
Peritoneal space: There is adequate serosal detail.
Musculoskeletal: The included skeletal and superficial soft tissue structures of the study are within normal limits.</t>
  </si>
  <si>
    <t>1. Gastric foreign body. A textile foreign body is prioritized.
2. The gastric foreign body appears to extend into the proximal duodenum.</t>
  </si>
  <si>
    <t>Exploratory laparotomy/gastrotomy is recommended. If easily accessible, gastroscopy could be considered if the possibility of an unsuccessful gastroscopy outcome is acceptable (i.e. unable to remove foreign body via scope).</t>
  </si>
  <si>
    <t>Study:_x000D_
Abdominal radiography: three images (one lateral projection preoperative cystotomy and two lateral projections postoperative cystotomy) dated September 18, 2024_x000D_
_x000D_
Findings:_x000D_
In the preoperative images, too numerous to count mineral opaque calculi present in the urinary bladder. In the postoperative images, no mineral opaque calculi are present in the bladder or region the urethra. There is a urinary catheter in place. There is a small volume of free peritoneal gas and ventral abdominal subcutaneous emphysema from the recent laparotomy. The stomach contains a small volume of gas. The small intestines are normal in size, course and content. The colon contains gas and formed fecal material. The liver and spleen are normal in size and margin. The renal silhouettes are normal in size and contour. The included thorax is normal. Mild periarticular new bone formation is present at the apex of the cranially position stifle on the postoperative images.</t>
  </si>
  <si>
    <t>1. There are no remaining cystoliths postop cystotomy._x000D_
2. Mild stifle osteoarthrosis (laterality indeterminate).</t>
  </si>
  <si>
    <t>N/A</t>
  </si>
  <si>
    <t>7 views of the pelvis, pelvic limbs, thorax, and abdomen are submitted for review._x000D_
The bilateral femoral heads are well-seated in the acetabula.  The coxofemoral joint spaces are congruent.  No degenerative changes are noted in either hip.  The sacroiliac joints are within normal limits.  Mild to moderate intracapsular effusion is noted in the cranial and caudal aspect of both stifles.  Mild periarticular osteophytosis and enthesiopathy is noted at the distal femur and proximal tibia, primarily on the left stifle.  The bilateral tarsi appear within normal limits. The lumbar spine is within normal limits._x000D_
Stomach attains a moderate amount of ingesta.  The small bowel and colon are within normal limits.  The liver and spleen are normal in size, shape, and margination.  The bilateral renal silhouettes are within normal limits.  The urinary bladder is unremarkable.  Serosal detail is normal._x000D_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t>
  </si>
  <si>
    <t>Mild to moderate intracapsular effusion and mild degenerative change in both stifles, slightly worse on the right side.  Mild/partial cranial cruciate ligament injury could be considered.  Otherwise, nonerosive polyarthritis could be considered.</t>
  </si>
  <si>
    <t>Correlation with palpation of the stifles may be helpful.  A chemistry panel and rickettsial screening could be considered.  Otherwise, arthrocentesis and joint fluid analysis could be considered.</t>
  </si>
  <si>
    <t xml:space="preserve">
1.Abdominal detail is normal._x000D_
2.The stomach is normal. The small bowel is diffusely gas- and fluid-filled without segmental small bowel dilation._x000D_
3.Splenic size, shape and margin are normal._x000D_
4.Liver size, shape and margin are normal.</t>
  </si>
  <si>
    <t>A three-view study of the abdomen is provided._x000D_
_x000D_
The kidneys are not clearly visible, presumably due to superimposed intestinal structures. No kidding abnormalities are suspected. The appearance of the bladder is unremarkable. No calculi are identified. No prostate shadow is visible. The contour the spleen is slightly irregular in the left lateral view but normal in the right lateral and VD views. This may be a positional artifact. The small intestine has mildly increased gas. No intestinal dilation is seen. The stomach contains normal appearing soft-tissue dense ingesta.</t>
  </si>
  <si>
    <t>No significant abnormalities identified involving the urinary tract or prostate._x000D_
_x000D_
The small intestine is gassy but no dilation or other definitive pathology is seen. This is likely a transient incidental finding._x000D_
_x000D_
The slightly irregular appearance of the spleen in the left lateral view is suspected to be artifactual. Mild nodular changes cannot be entirely ruled out. Recheck radiographs in 2 to 3 months should be considered.</t>
  </si>
  <si>
    <t>No findings that would explain the hematuria are identified. Ultrasound could be considered for more definitive evaluation of the urinary tract and the spleen.</t>
  </si>
  <si>
    <t>4 images of the abdomen are provided for review.  Serosal detail is adequate in all quadrants.  The liver margins are rounded and extend beyond the costal arch, causing caudal displacement of the gastric axis.  The stomach contains a moderate amount of gas and the rugal folds are prominent.  The small intestines are normal in size.  Gas and feces are present in the colon.  The urinary bladder is small.  The kidneys are at the lower limits of normal for size.  The remaining abdominal organs are normal.</t>
  </si>
  <si>
    <t>Prominent rugal fold suggestive of gastritis.  This does not rule out underlying pancreatitis or infiltrative neoplasia.  Hepatomegaly=ZZ90= this is a nonspecific finding that may be seen with congestion, vacuolar hepatopathy, inflammation, neoplasia, etc.</t>
  </si>
  <si>
    <t>Abdominal ultrasound may be helpful in further evaluation.</t>
  </si>
  <si>
    <t>A three-view study of the abdomen is provided._x000D_
_x000D_
Small mineral density in the range of approximately 3 mm is identified in the right cranial abdomen superimposed over the liver in the VD and left lateral views sent superimposed over the liver and stomach in the right lateral view. The liver is mildly enlarged. The stomach contains gas. No visible formed bodies. No dilation or malpositioning the stomach is seen. The small intestine is unremarkable. The descending colon has a slightly hyper peristaltic appearance. No wall thickening or mass effect is identified. The other abdominal structures are unremarkable._x000D_
_x000D_
There is moderate intervertebral disc space narrowing and mild spondylosis at L2-L3.</t>
  </si>
  <si>
    <t>No significant abnormalities identified involving the GI tract. The slightly hyper peristaltic appearance of the descending colon is a finding that could be associated with colitis but is also sometimes incidental. Clinical significance in this case is unknown. Rectal, perineal, or anal gland pathology should still be ruled out as a cause of the difficulty defecating._x000D_
_x000D_
A definitive explanation for the vomiting is not seen. However, there is an unusual mineral density in the right cranial abdomen which is in the general area of the pylorus and bile duct and could represent a cholelith within the common bile duct._x000D_
Biliary obstruction is not considered likely given the history, but further investigation should be considered, especially given the hepatomegaly.</t>
  </si>
  <si>
    <t>CBC and serum chemistry is recommended._x000D_
_x000D_
Ultrasound evaluation of the abdomen to better assess the hepatobiliary structures, pancreas, and GI tract should be considered.</t>
  </si>
  <si>
    <t xml:space="preserve">
1.The spleen is caudally positioned secondary to the hepatomegaly. Splenic size is normal to upper limits of normal._x000D_
2.Cranial abdominal detail is mildly decreased._x000D_
3.The abdomen is pendulous._x000D_
4.On the lateral projection, the small bowel is diffusely gas- and fluid-filled but without segmental small bowel dilation. Portions of the colon are gas filled and have a rigid appearance._x000D_
5.The stomach and gastric axis are caudally displaced secondary to the hepatomegaly._x000D_
6.The liver is mildly to moderately enlarged but retains a smooth margin. On the VD projection, asymmetric liver enlargement is present.</t>
  </si>
  <si>
    <t>Mild to moderate hepatomegaly. Metabolic hepatopathy such as steroid induction and/or diabetes is a primary consideration. In an older patient, infiltrative neoplasia is an additional consideration. Caudal displacement of the stomach, intestinal tract and spleen secondary to the hepatomegaly. Decreased cranial abdominal detail. DDx: regional inflammation secondary to liver disease or pancreatitis vs. secondary to superimposition of the liver and intestine. Diffusely fluid- and gas-filled small bowel on the lateral projection. This appearance is consistent with a normal post-prandial intestinal tract. However, in a vomiting animal, primary or secondary enteritis are considerations. No small intestinal obstruction is identified at this time. Appearance to the colon suggestive of colitis.</t>
  </si>
  <si>
    <t xml:space="preserve">
Virtual Radiologist Case Difficulty: MODERATE_x000D_
Virtual Radiologist Confidence: MODERATE_x000D_
Based on clinical signs and blood work, further evaluation of the liver and/or GI tract via abdominal ultrasound and/or IM consultation may be warranted._x000D_
Particularly consider Cushing's disease and/or diabetes or infiltrative neoplasia in this patient.</t>
  </si>
  <si>
    <t>Opposite lateral and VD views of the thorax and abdomen are provided. Lateral thorax using for the neck. Previous thorax and neck radiographs dated 8-5-19 are available for comparison._x000D_
_x000D_
The larynx is retracted caudally in both lateral views. This was not present in the previous study. No mass effect is seen in the laryngeal/pharyngeal region. No tracheal abnormalities are identified. Interstitial lung opacity is mildly increased compatible with age related change. No bronchial thickening or active appearing pulmonary infiltrates identified. The cardiovascular structures are within normal limits._x000D_
_x000D_
The abdominal organs are within normal size and shape limits. The distal colon is moderately distended with normal appearing fecal material. The upper GI tract is unremarkable. No mass effect or loss of detail are seen.</t>
  </si>
  <si>
    <t>Caudal retraction of the larynx is identified in both lateral views. This can sometimes be a transient incidental finding, but when pathologic is typically secondary to upper airway obstruction. No mass effect or foreign body is visible in the laryngeal/pharyngeal area in this study. Nasopharyngeal pathology or laryngeal paralysis should still be ruled out._x000D_
_x000D_
No specific cause for the cough is identified. Allergic lung disease or low-grade idiopathic chronic bronchitis could still be present without significant radiographic changes._x000D_
_x000D_
The distended appearance of the distal colon is probably a transient incidental finding. Potential causes of constipation should be ruled out if warranted by relevant clinical signs. No other abdominal abnormalities are identified.</t>
  </si>
  <si>
    <t>Symptomatic therapy for the cough is recommended._x000D_
_x000D_
If there is clinical suspicion of potential upper airway obstruction, cross-sectional imaging such as CT or MRI could be considered.</t>
  </si>
  <si>
    <t>3 views of the abdomen are provided for review.  Serosal detail is adequate in all quadrants.  The stomach contains a small amount of amorphous soft tissue material.  The small intestines are normal in size.  Gas and feces are present in the colon.  The urinary bladder is small.  The remaining abdominal organs are normal.</t>
  </si>
  <si>
    <t>Material within the stomach may represent residual ingesta, mucus, or foreign material.</t>
  </si>
  <si>
    <t xml:space="preserve">
1.The liver, spleen, and abdominal serosal detail are all within normal limits._x000D_
2.The small intestines are otherwise a combination of gas-filled and fluid-filled/collapsed, and all are within normal limits for diameter._x000D_
3.No abnormal AI findings reported._x000D_
4.No abnormal AI findings reported.</t>
  </si>
  <si>
    <t>Patient Name : Taz Oakes, Date of study: Sep 18, 2024
7 images are provided for review
There are no previous radiographs for comparison.
Pulmonary parenchyma: Soft tissue nodular foci are suspected in the cranial lung in the 2nd intercostal space of the right lateral images, and the 3rd-4th intercostal spaces in the left lateral image.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Mineral foci are consistently in the kidneys in lateral and ventrodorsal images.
Retroperitoneum: Retroperitoneal detail is adequate.
Urinary bladder/Urethra: The urinary bladder is small in size, homogeneous soft tissue, and smoothly marginated.
Peritoneum: Peritoneal detail is adequate.
Gastrointestinal tract: The stomach contains a moderate volume of gas and soft tissue material.  The stomach is within normal limits for size.
The small intestine contains minimal or mild gas and fluid or is empty with a subjectively uniform population for size. 
The colon contains mild heterogeneous  soft tissue material and gas.  The colon is within normal limits for size.  
Musculoskeletal: The included musculoskeletal structures are normal</t>
  </si>
  <si>
    <t>1. Possible ill-defined pulmonary soft tissue nodules versus end-on vasculature structures, granuloma or superimposed structures, or unlikely other.
2. Minimal-mild diffuse bronchial pulmonary pattern such as from fibrosis from prior disease, age-related changes, infectious/immune-mediated lower airway disease, inhaled allergen/irritant, or unlikely other.
3. Moderate gastric material such as from recent meal and/or gastritis/delayed gastric emptying, or unlikely other.
4. Non-specific small intestinal and colon appearance due to normal variation and/or enteritis/colitis.
- There is no current evidence of gastrointestinal mechanical ileus.
- Differential diagnoses include dietary indiscretion, toxin ingestion, diet/antibiotic responsive disease, inflammatory bowel disease, pancreatitis, occult systemic disease or unlikely other.
5. Bilateral nephroliths and presumed chronic renal disease.</t>
  </si>
  <si>
    <t>Consider computed tomography of the thorac for further evaluation of the lungs, especially given reported recent unintended weight loss.  Abdominal computed tomography or ultrasonography may be contributory.  Consider routine blood work, urinalysis and SDMA prior to advanced imaging if not recently performed. Empirical therapy and supportive care in the interim as needed.  Monitoring as directed or sooner if clinical signs acutely change, fail to improve or worsen.</t>
  </si>
  <si>
    <t xml:space="preserve">
1.No gastrointestinal abnormalities are appreciated. No signs of obstruction._x000D_
2.In the abdomen there is no effusion._x000D_
3.The liver and spleen are normal size with smooth margins._x000D_
4.No abnormal AI findings reported.</t>
  </si>
  <si>
    <t>There is mineral opacity consistent with extensive intervertebral disc mineralization at C2-C-3. This disc space does not appear narrowed her subluxated. There is moderate narrowing at C4-C5, with bridging ventral spondylosis and a small mineral opacity in the disc space._x000D_
There are multiple congenital vertebral deformities involving the thoracic spine. T7 in particular is an exceptionally small butterfly hemivertebra._x000D_
Intervertebral disc mineralization is also present in the caudal lumbar spine from L5 to L7. The L2-L3 disc space is mildly to moderately narrowed. Intervertebral disc mineralization is also suspected at T12-T13, but this disc space is not well visualized in this study._x000D_
_x000D_
The cardiopulmonary structures are within normal limits._x000D_
No abdominal organ abnormalities identified.</t>
  </si>
  <si>
    <t>There is evidence of disc degeneration at multiple locations in the cervical and lumbar spine._x000D_
Considering the young age of the patient, the bridging spondylosis in the mid cervical spine at C4-C5 could be the result of chronic instability. This can also be seen as an incidental finding._x000D_
The congenital deformities in the thoracic spine are likely incidental, although associate soft-tissue abnormalities can still sometimes contribute to pain or ataxia._x000D_
_x000D_
Considering the reported mentation change and seizure, intracranial pathology should still be ruled out as a cause of the clinical signs in this patient.</t>
  </si>
  <si>
    <t>MRI of the brain and spine is recommended._x000D_
_x000D_
Meningitis or other inflammatory CNS disease should also be ruled out. CSF analysis should be considered.</t>
  </si>
  <si>
    <t xml:space="preserve">
1.The abdomen is mildly pendulous. This could be secondary to increased intra-abdominal fat and/or abdominal discomfort if gastritis is present._x000D_
2.The gastric rugae are prominent._x000D_
3.The small bowel is diffusely fluid filled but without segmental small bowel dilation._x000D_
4.Abdominal detail is normal to slightly decreased._x000D_
5.Splenic size, shape and margin are normal._x000D_
6.Liver size, shape and margin are normal.</t>
  </si>
  <si>
    <t>Prominent gastric rugae. Diffusely fluid filled small bowel without segmental bowel dilation. Are GI signs present? If YES. Gastritis +/- a functional ileus secondary to enteritis would be likely. Are GI signs present? If NO. A post prandial GI tract and/or aerophagia would be likely. The AI result is most compelling for gastritis +/- enteritis.</t>
  </si>
  <si>
    <t xml:space="preserve">
Virtual Radiologist Case Difficulty: MODERATE_x000D_
Virtual Radiologist Confidence: MODERATE_x000D_
If GI signs are present, blood work including pancreatic testing. Also evaluate for GI parasites causing a functional ileus and abdominal discomfort and/or empirical deworming._x000D_
Recheck abdominal radiographs in 12-24 hours vs. abdominal ultrasound if clinically warranted.</t>
  </si>
  <si>
    <t>Four images are provided.
Images are dated September 18, 2024.
Prior images dated June 12, 2024 are available.
Pulmonary parenchyma:  A minimal to mild interstitial pattern is in the caudal and dorsal portion of the lungs bilaterally, slightly more severe in the right caudal lung.  
Pulmonary vasculature: The pulmonary vasculature is subjectively normal in size and tapers in the periphery of the lungs.
Cardiac silhouette: The cardiac silhouette is enlarged and tall in the lateral images, occupying greater than 2/3 the height of the thorax.  The trachea is dorsally displaced.  The caudodorsal margin of the cardiac silhouette is flattened.  Rounded increased soft tissue is in the region of the left atrium in the ventrodorsal image.
Mediastinum: The cranial mediastinum is normal.
Trachea: The trachea is normal.
Esophagus: The esophagus is not well-identified.
Pleural space: Thin pleural fissure lines are between the subsegments of the left cranial lung lobe and left cranial/caudal lung lobe in the ventrodorsal image.
Musculoskeletal: Multifocal thoracic spondylosis deformans is present.  The remaining included musculoskeletal structures are normal.</t>
  </si>
  <si>
    <t>1. Similar moderate left-sided cardiomegaly such as from myxomatous mitral valvular disease or unlikely other.
2. Mild interstitial pulmonary pattern in the caudal and dorsal lungs, slightly more severe in the right caudal lung lobe. 
- This is most likely due to left-sided congestive heart failure/pulmonary edema or unlikely other.
3. Mild pleural fissure lines such as from left-sided congestive heart failure or less likely pleural thickening/folding, plate-like atelectasis or other.</t>
  </si>
  <si>
    <t>Oxygen and diuretic therapy with repeat 3- or 4-view thoracic radiographs to monitor for resolution/progression of the pulmonary pattern.  Consider echocardiography, eCG and blood pressure once stable.  Routine blood work and urinalysis if not recently performed.  Empirical therapy and supportive care in the interim as needed. Monitoring as directed, or sooner if clinical signs acutely change, fail to improve or worsen.</t>
  </si>
  <si>
    <t xml:space="preserve">
1.Splenic size, shape and margin are normal._x000D_
2.The abdomen is pendulous._x000D_
3.The liver is enlarged._x000D_
4.Moderate volume ingesta fills the stomach._x000D_
5.No intestinal abnormalities are appreciated._x000D_
6.The cecum is gas filled.</t>
  </si>
  <si>
    <t>Abdomen. Three radiographs of the abdomen (two lateral, one VD) dated September 18, 2024 are provided.
Gastrointestinal tract: There is heterogeneous ingesta admixed with gas in the stomach. The small intestines are diffusely normal in diameter. Several loops contain fragmented gas foci. The duodenum is not well visualized. The colon and cecum are gas-filled.
Liver: The liver is normal in size and shape.
Spleen: The spleen is unremarkable.
Urinary: The visible margins of the kidneys are within normal limits. The urinary bladder is small in size and normal in opacity.
Peritoneal space: There is adequate serosal detail.
Musculoskeletal: The included skeletal and superficial soft tissue structures of the study are normal.</t>
  </si>
  <si>
    <t>1. There is ingesta in the stomach. Given history of anorexia for 24 hours, this ingesta is concerning for foreign material. Clinical correlation is needed to confirm timing of last meal. 
2. The fragmented gas foci in the small intestine is consistent with enteritis. There is no evidence of a mechanical small intestinal obstruction.</t>
  </si>
  <si>
    <t>In the absence of vomiting, recheck abdominal radiographs after a confirmed fast are recommended to confirm the stomach fully empties. If the stomach does not empty and/or if vomiting develops, gastroscopy or gastrotomy could be considered. Medical management and supportive care are recommended in the interim.</t>
  </si>
  <si>
    <t xml:space="preserve">
1.Portions of the colon are gas filled and have a rigid appearance._x000D_
2.Abdominal detail is normal._x000D_
3.The liver and spleen are normal size._x000D_
4.No abnormal AI findings reported._x000D_
5.Small intestines are minimally distended._x000D_
6.The stomach contains gas and small volume fluid.</t>
  </si>
  <si>
    <t>AI findings are most compatible with: Colitis</t>
  </si>
  <si>
    <t xml:space="preserve">
Virtual Radiologist Case Difficulty: MODERATE_x000D_
Virtual Radiologist Confidence: MODERATE_x000D_
Supportive care and further diagnostics based on clinical signs. Fecal evaluation if diarrhea/dyschezia are present._x000D_
Determination of small vs. large bowel diarrhea if diarrhea is present.</t>
  </si>
  <si>
    <t>ABDOMEN (3 images):
Images are dated September 18, 2024.
Liver: The liver is subjectively normal in size.
Spleen: The spleen is normal in size with smooth margins and homogeneous soft tissue.
Kidneys: The kidneys are partially obscured without obvious enlargement or mineral.  
Retroperitoneum: Retroperitoneal detail is adequate.
Urinary bladder/Urethra: The urinary bladder is normal in size, homogeneous soft tissue, and smoothly marginated.
Reproductive:  No obvious evidence of enlargement of the uterine stump.
Peritoneum: Peritoneal detail is adequate.
Gastrointestinal tract: The stomach contains a moderate gas and heterogeneous soft tissue material admixed with gas.   The stomach is within normal limits for size.
The small intestine contains mild to moderate fluid, mild gas or is empty with a subjectively uniform population for size. 
The colon contains moderate well-defined soft tissue material and gas.  The colon is within normal limits for size.  
Musculoskeletal: A large ovoid soft tissue mass arises from the left caudoventral abdominal and inguinal soft tissues.  L1-2 and L3-4 spondylosis deformans is present.  A second soft tissue mass with ill-defined internal mineral is suspected arising from the right ventrolateral and caudal extra-thoracic soft tissues, partially superimposed over the right liver and lungs.  The T12-13, L1-2, L2-3, L3-4 intervertebral disc spaces are narrowed.  The remaining included musculoskeletal structures are normal.</t>
  </si>
  <si>
    <t>1. Large left caudoventral abdominal/inguinal soft tissue mass.
- Differential diagnoses include neoplasia such as a mammary carcinoma versus soft tissue sarcoma or other malignant/benign neoplasm, or unlikely cyst, granuloma or other.
2. Right caudoventrolateral extra-thoracic soft tissue nodule with internal mineralization.
- Differential diagnoses include neoplasia such as a mammary carcinoma versus other malignancy, or less likely benign neoplasm, or unlikely granuloma or other.
3. Non-specific gastrointestinal tract appearance such as from recent meal/passing ingesta and/or gastritis/delayed emptying and non-specific enteritis, or variation of normal.
4. Multifocal narrowed thoracolumbar intervertebral disc spaces and suspected disc disease, as above.</t>
  </si>
  <si>
    <t>Etiology of reported vulvar discharge is not definitively identified, but this does not rule out evolving vulvovaginitis, stump pyometra (evolving) or occult/evolving neoplasia (or a combination of these).  Consider routine blood work and tissue sampling of the extra-thoracic/abdominal masses for further evaluation.  Thoracic radiographs versus computed tomography of the thorax/abdomen for further evaluation and pre-surgical planning of peripheral mass excisional/incisional biopsy.  Abdominal ultrasonography may also be contributory for further evaluation of the uterine stump region.  Empirical therapy and supportive care in the interim as needed.  Monitoring as directed or sooner if clinical signs acutely change, fail to improve or worsen.</t>
  </si>
  <si>
    <t xml:space="preserve">
1.On the lateral projection, the liver is at the upper limits of normal for size to mildly enlarged, but has smooth margins._x000D_
2.The colon contains a moderate amount of heterogeneous soft tissue material._x000D_
3.No segmental small intestinal dilation is noted._x000D_
4.The stomach contains a mild amount of gas._x000D_
5.The ventral abdominal line is mildly pendulous._x000D_
6.The serosal detail in the cranial abdomen is mildly decreased on the VD projection but normal on the lateral projection. The appearance on the VD projection is attributed to a confluence of soft tissue structures and bowel._x000D_
7.The spleen is unremarkable.</t>
  </si>
  <si>
    <t>Liver size at the upper limits of normal to mild hepatomegaly. DDx: vacuolar hepatopathy/fat deposition vs. hepatitis. In an older patient, infiltrative neoplasia is possible but considered less likely in this case.</t>
  </si>
  <si>
    <t xml:space="preserve">
Virtual Radiologist Case Difficulty: MODERATE_x000D_
Virtual Radiologist Confidence: MODERATE_x000D_
Further evaluation of the liver via abdominal ultrasound and liver function testing, if biochemically indicated.</t>
  </si>
  <si>
    <t>Two views of the abdomen are provided for review.  Serosal detail is adequate in all quadrants.  The stomach contains a moderate amount of amorphous soft tissue material.  The small circular structure is seen in the fundic region on the VD views.  The small intestines are normal in size.  Gas is present in the colon.  The urinary bladder is small.  The remaining abdominal organs are normal.
(amended on 09/18/2024 09:15)
Correction: 5 total images initially reviewed.</t>
  </si>
  <si>
    <t>Circular structure in the stomach consistent with foreign body.  Additional material within the stomach may represent residual ingesta, mucus, or foreign material.</t>
  </si>
  <si>
    <t>Consider repeat radiographs following strict fasting to determine if gastric contents persist versus endoscopy/abdominal exploratory.</t>
  </si>
  <si>
    <t>Three radiographs of the thorax and orthogonal views of the abdomen are provided. Images dated 9/6/24 and earlier are available for comparison. The cardiac silhouette is normal size and shape. There are no abnormalities in the pulmonary parenchyma. Mild narrowed cervical trachea on the left lateral view. There is no pleural effusion. Normal cranial mediastinal width. Broad-based fat opaque 13.5 x 4.8 cm lipomatous mass in the right extrathoracic tissue as before._x000D_
_x000D_
In the abdomen the liver is mildly enlarged, similar to the previous study. Normal-sized spleen. The kidneys are obscured. The gastrointestinal tract and urinary bladder are minimally filled. No osseous abnormalities.</t>
  </si>
  <si>
    <t>1. Mild narrowed cervical trachea. Dynamic collapse is possible. This should be correlated with characteristic of the cough and tracheal palpation. No intrathoracic abnormalities. Inhaled irritants/allergens or infectious airway disease remains possible._x000D_
2. Persistent mild hepatomegaly, a nonspecific finding that may be steroid or other hepatopathy. An inflammatory process or neoplasia are lower on the differential list. This should be correlated with history and blood work.</t>
  </si>
  <si>
    <t>Recommend palpate for tracheal sensitivity, and symptomatic treatment for the cough.</t>
  </si>
  <si>
    <t xml:space="preserve">
1.No abnormal AI findings reported._x000D_
2.Mild hepatomegaly._x000D_
3.There is possible loss of abdominal serosal detail._x000D_
4.The stomach contains a small amount of gas._x000D_
5.The small intestines are a combination of gas-filled and fluid-filled/collapsed, and all are within normal limits for diameter._x000D_
6.The colon contains a combination of gas and granular fecal material.</t>
  </si>
  <si>
    <t>The AI result for this case is most compelling for: mild hepatomegaly: This is nonspecific, with etiologies including steroid hepatopathy, endocrine (diabetes mellitus, Cushings), infectious-inflammatory (hepatitis-viral-parasitic), hemodynamic (right heart failure), and infiltrative origins (nodular hyperplasia-round cell infiltration-lymphoma-adenoma-adenocarcinoma). In this case, potential decrease in the cranial abdominal serosal detail may be a result of hepatomegaly, versus small amount of ascites or peritonitis related to pancreatitis.</t>
  </si>
  <si>
    <t>Abdomen. Three radiographs of the abdomen (two lateral, one VD) dated September 18, 2024 are provided.
Gastrointestinal tract: The stomach is small in size and normal in position. The small intestines are diffusely within normal limits of diameter and contain gas and fluid. The colon contains loosely formed feces and gas.
Liver: The liver is normal in size and shape.
Spleen: The spleen is normal in size with smooth margins.
Urinary: The kidneys are predominantly obscured by superimposition of bowel. The visible margins of the kidneys are normal. The urinary bladder is small in size and normal in opacity.
Peritoneal space: There is adequate serosal detail.
Musculoskeletal: The included skeletal and superficial soft tissue structures of the study are within normal limits.</t>
  </si>
  <si>
    <t>1. The gastrointestinal tract is within normal limits. Differentials include nonspecific gastroenteritis and pancreatitis.
2. There is no evidence of a mechanical gastrointestinal obstruction or mineral/metal opaque foreign material.</t>
  </si>
  <si>
    <t>Medical management supportive care are recommended. If clinical signs persist despite treatment recheck fasted abdominal radiographs, an abdominal ultrasound, or upper GI contrast study would be recommended.</t>
  </si>
  <si>
    <t xml:space="preserve">
1.The ascending, transverse and descending colon contain gradually more formed faeces._x000D_
2.The small intestines are mildly dilated with a mixture of gas and fluid, and have a mild turgid appearance._x000D_
3.The liver is normal in shape, size and opacity._x000D_
4.The stomach has a normal axis, with subjectively thickened mucosal folding._x000D_
5.The spleen is visible and within normal limits._x000D_
6.There is a mildly reduced cranial abdominal serosal detail.</t>
  </si>
  <si>
    <t>Patient Name : Cody Hager, Date of study: Sep 18, 2024
2 images are provided for review
Previous images dated [09/18/2024 Case#2763329] are available for comparison.
Pulmonary parenchyma: A minimal to mild diffuse bronchial pattern is present.
Pulmonary vasculature: The pulmonary vasculature is subjectively normal in size and tapers in the periphery of the lungs.
Cardiac silhouette: The cardiac silhouette has a flattened caudodorsal margin.  Mild increased soft tissue is suspected in the region of the left atrium in the ventrodorsal image.
Mediastinum: The cranial mediastinum is symmetrically widened.
Trachea: The trachea is normal.  Tracheal position in the ventrodorsal image likely from individual variation and patient obliquity.
Esophagus: The esophagus is not well-identified.
Pleural space: The pleural space is normal.
Liver: The liver is slightly enlarged with a caudoventral margin extending just past the 13th ribs.
Spleen: The spleen is normal in size with smooth margins and homogeneous soft tissue.
Kidneys: The kidneys are normal in size and shape without obvious mineral.
Retroperitoneum: Retroperitoneal detail is adequate.
Urinary bladder/Urethra: The urinary bladder is presumed partially obscured without obvious enlargement or mineral.  
Reproductive:  In the lateral image, the ovoid soft tissue in the caudal abdomen is presumed to be an enlarged prostate gland, with homogeneous soft tissue.
Peritoneum: Peritoneal detail is adequate.
Gastrointestinal tract: The stomach contains a moderate to large volume of heterogeneous soft tissue admixed with gas.   The stomach is within normal limits for size.
The small intestine contains mild gas fluid or is empty with a subjectively uniform population for size. 
The colon contains mild heterogeneous soft tissue material and gas.  The colon is within normal limits for size.  
Musculoskeletal: L2-3 and L6-7 spondylosis deformans is present.  The remaining included musculoskeletal structures are normal.</t>
  </si>
  <si>
    <t>1. Equivocal left-atrial enlargement such as from myxomatous mitral valvular disease and insufficiency.
- There is no evidence of left-sided congestive heart failure.
2. Minimal diffuse bronchial pulmonary pattern due to fibrosis from prior disease, age-related changes, infectious/immune-mediated lower airway disease, or unlikely other.
3. Equivocal  hepatomegaly due to variation of normal and/or vacuolar change, nodular hyperplasia, hepatitis/cholangiohepatitis, or unlikely evolving neoplasia.
4. Widened cranial mediastinum such as from fat deposition or lymphadenomegaly or unlikely other.</t>
  </si>
  <si>
    <t>Consider echocardiography, eCG and blood pressure for further evaluation especially if a murmur is later identified.  Respiratory PCR panel, airway sampling, and fecal analysis/empirical deworming may be contributory.   Consider thoracic computed tomography for further evaluation of the mediastinum/tracheal position, especially if progressive clinical signs manifest in the face of empirical therapy/supportive care in the interim.  Mediastinal ultrasonography could also be contributory.   Routine blood work if not recently performed.  Empirical therapy and supportive care in the interim as needed.  Monitoring as directed or sooner if clinical signs acutely change, fail to improve or worsen.</t>
  </si>
  <si>
    <t xml:space="preserve">
1.The stomach is normal. The small bowel contains gas and fluid but no segmental small bowel dilation is noted._x000D_
2.Abdominal detail is normal however the abdomen is mildly pendulous._x000D_
3.The liver is mildly enlarged but with smooth margins. No liver mass is noted._x000D_
4.Splenic size, shape and margin are normal.</t>
  </si>
  <si>
    <t>7 images of the thorax, abdomen, and thoracic limbs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The joint surfaces are smooth and regular.  Increased soft tissue is seen medial to the proximal left antebrachium.  There is a patchy appearance to the medullary canal of the proximal left radius and ulna.  There is focal widening of the proximal diaphysis.</t>
  </si>
  <si>
    <t>Radiographically normal abdomen.  Radiographically normal thorax for patient of this age.  Changes of the left antebrachium may be secondary to previous radiation and fibroadnexal hamartoma.  However, a separate aggressive lesion such as neoplasia or osteomyelitis cannot be excluded.</t>
  </si>
  <si>
    <t>Aspirate of the soft tissue component and / or bone biopsy could be considered.</t>
  </si>
  <si>
    <t xml:space="preserve">
1.Liver size, shape and margin are normal._x000D_
2.Splenic size, shape and margin are normal._x000D_
3.Abdominal detail is normal._x000D_
4.The small intestine is rigid and gas filled but of normal, uniform size._x000D_
5.The stomach contains soft tissue material and gas.</t>
  </si>
  <si>
    <t xml:space="preserve">
Withhold food for 12-15 hours followed by recheck abdominal radiographs, including a left lateral projection._x000D_
If material persists in the stomach on follow-up radiographs, concern for gastric foreign material increases and additional diagnostics such as an upper GI or abdominal ultrasound may be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</si>
  <si>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Thoracic/abdominal radiography: four images dated September 17, 2024_x000D_
_x000D_
Findings:_x000D_
The cardiac silhouette is normal in size and shape. The pulmonary vasculature is normal in size. There is a mild generalized bronchial pulmonary pattern. Evaluation of the cranioventral lung fields is limited by superimposition of the thoracic limb soft tissues. No pulmonary nodules or masses are present. There is moderate widening of the cranial mediastinum with pronounced rightward deviation of the trachea the heart base on the VD view. The pleural space is normal. The trachea is normal in diameter. The stomach and some small intestinal segments contain unstructured heterogeneous/granular soft tissue material presumed to be ingesta. The small intestines are normal in size and course. The colon contains formed fecal material. The liver and spleen are normal in size and margin. The kidneys are normal in size and contour. The urinary bladder is normal in size and opacity. There is no uterine dilation. There is a soft tissue opaque nodule in the subcutaneous tissues of the cranioventral abdomen.</t>
  </si>
  <si>
    <t>1. The mild generalized bronchial pulmonary pattern may indicate allergic, inflammatory, infectious, parasitic or irritant bronchitis. Airway sampling, heartworm testing and Baermann fecal flotation can be considered for further evaluation. Upper airway disease/brachycephalic airway syndrome should also be considered as a potential cause of the respiratory signs._x000D_
2. The cranial mediastinal widening and tracheal deviation may indicate a heart base mass or may be a breed normal variation secondary to fat deposition. Consider thoracic sonography for further evaluation._x000D_
3. Postprandial gastrointestinal tract=ZZ90= otherwise, unremarkable abdomen.</t>
  </si>
  <si>
    <t xml:space="preserve">
1.The liver is moderately enlarged._x000D_
2.The shape of the liver is normal, and the margins are smooth._x000D_
3.No abnormal AI findings reported._x000D_
4.No abnormal AI findings reported._x000D_
5.There is a small quantity of soft tissue dense ingesta in the stomach._x000D_
6.The intestines are gas and fluid filled, without signs of dilation or obstruction.</t>
  </si>
  <si>
    <t>The AI result for this case is most compelling for: mild to moderate hepatomegaly: This is nonspecific, with etiologies including steroid hepatopathy, endocrine (diabetes mellitus, Cushings), infectious-inflammatory (hepatitis-viral-parasitic), hemodynamic (right heart failure), and infiltrative origins (nodular hyperplasia-round cell infiltration-lymphoma-adenoma-adenocarcinoma).</t>
  </si>
  <si>
    <t xml:space="preserve">
Virtual Radiologist Case Difficulty: MODERATE_x000D_
Virtual Radiologist Confidence: MODERATE_x000D_
The appearance of the stomach is likely related to normal ingesta in the ABSENCE of GI symptoms. However, if GI symptoms are PRESENT, gastroenteritis secondary to dietary indiscretion or infectious etiology could be considered._x000D_
Abdominal ultrasound could be performed for further evaluation of the liver.</t>
  </si>
  <si>
    <t>4 images of the abdomen are provided for review.  Serosal detail is adequate in all quadrants.  The stomach contains a small amount of gas and the rugal folds are prominent.  The small intestines are normal in size.  Gas and feces are present in the colon.  The urinary bladder is small.  The remaining abdominal organs are normal.</t>
  </si>
  <si>
    <t>Prominent rugal folds suggestive of gastritis.  This does not rule out underlying pancreatitis, dietary indiscretion, etc.</t>
  </si>
  <si>
    <t xml:space="preserve">
1.The small intestines are mildly dilated with a mixture of gas and fluid, and have a mild turgid appearance._x000D_
2.The ascending, transverse and descending colon contain gradually more formed faeces._x000D_
3.The spleen is visible and within normal limits._x000D_
4.The liver is normal in shape, size and opacity._x000D_
5.There is a mildly reduced cranial abdominal serosal detail._x000D_
6.The stomach has a normal axis, with subjectively thickened mucosal folding.</t>
  </si>
  <si>
    <t>Thorax/neck: There is focal collapse of the trachea at the level of the thoracic inlet.  There is pulmonary underinflation.  There is mild generalized cardiomegaly.  There is no evidence of cardiogenic pulmonary edema or pleural effusion.  There is no evidence of lymphadenopathy._x000D_
_x000D_
Abdomen: There are no abnormalities involving the abdominal viscera.  There is narrowing/collapse of the intervertebral disc spaces L1-2 and L2-3.  Spondylosis deformans is noted at these levels as well.</t>
  </si>
  <si>
    <t>Focal collapse of the trachea at the thoracic inlet._x000D_
_x000D_
Pulmonary underinflation most likely secondary to collapsing trachea._x000D_
_x000D_
Generalized cardiomegaly without evidence of decompensation._x000D_
_x000D_
Suspect intervertebral disc disease at L1-2 and L2-3.</t>
  </si>
  <si>
    <t>Abdomen: There is no evidence of a gastrointestinal foreign body or obstruction.  The gastrointestinal tract is unremarkable.  There is mild diffuse hepatomegaly.  The spleen is unremarkable.  There are no abnormalities involving the visible portions of the urinary tract.  Serosal detail is normal.</t>
  </si>
  <si>
    <t>Mild diffuse hepatomegaly most likely incidental and variation of normal.  Alternatively other pathology such as a hepatopathy or possible hepatitis cannot be ruled out.</t>
  </si>
  <si>
    <t>Abdomen: There is no evidence of a gastrointestinal foreign body or obstruction.  The liver is considered on the lower limits of normal for size.  There are no abnormalities involving the visible portions of the urinary tract.  Serosal detail is normal.</t>
  </si>
  <si>
    <t>Mild microhepatica.  This may be incidental however other pathologies such as a portosystemic shunt cannot be ruled out._x000D_
_x000D_
If clinical signs persist, consider abdominal ultrasound for further evaluation.</t>
  </si>
  <si>
    <t xml:space="preserve">
1.The small intestines are otherwise a combination of gas-filled and fluid-filled/collapsed, and all are within normal limits for diameter._x000D_
2.No abnormal AI findings reported._x000D_
3.No abnormal AI findings reported._x000D_
4.The liver, spleen, and abdominal serosal detail are all within normal limits.</t>
  </si>
  <si>
    <t>Orthogonal views of the almost entire spine, thorax and abdomen are provided:_x000D_
_x000D_
Spine:_x000D_
_x000D_
Cervical spine is rotated 45 degrees and thus we do see the dens of C2 (normally positioned and not displaced). No fractures or vertebral subluxations are observed. However, T13-L1 IVDS is questionably narrow._x000D_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</si>
  <si>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1) T13-L1: Rule out acute disc herniation._x000D_
2) Unremarkable thorax and abdomen.</t>
  </si>
  <si>
    <t>Full neuro exam with MRI if necessary.</t>
  </si>
  <si>
    <t xml:space="preserve">
1.No abnormal AI findings reported._x000D_
2.The liver and spleen are normal._x000D_
3.There is a focal decrease of serosal detail in the cranial abdomen, caudal to the stomach, on the lateral projection._x000D_
4.The pyloroduodenal is widened and the proximal duodenum contains a mild amount of air._x000D_
5.The gastric rugae are mildly prominent on the VD projection._x000D_
6.The small intestine is of uniform population size and is diffusely of soft tissue opacity with minimal gas opacity._x000D_
7.No mechanical ileus is visualized._x000D_
8.A portion of the colon is gas filled and has a rigid and/or corrugated appearance on the lateral projection.</t>
  </si>
  <si>
    <t>Widened pyloroduodenal angle with proximal duodenal gas and focal loss of right cranial serosal detail. These findings are consistent with cranial abdominal inflammation (i.e - pancreatitis, gastritis, duodenitis or less commonly, hepatobiliary inflammation). Appearance to the stomach suggestive of gastritis. Appearance to the colon is consistent with colitis, potentially secondary to #1.</t>
  </si>
  <si>
    <t>SPINE AND PELVIC LIMBS (12 images):
Images are dated September 17, 2024..
Prior images dated April 23, 2024 are available.
Bones/Joints:
A dens is present.  There is no evidence of atlantoaxial joint subluxation.  L1-2 and L2-3 have mildly narrowed intervertebral disc spaces.   L1-2 and L2-3 spondylosis deformans is present.
There is no evidence of mineral over the intervertebral foramina.  There is no evidence of intervertebral dorsal articulation osteoarthrosis.
The coxofemoral joints have no obvious osteoarthrosis.  There is adequate coverage of the femoral heads by the acetabulums.
The left stifle has no evidence of osteoarthrosis.  The left infrapatellar fat pad is well-defined.
The included left tarsus, metatarsus and digits are normal.
The right stifle has no evidence of osteoarthrosis.  The right infrapatellar fat pad is well-defined.
The included right tarsus, metatarsus and digits are normal.  .
There is no evidence of medullary sclerosis, osteolysis, endosteal scalloping, or periosteal proliferation.
Soft tissues:  The included soft tissues are normal.</t>
  </si>
  <si>
    <t>1. Mild L1-2 and L2-3 intervertebral disc space narrowing/disc disease.
2. Normal coxofemoral joints.
3. Normal left stifle joint.
4. Normal right stifle joint.</t>
  </si>
  <si>
    <t>Consider neurologist consultation and MRI for further evaluation of the lumbar spine if clinically indicated.  Empirical therapy and supportive care in the interim as needed for clinical signs. Monitoring as directed, or sooner if clinical signs acutely change, fail to improve or worsen.</t>
  </si>
  <si>
    <t xml:space="preserve">
1.Serosal detail is adequate._x000D_
2.Liver size, shape and margin are normal._x000D_
3.Splenic size, shape and margin are normal._x000D_
4.The small intestines have a diffuse fragmented gas pattern.</t>
  </si>
  <si>
    <t>Fragmented gas pattern associated with the small intestines which may be secondary to enteritis. No small intestinal obstruction is identified. Primary differential consideration for the appearance of the gastric lumen include normal ingesta. However, if vomiting or anorexia are present, gastric foreign material becomes a consideration. The AI result for this case is most compelling  for:  normal post-prandial GI tract in a patient WITHOUT GI signs. In a patient WITH GI signs, gastric foreign material or low grade gastroenteritis is a consideration.</t>
  </si>
  <si>
    <t>Three images are provided.
Images are dated September 17, 2024.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T13 is transitional with absent right and hypoplastic left ribs.  The remaining included musculoskeletal structures are normal.</t>
  </si>
  <si>
    <t xml:space="preserve">1. Minimal-mild diffuse bronchial pulmonary pattern such as from fibrosis from prior disease, age-related changes,  infectious/immune-mediated lower airway disease, inhaled allergen/irritant, artifact, or unlikely other.
</t>
  </si>
  <si>
    <t>Consider routine blood work if not recently performed.  Monitoring as directed or sooner if clinical signs manifest in the interim.</t>
  </si>
  <si>
    <t xml:space="preserve">
1.No gastrointestinal abnormalities._x000D_
2.The ventral abdominal line is mildly pendulous._x000D_
3.As mentioned above, cranial abdominal detail is mildly decreased. A global reduction in abdominal detail is NOT present._x000D_
4.Splenic size, shape and margin are normal._x000D_
5.On the VD projection, a mild decrease in cranial abdominal detail is present. This is suspected to be secondary to caudal extension of the liver._x000D_
6.On the lateral projection, the liver is mildly enlarged.</t>
  </si>
  <si>
    <t>Thorax. Three radiographs of the thorax (two lateral, one VD) dated September 17, 2024 are provided. Compared to single left lateral view dated June 29, 2023.
Cardiac silhouette: There is marked, progressive left-sided cardiomegaly. The left atrium is severely enlarged causing dorsal displacement and compression of the caudal mainstem bronchi. The cardiac silhouette is increased in height, the apex of the cardiac silhouette is rounded.
Pulmonary vessels: The left caudal lobar vein is mildly increased in size and tortuous. There is effacement of the right caudal lobar vein.
Pulmonary parenchyma: There is a caudodorsal distributed interstitial pulmonary pattern, most severe in the right caudal lung lobe.
Pleural space: There is a thin pleural fissure superimposed with the cardiac silhouette on the left lateral view.
Mediastinum: The mediastinum is normal in width and opacity. There is no evidence of intrathoracic lymphadenopathy.
Trachea: The trachea is normal in diameter and course.
Esophagus: The region of the esophagus is within normal limits.
Musculoskeletal: The included skeletal and superficial soft tissue structures of the study are within normal limits.</t>
  </si>
  <si>
    <t>1. Marked left-sided cardiomegaly with cardiogenic pulmonary edema (congestive heart failure). Myxomatous mitral valve disease is prioritized as an underlying cause.</t>
  </si>
  <si>
    <t>Medical management for left-sided congestive heart failure is recommended (e.g. Pimobendan, diuretic therapy, ACE inhibitors).</t>
  </si>
  <si>
    <t>Patient Name : Luca Susini, Date of study: Sep 17, 2024
3 images are provided for review
Canine Abdomen (3 Images) - 2 Lateral, 1 Vd
There are no previous radiographs for comparison.
Liver: The liver is subjectively normal in size.
Spleen: The spleen is normal in size with smooth margins and homogeneous soft tissue.
Kidneys: The left kidney is slightly small in the ventrodorsal image.  The right kidney is obscured partially without obvious mineral or enlargement.
Retroperitoneum: Retroperitoneal detail is adequate.
Urinary bladder/Urethra: The urinary bladder is normal in size, homogeneous soft tissue, and smoothly marginated.
Peritoneum: Peritoneal detail is adequate.
Gastrointestinal tract: The stomach contains a mild volume of gas.   The stomach is within normal limits for size.
The small intestine contains mild gas and fluid or is empty with a subjectively uniform population for size. 
The colon contains mild admixed soft tissue material and gas.  The colon is within normal limits for size.  
Musculoskeletal: The included musculoskeletal structures are normal.</t>
  </si>
  <si>
    <t xml:space="preserve">1. Non-specific gastrointestinal tract appearance such as from enteritis or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2. Minimal small left kidney such as from chorni renal disease.
</t>
  </si>
  <si>
    <t>Consider GI panel, fecal analysis/deworming, and routine blood work for further evaluation.  Empirical therapy and supportive care in the interim as needed.  Abdominal ultrasonography for further evaluation of the gastrointestinal tract and kidneys, especially if signs fail to improve or worsen with empirical therapy.  Monitoring as directed or sooner if clinical signs acutely change, fail to improve or worsen.</t>
  </si>
  <si>
    <t xml:space="preserve">
1.No abnormal AI findings reported._x000D_
2.The liver is mildly enlarged with normal shape and smooth margins._x000D_
3.Serosal detail is adequate._x000D_
4.The stomach appears within normal limits. The small bowel contains a mild amount of gas. No obvious signs of obstruction.</t>
  </si>
  <si>
    <t>Thorax and abdomen. Three radiographs of the thorax/abdomen (two lateral, one VD) dated September 17, 2024 are provided.
Cardiac silhouette: There is moderate left-sided cardiomegaly. The region of the left atrium is rounded and enlarged. The cardiac silhouette is increased in height and the apex is rounded.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Peritoneal space: There is a severe reduction in serosal detail. The ventral abdominal wall is pendulous.
Gastrointestinal tract: The gastrointestinal tract is largely indistinguishable given the lack of serosal detail. There are no large gas-filled loops of bowel.
Liver: There is heterogeneous mineral opacity superimposed with the region of the gallbladder.
Spleen: The spleen is not identified due to poor serosal detail.
Urinary: The kidneys and urinary bladder are not discernible. There are punctate mineral foci at the expected level of the kidneys.
Musculoskeletal: There is mild osteoarthritis of the shoulders. The included skeletal and superficial soft tissue structures of the study are otherwise unremarkable.</t>
  </si>
  <si>
    <t>1. As reported there is marked peritoneal effusion. Differentials include hemorrhage such as from a bleeding splenic or hepatic neoplasm/mass, neoplastic effusion, and modified/pure transudate (hypoproteinemia secondary to liver failure, increased Starling forces). Right-sided heart failure is not ruled out.
2. There is moderate left-sided cardiomegaly, most consistent with mitral valve disease. There is no evidence of left-sided congestive heart failure/pulmonary edema.
3. There is evidence of biliary mineralization/cholelithiasis. This is likely incidental.</t>
  </si>
  <si>
    <t>An abdominal ultrasound and abdominocentesis are recommended to further evaluate the abdomen and to guide treatment. If not already performed, a CBC and biochemistry are recommended. An echocardiogram, ECG, and blood pressure are recommended to further evaluate the heart.</t>
  </si>
  <si>
    <t xml:space="preserve">
1.The spleen is mildly enlarged with a focal bulge in the splenic capsular margin._x000D_
2.The liver is enlarged._x000D_
3.Within the abdomen, there is reduced abdominal serosal detail._x000D_
4.There is a oval soft tissue opaque mass lesion noted within the mid abdomen._x000D_
5.The gastrointestinal tract is within normal limits.</t>
  </si>
  <si>
    <t xml:space="preserve">
Virtual Radiologist Case Difficulty: LOW_x000D_
Virtual Radiologist Confidence: HIGH_x000D_
Abdominal ultrasound with possible fine-needle aspiration for cytology would be recommended._x000D_
Coagulation profile, platelet count and PCV prior to abdominocentesis and/or tissue sampling._x000D_
Three view thoracic radiographs after confirmation of an abdominal mass.</t>
  </si>
  <si>
    <t>Three radiographs of the abdomen are provided. There is no peritoneal or retroperitoneal effusion. The prostate is moderately enlarged consistent with the reproductive status of this patient. No radiopaque urolithiasis. Normal-sized liver, spleen, kidneys. Soft tissue density between the gastric fundus and left kidney on the VD projection is normal splenic head. The gastrointestinal tract is minimally filled. The cecum is gas dilated. Narrowed L5-6 intervertebral disc space. Normal caudal thorax and coxofemoral joints.</t>
  </si>
  <si>
    <t>The appearance of L5-6 is suggestive of intervertebral disc disease. Such a lesion at this or another site is the most likely cause for discomfort. No intra-abdominal abnormalities.</t>
  </si>
  <si>
    <t>If pain can be medically managed, this patient may benefit from anti-inflammatories and strict rest. Otherwise, consultation with a neurologist and advanced spinal imaging with CT/MRI may be necessary.</t>
  </si>
  <si>
    <t xml:space="preserve">
1.Abdominal detail is normal._x000D_
2.The stomach is mildly gas and fluid filled with some soft tissue density material. The small bowel is gas and fluid-containing. No obvious obstruction._x000D_
3.Liver size, shape and margin are normal._x000D_
4.Splenic size, shape and margin are normal.</t>
  </si>
  <si>
    <t>Study:_x000D_
Abdominal, pelvic and left stifle radiography: three images dated September 17, 2024_x000D_
_x000D_
Findings:_x000D_
The stomach contains a small volume of gas. The small intestines are normal in size, course and content. The colon contains formed fecal material. The liver and is normal in size and margin. The spleen is mild mildly enlarged coursing along the ventral abdomen. The kidneys are normal in size and contour. The urinary bladder is normal in size and opacity. There is no prostatomegaly. The included thorax is normal. The included spine is unremarkable with no intervertebral disc space or foraminal narrowing. There is severe bilateral hip dysplasia and remodeling/thickening of the femoral head and neck. There is a moderate to severe soft tissue opacity within the cranial aspect of the left stifle joint space. Mild periarticular bone formation is present at the apex of the left patella. The pelvic limb musculature is bilaterally symmetric.</t>
  </si>
  <si>
    <t>1. Severe bilateral hip dysplasia and coxofemoral osteoarthrosis._x000D_
2. The left stifle joint effusion/capsular thickening and mild osteoarthrosis likely indicate cranial cruciate plus/minus meniscal injury. Orthopedic consultation and surgical stabilization can be considered._x000D_
3. The generalized splenomegaly is nonspecific. Rule out extramedullary hematopoiesis, lymphoid hyperplasia, splenitis, congestion (of higher priority if sedated for radiographs) or infiltrative neoplasia. Sonography can be considered for further evaluation.</t>
  </si>
  <si>
    <t xml:space="preserve">
1.Liver size, shape and margin are normal._x000D_
2.Splenic size, shape and margin are normal._x000D_
3.Abdominal detail is normal._x000D_
4.The stomach contains gas and ingesta or prominent rugae. The small bowel is diffusely fluid filled but without segmental small bowel dilation.</t>
  </si>
  <si>
    <t>Three radiographs of the thorax and three views of the abdomen are provided. The cardiac silhouette and pulmonary vessels are normal size. There is soft tissue opacity with air bronchograms in the mid ventral left lungs. The caudal thoracic esophagus is fluid dilated on the right lateral view, and the entire esophagus is gas dilated on the left lateral and VD views. Esophageal dilation causes ventral displacement of the caudal thoracic trachea on the left lateral view. Tracheal diameter is adequate._x000D_
_x000D_
In the abdomen there is large volume of gas in the stomach consistent with aerophagia. Small bowel are minimally filled. Semi-formed feces in the colon. Normal-sized liver, spleen, left kidney. Right kidney is obscured. The prostate is moderately enlarged consistent with the reproductive status of this patient. No osseous abnormalities are appreciated.</t>
  </si>
  <si>
    <t>1. Megaesophagus with aspiration pneumonia. Differentials for megaesophagus include esophagitis, myasthenia gravis, endocrinopathy (hypothyroidism, hypoadrenocorticism) and idiopathic etiology._x000D_
2. Normal abdomen.</t>
  </si>
  <si>
    <t>A CBC, blood chemistry profile, and antibiotics for aspiration pneumonia are not recommended. If there is esophageal dilation on follow-up radiographs, additional workup for megaesophagus would be recommended.</t>
  </si>
  <si>
    <t xml:space="preserve">
1.The cranial right quadrant has a hazy appearance on the VD projection otherwise serosal detail is adequate._x000D_
2.In the abdomen the stomach contains small volume gas, soft tissue and mildly prominent rugae._x000D_
3.No abnormal AI findings reported._x000D_
4.The liver and spleen are normal size._x000D_
5.Small intestines are minimally filled._x000D_
6.The colon contains gas and scant semiformed feces.</t>
  </si>
  <si>
    <t>8 images of the thorax, abdomen, and left humerus are presented for review.  There is lysis of the fourth sternal segment with soft tissue mass extending dorsally into the left ventral aspect of the thorax.  Thin pleural fissure lines present.  The cardiovascular structures are normal.  There is a diffuse interstitial pulmonary pattern that is considered appropriate for the age of the patient.  No pulmonary nodules or enlarged intrathoracic lymph nodes are seen.  The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There is spondylosis deformans of the lumbar spine.  The joint surfaces are smooth and regular.</t>
  </si>
  <si>
    <t>Radiographically normal abdomen and left humerus.  Sternal lysis with associated soft tissue mass and mild pleural effusion.  Bone origin neoplasia is likely.</t>
  </si>
  <si>
    <t>CT could be considered in surgical planning if desired.</t>
  </si>
  <si>
    <t>Abdomen. Four radiographs of the abdomen (two lateral, two VD) dated September 17, 2024 are provided.
Gastrointestinal tract: The stomach contains a small volume of heterogeneous ingesta admixed and surrounded by gas. The small intestine is within normal limits of diameter and is primarily gas-filled. The colon is normal in size and contains feces and gas.
Liver: The liver is within normal limits of size and shape.
Spleen: The spleen is normal in size with smooth margins.
Urinary: There are two large, rounded soft tissue opaque structures in the caudal abdomen. The cranial structure is likely the bladder, the caudal is suspected to be an enlarged prostate. There is no evidence of mineralization within the prostate. The prostate does not compress/constrict the colon. The visible margins of the kidneys are within normal limits.
Peritoneal space: There is adequate serosal detail.
Musculoskeletal: The included skeletal and superficial soft tissue structures of the study are within normal limits.</t>
  </si>
  <si>
    <t>1. Moderate prostatomegaly. Differentials include benign prostatic hyperplasia (BPH), prostatitis, prostatic cysts/paraprostatic cysts, and prostatic neoplasia.</t>
  </si>
  <si>
    <t>An abdominal ultrasound could be considered to further evaluate the prostate. If feasible, castration is recommended. If not already performed, urinalysis with culture and sensitivity is recommended.</t>
  </si>
  <si>
    <t>Orthogonal views of the abdomen are provided:_x000D_
_x000D_
Abdomen:_x000D_
_x000D_
The stomach is empty._x000D_
Small intestines are mildly gas and fluid filled, not overtly distended. No signs of mechanical ileus._x000D_
Serosal detail is preserved._x000D_
Liver and spleen are within normal limits of size and smoothly marginated._x000D_
Kidneys and urinary bladder WNL._x000D_
Sublumbar well defined bilobed soft tissue opacity is seen extending from the level of the caudal end plate of L2 through the pelvic canal past S2, ventrally displacing the kidneys and the descending colon, compressing the lime of the latter. No signs of vertebral spondylitis._x000D_
_x000D_
Bilateral hip dysplasia with right sided moderate periarticular osteophytosis.</t>
  </si>
  <si>
    <t>1) Sublumbar well defined bilobed soft tissue opacity most likely representing the periarotic and sublumbar lymph nodes being severely too moderately enlarged, respectively. Main differential is a neoplastic process prioritizing round cell neoplasm such as lymphoma or histiocytic sarcoma vs AGASACA vs urinary in origin neoplasm less likely.</t>
  </si>
  <si>
    <t>CBC along with abdominal US with US guided FNAs, three views of the thorax and rectal exam.</t>
  </si>
  <si>
    <t xml:space="preserve">
1.On the lateral projection, the liver is at the upper limits of normal for size to mildly enlarged, but has smooth margins._x000D_
2.The spleen is unremarkable._x000D_
3.The serosal detail in the cranial abdomen is mildly decreased on the VD projection but normal on the lateral projection. The appearance on the VD projection is attributed to a confluence of soft tissue structures and bowel._x000D_
4.The ventral abdominal line is mildly pendulous._x000D_
5.The stomach contains a mild amount of gas._x000D_
6.No segmental small intestinal dilation is noted._x000D_
7.The colon contains a moderate amount of heterogeneous soft tissue material.</t>
  </si>
  <si>
    <t>Patient Name : Fenway Nelson, Date of study: Sep 17, 2024
6 images are provided for review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mildly small and measure under 2.5x the length of L2.
Retroperitoneum: Retroperitoneal detail is adequate.
Urinary bladder/Urethra: The urinary bladder is small in size, homogeneous soft tissue, and smoothly marginated.
Peritoneum: Peritoneal detail is adequate.
Gastrointestinal tract: The stomach contains a mild to moderate volume of gas and mild soft tissue material.   The stomach is within normal limits for size.
The small intestine contains mild fluid and gas or is empty with a subjectively uniform population for size. 
The colon contains minimal soft tissue material and gas.  The colon is within normal limits for size.  
Musculoskeletal: The included musculoskeletal structures are normal.</t>
  </si>
  <si>
    <t>1. Mild diffuse bronchial pulmonary pattern such as from fibrosis from prior disease, age-related changes, infectious/immune-mediated lower airway disease, inhaled allergen/irritant, or unlikely other.
2. Mild small kidneys such as from chronic renal disease versus other.</t>
  </si>
  <si>
    <t>Consider routine blood work, urinalysis, and abdominal ultrasonography for further evaluation of the kidneys.  Empirical therapy and supportive care in the interim as needed.   Monitoring as directed or sooner if clinical signs fail to improve or worsen in the face of empirical therapy.</t>
  </si>
  <si>
    <t>5 images of the abdomen are provided for review.  Serosal detail is adequate in all quadrants.  The liver margins are irregular.  The stomach contains a moderate amount of ingesta.  The small intestines are normal in size.  Gas and feces are present in the colon.  The urinary bladder is small.  No mineral is seen associated with the urinary tract.  The remaining abdominal organs are normal.</t>
  </si>
  <si>
    <t>Irregular liver=ZZ90= this is a nonspecific finding that may be seen with congestion, vacuolar hepatopathy, inflammation, neoplasia, etc.</t>
  </si>
  <si>
    <t>Abdominal ultrasound may be helpful in further evaluation if biochemically indicated.</t>
  </si>
  <si>
    <t xml:space="preserve">
1.Abdominal detail is normal._x000D_
2.The liver is upper limits of normal for size to mildly enlarged but retains a smooth margins._x000D_
3.The spleen is normal for size._x000D_
4.Moderate volume ingesta fills the stomach._x000D_
5.Small intestines are mildly gas filled._x000D_
6.Formed feces is present in the distal colon.</t>
  </si>
  <si>
    <t>Orthogonal views of the thorax and abdomen are provided:_x000D_
_x000D_
Thorax:_x000D_
_x000D_
Cardiac silhouette has a normal shape and size._x000D_
Pulmonary vessels are within normal limits of size and shape._x000D_
Pulmonary parenchyma shows an alveolar pulmonary pattern with air bronchograms ventrally located in the right middle lung lobe. No evidence of pulmonary nodules/masses.Pleural space, mediastinum, diaphragm and thoracic wall within normal limits._x000D_
_x000D_
Abdomen:_x000D_
_x000D_
The stomach is filled with small volume of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Multifocal signs of chronic IVDD with mineral material superimposed with the IV foramina of T13-L1, L1-L2 and L4-L5._x000D_
Bilateral hip dysplasia with mild periarticular osteophytosis._x000D_
Bilateral MPL.</t>
  </si>
  <si>
    <t>1) Alveolar pulmonary pattern with air bronchograms in the right middle lung lobe consistent with aspiration pneumonia._x000D_
2) Unremarkable abdomen._x000D_
3) Multifocal signs of chronic IVDD with likely old disc extrusions at 13-L1, L1-L2 and L4-L5.</t>
  </si>
  <si>
    <t>Consider empirical treatment for pneumonia with follow up radiographs every 48/72 hours to evaluate response to treatment. Rule out any predisposing cause for vomition, regurgitation or neurological condition such as laryngeal paralysis._x000D_
Once recovered, consider a full neuro exam with MRI if necessary.</t>
  </si>
  <si>
    <t xml:space="preserve">
1.Abdominal detail is normal._x000D_
2.The stomach contains gas and ingesta or prominent rugae, suggestive of gastritis. The small bowel is diffusely fluid filled but without segmental small bowel dilation._x000D_
3.Liver size, shape and margin are normal._x000D_
4.Splenic size, shape and margin are normal.</t>
  </si>
  <si>
    <t>Thorax. Two radiographs (right lateral and dorsal ventral views) of the thorax dated September 17, 2024 are provided.
Cardiac silhouette: The cardiac silhouette is normal in size and shape.
Pulmonary vessels: The pulmonary arteries and veins are normal in size and are symmetrical.
Pulmonary parenchyma: There is a diffuse moderate bronchial pattern. The secondary and tertiary airways are conspicuous extending into the periphery of the lungs.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Musculoskeletal: The included skeletal and superficial soft tissue structures of the study are within normal limits.</t>
  </si>
  <si>
    <t>1. The diffuse moderate bronchial pulmonary pattern, consistent with lower airway inflammation/chronic bronchitis. Differentials include infectious/inflammatory lower airway disease (e.g. mycoplasma, Bordetella, parasitism), allergic, and irritant etiologies.
2. Normal cardiovascular structures. Valvular disease is prioritized as a cause of reported murmur.</t>
  </si>
  <si>
    <t>Consider airway sampling (respiratory PCR, lavage, wash) and Baermann fecal analysis for further evaluation and to guide treatment. An echocardiogram, ECG, and blood pressure are recommended to further evaluate the heart.</t>
  </si>
  <si>
    <t>Orthogonal views of the thorax and abdomen are provided:_x000D_
_x000D_
Thorax:_x000D_
_x000D_
No abnormalities seen in the trachea._x000D_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almost empty._x000D_
Small intestines are mildly gas and fluid filled, not overtly distended. No signs of mechanical ileus._x000D_
Serosal detail is preserved._x000D_
Liver extends beyond the costal arch with mildly rounded margins._x000D_
Spleen is within normal limits of size and smoothly marginated._x000D_
Kidneys and urinary bladder WNL._x000D_
_x000D_
Visible spine shows small volume of mineral material just dorsal to L4-L5 partially superimposed with its IV foramen.</t>
  </si>
  <si>
    <t>1) Unremarkable lungs do not exclude a bronchitis of allergic origin vs inflammatory/infectious or parasitic origin. No signs of pulmonary metastases nor signs of thoracic lymphadenopathy. Rule out pulmonary hypertension._x000D_
2) Hepatomegaly: Metabolic vs Vacuolar infiltration vs Hepatic nodular hyperplasia vs Inflammatory vs Toxic vs Neoplastic or a combination of these differentials._x000D_
3) L4-L5. Changes compatible with old disc extrusion.</t>
  </si>
  <si>
    <t>Consider empirical treatment for chronic bronchitis evaluating response to treatment. If clinical signs persist, consider a bronchoscopy with BAL, culture, cytology, Baermann test and deworming._x000D_
Consider echocardiogram and abdominal US to further evaluate the liver and entire abdomen._x000D_
Consider also full neuro exam evaluating the need of an MRI.</t>
  </si>
  <si>
    <t xml:space="preserve">
1.The stomach and small bowel are minimally filled. No signs of obstruction._x000D_
2.The liver is prominent with smooth margins._x000D_
3.No abnormal AI findings reported._x000D_
4.The spleen is within normal limits for size.</t>
  </si>
  <si>
    <t>Abdomen. Three radiographs (two lateral, one VD) of the abdomen dated September 17, 2024 are provided.
Gastrointestinal tract: The stomach contains a small volume of gas and is normal in position. The small intestines are predominantly soft tissue opaque and are normal in diameter. The colon is filled with loosely formed feces and gas.
Reproductive: There is increased soft tissue between the neck of the urinary bladder and and colon. There is no evidence of a mass effect in the caudal ventral abdomen.
Liver: The liver is within normal limits of size and shape.
Spleen: The spleen is unremarkable.
Urinary: The visible margins of the kidneys are within normal limits. The urinary bladder is normal in size and opacity.
Peritoneal space: There is adequate serosal detail.
Musculoskeletal: There is moderate spondylosis deformans of the mid lumbar spine. The remaining skeletal structures are unremarkable.</t>
  </si>
  <si>
    <t>1. There is evidence of mild enlargement of the uterine body. Differentials include normal estrus and early pyometra/mucometra/hydrometra. A uterine neoplasm is not ruled out. Early pregnancy is considered less likely given blood-tinged vulvar discharge.
2. The colon is full; however there is no evidence of obstipation.</t>
  </si>
  <si>
    <t>An abdominal ultrasound is recommended to further evaluate the uterus (versus ovariohysterectomy). A stool softener may be of benefit.</t>
  </si>
  <si>
    <t xml:space="preserve">
1.Splenic size, shape and margin are normal._x000D_
2.The liver is mildly enlarged but with smooth margins. No liver mass is noted._x000D_
3.Abdominal detail is normal however the abdomen is mildly pendulous._x000D_
4.The stomach is normal. The small bowel contains gas and fluid but no segmental small bowel dilation is noted.</t>
  </si>
  <si>
    <t>ABDOMEN (5 images):
Images are dated September 17, 2024.
Liver: The liver is mildly enlarged with a rounded caudoventral margin terminating at the level of the 13th ribs.  The gastric axis is mildly caudally displaced.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The prostate gland is mildly enlarged and homogeneous soft tissue.
Peritoneum: Peritoneal detail is adequate.
Gastrointestinal tract: The stomach contains a moderate  volume of gas.   The stomach is within normal limits for size.  Gas is in the pylorus in the left lateral image.
The small intestine contains mild gas and fluid or is empty with a subjectively uniform population for size. 
The colon contains mild heterogeneous soft tissue material and gas.  The colon is within normal limits for size.  
Musculoskeletal: The included musculoskeletal structures are normal.</t>
  </si>
  <si>
    <t>1. Mild hepatomegaly due to vacuolar change, nodular hyperplasia, hepatitis/cholangiohepatitis, or evolving neoplasia, or unlikely other.
2. Non-specific small intestinal and colon appearance such as from enteritis, colitis, or given reported history less likely variation of normal.
- There is no current evidence of gastrointestinal mechanical ileus.
- Differential diagnoses include dietary indiscretion, toxin ingestion, diet/antibiotic responsive disease, inflammatory bowel disease, pancreatitis, occult systemic disease or unlikely other.
3. Mild prostate gland enlargement due to benign prostatic hyperplasia given intact patient status, or unlikely prostatitis or other.</t>
  </si>
  <si>
    <t>Consider abdominal computed tomography versus ultrasonography for further evaluation of the liver and gastrointestinal tract.  Empirical deworming/fecal analysis and GI panel may be contributory.  Empirical therapy and supportive care in the interim as needed. for suspected enterocolitis.  Monitoring as directed or sooner if clinical signs acutely change, fail to improve or worsen.</t>
  </si>
  <si>
    <t xml:space="preserve">
1.The peritoneal serosal detail is normal._x000D_
2.The stomach contains a mild volume of gas and fluid._x000D_
3.The small intestines are mainly fluid-filled, and mild-to moderately dilated._x000D_
4.The liver has a normal shape, size and margination._x000D_
5.The spleen is normal._x000D_
6.The colon contains gas and feces.</t>
  </si>
  <si>
    <t>The AI result for this case is most compelling for:  gastroenteritis/colitis due to dietary indiscretion, or viral-bacterial or less likely parasitic origin. No obvious obstructive pattern or ileus, however a partial obstruction could still be considered. While less likely, these findings could also be seen with pancreatitis in the appropriate clinical setting.</t>
  </si>
  <si>
    <t xml:space="preserve">
Virtual Radiologist Case Difficulty: MODERATE_x000D_
Virtual Radiologist Confidence: MODERATE_x000D_
In a vomiting or anorexic patient, supportive care and therapy for gastroenteritis/colitis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</si>
  <si>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Three radiographs of the thorax, and three views of the abdomen are provided. Images dated 4/10/24 are available for comparison. The cardiac silhouette is normal size and shape with no chamber enlargement. A mild mixed bronchointerstitial pattern is present throughout the lungs, similar to the previous study. There are no soft tissue pulmonary nodules or pleural effusion. Redundant dorsal trachealis membrane in the cervical region. Focal dorsal position of the cranial thoracic trachea on the left lateral view is incidental. No esophageal dilation._x000D_
_x000D_
In the abdomen there is no effusion. The stomach and small bowel are minimally filled. Formed feces fills the distal colon. The liver, spleen, and kidneys are normal size. No radiopaque urolithiasis.</t>
  </si>
  <si>
    <t>1. Mild mixed bronchointerstitial pattern as before, most likely normal aging change. With the history provided, infectious airway disease may also be present. The appearance of the cervical trachea is suggestive of dynamic collapse. This could be contributing to the clinical signs. There is no evidence of pneumonia or cardiovascular disease. A small valvular regurgitant jet can result in a relatively loud murmur._x000D_
2. Normal abdomen.</t>
  </si>
  <si>
    <t>Consider treatment for infectious airway disease.</t>
  </si>
  <si>
    <t>Abdomen. Three radiographs (two lateral, one VD) dated September 17, 2024 are provided.
Gastrointestinal tract: The stomach is moderately distended with heterogeneous ingesta admixed with gas. The small intestines are diffusely within normal limits of diameter containing gas and heterogeneous ingesta. A loop in the right cranial abdomen contains punctate mineral foci. The colon contains loosely formed feces and gas.
Liver: The liver is normal in size and shape.
Spleen: The spleen is normal in size with smooth margins.
Urinary: The visible margins of the kidneys are within normal limits. The urinary bladder is normal in size and opacity.
Peritoneal space: There is adequate serosal detail.
Musculoskeletal: The included skeletal and superficial soft tissue structures of the study are within normal limits.</t>
  </si>
  <si>
    <t xml:space="preserve">The appearance of the stomach is consistent with a postprandial appearance (recent meal reportedly ingested within 2 hours of presentation). There is no evidence of a mechanical gastrointestinal obstruction. Differentials for continued diarrhea include dietary indiscretion, nonspecific gastroenteritis, and colitis.
</t>
  </si>
  <si>
    <t>Continued medical management is recommended. If not already performed, a gastrointestinal panel, fecal analysis/flotation, and cPL would be recommended. If clinical signs persist despite treatment, fasted recheck abdominal radiographs or an abdominal ultrasound would be recommended.</t>
  </si>
  <si>
    <t>ABDOMEN (4 images):
Images are dated September 17, 2024.
Prior images dated September 16, 2024 are available (2762115).
Liver: The liver is subjectively normal in size.
Spleen: The dorsal extremity of the spleen in the ventrodorsal image is normal.
Kidneys: The left kidney is normal.  The right kidney is partially obscured without obvious enlargement/mineral.
Retroperitoneum: Retroperitoneal detail is adequate.
Urinary bladder/Urethra: The urinary bladder is partially obscured without obvious enlargement or mineral.
Peritoneum: Peritoneal detail is adequate.
Gastrointestinal tract: The stomach contains a moderate volume of fluid gas.  Well-defined pyloric gas in the left lateral image.   The stomach is within normal limits for size.
The small intestine contains minimal gas and mild fluid or is empty with a subjectively uniform population for size. 
The colon contains minimal soft tissue material and gas or is empty.  The colon is within normal limits for size.  
Musculoskeletal: Caudal vertebral anomalies are consistent with patient breed.  The remaining included musculoskeletal structures are normal.</t>
  </si>
  <si>
    <t>1. Non-specific gastrointestinal tract appearance such as from enteritis, colitis, or unlikely individual variation of normal given reported history.
- There is no current evidence of gastrointestinal mechanical ileus.
- Differential diagnoses include dietary indiscretion, toxin ingestion, diet/antibiotic responsive disease, inflammatory bowel disease, pancreatitis, occult systemic disease or unlikely other.
2. No obvious gastric foreign material in this examination.</t>
  </si>
  <si>
    <t>Consider GI panel, fecal analysis/deworming, and routine blood work for further evaluation.  Abdominal ultrasonography for further evaluation of the intestine, especially if clinical signs persist or fail to fully improve with empirical therapy and supportive care in the interim.  Monitoring as directed or sooner if clinical signs acutely change, fail to improve or worsen.</t>
  </si>
  <si>
    <t xml:space="preserve">
1.Portions of the small intestine are dilated with gas or soft tissue opacity._x000D_
2.There is at least one segment of rigid appearing bowel in the mid-abdomen. This segment may represent colon versus small bowel dilation._x000D_
3.The spleen is normal._x000D_
4.The liver is normal to small for size._x000D_
5.There is a focal loss of serosal detail in the cranial abdomen predominantly seen on the lateral projection._x000D_
6.The pyloroduodenal angle is widened on the VD projection and the descending duodenum is rigid and gas or fluid filled._x000D_
7.The gastric lumen contains a mild amount of soft tissue and gas opacity._x000D_
8.The gastric rugae are prominent.</t>
  </si>
  <si>
    <t>Eight radiographs are provided, with images of the thorax, abdomen, pelvis/proximal pelvic limbs. Images dated 10/18/22 are available for comparison. The cardiac silhouette and pulmonary vessels are normal size and shape. There are faint bronchial markings and numerous pulmonary osteomas consistent with age. Hazy ovoid soft tissue density in the right 5th intercostal space on the VD projection is summating normal anatomy. There is no pleural effusion. Adequate tracheal diameter._x000D_
_x000D_
In the abdomen the liver is upper normal size. Normal size spleen and kidneys. The gastrointestinal tract is mildly filled. Linear wire-like metal densities in the cranioventral peritoneal space as before, consistent with chronic migrated gastric foreign material, incidental. No radiopaque cystic calculi. Narrowed T11-12, T13-L1 intervertebral disc space, worse than before and of uncertain significance today. The coxofemoral joints are congruent. There is scant fluid in the cranial aspect of the right stifle joint. No left stifle abnormalities.</t>
  </si>
  <si>
    <t>Scant right stifle effusion suggestive of partial cranial cruciate ligament tear. Probable progressive intervertebral disc disease in the caudal thoracic spine. These may be responsible for discomfort. Normal abdomen and thorax.</t>
  </si>
  <si>
    <t xml:space="preserve">
1.Abdominal detail is normal however the abdomen is mildly pendulous._x000D_
2.The stomach is normal. The small bowel contains gas and fluid but no segmental small bowel dilation is noted._x000D_
3.The liver is mildly enlarged but with smooth margins. No liver mass is noted._x000D_
4.Splenic size, shape and margin are normal.</t>
  </si>
  <si>
    <t>Orthogonal radiographs of the thorax/abdomen are provided. There is equivocal prominent left atrium, of doubtful significance. Pulmonary vessels are normal size. No abnormalities in the pulmonary parenchyma. No pleural effusion. Redundant dorsal trachealis membrane in the cervical region. Normal cranial mediastinal width. In the abdomen the liver is mildly enlarged with smooth margins. No effusion. The gastrointestinal tract is moderately filled. No radiopaque urolithiasis. Punctate mineral density overlying the L3-4 intervertebral foramen is of doubtful clinical significance today. Degenerative change noted in the coxofemoral joints.</t>
  </si>
  <si>
    <t>1. Suspect cervical tracheal collapse, the most likely cause for respiratory signs._x000D_
2. Equivocal prominent left atrium suggestive of degenerative mitral valve disease. This is of doubtful clinical significance today._x000D_
3. Mild hepatomegaly, a nonspecific finding that may be steroid or other hepatopathy, acute inflammation, or neoplasia. This should be correlated with history and blood work.</t>
  </si>
  <si>
    <t>A CBC and blood chemistry profile are recommended to rule out a metabolic abnormality and to evaluate hepatic enzymes.</t>
  </si>
  <si>
    <t>The AI result for this case is most compelling for: Mild hepatomegaly. Steroid or metabolic hepatopathy is the most likely etiology, with less likely considerations including infiltrative neoplasia or acute inflammation.</t>
  </si>
  <si>
    <t xml:space="preserve">
Virtual Radiologist Case Difficulty: MODERATE_x000D_
Virtual Radiologist Confidence: MODERATE_x000D_
Evaluation could be performed with blood work, and abdominal ultrasound.</t>
  </si>
  <si>
    <t>2 views of the abdomen are provided for review and compared with a previous study.  Mottled soft tissue material remains in the stomach.  The small intestines are uniform and normal in size.  Gas and feces are present in the colon.  No other significant changes are seen.</t>
  </si>
  <si>
    <t>Persistent gastric contents is consistent with foreign material.</t>
  </si>
  <si>
    <t>Consider endoscopy or abdominal exploratory.</t>
  </si>
  <si>
    <t xml:space="preserve">
1.The small bowel contains gas and fluid and is normal in diameter._x000D_
2.The colon contains scant fecal material and gas._x000D_
3.The liver and spleen are normal in size and shape._x000D_
4.Serosal detail within the peritoneal space is normal._x000D_
5.The stomach contains a small volume of fluid opaque material and gas. The gastric rugae appear prominent._x000D_
6.No abnormal AI findings reported.</t>
  </si>
  <si>
    <t>6 images of the thorax and abdomen are provided for review.  The cardiovascular structures are normal.  The lung lobes are retracted from the thoracic wall and gas is present in the pleural space.  Heavy interstitial to early alveolar opacity is present in the right caudal, left caudal, and caudal subsegment of the left cranial lung lobes.  The mediastinal structures are normal.  The diaphragm appears intact.  Abdominal serosal detail is reduced in all quadrants.  The stomach contains a small amount of gas.  The small intestines are normal in size.  Gas and feces are present in the colon.  The urinary bladder is small.  The remaining abdominal organs are normal.</t>
  </si>
  <si>
    <t>Reduced serosal detail concerning for mild free fluid.  Abdominal ultrasound and sampling of fluid may be helpful.  Pneumothorax.  Pulmonary infiltrates concerning for contusions.  Repeat radiographs following thoracocentesis may be helpful to determine the severity of contusions.</t>
  </si>
  <si>
    <t xml:space="preserve">
1.Liver size, shape and margin are normal._x000D_
2.Splenic size, shape and margin are normal._x000D_
3.Abdominal detail is normal._x000D_
4.The stomach contains gas and a small amount of soft tissue density. Loops of small bowel are minimally gas and fluid filled without segmental small bowel dilation.</t>
  </si>
  <si>
    <t>The AI result for this case is most compelling for: Gastroenteritis. While a normal abdomen with residual ingesta may have this appearance, gastroenteritis secondary to dietary indiscretion is suspected. 
A partial obstruction could be considered, however there is no evidence of a complete obstruction.</t>
  </si>
  <si>
    <t xml:space="preserve">
In a vomiting or anorexic patient, supportive care is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</si>
  <si>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abdomen are provided. There is no abdominal effusion. The stomach contains a small volume of gas. Small intestines are minimally filled. Moderate volume of formed feces in the distal colon. A few punctate mineral densities are present within the small bowel. No other foreign material is appreciated. The kidneys, liver, and spleen are normal size and shape. Normal caudal thorax.</t>
  </si>
  <si>
    <t>Mineral debris in the small bowel is of a size that should continue to pass successfully. There is no evidence of an obstructive process. Small radiolucent gastric foreign material remains possible.</t>
  </si>
  <si>
    <t>If clinical signs persist, options include either a positive contrast gastrogram, or gastroscopy.</t>
  </si>
  <si>
    <t>The appearance of the small intestinal tract may be incidental, but can suggest a functional ileus in the correct clinical context. There is no evidence of intestinal obstruction. The AI result for this case is most compelling for: Gastric contents which may represent ingesta or foreign material. This finding may cause secondary gastroenteritis.</t>
  </si>
  <si>
    <t>Opposite lateral and VD thoracoabdominal views are provided. Images are dated 8-19-24 but are indicated by the RDBMS actually having been made 9-16-24._x000D_
_x000D_
There are a few gas-filled small bowel loops, one in the cranial abdomen appear slightly dilated. No foreign bodies identified in the GI tract. There appears to be a slight reduction and retroperitoneal area detail into the lateral views, but this is not appreciated in the first lateral view made. Detail appears slightly reduced in the left cranial quadrant in the second VD view, but this is not appreciated in the first VD view made. The other abdominal organs are all within normal limits._x000D_
The cardiopulmonary structures are unremarkable. No tracheal or esophageal abdomen always identified._x000D_
There is marked narrowing of the intervertebral disc spaces from T10 to T 12, and moderate narrowing at L1-L2. L4-L5 is also suspected to be mildly to moderately narrowed. No destructive endplate changes or soft-tissue swelling are seen.</t>
  </si>
  <si>
    <t>The slight reduction in detail in the cranial abdomen is suspected, possibly involving the retroperitoneal space. These are exceptionally subtle changes, so clinical significance is not definitive but inflammatory/infectious local conditions such as pyelonephritis or pancreatitis should be ruled out._x000D_
_x000D_
No destructive endplate changes indicative of discospondylitis identified, but there is significant displaced narrowing consistent with disc degeneration involving the caudal thoracic and lumbar spine as described.</t>
  </si>
  <si>
    <t>CBC, serum chemistry including pancreatic specific lipase, and urinalysis with reflex culture (if indicated) is recommended._x000D_
_x000D_
Supportive care is recommended. Empiric antibiotic therapy for possible infectious disease is recommended once diagnostic samples of been obtained.</t>
  </si>
  <si>
    <t>ABDOMEN (3 images):
Images are dated September 16, 2024.
Liver: The liver is moderately enlarged with a rounded caudoventral margin extending beyond the level of the 13th ribs, and caudodorsal displacement of the gastric axis.  The left liver is enlarged in the ventrodorsal image, presumably superimposed over the stomach and spleen partially in the left cranial abdomen.  The spleen is caudally displaced from the left cranial abdomen in the ventrodorsal image as a result of hepatomegaly.
Spleen: The spleen is normal in size with smooth margins and homogeneous soft tissue.  The spleen is caudally displaced in the ventrodorsal image.
Kidneys: The left kidney has slightly flat or rounded margins.  The right kidney is partially obscured without obvious enlargement or mineral.
Retroperitoneum: Retroperitoneal detail is adequate.
Urinary bladder/Urethra: The urinary bladder is normal in size, homogeneous soft tissue, and smoothly marginated.
Peritoneum: Peritoneal detail is adequate.
Gastrointestinal tract: The stomach contains a moderate volume of gas.   The stomach is within normal limits for size.
The small intestine contains moderate gas and mild soft tissue material, fluid or is empty with a subjectively uniform population for size. 
The colon contains mild admixed soft tissue material and gas.  The colon is within normal limits for size.  
Musculoskeletal: The included musculoskeletal structures are normal.</t>
  </si>
  <si>
    <t xml:space="preserve">1. Moderate hepatomegaly due to vacuolar change, nodular hyperplasia, hepatitis/cholangiohepatitis, or evolving neoplasia, or unlikely other.
2. Slight to mild left renal margin changes such as from chronic renal disease.
3. Gastrointestinal tract appearance due to recent meal/passing normal ingesta or unlikely gastroenteritis, or other.
- There is no evidence of mechanical ileus.  </t>
  </si>
  <si>
    <t>Consider routine blood work, urine cortisol:creatinine ratio or LDDS testing or ACTH stimulation testing for further evaluation of occult endocrinopathy.  Consider abdominal ultrasonography for further evaluation of the liver, adrenal glands and kidneys.  Consider coagulation testing with possible hepatic tissue sampling depending on results.  Empirical therapy and supportive care in the interim as needed.  Monitoring as directed or sooner if clinical signs acutely change, fail to improve or worsen.</t>
  </si>
  <si>
    <t xml:space="preserve">
1.The liver is enlarged._x000D_
2.Resource: https://platform.v2.vetology.net/doc/cushings_1_x000D_
3.The spleen is caudally displaced by the hepatomegaly but retains a smooth margin._x000D_
4.Abdominal detail is decreased._x000D_
5.The gastric axis is caudally displaced by the hepatomegaly and the gastric lumen contains amorphous, soft-tissue-opaque material, most consistent with food._x000D_
6.The small intestines are displaced caudally by the hepatomegaly and contain a combination of gas-filled and fluid-filled/collapsed, and all are within normal limits for diameter._x000D_
7.The colon contains a combination of gas and granular fecal material.</t>
  </si>
  <si>
    <t>Non-specific hepatomegaly may be secondary to a metabolic hepatopathy. Less benign causes such as hepatitis and neoplasia cannot be completely ruled out though these are thought less likely. Decreased abdominal detail and pendulous abdomen. DDx: organ crowding secondary to the hepatomegaly and metabolic disease such as Cushing's disease or diabetes vs. abdominal fluid.</t>
  </si>
  <si>
    <t xml:space="preserve">
Virtual Radiologist Case Difficulty: MODERATE_x000D_
Virtual Radiologist Confidence: MODERATE_x000D_
Testing for hyperadrenocorticism and/or diabetes could be considered._x000D_
Abdominal ultrasound.</t>
  </si>
  <si>
    <t>WHOLE-BODY (6 radiographs are provided for review). No priors._x000D_
_x000D_
- Along the dorsal surface of the left carpal region, there is a very large, lobular, rounded soft-tissue opaque mass measuring approximately 5.5 x 3.2 cm. There is moderate left carpal joint osteophyte formation, however no lysis is distinctly appreciated._x000D_
- Moderate left elbow joint osteophyte formation._x000D_
- The cardiac silhouette, pulmonary vasculature, pleural space, trachea, mediastinum and remaining intrathoracic structures are normal._x000D_
- The gastrointestinal tract, liver, spleen, kidneys and urinary bladder are normal._x000D_
- Minimal multifocal vertebral spondylosis deformans.</t>
  </si>
  <si>
    <t>1. Large left carpal soft-tissue mass=ZZ90= dorsal surface. Consistent with the reported fibrosarcoma. No distinct evidence of bony osteolysis although early invasion of the carpal joint is not excluded._x000D_
_x000D_
2. Negative examination for evidence of thoracic metastatic neoplasia._x000D_
_x000D_
3. Normal abdomen. _x000D_
_x000D_
4. Moderate left carpal and elbow joint osteoarthrosis</t>
  </si>
  <si>
    <t>Thorax and abdomen. Three radiographs of the thorax (two lateral, one VD) and four radiographs of the abdomen (two lateral, two VD) dated September 16, 2024 are provided.
Cardiac silhouette: The cardiac silhouette is within normal limits of size and shape. The cardiac silhouette is artificially increased in size on the left lateral view, likely a combination of patient rotation and phase of the cardiac cycle.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stomach contains a small volume of gas and fluid and is normal in position. The duodenum is gas-filled on the left lateral and ventrodorsal views and is normal in size. The remainder of the small intestine is soft tissue opaque or contains heterogeneous/granular material. The colon contains loosely formed feces and gas.
Liver: The liver is normal in size and shape.
Spleen: The spleen is normal in size with smooth margins.
Urinary: The kidneys are normal size, shape, and margination. The urinary bladder is normal in size and opacity.
Peritoneal space: There is adequate serosal detail.
Musculoskeletal: The included skeletal and superficial soft tissue structures of the study are within normal limits.</t>
  </si>
  <si>
    <t>1. The gastrointestinal tract is unremarkable. There is no evidence of a mechanical small intestinal obstruction or mineral/metal opaque foreign material. Differentials include nonspecific gastroenteritis and pancreatitis.
2. Normal thorax. There is no evidence of aspiration pneumonia.
3. Given the history of gagging, an oral or laryngeal abnormality are not ruled out.</t>
  </si>
  <si>
    <t>If not already performed, a sedated oral/laryngeal exam would be recommended. Continued medical management and supportive care are recommended in the interim. If clinical signs persist despite treatment, an abdominal ultrasound could be considered.</t>
  </si>
  <si>
    <t>Study:_x000D_
Thoracic/abdominal radiography: three images dated September 16,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amount of heterogeneous soft tissue material. The pylorus is probably gas-filled on the left lateral image. The small intestines are normal in size, course and content. The colon contains poorly formed fecal material with a normal diameter. The liver and spleen are normal in size and margin. The renal silhouettes are normal in size and shape. The urinary bladder is normal in size and opacity. There is no uterine dilation. The patient has age appropriate open physes in multiple, breed associated, congenitally anomalous thoracic vertebrae.</t>
  </si>
  <si>
    <t>1. Gastric contents likely represent ingesta. Foreign material cannot be completely excluded. There is no evidence of small intestinal mechanical obstruction. Repeat fasted radiography can be considered to ensure gastric emptying. Alternatively, sonography can be considered if clinical signs persist or worsen in spite of medical management._x000D_
2. Normal thorax.</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</si>
  <si>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almost empty._x000D_
Small intestines are mildly gas and fluid filled, not overtly distended. _x000D_
Serosal detail is preserved._x000D_
Liver and spleen are within normal limits of size and smoothly marginated._x000D_
Kidneys and urinary bladder WNL.</t>
  </si>
  <si>
    <t>1) Unremarkable thorax without signs of pulmonary metastases nor signs of thoracic lymphadenopathy._x000D_
2) Unremarkable abdomen.</t>
  </si>
  <si>
    <t>Do not apply.</t>
  </si>
  <si>
    <t>ABDOMEN (3 images):
Images are dated September 16, 2024.
Liver: The liver is small with cranial dispalcement of the gastric axis.
Spleen: The spleen is normal in size with smooth margins and homogeneous soft tissue.
Kidneys: The left kidney is normal.  The right kidney is obscured without obvious enlargement or mineral.
Retroperitoneum: Retroperitoneal detail is adequate.
Urinary bladder/Urethra: The urinary bladder is partially obscured without obvious enlargement or mineral.
Reproductive:  No obvious evidence of enlargement of uterine horns.
Peritoneum: Peritoneal detail is adequate.
Gastrointestinal tract: The stomach contains a moderate to large volume of gas.   The stomach is within normal limits for size.
The small intestine contains mild gas, soft tissue material and fluid or is empty with a subjectively uniform population for size. 
The colon contains mild to moderate admixed soft tissue material and gas.  The colon is within normal limits for size.  
Musculoskeletal: Few gas foci are in the dorsal extra-thoracic soft tissues.  the right patella is medially luxated in the ventrodorsal image.  The remaining included musculoskeletal structures are normal.</t>
  </si>
  <si>
    <t>1. Non-specific gastrointestinal tract appearance such as from individual variation of normal given reported history or unlikely enteritis or other.
2. Microhepatia versus artifact/individual variation of normal.
- If present, consider occult portosystemic shunt or unlikely other.
3. Right medial patellar luxation.
4. Dorsal extra-thoracic gas such as from recent medication administration.</t>
  </si>
  <si>
    <t xml:space="preserve">Consider urinalysis, urine culture/sensitivity testing and routine blood work for further evaluation.  Consider abdominal ultrasonography for further evaluation of the urinary bladder and kidneys, and to rule out occult/evolving uterine enlargement/possible pyometra. Empirical therapy and supportive care in the interim as needed for suspected cystitis.  Monitoring as directed or sooner if signs fail to improve or worsen.  </t>
  </si>
  <si>
    <t xml:space="preserve">
1.The liver is at the upper end of normal range for size._x000D_
2.No abnormal AI findings reported._x000D_
3.Abdominal serosal detail is normal._x000D_
4.On the VD projection, the stomach contains a small amount of gas and has slightly prominent rugal folds or a small amount of soft tissue. Additionally, there is a round soft tissue shadow in the region of the splenic head which likely represents superimposition of the spleen and left kidney._x000D_
5.The small bowel is gas filled._x000D_
6.No segmental small bowel dilation is noted to suggest obstruction.</t>
  </si>
  <si>
    <t>The appearance of the stomach is likely related to normal ingesta in the ABSENCE of GI symptoms. However, if GI symptoms are PRESENT, gastroenteritis secondary to dietary indiscretion or infectious etiology could be considered. Borderline hepatomegaly may be a normal variant, with other considerations including fat deposition vs. metabolic hepatopathy or less likely hepatitis or infiltrative neoplasia.</t>
  </si>
  <si>
    <t xml:space="preserve">
Virtual Radiologist Case Difficulty: MODERATE_x000D_
Virtual Radiologist Confidence: MODERATE_x000D_
If GI signs are present, medical management for potential gastroenteritis/pancreatitis is recommended. If the patient has not eaten anything recently, gastric foreign material becomes a stronger consideration and repeat abdominal radiographs after withholding food for 12-15 hours is recommended._x000D_
Abdominal ultrasound could be performed for further evaluation.</t>
  </si>
  <si>
    <t>6 images of the thorax and abdomen are provided for review and compared with previous images dated 12/2/2022.  The cardiac silhouette remains generally enlarged, similar to previous images..  There is a moderate bronchial pattern in all lung lobes, similar to previous images.  The trachea is mildly narrowed at the thoracic inlet on 1 of the lateral view.  The mediastinal and pleural structures are normal.  Abdominal serosal detail is adequate in all quadrants.  The liver margins are rounded and extend beyond the costal arch, similar to previous images.  The stomach contains a moderate amount of gas.  The small intestines are normal in size.  Gas and feces are present in the colon.  The urinary bladder is small.  A tubular soft tissue structure is seen in the left caudal abdomen lateral to the descending colon on the VD view.  The remaining abdominal organs are normal.  The patellae are medially located.</t>
  </si>
  <si>
    <t>Persistent hepatomegaly.  Possible left sided uterine enlargement based on the VD view.  Abdominal ultrasound may be helpful in further evaluation.  Static generalized cardiomegaly without current evidence of cardiogenic pulmonary edema.  Echocardiography could be considered to rule out pericardial effusion based on the exam findings of muffled heart sounds.  Static bronchial pulmonary pattern consistent with chronic lower airway disease such as bronchitis.  Mild variable tracheal narrowing consistent with previously suspected dynamic tracheal collapse.  Bilateral medial patellar luxations.</t>
  </si>
  <si>
    <t xml:space="preserve">
1.The liver is mildly enlarged with smooth margins._x000D_
2.Splenic size, shape and margin are normal._x000D_
3.Abdominal detail is normal._x000D_
4.The stomach contains small volume gas and scant soft tissue density. The small bowel is diffusely gas- and fluid-filled without segmental small bowel dilation.</t>
  </si>
  <si>
    <t>The AI result for this case is most compelling for: Mild hepatomegaly. This is a nonspecific finding that may be due to steroid or other hepatopathy. Less likely considerations include infiltrative neoplasia, or acute inflammation.</t>
  </si>
  <si>
    <t xml:space="preserve">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</si>
  <si>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Orthogonal radiographs of the abdomen are provided. Images dated 11/20/19 are available for comparison. There is wispy soft tissue opacity in the retroperitoneal space. This appears to be worse on the left side based on the VD projection. The left kidney is questionably increased in size versus loss of renal margin visibility due to the effusion. Normal-sized spleen. The liver is prominent with smooth margins. The gastrointestinal tract is minimally filled. The appearance of thickened gastric wall on the VD view is likely due to minimal distention. No radiopaque foreign material. Peritoneal detail is adequate. No radiopaque cystic calculi. In the viewable thorax, the left atrium is prominent on the VD view.</t>
  </si>
  <si>
    <t>1. Retroperitoneal effusion with suspected left renomegaly. Pyelonephritis, ureteral obstruction, or neoplasia are of concern._x000D_
2. Prominent liver, a nonspecific finding that may be due to acute inflammation, hepatopathy, neoplasia._x000D_
3. Prominent left atrium consistent with acquired mitral valve disease. This is of doubtful clinical significance today.</t>
  </si>
  <si>
    <t>Abdominal ultrasound is recommended.</t>
  </si>
  <si>
    <t>Six radiographs are provided, with images of the thorax, abdomen, pelvic limbs. The cardiac silhouette is normal size and shape. The diaphragm is intact. No rib fractures. There is increased opacity overlying the left lungs but may be due to superimposed extrathoracic tissue. No pleural fluid or gas. Normal proximal thoracic limbs. In the abdomen, mid and caudal peritoneal detail is reduced. The urinary bladder is moderately filled, well delineated, and soft tissue opaque. The gastrointestinal tract is minimally filled. Normal-sized liver, spleen, kidneys. No lumbar spinal abnormalities. There is wispy soft tissue thickening in the caudal ventral extra-abdominal tissues. No definitive abdominal body wall disruption. The sacroiliac and coxofemoral joints are congruent. No pelvic fractures are appreciated. Proximal pelvic limb musculature is symmetric. No stifle joint effusion.</t>
  </si>
  <si>
    <t>1. Thickened caudoventral extra-abdominal tissues consistent with the reported bruising. No definitive abdominal body wall disruption._x000D_
2. Reduced caudal abdominal detail may be due to superimposed bruising. Scant intra-abdominal hemorrhage is not ruled out. No other abdominal abnormalities._x000D_
3. Questionable increased left lung opacity, consider summating normal anatomy versus mild contusions. No other thoracic abnormalities._x000D_
4. No pelvic or proximal pelvic limb abnormalities.</t>
  </si>
  <si>
    <t>Recommend supportive care and a neurologic examination.</t>
  </si>
  <si>
    <t xml:space="preserve">
1.The liver and spleen are normal for size, shape and contour._x000D_
2.The cranial peritoneal serosal detail is mildly reduced._x000D_
3.The stomach has a normal axis._x000D_
4.The small intestinal tract contains normal volumes of fluid, gas and ingesta._x000D_
5.The ascending, transverse and descending colon are in a normal position and contain gradually more formed feces._x000D_
6.No abnormal AI findings reported.</t>
  </si>
  <si>
    <t>5 images of the abdomen are provided for review.  Serosal detail is adequate in all quadrants.  The liver margins are rounded and extend beyond the costal arch, causing caudal displacement of the gastric axis.  The stomach contains a small amount of mottled soft tissue material.  The small intestines are normal in size.  Gas and feces are present in the colon.  The urinary bladder is small.  The remaining abdominal organs are normal.</t>
  </si>
  <si>
    <t>Material within the stomach may represent residual ingesta or foreign material.  Consider repeat radiographs following strict fasting to determine if gastric contents persist.  Hepatomegaly=ZZ90= this is a nonspecific finding that may be seen with congestion, vacuolar hepatopathy, inflammation, neoplasia, etc.  Abdominal ultrasound may be helpful in further evaluation if biochemically indicated.</t>
  </si>
  <si>
    <t xml:space="preserve">
1.The liver is mildly enlarged but retains a smooth margin._x000D_
2.Abdominal detail is normal._x000D_
3.Splenic size, shape and margin are normal._x000D_
4.The GI tract is normal. No signs of obstruction.</t>
  </si>
  <si>
    <t>Opposite lateral and VD views of the thorax and abdomen are provided. There are six images total._x000D_
_x000D_
There is one loop of intestine in the cranial abdomen that is suspected to represent a moderately gas dilated small intestinal loop. Additional gas-filled loops nearby are suspected to be large intestine. There is also one small bowel loop that has a thickened appearance in the cranial abdomen. No foreign objects identified in the GI tract. The stomach is empty and nondistended. Gastric rugal folds are prominent. The liver is at the small end of acceptable size range. The prostate is at the upper end of expected size range with normal shape and smooth margins. The other organs are unremarkable. Serosal detail in the abdomen is normal._x000D_
There is severe bridging spondylosis involving L4-L5. Disc spaces in the thoracolumbar region are narrowed._x000D_
The cardiopulmonary structures are within normal limits. No tracheal or esophageal abnormalities are identified.</t>
  </si>
  <si>
    <t>There is one gas dilated loop of intestine in the cranial abdomen that is suspected to represent abnormal small intestine. One loop also appears thickened, but this could be artifactual. The appearance of the stomach is compatible with gastric inflammation._x000D_
There is potential for a partial obstruction based on the repeatable unusual moderately gas dilated small bowel loop in the cranial abdomen. Follow-up imaging is recommended._x000D_
_x000D_
No thoracic abnormalities identified.</t>
  </si>
  <si>
    <t>Most of the changes are compatible with gastroenteritis, but there is a concerning small bowel loop that warrants follow-up to rule out a partial obstruction with radiolucent foreign material, transient intussusception, or stricture._x000D_
A barium upper GI study or specialist ultrasound is recommended._x000D_
_x000D_
Supportive care and medical management for gastroenteritis/pancreatitis is recommended pending additional diagnostic results.</t>
  </si>
  <si>
    <t xml:space="preserve">
1.Abdominal detail in the cranial abdomen is mildly decreased on the lateral projection._x000D_
2.A mild amount of air is present in the cranial duodenum in the ventrodorsal image._x000D_
3.Liver size is at the lower limits of normal but retains a smooth margin._x000D_
4.Splenic size, shape and margin are normal._x000D_
5.The stomach contains a small amount of air and either has prominent gastric rugae or contains a small amount of soft tissue material._x000D_
6.The ascending, transverse and descending colon are in a normal position and contain gradually more formed feces._x000D_
7.The small intestinal tract contains normal volumes of fluid, gas and ingesta but portions have a rigid appearance.</t>
  </si>
  <si>
    <t>6 views of the thorax and abdomen are submitted for review.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moderate amount of food-like material.  The small bowel is normal in uniform diameter.  Formed stool is noted in the colon.  The liver and spleen are normal in size, shape, and margination.  The bilateral renal silhouettes are within normal limits.  The urinary bladder is unremarkable.  Serosal detail is normal._x000D_
Mild subcutaneous emphysema is noted along the left lateral body wall at the level of the caudal thorax and cranial abdomen.  No rib fractures are seen.  No other osseous abnormalities are noted.</t>
  </si>
  <si>
    <t>Subcutaneous emphysema along the left lateral body wall, consistent with recent trauma._x000D_
Otherwise, radiographically normal thorax and postprandial abdomen.</t>
  </si>
  <si>
    <t>Empirical medical management as clinically indicated appears appropriate.</t>
  </si>
  <si>
    <t>Eight images are provided.
Images are dated September 16, 2024.
N.B. Patient signalment is listed as "M/N" but visible testicles are present.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The prostate gland is slightly prominent and homogeneous soft tissue.
Peritoneum: Peritoneal detail is adequate.
Gastrointestinal tract: The stomach contains a moderate volume of gas.   The suspected pylorus contains soft tissue and gas in the left lateral image.  The stomach is within normal limits for size.
In the mid-ventral to caudal abdomen is a severely enlarged segment of small intestine that contains fluid and gas.  In the left lateral image a segment of intestine in the mid-abdomen contains atypical mineral material and is suspected in one of the enlarged small intestinal segments at the level of L2-3. Other small intestinal segments in the mid-abdomen contain mild gas.
The colon contains minimal heterogeneous soft tissue material and gas.  The colon is within normal limits for size.  
Musculoskeletal: Bilateral coxofemoral joint osteoarthrosis is present. The remaining included musculoskeletal structures are normal.</t>
  </si>
  <si>
    <t xml:space="preserve">1. Severe segmental small intestinal enlargement in the mid- and caudal abdomen with  mineral foreign material suspected.
- This is most likely due to mechanical ileus and foreign material ingestion given reported history.
</t>
  </si>
  <si>
    <t xml:space="preserve">Given provided history describes intermittent vomiting, consider abdominal ultrasonography for further evaluation of the small intestine/pylorus and to confirm mechanical ileus prior to celiotomy.  Alternatively, exploratory celiotomy and enterotomy/gastrotomy for retrieval of material/decompression.  Consider  routine blood work for further evaluation.  Empirical therapy and supportive care in the interim as needed.  </t>
  </si>
  <si>
    <t xml:space="preserve">
1.Hepatomegaly. Differential diagnoses include individual variation of normal, artifact and/or vacuolar hepatopathy (such as from hyperadrenocorticism or diabetes mellitus), nodular hyperplasia, hepatitis/cholangiohepatitis, or evolving neoplasia (metastatic versus primary)._x000D_
2.On the lateral projection, there is increased soft tissue opacity and a mild decrease in abdominal detail in the splenic region._x000D_
3.The ventral abdominal line is pendulous._x000D_
4.The gastric rugae are prominent or the stomach contains soft tissue opaque material that has the appearance of prominent gastric rugae._x000D_
5.Several bowel loops through the mid-abdomen are distended with gas- and/or fluid. These distended loops also have a rigid appearance.</t>
  </si>
  <si>
    <t>Gas and/or fluid distended viscus has been identified. If the distended viscus can be localized to colon only, then colitis is likely. However, if there are multiple loops of distended viscus, some of which cannot be localized to colon, concern for severe enteritis with a functional ileus or a mechanical obstruction becomes a stronger consideration. A fluid distended uterus in the mid-abdomen is a lesser consideration for this finding. An increase in soft tissue opacity has been identified in the splenic region. DDx: caudal extension of hepatomegaly into the splenic region vs. true splenomegaly vs. fluid distended viscus overlying the splenic region. Decreased mid-abdominal detail. DDx: confluence of soft tissue structures suspected. A small volume of abdominal fluid cannot be excluded.</t>
  </si>
  <si>
    <t xml:space="preserve">
Virtual Radiologist Case Difficulty: MODERATE_x000D_
Virtual Radiologist Confidence: MODERATE_x000D_
If the patient is vomiting and there is clinical concern for a small intestinal obstruction, determining if the distended viscus represents colon or small bowel is of top priority. Consider a pneumocolon study vs. abdominal ultrasound vs. submission of this study to Vetology for interpretation._x000D_
If the dog is an intact female and has vaginal discharge or an elevated WBC, a pyometra should be ruled out and again, abdominal ultrasound is recommended._x000D_
Further evaluation of the liver and/or spleen via blood work and abdominal ultrasound.</t>
  </si>
  <si>
    <t>ABDOMEN (2 images):
Images are dated September 16, 2024.
Ventrodorsal image excludes the cranial abdomen.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The prostate gland is subjectively enlarged and well-defined caudal to the urinary bladder, with smoothly margins and homogeneous soft tissue.  
Peritoneum: Peritoneal detail is adequate.
Gastrointestinal tract: The stomach contains a well-defined ovoid moderate to large-sized (subjectively) mineral body.  This mineral body is in the pylorus in the right lateral and ventrodorsal images.  The stomach contains minimal gas or is otherwise empty.  The stomach is within normal limits for size.
The small intestine contains mild gas and fluid or is empty with a subjectively uniform population for size. 
The colon contains moderate heterogeneous soft tissue material and gas.  The colon is within normal limits for size.  
Musculoskeletal: Multifocal thoracolumbar spondylosis deformans is present.  The T12-13 and L4-5 intervertebral disc spaces are narrowed.  The remaining included musculoskeletal structures are normal.</t>
  </si>
  <si>
    <t>1. Gastric mineral foreign material and transient versus complete outflow tract obstruction.
2. Underlying gastritis/delayed emptying from dietary indiscretion is also suspected.
3. Non-specific small intestinal and colon appearance such as from enteritis, colitis, or unlikely  variation of normal.
- There is no current evidence of gastrointestinal mechanical ileus.
- Differential diagnoses include dietary indiscretion, toxin ingestion, diet/antibiotic responsive disease, inflammatory bowel disease, pancreatitis, occult systemic disease or unlikely other.
4. Prostatomegaly such as from intact status of this patient and benign prostatic hyperplasia, or unlikely prostatitis or other.</t>
  </si>
  <si>
    <t>Consider routine blood work and urinalysis for further evaluation.  Consider gastroscopy for retrieval of gastric mineral material, versus induction of vomiting, or lastly celiotomy/gastrotomy or feeding a bulky diet to encourage passage (considered unlikely given size of this material).   Gastric foreign material is not definitively the etiology of reported fever, but may be contributory via gastritis/enteritis , gastric ulceration, or unlikely other. Consider thoracic imaging to rule out concurrent pneumonia given reported vomiting.  Empirical therapy and supportive care in the interim as needed.  Monitoring as directed or sooner if clinical signs acutely change, fail to improve or worsen.</t>
  </si>
  <si>
    <t>Abdomen: The stomach appears empty.  There is a short linear metal opacity within the right cranial abdomen.  It is uncertain if this is located within the gastrointestinal tract or within adjacent mesentery.  On the ventrodorsal view the duodenum has a somewhat bunched appearance.  The remainder of the gastrointestinal tract is unremarkable.  The liver and spleen are unremarkable.  The urinary tract is unremarkable.  Serosal detail is normal.  There is moderate right coxofemoral osteoarthrosis.</t>
  </si>
  <si>
    <t>The short linear metal opacity may represent a foreign body within the gastrointestinal tract or possible chronic migrating foreign body._x000D_
_x000D_
The bunched appearance associated with the duodenum on the ventrodorsal view may be incidental however a linear foreign body cannot be ruled out._x000D_
_x000D_
Right coxofemoral osteoarthrosis.</t>
  </si>
  <si>
    <t xml:space="preserve">
1.The liver and spleen are normal._x000D_
2.There is a focal loss of serosal detail in the cranial abdomen on the VD projection._x000D_
3.The pyloroduodenal is widened and the proximal duodenum contains a mild amount of air._x000D_
4.The gastric lumen contains a mild amount of soft tissue and gas opacity._x000D_
5.The gastric rugae are prominent._x000D_
6.The small bowel is diffusely fluid distended with a mild disparity in small bowel diameter._x000D_
7.Portions of the colon are gas filled and have a rigid appearance._x000D_
8.No abnormal AI findings reported.</t>
  </si>
  <si>
    <t>Appearance of the small intestine and colon is consistent with enterocolitis. A slow moving, partial or early complete intestinal obstruction cannot be entirely ruled out. This bowel pattern should be monitored closely for progression or submitted to Vetology for review. Appearance to the stomach suggestive of mild gastritis. Decreased cranial abdominal serosal detail. These findings are consistent with cranial abdominal inflammation (i.e - pancreatitis, gastritis, duodenitis, or less commonly, hepatobiliary inflammation).</t>
  </si>
  <si>
    <t xml:space="preserve">
Virtual Radiologist Case Difficulty: LOW_x000D_
Virtual Radiologist Confidence: HIGH_x000D_
Recommend full bloodwork, canine pancreatic lipase assay and abdominal ultrasound, if not already performed._x000D_
In the interim, recommend fluids, analgesics, gastroprotectants, antiemetics, and appetite stimulants as clinically indicated._x000D_
Monitor this bowel pattern closely for progression or submit to Vetology for review.</t>
  </si>
  <si>
    <t>Six orthogonal survey radiographs of the thorax and abdomen dated 16th September 2024 are available for review. There are no previous radiographs available for comparison. These images are submitted for assessment of the thorax._x000D_
_x000D_
Thorax: _x000D_
Airway findings: The cervical and thoracic trachea have a normal size, outline and position. The carina, tracheal bifurcation and mainstem bronchi are normal. On the left caudal dorsal lung field there is a approximately 1.8 cm spherical nodule. Multiple end on blood vessels are visible. The remainder of the lung parenchyma is within normal limits for age._x000D_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There is a large broad-based dependent subcutaneous thoracic mass. Multisite ventral spondylosis deformans is present.</t>
  </si>
  <si>
    <t>1. Single thoracic nodule: This may be a single bronchial adenocarcinoma, single metastasis, abscess or cyst._x000D_
2. Dependent thoracic mass consistent with the reported mast cell tumour.</t>
  </si>
  <si>
    <t xml:space="preserve">
1.Liver size, shape and margin are normal._x000D_
2.Splenic size, shape and margin are normal._x000D_
3.Abdominal detail is normal._x000D_
4.The stomach contains small volume gas and likely ingesta. The small bowel is diffusely gas- and fluid-filled without segmental small bowel dilation.</t>
  </si>
  <si>
    <t>The AI result for this case is most compelling for: Normal abdomen. Gastric findings likely represent residual ingesta. However, with appropriate clinical symptoms findings could be seen with gastritis.</t>
  </si>
  <si>
    <t xml:space="preserve">
In a vomiting or anorexic patient, supportive care and therapy for gastritis is recommended.  If the symptoms persist, repeat abdominal radiographs following no food for 12-15 hours, access to water or IV fluid therapy is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</si>
  <si>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4 images of the abdomen are provided for review. Serosal detail is adequate. The stomach contains a moderate amount of amorphous soft tissue material. The small intestines are normal in size. Gas and feces are present in the colon. The remaining abdominal organs are normal.</t>
  </si>
  <si>
    <t>Gastric contents may represent residual ingesta or foreign material.</t>
  </si>
  <si>
    <t>Consider repeat radiographs following fasting to determine if gastric contents persist.</t>
  </si>
  <si>
    <t>ABDOMEN (4 images):
Images are dated September 16, 2024.
Prior images dated April 7, 2021 are available.
Liver: The liver is subjectively small with cranial displacement of the gastric axis   The liver occupies 1-2 intercostal spaces width in the ventrodorsal image.
Spleen: The spleen is normal in size with smooth margins and homogeneous soft tissue.
Kidneys: The kidneys are normal in size and shape without obvious mineral.
Retroperitoneum: Retroperitoneal detail is adequate.
Urinary bladder/Urethra: The urinary bladder is not well-identified, but no obvious enlargement or mineral is identified
Peritoneum: Peritoneal detail is adequate.
Gastrointestinal tract: The stomach contains a mild to moderate volume of gas.  Gastric rugal folds are prominent in the right lateral image. The stomach is within normal limits for size.
The small intestine contains mild gas or fluid or is empty with a subjectively uniform population for size. 
The colon contains minimal to mild admixed soft tissue material and gas, or is empty.  The colon is within normal limits for size.  
Musculoskeletal: There is subjectively under 50% coverage of the right femoral head by the acetabulum, and the right femoral neck is thick subjectively.  Soft tissues are slightly concave between spinous processes.  The remaining included musculoskeletal structures are normal.</t>
  </si>
  <si>
    <t>1. Prominent gastric rugal folds such as from non-specific gastritis versus variation of normal.
- No current evidence of pyloric outflow tract obstruction.  
2. Non-specific small intestinal and colon appearance such as from enteritis/colitis, or unlikely given reported history, variation of normal.
- Differential diagnoses for enteritis/colitis include hemorrhagic enterocolitis, dietary indiscretion, toxin ingestion, diet/antibiotic responsive disease, inflammatory bowel disease, parasitism/primary infectious disease, or pancreatitis or occult systemic disease.
- There is no current evidence of gastrointestinal mechanical ileus.
3. Microhepatia versus variation of normal.
- If present consider occult portosystemic shunting vessel or unlikely chronic hepatitis, or other.
4. Right femoral head subluxation versus artifact from obliquity, and suspected evolving osteoarthrosis.
5. Thin body condition score compared to prior images.</t>
  </si>
  <si>
    <t>Consider GI panel, fecal analysis/deworming, bile acid testing, and routine blood work for further evaluation, especially if patient is experiencing unintended weight loss.  Empirical therapy and supportive care in the interim as needed for enterocolitis.  Internist consultation and consider abdominal ultrasonography may be contributory for further evaluation of the gastrointestinal tract/pancreas. Monitoring as directed or sooner if clinical signs acutely change, fail to improve or worsen.</t>
  </si>
  <si>
    <t>The AI result for this case is most compelling for: microhepatia. Concurrent gastric distention may be secondary to aerophagia, gastritis or less commonly, intestinal obstruction. Microhepatia. DDx: microvascular dysplasia vs. congenital portosystemic shunt vs. normal variant for this patient or less commonly, chronic hepatopathy with cirrhosis. A false microhepatia result can also occur if the cranial portion of the liver is cropped from the images. Mild to moderate gastric distention. Diffusely fluid distended small bowel approaching the upper limits of normal. While a functional ileus secondary to enteritis is more likely, a mechanical obstruction cannot be ruled out.</t>
  </si>
  <si>
    <t xml:space="preserve">
Virtual Radiologist Case Difficulty: LOW_x000D_
Virtual Radiologist Confidence: HIGH_x000D_
For the GI tract, if vomiting is present, rule out underlying causes of gastroenteritis including fecal analysis and empirical deworming. Submission of this study for radiologist review should be strongly considered if there is clinical concern for a small intestinal obstruction._x000D_
CBC, serum biochemistry, pre- post-prandial bile acids and ammonia testing for further evaluation of the liver._x000D_
If a portosystemic shunt is suggested on these results, consider computed tomography portography for further evaluation, with/without hepatic biopsy.</t>
  </si>
  <si>
    <t>3 views of the abdomen are provided for review.  Serosal detail is adequate in all quadrants.  The stomach contains a moderate amount of mottled soft tissue material.  The small intestines are normal in size.  Gas and feces are present in the colon.  The urinary bladder is small.  The remaining abdominal organs are normal.</t>
  </si>
  <si>
    <t>Consider repeat radiographs following strict fasting to determine if gastric contents persist.  Lack of specific changes does not rule out lymphoma as a cause for the clinical signs.</t>
  </si>
  <si>
    <t xml:space="preserve">
1.The stomach is normal. The small bowel is diffusely gas- and fluid-filled without segmental small bowel dilation._x000D_
2.Abdominal detail is normal._x000D_
3.Splenic size, shape and margin are normal._x000D_
4.Liver size, shape and margin are normal.</t>
  </si>
  <si>
    <t>A ventral dorsal and both lateral radiographs of the thorax/abdomen are provided. The cardiac silhouette is normal size on the VD projection. The heart appears relatively larger on lateral views due to incidental dorsoventrally narrowed thoracic cavity. The mainstem bronchi are narrowed. No abnormalities in the pulmonary parenchyma. Round soft tissue density ventral to the tracheal bifurcation on the left lateral view is end-on right main pulmonary artery. The lungs are clear. Fat deposition seen on the left side of the heart on the VD view. Adequate tracheal diameter. No pleural effusion. In the abdomen there is no effusion or organomegaly. The gastrointestinal tract is minimally filled. No radiopaque foreign material. The urinary bladder is minimally filled and soft tissue opaque. Punctate nephroliths are of doubtful clinical significance today. The uterus is not identified. No spinal abnormalities.</t>
  </si>
  <si>
    <t>Mainstem bronchial compression due to thoracic conformation. This is the only abnormality identified that could explain the cough. Although no tracheal abnormalities are appreciated, dynamic collapse remains possible as it may not be imaged on a static radiographic study. No definitive cardiovascular abnormalities are appreciated. A small valvular regurgitant jet can result in a relatively loud murmur. Otherwise normal thorax and abdomen.</t>
  </si>
  <si>
    <t>Recommend an ECG and cranial nerve assessment. Based on lab work results, further investigation with an echocardiogram may be necessary.</t>
  </si>
  <si>
    <t xml:space="preserve">
1.The liver is enlarged._x000D_
2.Pendulous abdomen._x000D_
3.The spleen is within normal limits._x000D_
4.Serosal detail is decreased._x000D_
5.The stomach is mildly gas and fluid filled. The small bowel is gas and fluid-containing. No obvious focal dilation or obstruction.</t>
  </si>
  <si>
    <t>The AI result for this case is most compelling for: Mild to moderate hepatomegaly. This is a nonspecific finding that is most likely due to steroid or endocrine hepatopathy (Cushings, diabetes). Less likely considerations include infiltrative neoplasia, or acute inflammation. The mildly reduced serosal detail could be due to small effusion or inflammation. In the presence of appropriate symptoms, this could be related to pancreatitis or enteritis.</t>
  </si>
  <si>
    <t>Study:_x000D_
Thoracic and abdominal radiography: six images dated September 16, 2024_x000D_
_x000D_
Findings:_x000D_
The cardiac silhouette is normal in size and shape. The pulmonary vasculature is normal in size. The pulmonary parenchyma is unremarkable. The pleural space is normal. There is no intrathoracic lymphadenopathy. The trachea is normal in diameter. The abdominal serosal detail is normal. The stomach contains a small volume of gas with the pylorus probably gas-filled on the left lateral image. The small intestines are normal in size, course and content. The colon contains formed fecal material with a normal diameter. The liver and spleen are normal in size and margin. The renal silhouettes are normal in size and shape. The urinary bladder is normal in size and opacity. The osseous structures are unremarkable.</t>
  </si>
  <si>
    <t>1. Unremarkable abdomen. There is no evidence of gastrointestinal foreign material or small intestinal mechanical obstruction. Abdominal sonography can be considered for further evaluation if the vomiting persists or worsens in spite of medical management._x000D_
2. Normal thorax. There is no radiographic evidence of heart disease. Consider echocardiography for further evaluation of the reported heart murmur.</t>
  </si>
  <si>
    <t xml:space="preserve">
1.No abnormal AI findings reported._x000D_
2.On the lateral projection, the liver is mildly enlarged with rounded margins. The ventral abdominal line is pendulous._x000D_
3.Splenic size, shape and margin are normal._x000D_
4.The GI tract contains regions of gas and fluid but no segmental bowel dilation is noted.</t>
  </si>
  <si>
    <t>Mild hepatomegaly with a pendulous abdomen. Fat deposition or steroid hepatopathy are the top differentials. No gastrointestinal abnormalities are present on this study. The abdominal distention secondary to fat deposition is likely contributing to pulmonary hypoinflation (Pickwickian syndrome).</t>
  </si>
  <si>
    <t xml:space="preserve">
Virtual Radiologist Case Difficulty: MODERATE_x000D_
Virtual Radiologist Confidence: MODERATE_x000D_
A CBC, blood chemistry profile, urinalysis, adrenal function testing and systemic blood pressure are recommended, particularly if signs consistent with Cushing's disease are present._x000D_
Further information about Pickwickian syndrome can be found at https://platform.v2.vetology.net/doc/pickwickian_syndrome</t>
  </si>
  <si>
    <t>Study:_x000D_
Abdominal radiography: three images dated September 16, 2024_x000D_
_x000D_
Findings:_x000D_
The abdominal serosal detail is normal. On the VD view, there is a rounded soft tissue opacity in the fundic portion of the stomach. The pylorus is probably gas-filled on the left lateral image.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 uterus is not visualized. There is a mild to moderate bronchial pulmonary pattern in the included lung fields. The osseous structures are unremarkable.</t>
  </si>
  <si>
    <t>1. The round soft tissue opacity in the fundic portion of the stomach may represent food, foreign material or, less likely, and intraluminal mass. There is no evidence of small intestinal mechanical obstruction. Repeat fasted radiography can be considered to monitor for persistence or resolution of the opacity in the stomach. Alternatively, abdominal sonography can be considered for further evaluation of the reported hyporexia persists in spite of medical management._x000D_
2. The bronchial pulmonary pattern in the included lung fields may indicate allergic, inflammatory, infectious, parasitic or irritant bronchitis. Airway sampling, heartworm testing and Baermann fecal flotation can be considered for further evaluation.</t>
  </si>
  <si>
    <t>Orthogonal radiographs of the thorax/abdomen are provided. The cardiac silhouette and pulmonary vessels are normal size and shape. There are no abnormalities in the pulmonary parenchyma or pleural space. Small volume fat deposition in the cranial mediastinum. The trachea is normal diameter. In the abdomen peritoneal and retroperitoneal detail is normal. There is scant gas in the stomach. Round soft tissue contour in the cranioventral abdomen on the lateral view is in the pylorus. Small and large bowel are minimally filled. There is no radiopaque foreign material. The liver, kidneys, and spleen are normal size and shape. No radiopaque urolithiasis. Punctate mineral densities overlying the L4-5 intervertebral foramen.</t>
  </si>
  <si>
    <t>The appearance of L4-5 is suggestive of a protruding/extruded intervertebral disc. This is of uncertain significance today. Otherwise normal abdomen and thorax. A reason for anorexia and weight loss is not identified.</t>
  </si>
  <si>
    <t>Recommend palpate for spinal discomfort, neurologic examination, CBC, blood chemistry profile, and supportive care. Depending on patient response and lab work results, further investigation with abdominal ultrasound may be indicated.</t>
  </si>
  <si>
    <t xml:space="preserve">
1.Liver size, shape and margin are normal._x000D_
2.Splenic size, shape and margin are normal._x000D_
3.Serosal detail is adequate._x000D_
4.There is a heterogeneous soft tissue opacity associated with the gastric lumen._x000D_
5.The small intestines have a diffuse fragmented gas pattern. No segmental small bowel dilation is identified.</t>
  </si>
  <si>
    <t>The AI result for this case is most compelling  for:  normal post-prandial GI tract in a patient WITHOUT GI signs. In a patient WITH GI signs, gastric foreign material or low grade gastroenteritis is a consideration. This could result in partial or intermittent outflow obstruction and delayed gastric emptying. No signs of intestinal obstruction. Primary differential consideration for the appearance of the gastric lumen include normal ingesta. However, if vomiting or anorexia are present, gastric foreign material becomes a consideration.</t>
  </si>
  <si>
    <t xml:space="preserve">
Virtual Radiologist Case Difficulty: LOW_x000D_
Virtual Radiologist Confidence: HIGH_x000D_
If GI signs are present, withhold food for 12-15 hours followed by repeat abdominal radiographs to assess for retention of the gastric contents. If the gastric contents persist after withholding food or if there is non-productive vomiting, the concern for gastric foreign material increases.</t>
  </si>
  <si>
    <t>Three radiographs of the thorax, three views of the abdomen, and a lateral view of each proximal thoracic limb are provided. The cardiac silhouette and pulmonary vessels are normal size. Fat deposition separates the heart from the sternum on the lateral views. There is no pleural effusion. Several incidental pulmonary osteomas. Possible redundant dorsal trachealis membrane in the cervical region, of doubtful significance today. No scapular abnormalities. The shoulders and cubital joints are congruent. There is no periarticular osseous remodeling or soft tissue swelling. No osseous lysis or periosteal proliferation._x000D_
_x000D_
In the abdomen formed feces fills the descending colon. The stomach and small bowel are minimally filled. There is no effusion. Normal-sized liver, kidneys, spleen. No radiopaque cystic calculi. Normal coxofemoral joints.</t>
  </si>
  <si>
    <t>Normal thorax, thoracic limbs, abdomen. A reason for lameness is not identified. Soft tissue sprain/strain is most likely. A lateralized intervertebral disc lesion is next on the differential list.</t>
  </si>
  <si>
    <t>Consider supportive care with anti-inflammatories as needed.</t>
  </si>
  <si>
    <t xml:space="preserve">
1.Liver size, shape and margin are normal._x000D_
2.Splenic size, shape and margin are normal._x000D_
3.Abdominal detail is normal._x000D_
4.The stomach contains gas and small amount of amorphous soft tissue density. Small intestines are diffusely minimally distended._x000D_
5.Resource: https://platform.v2.vetology.net/doc/gi_protectants_1</t>
  </si>
  <si>
    <t>The AI result for this case is most compelling for: Gastroenteritis, versus post prandial abdomen, and may be due to dietary indiscretion. No signs of small bowel obstruction. Scant amorphous soft tissue density within the stomach may represent mucus, residual ingesta, and/or foreign material.</t>
  </si>
  <si>
    <t xml:space="preserve">
In a vomiting or anorexic patient, supportive care and therapy for gastroenteritis are recommended.  If the symptoms persist, repeat abdominal radiographs following no food for 12-15 hours, and access to water or IV fluid therapy is recommended. If material persists in the stomach, concern for gastric foreign material increases and an abdominal ultrasound, positive contrast gastrogram, or endoscopy could be considered to assess for gastric foreign material._x000D_
The complete technician handbook to performing contrast studies: https://platform.v2.vetology.net/doc/purchase-contrast-handbook_x000D_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</si>
  <si>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A ventral dorsal and both lateral radiographs of the abdomen are provided. There is a smoothly irregular round 12.1 cm soft tissue opaque mass in intimate association with the splenic tail. Scant adjacent effusion. The liver is upper normal size. Normal-sized kidneys. The stomach and small bowel are minimally filled. The distal colon is filled with formed feces. No radiopaque urolithiasis. In the caudal thorax there is curved 5.6 cm soft tissue opacity overlying the caudodorsal thorax only on the left lateral view. This is incidental sliding hiatal hernia. Linear lucency overlying the dorsal lungs on the edge of the right lateral view is due to superimposed skinfold. The left atrium is prominent.</t>
  </si>
  <si>
    <t>1. Large ventral abdominal mass likely originating from the spleen. Neoplasia such as hemangiosarcoma is the top differential. Hematoma or hemangioma is next on the differential list. There is scant adjacent effusion which may be hemorrhagic. No other intra-abdominal abnormalities._x000D_
2. Prominent left atrium. In this particular breed this may be due to acquired mitral valve disease versus dilated cardiomyopathy. This is of uncertain significance today.</t>
  </si>
  <si>
    <t>Abdominal ultrasound is recommended to determine if there are multiple lesions which may preclude surgical intervention. Three view thoracic radiographic study should also be considered to rule out pulmonary metastatic disease.</t>
  </si>
  <si>
    <t>Six images are provided.
Images are dated September 16, 2024.
Pulmonary parenchyma: A minimal to mild diffuse bronchial pattern is present.  The lobar bronchi are diffusely small in a dorsoventral dimension in the right lateral image.
Pulmonary vasculature: The pulmonary vasculature is subjectively normal in size and tapers in the periphery of the lungs.
Cardiac silhouette: The cardiac silhouette is tall in the lateral images and occupies 2/3 the height of the thorax.  The caudodorsal margin of the cardiac silhouette is flattened.    The cardiac silhouette is rounded in the region of the right atrium (9-11 o'clock position) in the ventrodorsal image.  
Mediastinum: The cranial mediastinum is normal.
Trachea: A soft tissue band superimposes over the dorsal trachea.
Esophagus: The esophagus is not well-identified.
Pleural space: The pleural space is normal.
Liver: The liver is moderately enlarged with a rounded caudoventral margin extending just past the level of the 13th ribs, and caudal displacement of the gastric axis.
Spleen: The spleen is normal in size with smooth margins and homogeneous soft tissue.
Kidneys: Possible mineral over the right kidney in the left lateral image are not well-defined in orthogonal images.  The kidneys are normal in size and shape.  The kidneys are subjectively in a normal position.  
Retroperitoneum: Retroperitoneal detail is adequate.
Urinary bladder/Urethra: The urinary bladder is normal in size, homogeneous soft tissue, and smoothly marginated.
Peritoneum: Peritoneal detail is adequate.
Gastrointestinal tract: The stomach contains a moderate volume of heterogeneous soft tissue admixed with gas.   The stomach is within normal limits for size.
The small intestine contains moderate fluid, minimal soft tissue material and gas, or is empty with a subjectively uniform population for size. 
The colon contains minimal heterogeneous soft tissue material and gas.  The colon is within normal limits for size.  
Musculoskeletal: The included musculoskeletal structures are normal.</t>
  </si>
  <si>
    <t>1. Moderate generalized cardiomegaly such as from myxomatous mitral valvular disease and tricuspid valvular disease versus cor pulmonale/pulmonary hypertension, or less likely other.
- There is no current evidence of left-sided congestive heart failure.
2. Minimal diffuse bronchial pulmonary pattern due to fibrosis from prior disease, age-related changes, mineralization such as from underlying endocrinopathy or calcium:phosophorus imbalance, infectious/immune-mediated lower airway disease, or unlikely other.
3. Transient small lobar bronchi and presumed chondromalacia/dynamic airway disease with dorsal redundant tracheal membrane.
4. Moderate diffuse hepatomegaly due to vacuolar change, nodular hyperplasia, hepatitis/cholangiohepatitis, or evolving neoplasia (primary versus metastatic), or less likely other.
5. Possible right nephroliths versus artifact or adrenal gland mineral, or unlikely other.
- If adrenal mineral is present, consider evolving neoplasia such as adenocarcinoma versus other.
6. Moderate gastric material due to recent meal versus gastritis/delayed gastric emptying, pyloric outflow tract obstruction.  
7. Small intestinal and colon appearance due to non-specific enteritis/colitis, or unlikely evolving mechanical ileus, versus variation of normal/recent bowel movement.</t>
  </si>
  <si>
    <t>Empirical therapy and supportive care in the interim as needed for gastroenteritis.  Consider ultrasonography of the abdomen for further evaluation of the gastrointestinal tract, liver, kidneys and adrenal glands.  Alternatively,  repeat radiographs after 8-12 hours of fasting to monitor for passage of gastric content and improvement versus persistence/progression of small intestinal appearance. Consider gastroscopy versus celiotomy decompression if mechanical ileus is confirmed.  Consider echocardiography and eCG for further evaluation especially if a murmur is identified.  Routine blood work, urinalysis and urine cortisol:creatinine ratio or LDDS testing depending on clinical signs, or if adrenomegaly is identified.  Monitoring with routine thoracic/abdominal radiographs, especially if clinical signs acutely change or worsen.</t>
  </si>
  <si>
    <t xml:space="preserve">
1.There is increased soft tissue in the splenic region along with bowel displacement suggestive of a mass effect._x000D_
2.Abdominal detail is decreased._x000D_
3.The ventral abdominal line is pendulous secondary to the cranial abdominal organomegaly/mass._x000D_
4.The stomach is caudally displaced by the hepatomegaly. The small bowel is normal._x000D_
5.There is moderate to marked hepatomegaly that extends caudally to the mid-abdomen on the lateral projection._x000D_
6.The serosal margins of the liver are irregular and there is caudal deviation of the gastric axis._x000D_
7.Resource: https://platform.v2.vetology.net/doc/liver_disease</t>
  </si>
  <si>
    <t>Three radiographs of the abdomen are provided. Images dated 11/26/21 were reviewed for comparison. There is no abdominal effusion. Moderate volume ingesta in the stomach. Small bowel are minimally filled. The cecum is gas dilated. Moderate volume formed feces in the colon. No radiopaque urolithiasis. Normal-sized liver, spleen, kidneys. The T13-L1 intervertebral foramen continues to be slightly smaller than those on either side. No other spinal abnormalities are appreciated.</t>
  </si>
  <si>
    <t>Probable intervertebral disc disease at T13-L1. Such a lesion at this or another site is the most likely cause for discomfort. No abdominal abnormalities.</t>
  </si>
  <si>
    <t>Recommend conservative treatment with anti-inflammatories and strict rest. If the patient does not improve, consultation with a neurologist and advanced spinal imaging such as MRI could be considered.</t>
  </si>
  <si>
    <t xml:space="preserve">
1.Abdominal detail is normal._x000D_
2.Splenic size, shape and margin are normal._x000D_
3.The stomach contains gas and ingesta or prominent rugae, suggestive of gastritis. The small bowel is diffusely fluid filled but without segmental small bowel dilation._x000D_
4.Liver size, shape and margin are normal.</t>
  </si>
  <si>
    <t>7 images of the skull and spine are provided for review.  Note that evaluation is limited due to poor positioning.  No fractures, luxation, or aggressive osseous lesions are seen.  The nasal cavity is air filled with normal turbinates.  The tympanic bullae are air filled and thin-walled.  The temporomandibular joints are normal in alignment.  Spinal alignment is normal with no consistently narrowed intervertebral disc spaces.  The liver margins are rounded and extend beyond the costal arch.  The remaining soft tissue structures included are normal.</t>
  </si>
  <si>
    <t>Radiographically normal skull and spine on the views provided.  Sedation or anesthesia may be necessary for well-positioned images for ideal evaluation.  If clinical signs warrant, CT or MRI could also be considered.  Hepatomegaly=ZZ90= this is a nonspecific finding that may be seen with congestion, vacuolar hepatopathy, inflammation, neoplasia, etc.  Abdominal ultrasound may be helpful in further evaluation if biochemically indicated.</t>
  </si>
  <si>
    <t xml:space="preserve">
1.The overall peritoneal serosal detail is severely reduced with soft tissue/fluid obscuring most of the intestinal detail._x000D_
2.A large viscus is visible in the central caudal aspect of the abdomen which is enlarged, with sacculated gas lucencies._x000D_
3.The liver extends beyond the costal margins, with a slightly irregular caudal dorsal margin._x000D_
4.No abnormal AI findings reported._x000D_
5.The abdomen is severely distended.</t>
  </si>
  <si>
    <t>A mechanical obstruction within the gastrointestinal tract is suspected.</t>
  </si>
  <si>
    <t xml:space="preserve">
While stabilizing the patient, abdominal ultrasound and abdominocentesis may be performed._x000D_
Once the patient is deemed stably enough, explorative laparotomy may be considered, unless abdominal ultrasound results are grave._x000D_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</si>
  <si>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Abdominal radiography: three images dated September 15, 2024_x000D_
_x000D_
Findings:_x000D_
The stomach contains a small volume of gas with the pylorus appropriately gas-filled on the left lateral image. There is a mild decrease in the serosal detail in the right cranial quadrant and widening of the pyloroduodenal angle. The small intestines are normal in size, course and content. The colon contains formed fecal material. The liver extends mildly beyond the costal arch with smooth margins. The spleen is normal in size and margin. The kidneys are normal in size and contour. The urinary bladder is normal in size and opacity. There is no prostatomegaly. The included thorax is normal. The osseous structures are unremarkable. The patient is of overweight body condition.</t>
  </si>
  <si>
    <t>1. The decreased serosal detail in the right cranial quadrant and widening of the pyloroduodenal angle can be an indicator of pancreatitis. Consider cPLI testing for further evaluation._x000D_
2. There is no radiographic evidence of gastrointestinal foreign material or small intestinal mechanical obstruction. Abdominal sonography can be considered for further evaluation if clinical signs persist or worsen in spite of medical management._x000D_
3. The generalized hepatomegaly is nonspecific. Rule out metabolic/vacuolar hepatopathy, hyperplasia, hepatitis or infiltrative neoplasia. Sonography can be considered for further evaluation.</t>
  </si>
  <si>
    <t>8 images of the thorax are presented for review.  The cardiovascular structures are normal.  The pulmonary vasculature is normal in size.  Patchy interstitial to alveolar opacity is present in all lung lobes.  On the lateral views, there appears to be an soft tissue nodules in the cranial thorax.  No enlarged intrathoracic lymph nodes are seen.  The pleural and mediastinal structures are normal.  Cranial abdominal detail is adequate.</t>
  </si>
  <si>
    <t>Diffuse mixed interstitial to alveolar pulmonary pattern with concerns for additional pulmonary nodules.  Primary consideration is given to neoplasia with secondary hemorrhage or pulmonary edema.  Other possibilities include pneumonia or ARDS/SIRS.</t>
  </si>
  <si>
    <t>A thoracic CT and airway sampling could be considered versus empiric therapy (diuretic, bronchodilator, antibiotic, etc.).</t>
  </si>
  <si>
    <t xml:space="preserve">
1.Resource: https://platform.v2.vetology.net/doc/liver_disease_x000D_
2.In the abdomen, the liver is moderately enlarged but retains smooth margins. No liver mass is identified._x000D_
3.The spleen is mildly enlarged but no splenic mass is noted and abdominal detail is normal._x000D_
4.Abdominal detail is normal._x000D_
5.The gastrointestinal tract is minimally filled. No segmental small bowel dilation is noted.</t>
  </si>
  <si>
    <t>PELVIS/PELVIC LIMBS (3 images):
Images are dated September 15, 2024.
Bones/Joints:
The coxofemoral joints have no obvious osteoarthrosis.  There is adequate coverage of the femoral heads by the acetabulums.
Bilateral femoral trochlear hypoplasia is present.  The right patella is positioned partially over the medial aspect of the femur in the ventrodorsal image.  The left patella is in a normal position.
The left stifle has no evidence of osteoarthrosis.  Minimal increased soft tissue is suspected in the left stifle joint compared to the right.
The right stifle has no evidence of osteoarthrosis.  The right infrapatellar fat pad is well-defined.
The included portion of the lumbar spine is normal.
There is no evidence of medullary sclerosis, osteolysis, endosteal scalloping, or periosteal proliferation.
Soft tissues:  The included soft tissues are normal.</t>
  </si>
  <si>
    <t>1. Bilateral femoral trochlear hypoplasia with right patella slightly transiently subluxated.
2. Minimal left stifle synovial effusion/proliferation versus artifact.
- If present, consider intra-capsular soft tissue injury or unlikely other.
3. No obvious right or left stifle joint osteoarthrosis.
4. No obvious coxofemoral joint osteoarthrosis.</t>
  </si>
  <si>
    <t>Consider empirical therapy and supportive care in the interim as needed.  Orthopedist consultation and surgical intervention to the stifles may be contributory.  Monitoring as directed, or sooner if clinical signs acutely change, fail to improve or worsen.</t>
  </si>
  <si>
    <t xml:space="preserve">
1.Splenic size, shape and margin are normal._x000D_
2.Abdominal detail is normal._x000D_
3.The stomach contains gas and a minimal amount of fluid/soft tissue material. The stomach is minimally distended._x000D_
4.The small bowel contains small volumes of gas and fluid. No segmental small bowel dilation is noted._x000D_
5.There is gas within the colon._x000D_
6.Liver size, shape and margin are normal.</t>
  </si>
  <si>
    <t>Equivocal small volume of soft tissue opaque material within the stomach. This is likely food if the patient is not fasted. Scant foreign material is possible but the stomach is not dilated to suggest gastric outflow obstruction. There is no evidence of mechanical obstruction of the small intestines. Pancreatitis or gastroenteritis such as from bacterial or parasitic disease or dietary indiscretion could still be considered.</t>
  </si>
  <si>
    <t>Study:_x000D_
Abdominal radiography: three images dated September 15, 2024_x000D_
_x000D_
Findings:_x000D_
The stomach contains unstructured heterogeneous soft tissue material presumed to be ingesta. The small intestines are gas and fluid-filled and normal in size and course. The colon contains gas and a small amount formed fecal material with a normal diameter. The liver and spleen are normal in size and margin. The renal silhouettes are normal in size and contour. The urinary bladder is unremarkable. The prostate is moderately enlarged with smooth margins. The included thorax is normal. There is mild to moderate bilateral remodeling/thickening of the femoral head and neck. A small smoothly marginated mineral body is present adjacent to the lesser trochanter of the left femur.</t>
  </si>
  <si>
    <t>1. Moderate prostatomegaly. Rule out benign prostatic hyperplasia plus/minus prostatitis, prostatic abscess or para-prostatic cyst. Prostatic neoplasia is less likely in the absence of any parenchymal mineralization. Urinalysis plus/minus urine culture and abdominal sonography can be considered for further evaluation._x000D_
2. Postprandial stomach=ZZ90= otherwise, unremarkable gastrointestinal tract. There is no evidence of constipation._x000D_
3. Mild to moderate bilateral coxofemoral osteoarthrosis._x000D_
4. Left iliopsoas enthesophyte.</t>
  </si>
  <si>
    <t xml:space="preserve">
1.No abnormal AI findings reported._x000D_
2.Serosal detail is adequate._x000D_
3.The liver is mildly enlarged with normal shape and smooth margins._x000D_
4.The stomach appears within normal limits. The small bowel contains a mild amount of gas. No obvious signs of obstruction.</t>
  </si>
  <si>
    <t>5 images of the thorax are provided for review.  A small bulge is present in the region of the left atrium.  Increased bronchial markings are present in all lung lobes.  No perihilar pulmonary infiltrates are seen.  The pulmonary vasculature is normal in size.  The mediastinal and pleural structures are normal.  The trachea is uniform in diameter.  Cranial abdominal detail is adequate.</t>
  </si>
  <si>
    <t>Moderate bronchial pulmonary pattern=ZZ90= consider bronchitis, response to inhaled irritants, response to circulating parasites, eosinophilic bronchopneumopathy.  Airway sampling may be helpful in further evaluation.  Mild left atrial enlargement without current evidence of cardiogenic pulmonary edema.  Echocardiography may be helpful in further staging.</t>
  </si>
  <si>
    <t xml:space="preserve">
1.On the lateral projection, the liver is mildly enlarged._x000D_
2.On the VD projection, a mild decrease in cranial abdominal detail is present. This is suspected to be secondary to caudal extension of the liver._x000D_
3.Splenic size, shape and margin are normal._x000D_
4.As mentioned above, cranial abdominal detail is mildly decreased. A global reduction in abdominal detail is NOT present._x000D_
5.The ventral abdominal line is mildly pendulous._x000D_
6.No gastrointestinal abnormalities.</t>
  </si>
  <si>
    <t>ABDOMEN (4 images):
Images are dated September 14, 2024.
Liver: The liver is subjectively normal in size.
Spleen: The spleen is normal in size with smooth margins and homogeneous soft tissue.
Kidneys: The right kidney is partially obscured without obvious enlargement or mineral.  The left kidney is normal.
Retroperitoneum: Retroperitoneal detail is adequate.
Urinary bladder/Urethra: The urinary bladder is normal in size, homogeneous soft tissue, and smoothly marginated.
Peritoneum: Peritoneal detail is adequate.
Gastrointestinal tract: The stomach contains a moderate volume of heterogeneous soft tissue admixed with gas.   The stomach is within normal limits for size.
The small intestine contains mild to moderate gas and heterogeneous soft tissue material.  The small intestine has a subjectively uniform population for size. 
The colon contains moderate heterogeneous admixed soft tissue material and gas.  The colon is within normal limits for size.  
Musculoskeletal: T12-13 and L1-2 spondylosis deformans is present.  Bilateral total hip replacement procedures have been performed, with bilateral metal acetabular implants and bilateral metal-heads, with presumed cemented stems.  Cerclage wire is circumferentially around the proximal diaphyseal region of on of the femurs, suspected the left given presumed right lateral image and slight magnification of this limb relative to the contralateral femur.  Smooth periosteal proliferation is at the cranial/caudal and proximal margins of the the suspected left femur.   Healing fractures of the left 13th, 12th, and 11th ribs are present.  
The remaining included musculoskeletal structures are normal.</t>
  </si>
  <si>
    <t>1.  Suspected left femur cranial/caudal femoral periosteal proliferation such as from evolving osteomyelitis, periosteitis, differential weight-bearing and modelling, or unlikely other.
2. Bilateral total hip replacement procedures.
3. Healing left 11/12/13th ribs fractures, such as from occult trauma.
4. Gastric material due to recent meal, or given reported history, less likely gastritis/delayed gastric emptying or unlikely pyloric outflow tract obstruction.
5. Non-specific small intestinal appearance such as from recent meal/variation of normal or given reported history unlikely enteritis.
6. No obvious hepatomegaly or peritoneal fluid.</t>
  </si>
  <si>
    <t>Consider radiographs of the pelvis limbs for further evaluation of the femurs and implants.  Empirical therapy and supportive care for possible occult thoracic trauma contributing to current signs.  Consider routine blood work and recheck ultrasonography to screen for occult/evolving systemic disease, especially if signs fail to improve or worsen with empirical therapy and supportive care.   Monitoring as directed, or sooner if clinical signs acutely change, fail to improve or worsen.</t>
  </si>
  <si>
    <t xml:space="preserve">
1.The hepatic silhouette is mildly enlarged, with smooth borders._x000D_
2.The visible spleen is within normal limits._x000D_
3.Mid abdominal detail is mildly decreased._x000D_
4.The stomach is empty, and has a normal axis._x000D_
5.The small intestines are distributed evenly and are within normal limits for shape, size and contents._x000D_
6.The ascending, transverse and descending colon have a normal position and gas and some poorly formed faeces.</t>
  </si>
  <si>
    <t>The overall impression is one of gastroenteritis/colitis. This may be due to dietary indiscretion, or infectious-inflammatory causes. There is no evidence of a complete mechanical obstruction. A partial obstruction by non-mineral opaque foreign material cannot be excluded. Mild hepatomegaly, likely due to vacuolar hepatopathy, or underlying endocrine causes.</t>
  </si>
  <si>
    <t>Orthogonal views of the thorax and abdomen are provided:_x000D_
_x000D_
Thorax:_x000D_
_x000D_
No evidence of tracheal collapse._x000D_
Cardiac silhouette shows a severe enlargement of the left atrium dorsally displacing the carina._x000D_
Pulmonary vessels are within normal limits of size and shape._x000D_
Pulmonary parenchyma is within normal limits. _x000D_
Pleural space, mediastinum, diaphragm and thoracic wall within normal limits._x000D_
_x000D_
Abdomen:_x000D_
_x000D_
The stomach is filled with food._x000D_
Small intestines are mildly gas and fluid filled, not overtly distended. _x000D_
Serosal detail is preserved._x000D_
Liver and spleen are within normal limits of size and smoothly marginated._x000D_
Kidneys and urinary bladder WNL.</t>
  </si>
  <si>
    <t>1) Lack of visualization of tracheal collapse does not exclude this differential (especially taking into account the breed). Unremarkable lungs do not exclude a bronchitis of allergic vs inflammatory/infectious or parasitic origin. _x000D_
2) Left atrial enlargement secondary to chronic mitral endocardiosis without signs of CHF. Rule out concomitant tricuspid endocardiosis with pulmonary hypertension._x000D_
3) Unremarkable abdomen.</t>
  </si>
  <si>
    <t>Consider a cardiology consultation with ECG and echocardiogram prior to a fluoroscopy (followed by tracheobronchoscopy, BAL and culture/cytology) to rule in/out extrathoracic vs intrathoracic tracheal collapse or bronchial component, evaluating treatment options. Take advantage of the bronchoscopy to further evaluate the larynx given 30% of patients with tracheal collapse display different degrees of laryngeal paralysis. If negative, consider empirical treatment for chronic bronchitis.</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</si>
  <si>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pneumonia nor signs of pulmonary nodules/masses._x000D_
Pleural space, mediastinum, diaphragm and thoracic wall within normal limits._x000D_
_x000D_
Abdomen:_x000D_
_x000D_
The stomach is empty._x000D_
Small intestines show an irregular rock in the central abdomen without evidence of segmental dilation of the small intestines oral to the foreign body. No signs of mechanical ileus._x000D_
Serosal detail is preserved._x000D_
Liver and spleen are within normal limits of size and smoothly marginated._x000D_
Kidneys and urinary bladder WNL.</t>
  </si>
  <si>
    <t>1) Unremarkable thorax without signs of pneumonia._x000D_
2) Small intestinal rock without signs of complete mechanical ileus. However a partial or early mechanical ileus is not excluded.</t>
  </si>
  <si>
    <t>Consider abdominal US to better evaluate these changes, the GI tract/peritoneum and its correlation with the reported leukocytosis, vomition hyporexia and lethargy,  prior to establish a plan.</t>
  </si>
  <si>
    <t xml:space="preserve">
1.The hepatic silhouette is enlarged, with smooth, rounded borders._x000D_
2.Prominent spleen._x000D_
3.The peritoneal serosal detail is normal._x000D_
4.The stomach contains a moderate amount of food material, but has a normal axis._x000D_
5.The small intestines are within normal limits for shape, size and contents._x000D_
6.The large colon contains a minor amount of poorly formed faeces.</t>
  </si>
  <si>
    <t>The AI result for this case is most compelling for: mild hepatomegaly: This is nonspecific, with etiologies including steroid hepatopathy, endocrine (diabetes mellitus, Cushings), infectious-inflammatory (hepatitis-viral-parasitic), hemodynamic (right heart failure), and infiltrative origins (nodular hyperplasia-round cell infiltration-lymphoma-adenoma-adenocarcinoma).</t>
  </si>
  <si>
    <t xml:space="preserve">
Virtual Radiologist Case Difficulty: MODERATE_x000D_
Virtual Radiologist Confidence: MODERATE_x000D_
Continued supportive care. Abdominal ultrasound can be performed for further evaluation of the liver and spleen.</t>
  </si>
  <si>
    <t>Six images are provided.
Images are dated September 14, 2024.
Ungloved human digits in primary beam.
Pulmonary parenchyma: Numerous well-defined, small, round soft tissue nodules are present throughout the lungs.  A minimal to mild diffuse bronchial pattern is present.
Pulmonary vasculature: The pulmonary vasculature is subjectively normal in size and tapers in the periphery of the lungs.
Cardiac silhouette: The cardiac silhouette is normal in size and shape.
Mediastinum: Subtle increased, rounded soft tissue is suspected just cranial and ventral to the cardiac silhouette in the lateral images.  This is suspected to round the caudal and left lateral margin of the mediastinum in the ventrodorsal image, possibly exacerbated by obliquity.
Trachea: The trachea is normal.
Esophagus: The esophagus is not well-identified.
Pleural space: The pleural space is normal.
Liver: The liver is subjectively normal in size.
Spleen: The spleen is normal in size with smooth margins and homogeneous soft tissue.
Kidneys: The kidneys are not well-identified but no obvious enlargement or mineral is present.
Retroperitoneum: Retroperitoneal detail is adequate.
Urinary bladder/Urethra: The urinary bladder is normal in size, homogeneous soft tissue, and smoothly marginated.
Peritoneum: Peritoneal detail is adequate.
Gastrointestinal tract: The stomach contains a moderate admixed soft tissue and gas.   The stomach is within normal limits for size.
The small intestine contains mild to moderate admixed soft tissue material and gas, or is empty with a subjectively uniform population for size. 
The colon contains minimal soft tissue material and gas.  The colon is segmentally moderately spastic. The colon is within normal limits for size.  
Musculoskeletal: Bilateral  severe elbow osteoarthrosis is present.  A soft tissue nodule arises from the right caudoventral extra-abdominal soft tissues, superimposing over the prepuce in the left lateral image.  The remaining included musculoskeletal structures are normal.</t>
  </si>
  <si>
    <t>1. Numerous small pulmonary soft tissue nodules.
- Differential diagnoses include metastatic neoplasia from an occult primary, or unlikely granulomatous/fungal pneumonia such as from blastomycosis spp., coccidiomycosis spp., or other.
2. Cranial mediastinal widening such as from evolving lymphadenomegaly (cranial mediastinal or  less likely sternal) versus primary mass, or less likely artifact or  cardiac associated mass or other.
- If lymphadenomegaly is present, metastatic/multicentric neoplasia is considered most likely.
3. Minimal to mild diffuse bronchial pulmonary pattern.
- Differential diagnoses include infectious/immune-mediated lower airway disease (such as from mycoplasma spp. lung worms, bordetella spp., parasitism such as lung worms or other), or unlikely inhaled allergen/irritant.
4. Right caudoventral extra-abdominal soft tissue nodule is consistent with reported history.
- Differential diagnoses include neoplasia (such as from a primary soft tissue sarcoma or mammary carcinoma or less likely metastatic disease from occult primary), or less likely dermatitis such as from systemic fungal disease, or unlikely other.
5. Bilateral severe elbow osteoarthrosis.</t>
  </si>
  <si>
    <t>Consider computed tomography of the thorax for further evaluation of the pulmonary nodules and cranial mediastinum.   Consider routine blood work, coagulation testing and tissue sampling depending on results.  Abdominal ultrasonography may be contributory. Oncologist consultation depending on results.  Fungal serology may be contributory if the patient has an appropriate travel/exposure history.  Empirical therapy and supportive care in the interim as needed.  Monitoring as directed, or sooner if clinical signs acutely change, fail to improve or worsen.</t>
  </si>
  <si>
    <t xml:space="preserve">
1.The spleen is normal for size, shape and margin._x000D_
2.The abdominal detail is normal._x000D_
3.The stomach contains small-volume gas. Small intestines are minimally fluid-filled._x000D_
4.The liver is borderline small size, although this likely represents artifact or positioning.</t>
  </si>
  <si>
    <t>The AI result for this case is most compelling for: Normal liver, spleen, GI tract and abdominal detail.</t>
  </si>
  <si>
    <t>Five radiographs of the abdomen are provided. There is no effusion. The stomach contains small volume fluid and gas. There are two populations of small bowel, with several loops that are minimally distended, and several that are moderate to severely dilated with fluid and gas. In the caudal lateral right abdomen, one of the severely dilated loops contains approximately 8.3 x 2.9 cm area of soft tissue density that is stippled with gas. The colon is minimally filled. The liver, spleen, kidneys are normal size. There is scant peritoneal fluid. On the 2nd right lateral view, there is broad-based curved 2.5 x 0.5 cm soft tissue contour extends ventral to the splenic tail. This is not seen on the 1st right lateral view. The urinary bladder is minimally distended. No osseous abnormalities.</t>
  </si>
  <si>
    <t>1. Small intestinal foreign material with mechanical obstruction. Scant effusion is likely inflammatory._x000D_
2. Soft tissue bulge extending ventral to the splenic tail is concerning for a parenchymal lesion such as neoplasia. This could be lymphoid hyperplasia or hematoma.</t>
  </si>
  <si>
    <t>Recommend thoracic radiographs to rule out pulmonary metastatic disease, and surgical intervention.</t>
  </si>
  <si>
    <t>ABDOMEN (3 radiographs are provided for review)._x000D_
_x000D_
- Peritoneal serosal detail is normal._x000D_
- The stomach contains a small volume of slightly irregular, gas-stippled soft-tissue opaque material._x000D_
- The small intestine contains moderate multifocal soft-tissue opaque material and gas._x000D_
- The colon contains mild formed fecal material and gas_x000D_
- The liver, spleen, kidneys, urinary bladder and remaining abdominal structures are normal._x000D_
- The caudal thorax is normal._x000D_
- The included musculoskeletal structures are normal.</t>
  </si>
  <si>
    <t>1. Mild non-specific gastric material. The appearance of this material is slightly irregular and it may be foreign (e.g. additional fabric material, as reported), or undigested food. I would recommend considering fasting the patient and rechecking the abdominal radiographs (8-24h) and re-evaluating the appearance of the material in the gastric lumen for progression (or lack thereof) in the interim. Alternatively, abdominal ultrasound may be of utility for further characterization. There is no evidence of mechanical obstruction identified.</t>
  </si>
  <si>
    <t>6 images of the entire body and thoracic limbs are provided for review. The cardiovascular structures are normal. Alveolar opacity is present in the right middle, right caudal, left caudal, and cranial subsegment of the left cranial lung lobes. The pleural and mediastinal structures are normal. Abdominal serosal detail is adequate. The stomach contains a small amount of ingesta. The small intestines are normal in size. Gas and feces are present in the colon. The urinary bladder is small. The remaining abdominal organs are normal. Open physes are present. Spinal alignment is normal. The joint surfaces are smooth and regular. No fractures or aggressive osseous lesions are seen.
(amended on 09/14/2024 09:29)
There is a nondisplaced oblique fracture at the mid diaphysis of the left radius. A transverse incomplete fracture is seen at the craniomedial aspect of the distal left ulnar metaphysis. No additional fractures are seen.</t>
  </si>
  <si>
    <t>Alveolar pulmonary pattern consistent with contusions. Otherwise unremarkable study.
(amended on 09/14/2024 09:29)
Incomplete left radial and ulnar fractures.</t>
  </si>
  <si>
    <t>Nine radiographs of the thorax and abdomen are provided. The cardiac silhouette is normal size. The descending aorta is subjectively prominent. No abnormalities in the pulmonary parenchyma or pleural space. In the abdomen there is small volume peritoneal fluid. The liver is upper normal size. The splenic head and left kidney are normal size. The right kidney is obscured. There is a curved 6.0 cm soft tissue opacity dorsal to the colon at the level of L4-L5 on the right lateral view. This area overlies the urinary bladder on the left lateral projections. The urinary bladder is moderately distended and soft tissue opaque. The prostate is not definitively seen. No medial iliac lymphadenomegaly. The gastrointestinal tract is moderately distended. Normal proximal pelvic limbs.</t>
  </si>
  <si>
    <t>1. Mild peritoneal effusion with caudal abdominal mass. Neoplasia such as hemangiosarcoma originating from the spleen is of concern. A mesenteric or lymph node origin mass is next on the differential list._x000D_
2. Equivocal/subjective prominent descending aorta, of uncertain significance. This could be due to hypertension. No other thoracic abnormalities.</t>
  </si>
  <si>
    <t>Blood pressure evaluation, abdominal ultrasound, and peritoneal fluid evaluation are recommended.</t>
  </si>
  <si>
    <t xml:space="preserve">
1.The stomach is normal. The small bowel contains gas and fluid but no segmental small bowel dilation is noted._x000D_
2.The liver is mildly enlarged but with smooth margins. No liver mass is noted._x000D_
3.Splenic size, shape and margin are normal._x000D_
4.Abdominal detail is normal however the abdomen is mildly pendulous.</t>
  </si>
  <si>
    <t>4 images of the abdomen are provided for review and compared with 3 images dated 9/13/2024.  Serosal detail is adequate in all quadrants.  The stomach contains a moderate amount of gas and the rugal folds are prominent.  Previous gastric contents have resolved.  The small intestines are normal in size.  Granular contents within the small intestines previously have resolved.  Gas and feces are present in the colon and cecum.  The urinary bladder is small.  The remaining abdominal organs are normal.</t>
  </si>
  <si>
    <t>Resolution of gastric contents.  Prominent rugal folds suggestive of gastritis.  This does not rule out underlying pancreatitis, dietary indiscretion, etc.</t>
  </si>
  <si>
    <t xml:space="preserve">
1.Liver and spleen appear within normal limits._x000D_
2.No abnormal AI findings reported._x000D_
3.Small intestines and colon are minimally filled without compelling evidence for obstruction._x000D_
4.Small-to-moderate volume ingesta in the stomach._x000D_
5.Peritoneal detail is normal.</t>
  </si>
  <si>
    <t>6 images of the abdomen are presented for review.  Serosal detail is poor in the abdomen is distended.  The stomach contains a small amount of gas.  The small intestines are normal in size.  Gas is present in the colon.  A poorly defined soft tissue mass is seen caudal ventral to the left kidney on the left lateral view.  The remaining abdominal organs are not fully visible.</t>
  </si>
  <si>
    <t>Poor serosal detail with abdominal distention consistent with free fluid.  Suspect caudodorsal abdominal mass of unknown origin.  The location may indicate lymph node or renal origin.</t>
  </si>
  <si>
    <t>Abdominal ultrasound may be helpful.  Recommend three-view thoracic radiographs for metastatic check.</t>
  </si>
  <si>
    <t xml:space="preserve">
1.The stomach is displaced caudally by the hepatomegaly. No significant gastric distention is noted. The small intestinal tract is normal in diameter._x000D_
2.Detail in the abdomen is adequate to mildly decreased._x000D_
3.The spleen is prominent and mostly in the left side of the abdomen._x000D_
4.The liver is enlarged with rounded borders.</t>
  </si>
  <si>
    <t>There is hepatomegaly with caudal displacement of the stomach. Differentials for this finding could include vacuolar hepatopathy potentially related to underlying Cushing's disease, hepatitis, Infiltrative process such as lymphoma or a hepatic mass. Normal to slight decrease in abdominal detail. DDx: abdominal crowding due to the hepatomegaly vs. lymphadenopathy vs. abdominal fluid. Upper limits of normal for splenic size to mild splenomegaly. This is likely a benign change representing extramedullary hematopoiesis.</t>
  </si>
  <si>
    <t xml:space="preserve">
Abdominal ultrasound particularly to further evaluate the liver._x000D_
If a liver mass is identified, consider tissue sampling. Coagulation profile, platelet count and PCV prior to liver mass FNAs._x000D_
If abdominal fluid is identified and can be safely sampled, abdominocentesis for fluid analysis and cytology is recommended prior to any tissue sampling._x000D_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</si>
  <si>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WHOLE-BODY (6 total radiographs for review).  Previous examination is available for comparison from 2023._x000D_
_x000D_
- Peritoneal serosal detail is within normal._x000D_
- The stomach contains mild gas and gas stippled soft tissue opaque material._x000D_
- The small intestine is mildly diffusely distended and homogenously soft tissue opaque, with a few segments containing small punctate mineral opaque foci.  Multiple segments have an impression of mildly thickened walls._x000D_
- The colon contains gas and formed fecal material._x000D_
- The liver is mildly enlarged, with rounded margins._x000D_
- The spleen is mildly enlarged, with rounded margins._x000D_
- There are indistinct granular mineral opacities superimposed over the region of the gallbladder._x000D_
- The urinary bladder is normal._x000D_
- The caudal thorax and included musculoskeletal structures are normal.</t>
  </si>
  <si>
    <t>1. The appearance of the stomach, small intestine and colon can be compatible with a non-specific generalized functional ileus (e.g. gastroenterocolitis). There is no obvious small intestinal foreign material or clear evidence of mechanical obstruction. If clinically indicated, abdominal ultrasonography might be considered._x000D_
_x000D_
2. Mild hepatomegaly. Most likely vacuolar (metabolic) hepatopathy. Hepatitis, hepatic congestion or neoplasia are less likely, but possible._x000D_
_x000D_
3.  Mineralized gallbladder debris/cholecystolithiasis._x000D_
_x000D_
4. Mild splenomegaly. DDx congestion from sedation, lymphoid hyperplasia, EMH, less likely neoplasia.</t>
  </si>
  <si>
    <t xml:space="preserve">
1.The stomach and intestinal tract are normal._x000D_
2.Splenic size, shape and margin are normal._x000D_
3.The liver is mildly enlarged but with a normal shape and smooth margins. No hepatic mass has been identified._x000D_
4.Abdominal detail is normal.</t>
  </si>
  <si>
    <t>WHOLE-BODY (6 radiographs are available for review)._x000D_
_x000D_
- Peritoneal serosal detail is normal._x000D_
- The stomach contains mild gas and soft-tissue opaque material._x000D_
- The small intestine contains mild gas and soft-tissue opaque material._x000D_
- The colon contains moderate desiccated formed fecal material._x000D_
- The liver, spleen, kidneys and urinary bladder are normal._x000D_
- The cardiac silhouette, pulmonary vasculature, pleural space, trachea, mediastinum are normal._x000D_
- Collapse of the T13-L1 intervertebral disc space with endplate sclerosis and spondylosis deformans. Lesser change at L1-2._x000D_
- Mild bilateral coxofemoral osteoarthrosis.</t>
  </si>
  <si>
    <t>1. A discrete cause for the reported clinical signs is not identified._x000D_
_x000D_
2. Unremarkable abdomen with constipation._x000D_
_x000D_
3. Normal thorax._x000D_
_x000D_
4. T13-L1 intervertebral disc disease with cranial lumbar spondylosis deformans._x000D_
_x000D_
5. Mild bilateral coxofemoral osteoarthritis.</t>
  </si>
  <si>
    <t>SPINE/WHOLE-BODY (3 radiographs are provided for review)._x000D_
_x000D_
- The caudal cervical spine is normal._x000D_
- The cervicothoracic vertebral column is normal._x000D_
- The thoracic vertebrae are unremarkable._x000D_
- The thoracolumbar junction is normal, except for a hypoplastic right rib of T13._x000D_
- The lumbar vertebral column is normal._x000D_
- The lumbosacral junction is normal._x000D_
- The sacroiliac joints are normal bilaterally._x000D_
- The pelvic bones and coxofemoral joints are normal._x000D_
- There is mild bilateral glenohumeral osteoarthritis._x000D_
- There is a soft tissue opaque band dorsally overlying the trachea in the region of the thoracic inlet._x000D_
- The cardiac silhouette, pulmonary vasculature, pleural space and remaining included intrathoracic structures are normal._x000D_
- The stomach contains mild gas and soft tissue opaque material._x000D_
- The small intestine is relatively nondistended/empty and mostly homogenously soft tissue opaque._x000D_
- The colon contains desiccated formed fecal material and a small volume of gas._x000D_
- The liver is mildly enlarged, with rounded margins._x000D_
- The spleen, kidneys, urinary bladder and remaining abdominal structures are normal.</t>
  </si>
  <si>
    <t>1. A discrete spinal cause for the reported clinical signs is not clearly identified. Radiographic sensitivity for detecting lesions affecting the spine (e.g. IVDD, FCE) can be limited. There are no fractures, luxations, discospondylitis or aggressive bone lesions noted. If clinically indicated, consultation with a veterinary neurologist and/or advanced imaging of the spine (e.g. CT or MRI) might be considered._x000D_
_x000D_
2.  Transitional thoracolumbar vertebral segment._x000D_
_x000D_
3.  The appearance of the trachea at the level of the thoracic inlet can be compatible with tracheal collapse secondary to chondromalacia._x000D_
_x000D_
4.  Mild bilateral glenohumeral osteoarthritis._x000D_
_x000D_
5. Mild hepatomegaly. Most likely vacuolar (metabolic) hepatopathy. Hepatitis, hepatic congestion or neoplasia are less likely, but possible._x000D_
_x000D_
6.  Mild constipation.</t>
  </si>
  <si>
    <t>ABDOMEN (3 images):
Images are dated September 13, 2024.
Caudal abdomen excluded in the ventrodorsal image.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mild gas or is empty.  The stomach is within normal limits for size.
The small intestine contains mild fluid or is empty with a subjectively uniform population for size. 
The colon contains minimal soft tissue material and gas.  The colon is within normal limits for size.  
Musculoskeletal: The included musculoskeletal structures are normal.</t>
  </si>
  <si>
    <t>1. Non-specific gastrointestinal tract appearance such as from enteritis, colitis, or unlikely variation of normal given reported history.
- Differential diagnoses for include dietary indiscretion, toxin ingestion, diet/antibiotic responsive disease, inflammatory bowel disease, parasitism/primary infectious disease, pancreatitis or occult systemic disease.
- There is no current evidence of gastrointestinal mechanical ileus.
2. No obvious evidence of peritoneal effusion or abdominal mass/mass-effect.</t>
  </si>
  <si>
    <t>Consider GI panel, fecal analysis/deworming, urinalysis, and possible abdominal ultrasonography for further evaluation of the mid-abdomen and gastrointestinal tract.  Given reported murmur and history, consider thoracic radiographs.  Empirical therapy and supportive care in the interim as needed for possible enterocolitis (such as from stress, exposure to infectious agents, dietary change, etc).  Monitoring as directed or sooner if clinical signs acutely change, fail to improve or worsen.</t>
  </si>
  <si>
    <t xml:space="preserve">
1.Splenic size, shape and margin are normal._x000D_
2.Liver size, shape and margin are normal._x000D_
3.The stomach contains small volume gas and scant amorphous soft tissue density material. Diffuse, mildly filled small bowel without evidence of obstruction._x000D_
4.Abdominal detail is normal.</t>
  </si>
  <si>
    <t>The AI result for this case is most compelling for: recent meal vs gastroenteritis. The differential for this includes GI parasitism, dietary indiscretion, or food allergy.
There is no evidence of intestinal obstruction.</t>
  </si>
  <si>
    <t xml:space="preserve">
In a vomiting or anorexic patient, supportive care and therapy for gastroenteritis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 If this result is inconsistent with the clinical picture or if you would like another opinion, this study can be submitted to Vetology for further evaluation._x000D_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</si>
  <si>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images are provided.
Images are dated September 13, 2024.
Prior images dated November 6, 2023 and previous are available.
Pulmonary parenchyma:  In the left lateral image, the lungs are moderate to severely hypoinflated, and a tubular soft tissue opacity is over the right middle lung lobe region, not corroborated in the better inflated orthogonal images.  Mild interstitial pattern in the right cranial lung in the ventrodorsal image is likely exacerbated by obliquity and hypoinflation.   A similar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patient is obese.  Unchanged well-defined mineral foci in the dorsal extra-thoracic soft tissues over the scapulae.  Unchanged osteoarthrosis of the bilateral shoulders and elbows.  Similar intervertebral disc space narrowing at T10-11 and unchanged spondylosis deformans at T10-11 and T11-12. The remaining included musculoskeletal structures are normal.</t>
  </si>
  <si>
    <t>1.   Tubular soft tissue over the right middle lung in the hypoinflated left lateral image.
- This may be due to dynamic airway disease and collapse of the right middle lobar bronchus (such as from dynamic airway disease/chondromalacia), bronchial plugging of the right middle lobar bronchus, or less likely pulmonary soft tissue from plate-like atelectasis, or least likely atypical/evolving neoplasia.  
2. Right cranial lung interstitial pattern likely from hypoinflation/underlying dynamic airway disease, or unlikely other.
3. Similar mild diffuse bronchial pattern due to fibrosis from prior disease, age-related changes, infectious/inflammatory lower airway disease or unlikely other.
4. Obesity 
5. Unchanged dorsal extra-thoracic mineral foci from granuloma and prior disease/injury, or unlikely other.</t>
  </si>
  <si>
    <t>No obvious pulmonary soft tissue nodules or lymphadenomegaly is identified.  Consider computed tomography of the thorax, with/without bronchoscopy/tracheoscopy, respiratory PCR panel, and possibly airway sampling for further evaluation.  Routine blood work if not recently performed.  Abdominal imaging to screen for occult systemic disease may be contributory.   Consider biopsy of the suspicious digit and histopathology for a definitive diagnosis, with Oncologist consultaiton depending on results. Empirical therapy and supportive care in the interim as needed.  Monitoring as directed or sooner if clinical signs acutely change, fail to improve or worsen.</t>
  </si>
  <si>
    <t xml:space="preserve">
1.The stomach contains small volume gas and scant soft tissue density. The small bowel is diffusely gas- and fluid-filled without segmental small bowel dilation._x000D_
2.Abdominal detail is normal._x000D_
3.The liver is mild to moderately enlarged._x000D_
4.Splenic size, shape and margin are normal.</t>
  </si>
  <si>
    <t>Orthogonal views of the abdomen are provided:_x000D_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Right inguinal soft tissue mass centered around and ventrally displacing the right M5._x000D_
_x000D_
Unremarkable visible thorax based on the RL view.</t>
  </si>
  <si>
    <t>1) Right inguinal mass. Run out infected/inflamed right M5 mammary neoplasm as main differential. A right inguinal hernia is less likely._x000D_
2) Hepatomegaly: Metabolic vs Vacuolar infiltration vs Hepatic nodular hyperplasia vs Inflammatory vs Toxic vs Neoplastic or a combination of these differentials.</t>
  </si>
  <si>
    <t>Consider abdominal US to further evaluate the liver ruling out abdominal metastases and three views of the thorax ruling out pulmonary metastases and thoracic lymphadenopathy.</t>
  </si>
  <si>
    <t xml:space="preserve">
1.The stomach and small bowel are minimally filled. No signs of obstruction._x000D_
2.The liver is prominent with smooth margins._x000D_
3.The spleen is within normal limits for size._x000D_
4.No abnormal AI findings reported.</t>
  </si>
  <si>
    <t>Two views of the abdomen are provided for review.  Serosal detail is adequate in all quadrants.  The stomach contains a small amount of gas and the rugal folds are prominent.  The small intestines are normal in size.  Gas is present in the colon and cecum.  The urinary bladder is small.  The remaining abdominal organs are normal.</t>
  </si>
  <si>
    <t xml:space="preserve">
1.Splenic size, shape and margin are normal._x000D_
2.Liver size, shape and margin are normal._x000D_
3.Abdominal detail is normal._x000D_
4.The stomach is mildly gas and fluid filled with some soft tissue density material. The small bowel is gas and fluid-containing. No obvious obstruction.</t>
  </si>
  <si>
    <t>Five radiographs of the thorax and abdomen (two lateral, three VD) dated September 13, 2024 are provided. Compared to September 4, 2024.
Cardiac silhouette: The cardiac silhouette is small in size but remains normal in shape.
Pulmonary vessels: The pulmonary arteries and veins are within normal limits. The caudal vena cava is small in size.
Pulmonary parenchyma: There is a newly identified, ventrally distributed interstitial pulmonary pattern in the caudal ventral thorax. This opacity is right-sided on the ventrodorsal view.
Pleural space: The pleural space remains normal.
Mediastinum: The mediastinum is normal in width and opacity.
Trachea: The trachea is normal in diameter.
Esophagus: Similar to previous, there is moderate, diffuse gastric distention of the esophagus.
Gastrointestinal tract: The stomach is moderately distended with gas. Similar to previous, gastric rugal folds are prominent. The small intestines are within normal limits of diameter and are primarily soft tissue opaque (previously gas-filled).
Liver: The liver is normal in size and shape.
Spleen: The spleen is within normal limits in size, shape, and margination.
Urinary: The visible margins of the kidneys are within normal limits.
Peritoneal space: There is adequate serosal detail. There is a thin linear metal opacity in the mid left abdomen. Retrospectively this is unchanged.
Musculoskeletal: There is multifocal thoracic, lumbar, and lumbosacral spondylosis deformans.</t>
  </si>
  <si>
    <t xml:space="preserve">1. There is persistent gas dilation of the esophagus, megaesophagus is the primary differential. Differentials include megaesophagus (congenital versus secondary to myasthenia gravis), esophageal reflux syndrome, and esophagitis.
2. There is a new identified, ventrally distributed pulmonary pattern, consistent with aspiration pneumonia. Infectious bronchopneumonia is not ruled out.
3. The described metal foreign body in the left cranial abdomen is likely incidental and is thought to be bristle from a grill brush. There is no evidence of regional inflammation or peritoneal effusion to suggest active inflammation/irritation.
4. Small cardiac silhouette and caudal vena cava. Consider hypovolemia secondary to myasthenia gravis. </t>
  </si>
  <si>
    <t>-Three view thoracic radiographs following a course of antibiotics for aspiration pneumonia is recommended.
-If not already performed, testing for myasthenia gravis is recommended. Consultation with an internist may be of benefit.
-An esophageal swallow study could be considered for evaluation of esophageal motility/function.</t>
  </si>
  <si>
    <t xml:space="preserve">
1.The liver is mildly enlarged._x000D_
2.Splenic size, shape and margin are normal._x000D_
3.Abdominal detail is normal._x000D_
4.The stomach contains a small amount of soft tissue opacity and gas. The small bowel is diffusely gas- and fluid-filled without segmental small bowel dilation.</t>
  </si>
  <si>
    <t>The AI result for this case is most compelling for: Mild hepatomegaly.  This may be a normal variant, but could also be caused by steroid hepatopathy of acute inflammation. Gastric contents likely represent normal ingesta. If vomiting and/or anorexia are present, gastric foreign material is a consideration.</t>
  </si>
  <si>
    <t xml:space="preserve">
Further investigation of the liver and GI tract with ultrasound could be considered._x000D_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</si>
  <si>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(left SC lipoma)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t>
  </si>
  <si>
    <t>1) Unremarkable lungs do not exclude a bronchitis of allergic origin vs inflammatory/infectious or parasitic origin. _x000D_
2) Unremarkable abdomen.</t>
  </si>
  <si>
    <t>Consider empirical treatment for chronic bronchitis evaluating response to treatment. If clinical signs persist, consider a bronchoscopy with BAL, culture, cytology, Baermann test and deworming.</t>
  </si>
  <si>
    <t>Orthogonal views of the thorax and abdomen are provided:_x000D_
_x000D_
Thorax:_x000D_
_x000D_
Abnormally distended cervical trachea._x000D_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one bowel loop in the caudal abdomen with mineral material, with the rest of the small intestines not overtly distended. _x000D_
Serosal detail is preserved._x000D_
Liver and spleen are within normal limits of size and smoothly marginated._x000D_
Kidneys show suspected bilateral renoliths._x000D_
Urinary bladder WNL.</t>
  </si>
  <si>
    <t>1) Abnormally distended cervical trachea probably related to tracheal collapse._x000D_
2) Unremarkable thorax without signs of cardiomegaly (this does not exclude a cardiac disease), pulmonary metastases nor signs of thoracic lymphadenopathy. _x000D_
3) Rule out bilateral renoliths.</t>
  </si>
  <si>
    <t>Consider abdominal US to further evaluate causes of vomition and the urinary tract with renal function, UPC and urinalysis._x000D_
Given the lack of cardiomegaly but audible murmur, consider a cardiology consultation with ECG and echocardiogram.</t>
  </si>
  <si>
    <t xml:space="preserve">
1.The liver and spleen are within normal limits for size, with smooth margins._x000D_
2.The stomach is partially distended with gas, some fluid and some soft tissue opaque debris._x000D_
3.No abnormal AI findings reported._x000D_
4.No abnormal AI findings reported._x000D_
5.The small intestine is normal in diameter. No obvious signs of obstruction.</t>
  </si>
  <si>
    <t>Four radiographs of the abdomen are provided. The urinary bladder is mildly filled. There is a faint round 0.3 cm increased opacity overlying the cranioventral urinary bladder on the right lateral view. This is questionably seen overlying the region of the urinary bladder trigone on the left lateral view. No abnormalities along the plane of the urethra or in the region of the medial iliac lymph nodes. Normal-sized liver, spleen, left kidney. The right kidney is obscured. Moderate volume soft tissue opaque ingesta in the stomach. Small and large bowel are mildly filled. Mineralized intervertebral disc material in situ in the caudal lumbar spine, incidental. Breed-related congenital vertebral malformations noted in the thoracic spine, also incidental today. The coxofemoral joints are congruent.</t>
  </si>
  <si>
    <t>Highly suspect small cystic calculus versus summating normal anatomy. If this is a calculus, it is of a size that should be able to pass the urethra. The abdomen is otherwise normal.</t>
  </si>
  <si>
    <t>Recommend treatment for cystitis and diet modification in an effort to dissolve any current calculi and prevent further formation. If further evaluation of the urinary tract is desired, abdominal ultrasound would be recommended.</t>
  </si>
  <si>
    <t>Three images are provided.
Images are dated September 13, 2024.
Cranial thorax is excluded in the ventrodorsal image.  Ventrodorsal image is mislabeled given position of the gastric fundus and spleen.
Pulmonary parenchyma: A mild diffuse bronchial pattern is present.
Pulmonary vasculature: The pulmonary vasculature is subjectively normal in size and tapers in the periphery of the lungs.
Cardiac silhouette: The cardiac silhouette has a flat caudodorsal margin in the left lateral image.  Mild rounded increased soft tissue is in the region of the left atrium in the ventrodorsal image.  The left auricular appendage is slightly prominent at the 2-3 o'clock position in the ventrodorsal image.
Mediastinum: The cranial mediastinum is normal.
Trachea: The trachea is normal.
Esophagus: The esophagus is not well-identified.
Pleural space: The pleural space is normal.
Musculoskeletal: The included musculoskeletal structures are normal.</t>
  </si>
  <si>
    <t>1. Mild left-sided cardiomegaly such as from myxomatous mitral valvular disease and insufficiency, or unlikely other.
- There is no current evidence of left-sided congestive heart failure.
2. Mild diffuse bronchial pulmonary pattern due to fibrosis from prior disease, age-related changes, infectious/immune-mediated lower airway disease or unlikely other.</t>
  </si>
  <si>
    <t>Echocardiography, eCG and blood pressure for further evaluation.  Routine blood work and urinalysis if not recently performed.   Empirical therapy and supportive care in the interim as needed. Monitoring as directed or sooner if clinical signs acutely change, fail to improve or worsen.</t>
  </si>
  <si>
    <t xml:space="preserve">
1.The liver and spleen are normal._x000D_
2.The stomach and bowel are normal._x000D_
3.No effusion is present._x000D_
4.No abnormal AI findings reported.</t>
  </si>
  <si>
    <t>Three images are provided.
Images are dated September 13, 2024.
Cranial thorax excluded in the ventrodorsal image.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admixed soft tissue material.   The stomach is within normal limits for size.
The small intestine contains minimal gas and mild fluid or is empty with a subjectively uniform population for size. 
The colon contains moderate well-defined soft tissue material and gas.  The colon is within normal limits for size.  
Musculoskeletal: A small convex soft tissue focus is suspected to arise from the ventral surface of the inguinal soft tissue.  The remaining included musculoskeletal structures are normal.</t>
  </si>
  <si>
    <t xml:space="preserve">1. Mild diffuse bronchial pulmonary pattern such as from fibrosis from prior disease, age-related changes, infectious/immune-mediated lower airway disease, or unlikely other.
2. No obvious intra-thoracic lymphadenomegaly or pulmonary nodules.  
3. Gastric material due to recent meal of unlikely gastritis/delayed gastric emptying, or other given reported history.
4. No obvious hepatomegaly or splenomegaly in this examination.  
5. Presumed inguinal soft tissue nodule, consistent with reported history.  </t>
  </si>
  <si>
    <t>Consider abdominal ultrasonography for further evaluation of the liver and spleen.  Routine blood work, coagulation testing and hepatic/splenic tissue sampling, especially if reported mast cell tumor is grade 2 or higher.   Oncologist consultation may be contributory.  Empirical therapy and supportive care in the interim as needed.  Monitoring as directed or sooner if clinical signs acutely change, fail to improve or worsen.</t>
  </si>
  <si>
    <t xml:space="preserve">
1.Mild microhepatia is present on the VD projection, either due to the appearance or cropping of the cranial aspect of the liver on the VD projection. However, true microhepatia is not suspected based on the lateral projection._x000D_
2.Splenic size, shape and margin are normal._x000D_
3.Abdominal detail is normal._x000D_
4.The stomach is normal. The small bowel is diffusely gas- and fluid-filled without segmental small bowel dilation.</t>
  </si>
  <si>
    <t>Radiographically normal liver, spleen, GI tract and abdominal detail. Appearance of microhepatia on the VD projection is attributed to the patient being deep chested and not true microhepatia.</t>
  </si>
  <si>
    <t xml:space="preserve">
Virtual Radiologist Case Difficulty: MODERATE_x000D_
Virtual Radiologist Confidence: MODERATE_x000D_
If this result is inconsistent with the clinical picture or if you would like another opinion, this study can be submitted to Vetology for further evaluation.</t>
  </si>
  <si>
    <t>Three images are provided.
Images are dated September 13, 2024.
Pulmonary parenchyma: A mild diffuse bronchial pattern is present.  In the ventrodorsal image, lobar airways are not well-identified.  
Pulmonary vasculature: The pulmonary vasculature is subjectively normal in size and tapers in the periphery of the lungs.
Cardiac silhouette: The cardiac silhouette is severely enlarged and tall in the lateral images, with dorsal displacement of the trachea.  The cardiac silhouette is widened and occupies approximately 4 intercostal spaces width.  The caudodorsal margin of the cardiac silhouette is flattened.  The cardiac silhouette is generally widened in the ventrodorsal image.  Subtle rounded soft tissue is suspected in the region of the left atrium in the ventrodorsal image.
Mediastinum: The cranial mediastinum is normal.
Trachea: The trachea is slightly narrowed in a dorsoventral dimension in the cranial thorax of the left lateral image.
Esophagus: The esophagus is not well-identified.
Pleural space: The pleural space is normal.
Musculoskeletal: The included musculoskeletal structures are normal.</t>
  </si>
  <si>
    <t>1. Severe generalized cardiomegaly such as from myxomatous mitral valvular disease and insufficiency or less likely other, with tricuspid valvular disease versus cor pulmonale/pulmonary hypertension, or unlikely other.
2. Mild diffuse bronchial pulmonary pattern due to infectious/immune-mediated lower airway disease (such as from bordetella spp., mycoplasma spp., or parasitism such as lung worms), fibrosis from prior disease, age-related changes, or less likely other.
3. Suspected transient, slight intra-thoracic tracheal narrowing, and possible lobar bronchial narrowing from dynamic airway disease/chondromalacia.</t>
  </si>
  <si>
    <t>Echocardiography, eCG and blood pressure for further evaluation.  Routine blood work and urinalysis f not recently performed.  Consider tracheoscopy/bronchoscopy/fluoroscopy, respiratory PCR panel, fecal analysis/deworming, and/or airway sampling for further evaluation.  Monitoring as directed or sooner if clinical signs acutely change, fail to improve or worsen.</t>
  </si>
  <si>
    <t>Orthogonal views of the abdomen are provided:_x000D_
_x000D_
Abdomen:_x000D_
_x000D_
The stomach is empty._x000D_
Small intestines are mildly gas and fluid filled, not overtly distended. No signs of mechanical ileus._x000D_
Descending colon fluid filled._x000D_
Serosal detail is preserved._x000D_
Liver and spleen are within normal limits of size and smoothly marginated._x000D_
Kidneys and urinary bladder WNL.</t>
  </si>
  <si>
    <t>1) Unremarkable abdomen other than upcoming diarrhea.</t>
  </si>
  <si>
    <t>Consider IV fluids and abdominal US to further evaluate causes of vomition such as pancreatitis.</t>
  </si>
  <si>
    <t xml:space="preserve">
1.The liver is mildly enlarged but retains a smooth margin._x000D_
2.Splenic size, shape and margin are normal._x000D_
3.Abdominal detail is normal._x000D_
4.The small bowel is diffusely gas- and fluid-filled without segmental small bowel dilation._x000D_
5.The stomach contains gas and soft tissue material.</t>
  </si>
  <si>
    <t>The AI result for this case is most compelling  for: normal post-prandial GI tract in a patient WITHOUT GI signs. In a patient WITH GI signs, this appearance can be consistent with gastroenteritis. Minimal to mild hepatomegaly is also present. No small bowel segmental dilation or intestinal foreign body identified. Normal abdominal detail. Minimal to mild hepatomegaly. DDx: Fat deposition vs. vacuolar change is likely. Hepatitis or infiltrative neoplasia are lesser considerations.</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</si>
  <si>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A large soft tissue mass is present in the right ventral mid abdomen that appears to be continuous with spleen.  The stomach contains a moderate amount of ingesta.  The small intestines are normal in size.  Gas and feces are present in the colon.  The urinary bladder is small.  The remaining abdominal organs are normal.  There is spondylosis deformans of the lumbosacral spine.</t>
  </si>
  <si>
    <t>Splenic mass=ZZ90= consider neoplasia or hematoma.  This is considered unlikely to be related to a pelvic limb or mammary neoplasm.  Radiographically normal thorax for patient of this age on the view provided.</t>
  </si>
  <si>
    <t>Consider splenectomy for histopathology.</t>
  </si>
  <si>
    <t xml:space="preserve">
1.There is ill-defined mass effect involving the ventral mid-abdomen._x000D_
2.Serosal detail around the mass effect is mildly reduced._x000D_
3.No segmental small bowel dilation is noted._x000D_
4.The liver is at the upper end of normal size range with smooth margins.</t>
  </si>
  <si>
    <t>There is an indistinct mass effect involving the mid abdomen. The differential for this includes splenic mass vs.hepatic mass vs.severe uterine horn distention in an intact female. Severe urinary bladder distention is a lesser consideration.</t>
  </si>
  <si>
    <t>Orthogonal radiographs of the abdomen are provided. There is no effusion. The prostate is not identified. Urinary bladder is mildly filled and soft tissue opaque. There is gas in the stomach and colon. Small bowel are minimally filled with fluid and gas. There is no radiopaque foreign material or severe intestinal distention. Normal size liver, spleen, left kidney. The right kidney is partially visible and also appears to be normal sites. Narrowed L3-4 intervertebral disc space, of doubtful significance today.</t>
  </si>
  <si>
    <t>Normal abdomen. There is no evidence of radiopaque foreign material or an obstructive process.</t>
  </si>
  <si>
    <t>If the patient does not rapidly improve with supportive care, abdominal ultrasound should be considered.</t>
  </si>
  <si>
    <t>WHOLE-BODY (3 total radiographs for review).  A previous examination is available for comparison from 2023._x000D_
_x000D_
- Peritoneal serosal detail is normal._x000D_
- The stomach contains mild gas and gas-stippled soft-tissue opaque material_x000D_
- The small intestine is mildly diffusely distended with homogenous soft tissue/fluid and gas._x000D_
- The cecum is focally distended with gas._x000D_
- The colon contains gas, soft-tissue/fluid and moderate formed fecal material._x000D_
- The liver is mildly enlarged, extending caudal to the costal arch with rounded margins._x000D_
- The spleen, region of the kidneys and urinary bladder are normal._x000D_
- The cardiac silhouette and pulmonary vasculature are normal._x000D_
- The pulmonary parenchyma is normal_x000D_
- There is a soft tissue opaque band dorsally overlying the trachea in the region of the thoracic inlet._x000D_
- The esophagus and mediastinum are normal._x000D_
- The pleural space, diaphragm and ribs are normal._x000D_
- The remaining intrathoracic structures are normal._x000D_
- The caudal cervical, cervicothoracic, thoracic, thoracolumbar and lumbar vertebral columns are normal.</t>
  </si>
  <si>
    <t>1.  A discrete radiographic cause for the reported lethargy and abdominal pain is not clearly identified.  The gastrointestinal tract is relatively unremarkable, however radiographic sensitivity for the detection of generalized functional ileus such as gastroenteritis can be limited.  There is no evidence of foreign material, mechanical obstruction or intra-abdominal mass identified.  If clinically indicated, consider abdominal ultrasound for further assessment._x000D_
_x000D_
2. Normal spine.  No distinct cause for thoracolumbar pain on palpation is noted.  If there is further clinical concern, spinal CT may be considered._x000D_
_x000D_
3. Mild hepatomegaly. Most likely vacuolar (metabolic) hepatopathy. Hepatitis, hepatic congestion or neoplasia are less likely, but possible._x000D_
_x000D_
4. The appearance of the trachea at the level of the thoracic inlet can be compatible with tracheal collapse, secondary to chondromalacia.  Otherwise normal thorax.</t>
  </si>
  <si>
    <t>8 images of the pelvis and left pelvic limb are provided for review.  Coverage of the femoral heads by their acetabulae is adequate bilaterally.  No fractures, luxations, or aggressive osseous lesions are seen.  The joint surfaces are smooth and regular.  Moderate soft tissue is present in the left stifle joint.  The remaining soft tissue structures included are normal.</t>
  </si>
  <si>
    <t>Left stifle effusion consistent with soft tissue injury such as to the cranial cruciate ligament or meniscus.</t>
  </si>
  <si>
    <t>Consider supportive therapy versus surgical consultation.</t>
  </si>
  <si>
    <t>Eight images are provided.
Images are dated September 13, 2024.
Prior images dated September 6, 2024 are available.  
"Rads-2 regions" presume: Thorax, Right thoracic limb: base on provided history.
Overexposure with soft tissue saturation of some extremities.
Pulmonary parenchyma: Throughout the lungs are numerous, well-defined, variably sized, round and ovoid mineral foci.  In the right lateral image, over the ventral aspect of the 5th intercostal space, two small round soft tissue foci are suspected.  A minimal diffuse bronchial pattern is present.  Mild interstitial pattern in the left lungs with leftward mediastinal shift is not corroborated in the right lateral image.
Pulmonary vasculature: The pulmonary vasculature is subjectively normal in size and tapers in the periphery of the lungs.
Cardiac silhouette: The cardiac silhouette is normal in size and shape.
Mediastinum:  A leftward mediastinal shift is in the ventrodorsal images.  The cranial mediastinum is normal.
Trachea: The trachea is normal.
Esophagus: The esophagus is not well-identified.
Pleural space: The pleural space is normal.
Bones/Joints:
Right elbow osteoarthrosis is present, with osteophytes over the region of the medial coronoid process, radial head, anconeal process, and suspected at the medial humeral epicondyle.   
The soft tissues centered over the right elbow are subjectively enlarged in the lateral image, with rounding of the caudal aspect of the joint suspected.
The right shoulder is normal.
Mild to moderate osteophyte production is presumed at the caudodistal margin of the left glenoid. A small ovoid smoothly marginated mineral body is suspected just distal to the caudodistal margin of the left glenoid.
The left elbow is normal.  
There is no evidence of medullary sclerosis, osteolysis, endosteal scalloping, or periosteal proliferation.
Soft tissues:  The included soft tissues are normal.</t>
  </si>
  <si>
    <t xml:space="preserve">1. Multifocal pulmonary osseous nodules such as from osseous metaplasia, granuloma from prior disease, or metastatic neoplasia such as from occult primary osseous neoplasm (osteosarcoma).
2. Possible pulmonary soft tissue nodules versus evolving mineralized nodules similar to #1 above.
- Soft tissue nodules are suspicious for evolving metastatic/multicentric neoplasia, or less likely other.
3. Leftward mediastinal shift likely from recumbency atelectasis/positioning and suspected transient left-sided interstitial pattern as a result.
4. Minimal diffuse bronchial pattern due to fibrosis from prior disease, age-related changes, less likely atypical evolving systemic disease/metastatic neoplasia, or unlikely other.
5. Mild-moderate right elbow osteoarthrosis  and presumed intra-capsular soft tissue swelling from synovial proliferation/effusion, or unlikely other such as an evolving neoplasm.
6. Moderate left shoulder osteoarthrosis, with associated small ovoid mineral body due to enthesophyte or secondary center of ossification, or unlikely other.
</t>
  </si>
  <si>
    <t>Consider abdominal imaging for further evaluation, and consider coagulation testing with tissue sampling depending on results. Routine blood work and consider 4DX testing given possibly shifting-leg lameness from reported clinical signs.
Consider computed tomography of the elbows/shoulders and thorax for further evaluation of the suspicious pulmonary nodules and a more sensitive evaluation of occult aggressive bone lesion.  
Empirical therapy and supportive care in the interim as needed.  Monitoring as directed, or sooner if clinical signs acutely change, fail to improve or worsen.</t>
  </si>
  <si>
    <t xml:space="preserve">
1.Liver size, shape and margin are normal._x000D_
2.Splenic size is at the upper limits of normal to mildly enlarged but no mass is noted in the region of the spleen._x000D_
3.Abdominal detail is normal._x000D_
4.The stomach contains a small amount of gas and ingesta. The small bowel is diffusely gas- and fluid-filled without segmental small bowel dilation._x000D_
5.The colon is gas filled and a portion of the colon has a rigid appearance.</t>
  </si>
  <si>
    <t>The AI result is most compelling for: Normal post prandial GI tract. However, in a patient with GI signs, gastric foreign material or delayed gastric emptying secondary to gastroenterocolitis becomes a stronger consideration. Gastric contents. DDx: food vs. gastric foreign material. This finding should be correlated to last known meal and clinical concern for gastric foreign material. Appearance to the small and large bowel could indicate a component of enterocolitis however no small intestinal obstruction noted. Splenic size at the upper limits of normal to mildly enlarged. No splenic mass identified. Lymphoid hyperplasia, potentially secondary to gastrointestinal disease, is a primary consideration.</t>
  </si>
  <si>
    <t xml:space="preserve">
If GI signs are present, withhold food for 12-15 hours followed by repeat abdominal radiographs to assess for retention of the gastric contents. If the gastric contents persist after withholding food or if there is non-productive vomiting, the concern for gastric foreign material increases._x000D_
Blood work +/- pancreatic testing, if GI signs are present._x000D_
Supportive care in the interim as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</si>
  <si>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thorax/abdomen are provided. Equivocal visibility of the left atrium on the VD projection, not seen on the lateral views. Cardiac to thoracic ratio is normal. Pulmonary vessels are normal size. Mild age-related changes in the lungs. No pleural effusion. Mild narrowed cervical trachea, of uncertain significance today. No cervicothoracic spinal abnormalities. Normal proximal thoracic limbs. In the abdomen there are punctate nephroliths bilaterally, likely incidental. No radiopaque cystic calculi. Serosal detail is adequate. Formed feces fills the colon. The stomach and small bowel are minimally filled. Normal-sized liver, kidneys, spleen. No lumbar spinal abnormalities are appreciated. Both acetabula are shallow, the femoral heads are flattened and poorly covered by the dorsal acetabular rims. Moderate osseous proliferation on the acetabula and femoral necks.</t>
  </si>
  <si>
    <t>Bilateral coxofemoral osteoarthritis and subluxation. This is the only abnormality identified on this examination which could explain the discomfort and clinical signs. Intervertebral disc disease may also be present and contributing to discomfort. The abdomen and thorax are normal.</t>
  </si>
  <si>
    <t>Recommend palpate for spinal and coxofemoral joint discomfort, and a neurologic examination.</t>
  </si>
  <si>
    <t xml:space="preserve">
1.Liver size, shape and margin are normal._x000D_
2.Splenic size, shape and margin are normal._x000D_
3.The stomach is normal. The small bowel is diffusely gas- and fluid-filled without segmental small bowel dilation._x000D_
4.Abdominal detail is normal.</t>
  </si>
  <si>
    <t>Orthogonal views of the abdomen are provided:_x000D_
_x000D_
Abdomen:_x000D_
_x000D_
The stomach is filled with food. No signs of radiopaque foreign bodies._x000D_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t>
  </si>
  <si>
    <t>Consider abdominal US to further evaluate causes of V/D and the liver.</t>
  </si>
  <si>
    <t xml:space="preserve">
1.The descending colon contains mainly fluid opaque material._x000D_
2.The colon is gas-filled._x000D_
3.The small intestines are homogenously fluid-filled, and mildly dilated._x000D_
4.The stomach has a normal axis._x000D_
5.There is a moderate amount of fluid and gas within the stomach._x000D_
6.Abdominal detail is normal._x000D_
7.The hepatic silhouette is normal._x000D_
8.The spleen is normal for size, shape and margin.</t>
  </si>
  <si>
    <t>Orthogonal views of the thorax and abdomen are provided:_x000D_
_x000D_
Thorax:_x000D_
_x000D_
Cardiac silhouette shows a mild enlargement of the left atrium dorsally displacing the carina._x000D_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Small volume of normal feces in the colon._x000D_
Serosal detail is preserved._x000D_
Liver and spleen are within normal limits of size and smoothly marginated._x000D_
Kidneys and urinary bladder WNL.</t>
  </si>
  <si>
    <t>1) Left atrial enlargement secondary to chronic mitral endocardiosis without signs of CHF._x000D_
2) Unremarkable abdomen.</t>
  </si>
  <si>
    <t>Consider a cardiology consultation with ECG and echocardiogram and abdominal Us to further evaluate the GI signs. Evaluate the need of a rectal exam.</t>
  </si>
  <si>
    <t xml:space="preserve">
1.There is soft appearing fecal material within the colon._x000D_
2.The small intestinal track is mostly fluid filled and mildly dilated._x000D_
3.The stomach is distended with gas, fluid and some granular luminal material._x000D_
4.Detail in the abdomen is adequate._x000D_
5.Splenic size, shape and margin are normal._x000D_
6.The entire liver or a portion of the liver is at the lower limits of  normal for size to slightly small.</t>
  </si>
  <si>
    <t>4 images of the abdomen are provided for review.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small.  No mineral is seen associated with the urinary tract.  The remaining abdominal organs are normal.  A large fat opacity mass is present in the right caudal abdomen.  Poorly defined lucency and sclerosis of the vertebral endplates with ventral spondylosis deformans are present at the lumbosacral space.</t>
  </si>
  <si>
    <t>Hepatomegaly=ZZ90= this is a nonspecific finding that may be seen with congestion, vacuolar hepatopathy, inflammation, neoplasia, etc. Abdominal ultrasound may be helpful in further evaluation if biochemically indicated.  Fat opacity abdominal mass consistent with lipoma.  CT could be considered in surgical planning if desired.  Changes of the lumbosacral space are concerning for discospondylitis.  Consider CT or MRI for further evaluation.  Urine and blood cultures could also be considered.</t>
  </si>
  <si>
    <t xml:space="preserve">
1.The stomach contains small volume gas and scant soft tissue density. The small bowel is diffusely gas- and fluid-filled without segmental small bowel dilation._x000D_
2.Abdominal detail is normal._x000D_
3.Splenic size, shape and margin are normal._x000D_
4.The liver is mild to moderately enlarged.</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</si>
  <si>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trachea is uniform in diameter.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</si>
  <si>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Radiographically normal thorax for patient of this age.  Lack of specific changes does not rule out dynamic tracheal collapse or bronchitis.</t>
  </si>
  <si>
    <t xml:space="preserve">
1.Abdominal detail is normal._x000D_
2.The stomach is normal._x000D_
3.The small bowel is diffusely gas- and fluid-filled but without segmental bowel dilation._x000D_
4.There is a mild increase in soft tissue opacity in the splenic region suggestive of splenomegaly. Caudal extension of a liver lobe into the region of the spleen is a lesser consideration. No soft tissue mass is noted in the splenic region._x000D_
5.See Spleen Finding</t>
  </si>
  <si>
    <t>Mild increase in soft tissue opacity in the cranial abdomen. A splenic fold or splenomegaly are the primary considerations. A splenic mass is not identified. Caudal extension of a liver lobe into the splenic region is a lesser consideration. DDx for splenomegaly: sedation vs. lymphoid hyperplasia vs. extramedullary hematopoiesis vs. in an older dog, infiltrative neoplasia.</t>
  </si>
  <si>
    <t xml:space="preserve">
Palpation for splenomegaly if sedation was not administered. Also consider an abdominal ultrasound and CBC if splenomegaly is an unexpected finding._x000D_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</si>
  <si>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thorax, and orthogonal views of the abdomen are provided. The cardiac silhouette and pulmonary vessels are of normal size and shape. There are no abnormalities in the pulmonary parenchyma. No pleural effusion. Normal tracheal diameter. No cervicothoracic spinal abnormalities. Normal proximal thoracic limbs._x000D_
_x000D_
In the abdomen there is no effusion or organomegaly. The gastrointestinal tract is mildly filled. There are a few linear mineral opaque wire-like object in the cranioventral abdomen consistent with foreign material ingestion such as a barbecue brush bristle. This is a common incidental finding in canine patients, and these objects are typically located within hepatic parenchyma or loose within the peritoneal space. Normal size liver, spleen, kidneys. No radiopaque urolithiasis. No lumbar spinal abnormalities. The coxofemoral joints are congruent.</t>
  </si>
  <si>
    <t>Normal thorax and abdomen. A reason for discomfort is not identified. Soft tissue sprain/strain is most likely. Intervertebral disc protrusion is next on the differential list.</t>
  </si>
  <si>
    <t xml:space="preserve">
1.The liver and spleen are normal size with smooth margins._x000D_
2.No abnormal AI findings reported._x000D_
3.In the abdomen there is no effusion._x000D_
4.No gastrointestinal abnormalities are appreciated. No signs of obstruction.</t>
  </si>
  <si>
    <t>Abdomen. Three radiographs of the abdomen (two lateral, one VD) dated September 13, 2024 are provided.
Gastrointestinal tract: The stomach contains a small volume of gas and is normal in position. The small intestines are diffusely within normal limits of diameter and are primarily soft tissue opaque. The colon is filled with loosely formed feces and gas.
Liver: The liver is normal in size and shape.
Spleen: The spleen is normal in size with smooth margins.
Urinary: The kidneys are largely obscured by superimposition of the colon. The visible margins are within normal limits. The urinary bladder is normal in size and opacity.
Peritoneal space: There is adequate serosal detail.
Musculoskeletal: There is mild periarticular osseous proliferation of the right and left hips. Otherwise the included skeletal and superficial soft tissue structures of the study are normal.</t>
  </si>
  <si>
    <t>1. The gastrointestinal tract is unremarkable. There is no evidence of a mechanical obstruction or or mineral/metal opaque foreign material. Nonspecific gastroenteritis is prioritized as the cause of vomiting.
2. Mild osteoarthritis/osteoarthrosis of the hips.</t>
  </si>
  <si>
    <t>Medical management supportive care are recommended. If clinical signs persist despite treatment, recheck abdominal radiographs and/or an abdominal ultrasound would be recommended.</t>
  </si>
  <si>
    <t>ABDOMEN (4 images):
Images are dated September 13, 2024.
Liver: The liver is slightly small with cranial displacement of the gastric axis.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mild fluid.  Gastric rugal folds are mildly prominent.   The stomach is within normal limits for size.
The small intestine contains minimal gas and mild fluid or is empty with a subjectively uniform population for size. 
The colon contains minimal fluid, soft tissue material or is empty, and minimal gas.  The colon is within normal limits for size.  
Musculoskeletal: Mild left and moderate right coxofemoral joint osteoarthrosis. The remaining included musculoskeletal structures are normal.</t>
  </si>
  <si>
    <t>1. Prominent gastric rugal folds such as from non-specific gastritis versus variation of normal.
2. Non-specific small intestinal and colon appearance such as from enteritis/colitis, or fasting/recent bowel movement.
- There is no current evidence of gastrointestinal mechanical ileus.
- Differential diagnoses include dietary indiscretion, toxin ingestion, diet/antibiotic responsive disease, inflammatory bowel disease, pancreatitis, occult systemic disease or unlikely other.
3. Mild microhepatia versus normal variation or unlikely other.
- If present, consider occult portosystemic shunt or unlikely chronic hepatitis or other.
4. Bilateral coxofemoral joint osteoarthrosis.</t>
  </si>
  <si>
    <t>Consider GI panel, fecal analysis/deworming, bile acid testing, and routine blood work for further evaluation.  Abdominal ultrasonography for further evaluation of the liver and gastrointestinal tract.  Etiology of reported weight loss is not definitively identified, but this does not rule out inflammatory bowel disease, exocrine pancreatic insufficiency, or other maldigestive/malabsorbtive enteropathy contributing to weight loss.  Internist consultation may be contributory.   Thoracic radiographs to rule out occult systemic disease may be beneficial, especially if other diagnostics are inconclusive.  Empirical therapy and supportive care in the interim as needed.  Monitoring with repeat abdominal radiographs if signs fail to improve or worsen in the face of empirical therapy.</t>
  </si>
  <si>
    <t xml:space="preserve">
1.Splenic size, shape and margin are normal._x000D_
2.Liver size, shape and margin are normal._x000D_
3.Abdominal detail is normal._x000D_
4.The stomach contains gas and a small amount of fluid. Loops of small bowel are minimally gas and fluid filled.</t>
  </si>
  <si>
    <t>The AI result for this case is most compelling for: Gastroenteritis. A small intestinal functional ileus can also have this appearance, however, there is no suggestion of bowel obstruction.</t>
  </si>
  <si>
    <t xml:space="preserve">
In a vomiting or anorexic patient, supportive care and therapy for gastroenteritis are recommended.  If the symptoms persist, repeat abdominal radiographs following no food for 12-15 hours, access to water or IV fluid therapy is recommended. Abdominal ultrasound could also be considered for further evaluation._x000D_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</si>
  <si>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7 images of the thorax and abdomen are provided for review.  The cardiovascular structures are normal.  There is a mild bronchial pattern in all lung lobes.  The mediastinal and pleural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</si>
  <si>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Radiographically normal abdomen.  Mild bronchial pulmonary pattern=ZZ90= consider viral or Bordetella type pneumonitis most likely but cannot rule out bronchitis, response to inhaled irritants, response to circulating parasites, eosinophilic bronchopneumopathy.</t>
  </si>
  <si>
    <t xml:space="preserve">
1.The stomach appears within normal limits._x000D_
2.The liver and spleen appear within normal limits for size and contour._x000D_
3.No abnormal AI findings reported._x000D_
4.Abdominal detail is adequate._x000D_
5.Small intestines are diffusely mildly fluid-filled. No evidence to suggest obstruction.</t>
  </si>
  <si>
    <t>Abdomen: There is a mild amount of well-formed fecal material within the colon and rectum.  There are small mineral opacities (possible gravel) within the proximal descending duodenum as well as the transverse colon.  There is a mild amount of heterogeneous soft tissue opacity within the gastric lumen without evidence of a gastric outflow obstruction.  There are no abnormalities involving the small intestines.  The liver and spleen are unremarkable.  There are no abnormalities involving the urinary tract.  There is mineralization of the intervertebral disc space at T13-L1.  There is a focal mineral opacity involving the dorsal aspect of the intervertebral disc space at L2-3.  There is no evidence of disc space collapse.  The remainder of the lumbar vertebral column and visible portions of the thoracic vertebral column are unremarkable.</t>
  </si>
  <si>
    <t>Unremarkable abdomen._x000D_
_x000D_
Intervertebral disc disease at T13-L1._x000D_
_x000D_
The focal mineral opacity involving the dorsal aspect of the intervertebral disc space at L1 2-3 may represent focal mineralization of the disc or possible lateralized spondylosis deformans.</t>
  </si>
  <si>
    <t xml:space="preserve">
1.No abnormal AI findings reported._x000D_
2.The liver and spleen are normal size and shape._x000D_
3.Abdominal detail is normal._x000D_
4.The stomach contains small volume gas and equivocal scant soft tissue density._x000D_
5.Small intestines are minimally distended. No evidence of obstruction.</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</si>
  <si>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Unformed feces in the colon._x000D_
Serosal detail is preserved._x000D_
Liver extends beyond the costal arch with sharp margins._x000D_
Spleen is within normal limits of size and smoothly marginated._x000D_
Kidneys and urinary bladder WNL.</t>
  </si>
  <si>
    <t>1) Unremarkable thorax without signs of cardiomegaly (this does not exclude a cardiac disease), pulmonary metastases nor signs of thoracic lymphadenopathy. _x000D_
2) Hepatomegaly: Metabolic vs Vacuolar infiltration vs Hepatic nodular hyperplasia vs Inflammatory vs Toxic vs Neoplastic or a combination of these differentials._x000D_
3) Unformed feces in the colon. Rule out colitis of allergic/inflammatory/idiopathic origin vs IBD flare up vs colitis secondary to dietary indiscretion/diet change.</t>
  </si>
  <si>
    <t>Given the lack of cardiomegaly but audible murmur, consider a cardiology consultation with ECG and echocardiogram and abdominal US to further evaluate the liver prior to a CT of the oral and nasal cavities with rhinoscopy/biopsies.</t>
  </si>
  <si>
    <t xml:space="preserve">
1.Splenic size, shape and margin are normal._x000D_
2.The stomach is mildly gas and fluid filled with some soft tissue density material. The small bowel is gas and fluid-containing. No obvious obstruction._x000D_
3.The liver is mildly enlarged but retains a smooth margin._x000D_
4.No abnormal AI findings reported.</t>
  </si>
  <si>
    <t>Orthogonal views of the thorax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Liver extends beyond the costal arch with sharp margins.</t>
  </si>
  <si>
    <t>1) Lack of visualization of tracheal collapse does not exclude this differential (especially taking into account the breed). Unremarkable lungs do not exclude a bronchitis of allergic vs inflammatory/infectious or parasitic origin. _x000D_
2) Hepatomegaly: Metabolic vs Vacuolar infiltration vs Hepatic nodular hyperplasia vs Inflammatory vs Toxic vs Neoplastic or a combination of these differentials.</t>
  </si>
  <si>
    <t>Consider abdominal US to further evaluate the liver and entire abdomen as part of the work up for Evans syndrome._x000D_
Evaluate the benefit of a fluoroscopy (followed by tracheobronchoscopy, BAL and culture/cytology) to rule in/out extrathoracic vs intrathoracic tracheal collapse or bronchial component, evaluating treatment options. Take advantage of the bronchoscopy to further evaluate the larynx given 30% of patients with tracheal collapse display different degrees of laryngeal paralysis. If negative, consider empirical treatment for chronic bronchitis.</t>
  </si>
  <si>
    <t xml:space="preserve">
1.The liver is mildly enlarged, and retains a smooth margin._x000D_
2.Abdominal detail is normal._x000D_
3.The stomach is normal. The small bowel is diffusely gas- and fluid-filled without segmental small bowel dilation._x000D_
4.Splenic size, shape and margin are normal.</t>
  </si>
  <si>
    <t>Patient Name : Chi Chi Two Jackson, Date of study: Sep 12, 2024
3 images are provided for review
There are no previous radiographs for comparison.
Pulmonary parenchyma: A mild diffuse bronchial pattern is present.
Pulmonary vasculature: The pulmonary vasculature is subjectively normal in size and tapers in the periphery of the lungs.
Cardiac silhouette: In the right lateral image, the caudodorsal margin of the cardiac silhouette is slightly flat.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soft tissue material admixed with gas.   The stomach is within normal limits for size.
The small intestine contains mild to moderate gas and fluid or is empty with a subjectively uniform population for size. 
The colon contains mild to moderate well-defined soft tissue material and gas.  The colon is within normal limits for size.  
Musculoskeletal: The included musculoskeletal structures are normal.</t>
  </si>
  <si>
    <t xml:space="preserve">1. Equivocal left atrial enlargement versus phase of the cardiopulmonary cycle/patient positioning.
- If present, consider myxomatous mitral valvular disease.
- There is no current evidence of left-sided congestive heart failure.
2. Mild diffuse bronchial pulmonary pattern such as from fibrosis from prior disease, age-related changes, infectious/immune-mediated lower airway disease, inhaled allergen/irritant, or unlikely other.
3. Gastric material due to recent meal and/or gastritis/delayed gastric emptying, or less likely pyloric outflow tract obstruction.
4. Non-specific small intestinal appearance due to enteritis or variation of normal.
- There is no current evidence of gastrointestinal mechanical ileus.
- Differential diagnoses include dietary indiscretion, toxin ingestion, diet/antibiotic responsive disease, inflammatory bowel disease, pancreatitis, occult systemic disease or unlikely other.
</t>
  </si>
  <si>
    <t>Consider urinalysis and abdominal ultrasonography for further evaluation of the kidneys.  Consider echocardiography if a murmur is later identified.  Empirical therapy and supportive care in the interim as needed.  Monitoring as directed or sooner if clinical signs acutely change, fail to improve or worsen.</t>
  </si>
  <si>
    <t xml:space="preserve">
1.On the VD projection, a mild decrease in cranial abdominal detail is present. This is suspected to be secondary to caudal extension of the liver._x000D_
2.Splenic size, shape and margin are normal._x000D_
3.As mentioned above, cranial abdominal detail is mildly decreased. A global reduction in abdominal detail is NOT present._x000D_
4.The ventral abdominal line is mildly pendulous._x000D_
5.No gastrointestinal abnormalities._x000D_
6.On the lateral projection, the liver is mildly enlarged.</t>
  </si>
  <si>
    <t>WHOLE-BODY (3 total radiographs for review). _x000D_
_x000D_
- Moderate to marked, diffuse, mixed bronchial and unstructured interstitial pattern throughout the lung lobes._x000D_
- Multiple thickened the pleural fissures._x000D_
- Impression of both left and right heart enlargement characterized by dorsal displacement of the caudal aspect of the thoracic trachea and straightening of the caudal cardiac margin in addition to rounding of the right side of the heart._x000D_
- The pulmonary vasculature is within normal limits._x000D_
- Increased soft tissue opacity in the region of the cranial mediastinum on the VD projection._x000D_
- Soft-tissue opaque band dorsally overlying the trachea in the region of the thoracic inlet._x000D_
- The stomach contains moderate gas and mild gas stippled soft-tissue opaque material._x000D_
- The small intestine and colon contains mild to moderate multifocal gas in the colon contains a small volume of formed fecal material._x000D_
- The liver, spleen, kidneys, urinary bladder and remaining abdominal structures are normal._x000D_
- L4-5 intervertebral disc space collapse with mineralization of the disc_x000D_
- Mild multifocal vertebral spondylosis deformans.</t>
  </si>
  <si>
    <t>1.  Diffuse, moderate to marked broncho-interstitial pulmonary pattern with thickened pleural fissures.  Consider chronic lower airway disease, likely bronchitis +/- pulmonary fibrosis.  A component of overlying bronchopneumonia is not completely excluded, however no overt pulmonary consolidation is appreciated._x000D_
_x000D_
2.  The appearance of the trachea at the level of the thoracic inlet can be compatible with tracheal collapse, secondary to chondromalacia._x000D_
_x000D_
3.  Moderate generalized cardiomegaly with evidence of both left and right heart enlargement.  The left heart enlargement most likely due to degeneration of the mitral valve.  The right heart enlargement most likely secondary to cardiac remodeling (cor pulmonale) from chronic pulmonary hypertension, or alternatively tricuspid valvular insufficiency.  No evidence of congestive heart failure is distinctly appreciated.  Consider consultation with a veterinary cardiologist and echocardiography/ECG for further evaluation._x000D_
_x000D_
4.  Increased soft tissue opacity in the region of the cranial mediastinum can be a combination of mediastinal fat and a prominent aortic root (as the patient is reported to have systemic hypertension). A heart-base mass is less likely but not completely excluded._x000D_
_x000D_
5.  Fairly unremarkable postprandial abdomen with aerophagia._x000D_
_x000D_
6. L4-5 intervertebral disc disease.</t>
  </si>
  <si>
    <t>As above.  This patient may benefit from internal medicine consultation given the presence of multiple comorbidities.</t>
  </si>
  <si>
    <t xml:space="preserve">
1.The liver is mildly enlarged._x000D_
2.Abdominal detail is within normal limits._x000D_
3.The stomach is mildly gas and fluid filled with some soft tissue density material. The small bowel is gas and fluid-containing. No findings to indicate obstruction._x000D_
4.Splenic size, shape and margin are normal.</t>
  </si>
  <si>
    <t>Eight images are provided.
Images are dated September 12, 2024.
Pulmonary parenchyma: Numerous, well-defined, discrete and coalescing, round soft tissue pulmonary nodules and small masses are present.  The largest of these lesions are in the left cranial and caudal lung lobes.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Multiple thoracic vertebra are narrowed in a craniocaudal dimension, and/or wedge or butterfly shaped, most severe from T4 through T11.  The remaining included musculoskeletal structures are normal.</t>
  </si>
  <si>
    <t>1. Numerous pulmonary soft tissue nodules and masses, largest in the left cranial/caudal lung lobes.
- Differential diagnoses include primary neoplasia (possible primary pulmonary carcinoma given larger left caudal lung lobe mass with multifocal pulmonary metastatic disease, versus metastasis from occult primary neoplasm), or unlikely granulomatous/fungal pneumonia such as from blastomycosis spp., coccidiomycosis spp., or other.
2. Mild diffuse bronchial pulmonary pattern due to fibrosis from prior disease, age-related changes, infectious/immune-mediated lower airway disease, and/or artifact from the technique of image acquisition, or unlikely other.
3. thoracic vertebral anomalies consistent with brachycephalic patient breed.</t>
  </si>
  <si>
    <t>Consider computed tomography of the thorax and head for further evaluation of pulmonary mass(es)/nodules and screening for occult primary neoplasm.  Abdominal imaging (computed tomography, ultrasonography) for further evaluation of primary mass given reported clinical signs.  Coagulation testing and tissue sampling of a peripherally accessible pulmonary lesion, or other depending on results.  Empirical therapy and supportive care in the interim as needed.  Monitoring as directed, or sooner if clinical signs acutely change, fail to improve or worsen.</t>
  </si>
  <si>
    <t>WHOLE-BODY (3 total radiographs for review).  A previous examination is available for comparison from 2019._x000D_
_x000D_
- Peritoneal serosal detail is normal._x000D_
- The stomach contains mild gas and moderate gas-stippled soft-tissue opaque material_x000D_
- There is a well-defined column of gas outlining the duodenum._x000D_
- The small intestine contains mild multifocal gas and soft-tissue opaque material_x000D_
- There is a focal accumulation of gas in the cecum._x000D_
- The colon contains gas, soft-tissue/fluid and mild formed fecal material._x000D_
- The liver, spleen, region of the kidneys and urinary bladder are normal._x000D_
- The cardiac silhouette and pulmonary vasculature are normal._x000D_
- The pulmonary parenchyma is normal_x000D_
- The trachea, esophagus and mediastinum are normal._x000D_
- The pleural space, diaphragm and ribs are normal._x000D_
- The remaining intrathoracic structures are normal._x000D_
- No distinct musculoskeletal abnormalities are noted.</t>
  </si>
  <si>
    <t>1.  Mild to moderate nonspecific gastric soft-tissue opaque material can be undigested food, however given the patient has reportedly not eaten could also reflect foreign material.  No pyloric outflow tract obstruction is noted._x000D_
_x000D_
2.  Otherwise, the appearance of the small intestine can be consistent with a functional ileus such as enteritis.  The material in the colon is fairly well formed and in fact mildly desiccated.  There is no evidence of small intestinal foreign material or mechanical obstruction.  No distinct evidence of pancreatitis is appreciated, however radiographic sensitivity can be limited and if there is further clinical indication abdominal ultrasonography may be considered for improved assessment.  _x000D_
_x000D_
3.  Normal thorax.</t>
  </si>
  <si>
    <t>Abdomen. Three radiographs (two lateral, one VD) dated September 12, 2024 are provided.
Gastrointestinal tract: The stomach contains a mild volume of heterogeneous ingesta admixed with gas. The stomach is displaced cranially and dorsally. The small intestines are diffusely within normal limits of diameter and are soft tissue and gas opaque. The colon contains a small volume of loosely formed feces and gas.
Liver: The hepatic margins are within normal limits.
Spleen: There is a large spherical mass in the mid abdomen at the expected level of the splenic body. The mass has mildly undulating margins and causes cranial displacement of the stomach and caudal displacement of the small intestine.
Urinary: The visible margins of the kidneys are normal. The urinary bladder is normal in size, shape, and margination.
Peritoneal space: There is wispy soft tissue opacity in the mid abdomen surrounding the mass.
Musculoskeletal: The included skeletal and superficial soft tissue structures of the study are normal.</t>
  </si>
  <si>
    <t xml:space="preserve">Mid abdominal mass with mild peritoneal effusion. The primary consideration is a splenic mass with mild peritoneal hemorrhage/effusion. A hepatic mass is considered less likely but is not ruled out.
- Differential diagnoses include neoplasia such as hemangiosarcoma, and less likely hematoma/hemangioma.
</t>
  </si>
  <si>
    <t xml:space="preserve">Consider abdominal ultrasonography for further evaluation of the mass, peritoneum, and for evidence of metastasis. Coagulation testing and thoracic imaging may be contributory. If a splenic origin is confirmed, splenectomy with histopathology of the mass would be recommended. </t>
  </si>
  <si>
    <t xml:space="preserve">
1.The liver is enlarged with rounded borders._x000D_
2.There is poor detail identified in the abdomen. DDx: secondary to hepatomegaly causing crowding of the abdominal organs and/or abdominal fluid._x000D_
3.There is increased soft tissue opacity in the splenic region. DDx: secondary to caudal extension of the liver vs. loss of detail due to abdominal fluid vs. splenomegaly or a splenic mass._x000D_
4.The abdomen is mildly pendulous._x000D_
5.The stomach contains fluid and some gas._x000D_
6.The small intestine is diffusely fluid filled.</t>
  </si>
  <si>
    <t>THORAX (3 images) and ABDOMEN (3 images):
Images are dated September 12, 2024.
Pulmonary parenchyma: A minimal to mild diffuse bronchial and minimal interstitial pattern is present.
Pulmonary vasculature: The pulmonary vasculature is subjectively normal in size and tapers in the periphery of the lungs.
Cardiac silhouette: The cardiac silhouette is normal in size and shape, with a normal caudodorsal margin and normal position of the trachea.
Mediastinum: The cranial mediastinum is normal.
Trachea: A slight soft tissue band superimposes over the dorsal aspect of the mid-cervical tracheal segment.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The stomach is within normal limits for size.
The small intestine contains mild gas and fluid or is empty with a subjectively uniform population for size. 
The colon contains mild to moderate heterogeneous admixed soft tissue material and gas.  The colon is within normal limits for size.  
Musculoskeletal: Mild bilateral shoulder osteoarthrosis is present.  Moderate to severe bilateral coxofemoral and stifle joint osteoarthrosis is present.  The remaining included musculoskeletal structures are normal.</t>
  </si>
  <si>
    <t>1. No current evidence of cardiomegaly.
2. No obvious pulmonary soft tissue nodules or intra-thoracic lmyphadenomegaly.
3. Minimal-mild diffuse bronchial and minimal interstitial pulmonary patterns such as from fibrosis from prior disease, age-related changes, or less likely infectious/immune-mediated lower airway disease, inhaled allergen/irritant, or unlikely other.
4. Non-specific gastric, small intestinal and colon appearance such as from enteritis, colitis, or variation of normal.
- There is no current evidence of gastrointestinal mechanical ileus.
- Differential diagnoses include dietary indiscretion, toxin ingestion, diet/antibiotic responsive disease, inflammatory bowel disease, pancreatitis, occult systemic disease or unlikely other.
5. Mild bilateral shoulder osteoarthrosis.
6. Moderate-severe bilateral coxofemoral joint osteoarthrosis.
7. Moderate-severe bilateral stifle joint osteoarthrosis.</t>
  </si>
  <si>
    <t>Consider routine blood work and echocardiography, eCG and blood pressure for further evaluation.  This examination does not rule out early/evolving acquired cardiac disease given reported murmur. There is no evidence of left-sided congestive heart failure.  Consider computed tomography of the head for further evaluation of reported clinical signs.  Empirical therapy and supportive care in the interim as needed.  Monitoring as directed or sooner if clinical signs acutely change, fail to improve or worsen.</t>
  </si>
  <si>
    <t xml:space="preserve">
1.The spleen is normal size._x000D_
2.On the lateral projection, the liver is mildly enlarged but retains smooth margins._x000D_
3.Abdominal detail is normal._x000D_
4.The pylorus is caudally displaced by the mild hepatomegaly. The GI tract is otherwise unremarkable.</t>
  </si>
  <si>
    <t>Mild hepatomegaly. DDx: fat deposition/vacuolar change vs. metabolic hepatopathy vs. less suspected, hepatitis. In an older patient, early liver neoplasia is a consideration. This should be correlated with history and blood work.</t>
  </si>
  <si>
    <t>Study:_x000D_
Abdominal radiography: four images dated September 12, 2024_x000D_
_x000D_
Findings:_x000D_
The stomach contains a moderate amount of unstructured heterogeneous soft tissue material.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 included thorax is normal. No skeletal abnormalities present.</t>
  </si>
  <si>
    <t>Gastric contents likely represent ingesta. Foreign material cannot be completely excluded. The abdomen is otherwise unremarkable. There is no evidence of small intestinal mechanical obstruction. There is no colonic dilation to suggest constipation.</t>
  </si>
  <si>
    <t>Repeat fasted radiography can be considered to ensure gastrointestinal emptying. Alternatively, sonography can be considered if clinical signs persist or worsen in spite of medical management.</t>
  </si>
  <si>
    <t>4 images of the abdomen are provided for review.  Serosal detail is adequate in all quadrants.  The stomach contains a moderate amount of mottled soft tissue material.  A thin-walled lucent structure is seen in the pyloric region on the VD view.  The small intestines are normal in size.  Gas and feces are present in the colon.  The urinary bladder is small.  The remaining abdominal organs are normal.</t>
  </si>
  <si>
    <t>The thin-walled lucent structure seen in the pylorus on the VD view is consistent with a foreign body.  The remaining material within the stomach may represent residual ingesta or foreign material.</t>
  </si>
  <si>
    <t>Abdomen: There is a slight heterogeneous soft tissue opacity within the fundus of the stomach (ventrodorsal view).  There is no evidence of a gastric outflow obstruction.  There is no evidence of a small intestinal foreign body or obstruction.  The liver is considered small.  The spleen is unremarkable.  There are no abnormalities involving the visible portions of the urinary tract.  Serosal detail is normal.</t>
  </si>
  <si>
    <t>The appearance of the fundus of the stomach most likely represents gas outlining rugal folds.  Foreign material cannot be ruled out but is considered less likely._x000D_
_x000D_
Mild microhepatica most likely incidental.</t>
  </si>
  <si>
    <t>Consider abdominal ultrasound for further evaluation.</t>
  </si>
  <si>
    <t>Six radiographs of the abdomen are provided. There is no peritoneal or retroperitoneal effusion. There is small volume gas and equivocal scant amorphous soft tissue density in the stomach. Small bowel are diffusely mildly gas-filled. Small volume of formed feces in the distal colon. The liver, spleen, and left kidney are normal size. The right kidney is obscured. Normal caudal thorax.</t>
  </si>
  <si>
    <t>No definitive abdominal abnormalities. The appearance of the stomach may represent normal rugal folds and/or residual ingesta. Foreign material is given lesser consideration in the absence of persistent vomiting.</t>
  </si>
  <si>
    <t>If the vomiting behavior persists despite supportive care and ensuring the patient is not allowed to ingest large amounts of water during each drinking episode, additional abdominal imaging such as a positive contrast gastrogram, or strictly fasting abdominal ultrasound should be considered.</t>
  </si>
  <si>
    <t xml:space="preserve">Patient name: Dali Prescott. Date of study: 9/12/24. Orthogonal radiographs of the thoracic and lumbar spine are available for interpretation. No prior radiographs are available for comparison.
Thoracic spine: There is an atypical appearance to the spinal canal dorsal to T1 through T3 but this could be secondary to obliquity and superimposition of the scapulae. The T11-12 disc space is narrowed on both projections. No end-plate or vertebral lysis is noted. 
Lumbar spine: The L3-4 and L4-5 disc spaces are narrowed. On the lateral projection, mineral opacity overlies the L3-4 disc space and mineral opacity overlies the spinal canal dorsal to the L4-5 disc space. No end-plate or vertebral lysis is noted. </t>
  </si>
  <si>
    <t>1) T11-12 disc space narrowing. No end-plate or vertebral lysis noted. Rule out IVDD as the cause for the clinical signs.
2) L3-4 and L4-5 disc space narrowing. Mineral opacity overlying the spinal canal dorsal to the L4-5 disc space on the lateral projection. Rule out herniated disc material.
3) Atypical appearance to the cranial thoracic spinal canal on the lateral projection. Rule out artifact vs. less suspected, true osseous change to this region.</t>
  </si>
  <si>
    <t xml:space="preserve">Neuro consultation and/or spinal MRI.
Additional radiographs centered on, and coned down to, the cranial thoracic spine could be performed to further assess this region vs. inclusion of this region on MRI or CT if pain is identified in this region. 
Submission of this study for thoracic and/or abdominal radiographic interpretation if there are questions. Bloodwork and urinalysis with culture are also recommended, if not recently performed.
</t>
  </si>
  <si>
    <t xml:space="preserve">
1.Liver size is at the lower limits of normal but retains a smooth margin._x000D_
2.The ascending, transverse and descending colon are in a normal position and contain gradually more formed feces._x000D_
3.The stomach contains a small amount of air and either has prominent gastric rugae or contains a small amount of soft tissue material._x000D_
4.Abdominal detail in the cranial abdomen is mildly decreased on the lateral projection._x000D_
5.A mild amount of air is present in the cranial duodenum in the ventrodorsal image._x000D_
6.The small intestinal tract contains normal volumes of fluid, gas and ingesta but portions have a rigid appearance._x000D_
7.Splenic size, shape and margin are normal.</t>
  </si>
  <si>
    <t>THORAX (5 images) and ABDOMEN (4 images):
Images are dated September 12, 2024.
Prior images dated May 14, 2024 are available.
Pulmonary parenchyma:  A mild diffuse interstitial pattern is present, exacerbated my mild respiratory motion and hypoinflation. 
 A mild diffuse bronchial pattern is present in the more inflated images.
Pulmonary vasculature: The pulmonary vasculature is subjectively normal in size and tapers in the periphery of the lungs.
Cardiac silhouette: The cardiac silhouette is tall and occupies 2/3n the height of the thorax.  The trachea is dorsally displaced.  The caudodorsal margin of the cardiac silhouette is flattened.  The cardiac silhouette is widened and occupies 3.5-4 intercostal spaces width.
Mediastinum: The cranial mediastinum is normal.
Trachea: The trachea is normal.
Esophagus: The esophagus is not well-identified.
Pleural space: The pleural space is normal.
Liver: The liver is enlarged on the right with a rounded or lobular caudoventral margin extending to the 13th ribs. The stomach is displaced caudal and mildly leftward.  
Spleen: The spleen is normal in size with smooth margins and homogeneous soft tissue.
Kidneys: The left kidney is normal.  The right kidney is obscured without obvious enlargement or mineral.
Retroperitoneum: Retroperitoneal detail is adequate.
Urinary bladder/Urethra: The urinary bladder is normal in size, homogeneous soft tissue, and smoothly marginated.
Peritoneum: Peritoneal detail is adequate.
Gastrointestinal tract: The stomach contains a mild volume of gas and fluid, or is empty.   The stomach is within normal limits for size.
The small intestine contains mild to moderate gas and mild fluid or is empty with a subjectively uniform population for size. 
The colon contains mild heterogeneous soft tissue material and gas.  The colon is within normal limits for size.  
Musculoskeletal: L1-2 and L2-3 spondylosis deformans is present.  The remaining included musculoskeletal structures are normal.</t>
  </si>
  <si>
    <t>1. Mild generalized cardiomegaly such as from myxomatous mitral and/or tricuspid valvular disease or cor pulmonale/pulmonary hypertension, or a combination of these, or unlikely other.
- No obvious evidence of left-sided congestive heart failure.
2. Mild diffuse interstitial pulmonary pattern due to respiratory motion/hypoinflation artifact/technique, or less likely other.
3. Mild diffuse bronchial pulmonary pattern due to fibrosis from prior disease, age-related changes, infectious/immune-mediated lower airway disease, or less likely other.
4. Similar hepatomegaly due to vacuolar change, evolving neoplasia, nodular hyperplasia, or unlikely hepatitis/cholangiohepatitis, or other.</t>
  </si>
  <si>
    <t>Consider echocardiography, eCG and blood pressure for further evaluation.   Abdominal ultrasonography for further evaluation of persistent hepatomegaly. Routine blood work if not recently performed.  Consider coagulation testing and hepatic tissue sampling versus computed tomography for further evaluation of the liver depending on results.  Empirical therapy and supportive care in the interim as needed for reported coughing and suspected cardiac disease.  This does not rule out underlying dynamic airway disease contributing to reported signs.  Monitoring as directed or sooner if clinical signs acutely change, fail to improve or worsen.</t>
  </si>
  <si>
    <t>Study:_x000D_
Abdominal radiography: four images dated September 12, 2024_x000D_
_x000D_
Findings:_x000D_
The serosal detail is normal. The stomach contains a small volume of gas with the pylorus appropriately gas-filled on the left lateral image. The small intestines are normal in size, course and content. The colon contains gas and poorly formed fecal material. The liver and spleen are normal in size and margin. The kidneys are normal in size and contour. The urinary bladder is normal in size and opacity. The included thorax is normal. No skeletal abnormalities are present.</t>
  </si>
  <si>
    <t>Unremarkable abdomen. There is no radiographic evidence of gastrointestinal foreign material or small intestinal mechanical obstruction. Abdominal sonography can be considered for further evaluation if clinical signs persist or worsen in spite of ongoing medical management.</t>
  </si>
  <si>
    <t>Study:_x000D_
Spinal radiography (including the abdomen): orthogonal views (two images) dated September 12, 2024_x000D_
_x000D_
Findings:_x000D_
There is in situ mineralization of the T 10-T 11 intervertebral disc. There is no intervertebral disc space or foraminal narrowing. There is no evidence of discospondylitis. There are no vertebral fractures or luxations. The stomach contains a small volume of gas and a small amount of granular mineral. Similar granular mineral is present in some small intestinal segments and interspersed with any formed fecal material within the colon. The small intestines are normal in size and course. The liver extends mildly beyond the costal arch with smooth margins. The kidneys are normal in size and contour. The urinary bladder is normal in size and opacity. There is no prostatomegaly. The included thorax is normal.</t>
  </si>
  <si>
    <t>1. T 10-T 11 in situ degenerative disc disease._x000D_
2. The lack of any apparent intervertebral disc space narrowing does not exclude the possibility of intervertebral disc herniation. Neurology consultation and MRI be considered if the clinical signs persist or worsen in spite of strict activity restriction and pain management._x000D_
3. The generalized hepatomegaly is nonspecific. Rule out metabolic/vacuolar hepatopathy, hyperplasia, hepatitis or infiltrative neoplasia. Sonography can be considered for further evaluation._x000D_
4. The granular mineral throughout the gastrointestinal tract may indicate dietary indiscretion or may be an incidental finding depending on the contents of the patient=ZZ91=s normal diet and treats.</t>
  </si>
  <si>
    <t xml:space="preserve">
1.The liver is mildly to moderately enlarged with smooth margins._x000D_
2.Serosal detail is normal._x000D_
3.The GI tract is within normal limits. Material in the stomach likely represents ingesta. No compelling signs of obstruction._x000D_
4.The spleen is within normal limits.</t>
  </si>
  <si>
    <t>ABDOMEN (2 images):
Images are dated September 12, 2024.
Liver: The liver is subjectively normal in size.
Spleen: The spleen is mildly enlarged with a slightly rounded ventral margin in the mid-ventral abdomen in the lateral image, and well-defined margins.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minimal gas or is empty. The stomach is within normal limits for size.
The small intestine contains minimal soft tissue material, gas and mild fluid or is empty with a subjectively uniform population for size. One segment contains a sharp, angular mineral focus in the mid-dorsal abdomen.  
The colon contains minimal gas and fluid or is empty.
Musculoskeletal: L7 is transitional and sacralized.  The remaining included musculoskeletal structures are normal.</t>
  </si>
  <si>
    <t>1. Minimal small intestinal mineral foreign material with presumed enteritis such as from dietary indiscretion,
- There is no current evidence of gastrointestinal mechanical ileus.
2. Non-specific colon appearance due to recent bowel movement and/or colitis.
3. Mild splenomegaly versus artifact from positioning/variation of normal.
- If present, consider passive congestion from sedation (if administered), extramedullary hematopoiesis, lymphoid hyperplasia, splenitis, or least likely evolving neoplasia.</t>
  </si>
  <si>
    <t xml:space="preserve">Empirical therapy and supportive care in the interim as needed for dietary indiscretion.  Feeding a bulk diet may aid in passage of this material. Monitoring with repeat abdominal radiographs after 8-12 hours of fasting for passage of foreign material, especially if signs fail to improve or worsen. </t>
  </si>
  <si>
    <t xml:space="preserve">
1.The peritoneal serosal detail is normal._x000D_
2.The stomach is contains a mild amount of food material, and has a mildly caudally displaced axis._x000D_
3.The small intestines contain an increased amount of gas for a feline patient._x000D_
4.The transverse colon is moderately gas dilated._x000D_
5.The descending colon contained some poorly formed faeces and gas._x000D_
6.The hepatic silhouette is mildly enlarged, with smooth margins._x000D_
7.The spleen is positioned along the left body wall.</t>
  </si>
  <si>
    <t>Pancreatitis may be present even with normal radiographic findings, and cannot therefore be excluded. The mild gas accumulation within the small intestines and the mild-moderate colonic gas dilation may be indicative of a mild gastroenteritis of viral-bacterial, less likely parasitic origin. Malabsorptive disease such as inflammatory bowel disease, food allergy, intestinal lymphoma cannot be excluded. Mild hepatomegaly: DDx: fat deposition, metabolic hepatopathy (Cushing's vs. diabetes), hepatitis, possible infiltration (lymphoma, other).</t>
  </si>
  <si>
    <t>5 images of the thorax and abdomen are presented for review.  The VD views appear to be mislabeled for laterality based on the anatomy of the patient.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  There is spondylosis deformans of the thoracic and lumbosacral spine.</t>
  </si>
  <si>
    <t>Radiographically normal abdomen.  Radiographically normal thorax for patient of this age.</t>
  </si>
  <si>
    <t xml:space="preserve">
1.Splenic size, shape and margin are normal._x000D_
2.Liver size, shape and margin are normal._x000D_
3.Abdominal detail is normal._x000D_
4.The stomach contains a small amount of gas. The small bowel is diffusely gas- and fluid-filled without segmental small bowel dilation.</t>
  </si>
  <si>
    <t>Three images are provided.
Images are dated September 12, 2024.
Pulmonary parenchyma: A minimal to mild diffuse interstitial pattern is present likely exacerbated by pulmonary hypoinflation and pleural space changes.  A minimal to mild diffuse bronchial pattern is present.  Minimal alveolar pattern is suspected in the ventral periphery of the right cranial lung in the left lateral image, but this is not well-defined in the ventrodorsal image.
Pulmonary vasculature: The pulmonary vasculature is subjectively normal in size and tapers in the periphery of the lungs.
Cardiac silhouette: The cardiac silhouette is partially obscured and possibly tall in the lateral images.
Mediastinum: The cranial mediastinum is subjectively widened and partially obscured..
Trachea: The trachea is normal.
Esophagus: The esophagus is not well-identified.
Pleural space: Mild pleural fluid is present with widening of the pleural fissures between the right cranial/middle/caudal and left cranial/caudal lung lobes, and rounding/retraction of lung margins from the body wall and diaphragmatic recesses.
Musculoskeletal: The included musculoskeletal structures are normal.</t>
  </si>
  <si>
    <t>1. Mild-moderate pleural fluid due to malignant effusion from occult neoplasm versus idiopathic effusion, chylous, or less likely vasculitis or hemorrhage.
2. Minimal right cranial lung lobe alveolar pattern versus artifact/technique
- Differential diagnoses include hemorrhage (such as from coagulopathy or systemic disease), chylous effusion, or unlikely other.
3. Minimal-mild diffuse interstitial and bronchial pulmonary patterns such as from pleural space disease, fibrosis from prior disease, age-related changes, or less likely infectious/immune-mediated lower airway disease, inhaled allergen/irritant or unlikely other.
4. Equivocal left-ventricular enlargement versus artifact from patient body conformation.positioning, and phase of the cardiopulmonary cycle.
- If present, myxomatous mitral valvular disease is possible.
- The current findings are not considered to be due to left-sided congestive heart failure, especially given reported history/signs.
mild left-sided cardiomegaly versus artifact from phase of the cardiopulmonary cycle and patient positioning.
5. Widened cranial mediastinum such as from fat deposition versus evolving lymphadenomegaly/mass or unlikely other.
- If lymphadenomegaly is present, consider metastatic/multicentric neoplasia such as from lymphosarcoma or primary peritoneal malignancy, such as from the liver.</t>
  </si>
  <si>
    <t>Consider computed tomography of the thorax/abdomen for further evaluation.  Abdominal ultrasonography may also be contributory.  Consider thoracocentesis for fluid analysis and cytology, for further evaluation.  Routine blood work if not recently performed.  If a primary mass lesion and/or lymphadenomegaly is revealed, consider coagulation testing and tissue sampling for further evaluation.  Oncologist consultation depending on results.  Empirical therapy and supportive care in the interim as needed.  Monitoring as directed or sooner if clinical signs acutely change, fail to improve or worsen.</t>
  </si>
  <si>
    <t xml:space="preserve">
1.Moderate volume ingesta fills the stomach._x000D_
2.No intestinal abnormalities are appreciated._x000D_
3.The cecum is gas filled._x000D_
4.The liver is enlarged._x000D_
5.Splenic size, shape and margin are normal._x000D_
6.The abdomen is pendulous.</t>
  </si>
  <si>
    <t>3 views of the abdomen are provided for review. Serosal detail is adequate. The stomach contains a large amount of gas but remains normal in position. A small amount of mineral is seen in the pyloric region. The duodenum is gas distended on the left lateral view. The remaining small intestines are normal in size. Gas and feces are present in the colon. No uterine enlargement is seen. The remaining abdominal organs are normal.</t>
  </si>
  <si>
    <t>Severe gastric dilation without current evidence of volvulus. Small amount of gastric foreign material. Mild duodenal dilation. Consider obstruction versus severe ileus such as secondary to pancreatitis.</t>
  </si>
  <si>
    <t>Consider gastric decompression and repeat radiographs (immediate or following supportive therapy).</t>
  </si>
  <si>
    <t xml:space="preserve">
1.Mineral dense material and distended viscus are present in the region of the uterine horns._x000D_
2.In cases of pregnancy, fetal mineralization indicates fetal age of &gt;45 days._x000D_
3.IMPORTANT: This AI evaluation currently DOES NOT assess for the presence of fetal mummification and/or abnormal gas within or around the fetus (fetal viability) and/or fetal number._x000D_
4.The spleen is diffusely enlarged and a splenic mass remains a consideration._x000D_
5.The liver is enlarged and a liver mass cannot be ruled out._x000D_
6.Abdominal serosal detail is diffusely poor and there is a wispy appearance throughout the peritoneal cavity consistent with ascites._x000D_
7.No discrete mass is seen, however a mass effect is suspected in the mid-abdomen as  a few small intestinal segments are displaced.</t>
  </si>
  <si>
    <t>The AI result for this case is most compelling for: significant abdominal disease including an abdominal mass or liver and/or splenic origin. Poor abdominal serosal detail and wispy appearance to the abdomen indicative of peritoneal effusion. Hemoabdomen suspected. Other considerations are peritonitis vs.  neoplastic effusion. Displacement of small intestinal segments is consistent with a mass effect in the abdomen. Splenomegaly or potential splenic mass. Hepatomegaly or potential hepatic mass.</t>
  </si>
  <si>
    <t xml:space="preserve">
Full blood work if not already performed._x000D_
Confirm patients PCV and sample abdominal fluid via ultrasound guidance if a fluid pocket can be identified and safely sampled._x000D_
Abdominal ultrasound and three view thoracic radiographs._x000D_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generate._x000D_
Evaluate fetal skeletal structures on radiographs, via ultrasound or submit for radiology review if fetal number and/or evaluation of fetal viability is needed.</t>
  </si>
  <si>
    <t>Patient Name : Peanut Vargas, Date of study: Sep 12, 2024
4 images are provided for review
There are no previous radiographs for comparison.
Bones/Joints:
The coxofemoral joints have no obvious osteoarthrosis.  There is adequate coverage of the femoral heads by the acetabulums.
Minimal left stifle osteoarthrosis is present with osteophytes at the apex of the patella.  Mild increased soft tissue partially obscures the left infrapatellar fat pad. 
The included left tarsus, metatarsus are normal.
Mild right stifle osteoarthrosis is present with osteophytes at the femoral trochlear ridges, fabellae, and apex of the patella.  Moderate increased soft tissue partially obscures the right infrapatellar fat pad.  The included right tarsus, metatarsus and digits are normal.  
Spondylosis deformans is at t13-L1, L1-2, L2-3, L5-6 and L6-7.
There is no evidence of medullary sclerosis, osteolysis, endosteal scalloping, or periosteal proliferation.
Soft tissues:  The included soft tissues are normal.</t>
  </si>
  <si>
    <t xml:space="preserve">1. Mild right stifle osteoarthrosis and moderate synovial effusion/proliferation.
- The primary differential diagnosis is cranial cruciate ligament injury, or unlikely other.
2. Minimal left stifle osteoarthrosis and mild synovial effusion/proliferation.
- The primary differential diagnosis is cranial cruciate ligament injury, or unlikely other.
3. Normal coxofemoral joints.
</t>
  </si>
  <si>
    <t>Consider orthopedic consultation and medical versus surgical intervention to the right stifle. Routine blood work, thoracic imaging and possibly arthrocentesis for further evaluation, if clinically indicated. Empirical therapy and supportive care in the interim as needed.  Monitoring as directed or sooner if clinical signs acutely change, fail to improve or worsen.</t>
  </si>
  <si>
    <t xml:space="preserve">
1.The stomach contains small volume gas and scant soft tissue density. The small bowel is diffusely gas- and fluid-filled without segmental small bowel dilation._x000D_
2.The liver is mild to moderately enlarged._x000D_
3.Abdominal detail is normal._x000D_
4.Splenic size, shape and margin are normal.</t>
  </si>
  <si>
    <t>7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  Marked osteophyte formation is seen at the caudal aspects of the humeral heads and glenoid cavities bilaterally.</t>
  </si>
  <si>
    <t>Radiographically normal abdomen.  Radiographically normal thorax for patient of this age.  Severe bilateral shoulder DJD.</t>
  </si>
  <si>
    <t>Study:_x000D_
Thoracic radiography: three images dated September 12, 2024_x000D_
_x000D_
Findings:_x000D_
The cardiac silhouette is normal in size and shape. The pulmonary vasculature is normal in size. There is a moderate alveolar pattern in the right middle lung lobe. The pleural space is normal. There is no intrathoracic lymphadenopathy. There is a broad-based soft tissue opaque band superimposed with the cervical trachea lumen representing a redundant dorsal tracheal membrane, superimposition of the esophagus or superposition of the hypaxial musculature. The tracheal diameter is normal. There is no lobar bronchi narrowing. The included abdomen is normal. No skeletal abnormalities are present.</t>
  </si>
  <si>
    <t>The alveolar pattern in the right middle lung lobe likely represents pneumonia. Recommend empiric antibiotic therapy with repeat radiography in 10 to 14 days to monitor for response to treatment.</t>
  </si>
  <si>
    <t xml:space="preserve">
1.Small small-volume amorphous soft tissue opacity is present within the stomach. The small bowel is diffusely gas- and fluid-filled without segmental small bowel dilation._x000D_
2.Splenic size, shape and margin are normal._x000D_
3.Liver size, shape and margin are normal._x000D_
4.Abdominal detail is normal.</t>
  </si>
  <si>
    <t>THORAX (2 images):
Images are dated September 11, 2024.
ventrodorsal image is overexposed with saturation of the caudal and peripheral lungs partially.
Pulmonary parenchyma: A mild to moderate diffuse bronchial pattern is present.
Pulmonary vasculature: The pulmonary vasculature is subjectively normal in size and tapers in the periphery of the lungs.
Cardiac silhouette: The cardiac silhouette is mildly tall in the lateral images and occupies 2/3 the height of the thorax, with slight dorsal tracheal displacement.  The caudodorsal margin of the cardiac silhouette is slightly flattened.  
Mediastinum: The cranial mediastinum is normal.
Trachea: A soft tissue band superimposes over the cervical and thoracic tracheal segments. 
Esophagus: The esophagus is not well-identified.
Pleural space: The pleural space is normal.
Musculoskeletal: Fat opaque broad-based nodule arises from the ventral extra-thoracic soft tissues.  The remaining included musculoskeletal structures are normal.</t>
  </si>
  <si>
    <t xml:space="preserve">1. Mild left-sided cardiomegaly or less likely artifact from phase of the cardiopulmonary cycle and patient positioning.
- If present, the primary differential diagnosis is myxomatous mitral valvular disease.
- There is no current evidence of left-sided congestive heart failure.  
2. Mild-moderate diffuse bronchial pulmonary pattern.
- Differential diagnoses include infectious/immune-mediated lower airway disease such as from mycoplasma spp., bordetella spp., parasitism, or inhaled allergen/irritant, or unlikely other.
3. Dorsal redundant tracheal membrane with/without underlying dynamic airway disease, versus superimposed normal structures.
4. Presumed ventral extra-thoracic lipoma or unlikely other.  </t>
  </si>
  <si>
    <t>Consider echocardiography, eCG, blood pressure, routine blood work, urinalysis for further evaluation.  Consider tracheoscopy/bronchoscopy/fluoroscopy with/without airway sampling and respiratory PCR panel for further evaluation of lower airway disease and dynamic airway disease.  Empirical therapy and supportive care in the interim as needed. Monitoring with routine thoracic radiographs and/or computed tomography of the head if signs fail to improve or worsen.</t>
  </si>
  <si>
    <t xml:space="preserve">
1.The liver is upper limits of normal for size to mildly enlarged but retains a smooth margins._x000D_
2.The spleen is normal for size._x000D_
3.Abdominal detail is normal._x000D_
4.Moderate volume ingesta fills the stomach._x000D_
5.Small intestines are mildly gas filled._x000D_
6.Formed feces is present in the distal colon.</t>
  </si>
  <si>
    <t>Orthogonal radiographs of the abdomen are provided. There is no peritoneal or retroperitoneal effusion. The uterus is not definitively seen. There are no fetal skeletons present. The gastrointestinal tract is minimally filled. The urinary bladder is distended and soft tissue opaque. Normal-sized liver, spleen, kidneys. Thickened mammary tissue consistent with recent parturition. No osseous abnormalities.</t>
  </si>
  <si>
    <t>Normal abdomen. There is no evidence of retained fetuses.</t>
  </si>
  <si>
    <t>No recommendations based on this study.</t>
  </si>
  <si>
    <t xml:space="preserve">
1.The stomach contains small volume gas and scant amorphous soft tissue density material. Diffuse, mild to moderate gas dilation of the small bowel without evidence of obstruction._x000D_
2.Liver size, shape and margin are normal._x000D_
3.Splenic size, shape and margin are normal._x000D_
4.Abdominal detail is normal.</t>
  </si>
  <si>
    <t>Three radiographs of the abdomen are provided. There is no peritoneal or retroperitoneal effusion. The stomach contains small volume gas. Small bowel are minimally distended. Moderate volume of formed feces in the colon. No radiopaque foreign material or severe intestinal distention. Normal-sized liver, spleen, kidneys. No radiopaque urolithiasis. The prostate is prominent, consistent with the reproductive status of this patient. No osseous abnormalities.</t>
  </si>
  <si>
    <t xml:space="preserve">
1.Liver size, shape and margin are normal._x000D_
2.Abdominal detail is normal._x000D_
3.Splenic size, shape and margin are normal._x000D_
4.The stomach is normal. The small bowel is diffusely gas- and fluid-filled without segmental small bowel dilation.</t>
  </si>
  <si>
    <t>ABDOMEN (4 images):
Images are dated September 12, 2024.
Prior images dated September 11, 2024 are available.  
Liver: The liver is equivocally small with cranial dispalcement of the gastric axis, but occupies 2-3 intercostal spaces in the ventrodorsal image.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fluid and mild gas.  Fluid predominates in the pylorus in the left lateral image.  In the mid-abdomen in the lateral images are segments of small intestine that are moderately distended with soft tissue material/fluid.  This segment is best identified in the right lateral image, ventral to the colon and cecum.  Other segments of small intestine are small and contina fluid or are empty.
The colon contains minimal soft tissue material and mild gas.  The colon is within normal limits for size.  
Musculoskeletal: The included musculoskeletal structures are normal.</t>
  </si>
  <si>
    <t>1. Suspected small intestinal mechanical ileus such as from pyloroduodenal cloth foreign material given reported history.
2. Equivocal microhepatia versus variation of normal/patient body conformation.
- If present, consider portosystemic shunt vessel, or unlikely other.</t>
  </si>
  <si>
    <t>Given suspected progression of mid-abdominal small intestinal segmental enlargement between examinations and provided history, this is most suspicious for mechanical ileus and occult foreign material, especially if the condition of the patient is similar or worsened.  Consider ultrasonography to confirm/rule out material in the pylorus contributing to signs, versus celiotomy/exploration and gastrotomy/enterotomy as needed.  Routine blood work and consider bile acid testing prior to celiotomy.  Empirical therapy and supportive care in the interim as needed.</t>
  </si>
  <si>
    <t xml:space="preserve">
1.Liver size, shape and margin are normal._x000D_
2.Splenic size, shape and margin are normal._x000D_
3.Abdominal detail is normal._x000D_
4.The stomach is mildly gas-filled._x000D_
5.The small bowel is gas- and fluid-filled with normal intestinal diameter._x000D_
6.The gastric wall is prominent but is uniform along the entire margin.</t>
  </si>
  <si>
    <t>Appearance to the GI tract may be due to a functional disturbance associated with gastroenteritis or aerophagia. No small intestinal obstruction is noted at this time.</t>
  </si>
  <si>
    <t xml:space="preserve">
Empirical therapy for gastritis/gastroenteritis, including gastroprotectant therapy, as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</si>
  <si>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PELVIS/PELVIC LIMBS (4 images):
Images are dated September 12, 2024.
Bones/Joints:
The coxofemoral joints have no obvious osteoarthrosis.  There is adequate coverage of the femoral heads by the acetabulums.
Mild left stifle osteoarthrosis is present with osteophytes at the apex of the patella, lateral/medial tibial condyles, and fabellae.   The left infrapatellar fat pad is subjectively well-defined.
Left distal intertarsal and tarsometatarsal joint osteoarthrosis is present, with dorsally positioned osteophytes.  An osseous excresence arises from the plantar and distal margin of the left calcaneus.
The included left tarsus, metatarsus and digits are normal.
Mild right stifle osteoarthrosis is present with osteophytes at the apex of the patella, lateral/medial tibial condyles, and medial fabella.   Mild increased soft tissue is present in the right stifle joint, partially obscuring the infrapatellar fat pad.
Right distal intertarsal and tarsometatarsal joint osteoarthrosis is present, with dorsally positioned osteophytes.  An osseous excresence arises from the plantar and distal margin of the right calcaneus.
The included right metatarsus and digits are normal.  
The T13 vertebrae is presumed transitional with hypoplastic ribs bilaterally.
Multifocal spondylosis deformans at T12-13, T13-L1, L1-2, L2-3, L5-6 and L7-S1.
There is no evidence of medullary sclerosis, osteolysis, endosteal scalloping, or periosteal proliferation.
Soft tissues:  The right thigh soft tissues are severely small compared to the left. The left thigh is subjectively enlarged medially and caudally, with ill-defined fluid striations suspected over fascial planes.  The remaining included soft tissues are normal.</t>
  </si>
  <si>
    <t>1. Left caudomedial thigh soft tissue enlargement and suspected edema versus fasciitis/cellulitis or other.
- Consider acute soft tissue injury/trauma, or unlikely hemorrhage/hematoma or evolving neoplasm.
2. Mild right stifle osteoarthrosis with mild synovial effusion/proliferation, such as from cranial cruciate ligament injury.
3. Severe right thigh disuse muscle atrophy is suspected.
4. Mild left stifle osteoarthrosis.
5. Left distal intertarsal and tarsometatarsal joint osteoarthrosis and presumed calcaneal enthesophyte.
6. Right distal intertarsal and tarsometatarsal joint osteoarthrosis and presumed calcaneal enthesophyte.</t>
  </si>
  <si>
    <t>Consider routine blood work and thoracic imaging for further evaluation.  Consider cross-sectional imaging of the pelvic limbs/left thigh for further evaluation of thigh soft tissue swelling, especially given reported history of left limb lameness.   Orthopedic consultation and medical versus surgical intervention as needed for the left thigh and/or to the right stifle.  Empirical therapy and supportive care in the interim as needed.  Monitoring as directed or sooner if clinical signs acutely change, fail to improve or worsen.</t>
  </si>
  <si>
    <t xml:space="preserve">
1.Splenic size, shape and margin are normal._x000D_
2.Liver size, shape and margin are normal._x000D_
3.Abdominal detail is normal._x000D_
4.The stomach contains small volume gas and scant amorphous soft tissue density material. Diffuse, mild to moderate gas dilation of the small bowel without evidence of obstruction.</t>
  </si>
  <si>
    <t>A ventral dorsal and both lateral radiographs of the abdomen are provided. Peritoneal and retroperitoneal detail is adequate, with no evidence of effusion. Small volume of gas in the stomach. Undulating soft tissue density overlying the gastric fundus on the VD projection is normal rugal folds. There is also equivocal scant amorphous soft tissue density in the stomach. Small bowel are minimally distended with gas. Small volume of formed feces in the colon. The liver, kidneys, and spleen are normal size. Normal caudal thorax.</t>
  </si>
  <si>
    <t>No definitive abnormalities are appreciated on this study. Gastroenteritis secondary to dietary indiscretion is most likely. Small radiolucent gastric foreign material is not definitively ruled out.</t>
  </si>
  <si>
    <t>If the patient does not rapidly improve with supportive care, options include either a positive contrast gastrogram or strictly fasting abdominal ultrasound (with the understanding that there must be minimal gas in the stomach at the time of ultrasound).</t>
  </si>
  <si>
    <t xml:space="preserve">
1.No abnormal AI findings reported._x000D_
2.No gastrointestinal abnormalities are appreciated. No signs of obstruction._x000D_
3.In the abdomen there is no effusion._x000D_
4.The liver and spleen are normal size with smooth margins.</t>
  </si>
  <si>
    <t>6 images of the spine are provided for review.  No fractures, luxations, or aggressive osseous lesions are seen.  The coxofemoral joints are congruent.  No mineralized intervertebral discs or consistently narrowed intervertebral disc spaces are seen.  The soft tissue structures included are normal.</t>
  </si>
  <si>
    <t>Radiographically normal spine.  This does not rule out intervertebral disc herniation or other causes of spinal cord compression.</t>
  </si>
  <si>
    <t>Recommend neurology consultation.  CT or MRI could be considered in further evaluation.</t>
  </si>
  <si>
    <t xml:space="preserve">
1.The spleen is normal for size._x000D_
2.Abdominal detail is normal._x000D_
3.Moderate volume ingesta fills the stomach._x000D_
4.Small intestines are mildly gas filled._x000D_
5.Formed feces is present in the distal colon._x000D_
6.The liver is upper limits of normal for size to mildly enlarged but retains a smooth margins.</t>
  </si>
  <si>
    <t>WHOLE-BODY (6 total radiographs for review).  Compared to previous examination dated 02/16/23_x000D_
_x000D_
- The cardiac silhouette is essentially unchanged from prior, and remains mildly prominent with a rounded cranial margin and mild generalized widening on the VD projection.  The pulmonary vasculature are normal._x000D_
- The remains a mild, diffuse, mixed bronchial and unstructured interstitial pulmonary pattern present, which is relatively similar to the previous examination._x000D_
- The trachea, pleural space, mediastinum and remaining included intrathoracic structures are again normal._x000D_
- The stomach contains mild gas and soft-tissue opaque material._x000D_
- The small intestine is nondistended and contains mild soft tissue and gas._x000D_
- The colon contains a mild volume of slightly desiccated formed fecal material._x000D_
- The spleen is mildly enlarged, with rounded margins._x000D_
- The liver, kidneys and urinary bladder are normal._x000D_
- There is mild cranial thoracic and mid lumbar vertebral spondylosis deformans</t>
  </si>
  <si>
    <t>1.  The remains a mild generalized cardiomegaly present, which can reflect cardiac disease such as degeneration of the mitral or tricuspid valves, pulmonary hypertension, or cardiomyopathy.  There is no evidence of congestive heart failure.  If not recently performed, consider echocardiography/ECG and veterinary cardiologist consultation for further evaluation._x000D_
_x000D_
2.  Relatively unchanged mild diffuse broncho-interstitial pulmonary pattern.  May reflect chronic lower airway/airspace disease such as bronchitis.  Can be somewhat expected normal age-related airway changes._x000D_
_x000D_
3.  Aerophagia._x000D_
_x000D_
4. Mild splenomegaly. DDx congestion from sedation, lymphoid hyperplasia, EMH, less likely neoplasia._x000D_
_x000D_
5.  Mild multifocal vertebral spondylosis deformans.</t>
  </si>
  <si>
    <t xml:space="preserve">
1.Splenic size, shape and margin are normal._x000D_
2.Abdominal detail is normal._x000D_
3.Gas containing stomach with segmental gas distension involving bowel loops._x000D_
4.Liver size, shape and margin are normal.</t>
  </si>
  <si>
    <t>Three radiographs of the thorax/abdomen are provided. The cardiac silhouette is normal size and shape. No cardiac chamber enlargement. Faint bronchial markings is normal for the age of this patient. There are no soft tissue pulmonary nodules or pleural effusion. Small volume fluid in the caudal esophagus is transient and incidental. The trachea is normal diameter. No cervicothoracic spinal abnormalities. In the abdomen there is formed feces in the distal colon. The stomach and small bowel are minimally filled. Serosal detail is adequate. The uterus is not identified. Normal-sized liver, kidneys, spleen. The urinary bladder is mildly filled and soft tissue opaque. Normal lumbar spine and coxofemoral joints.</t>
  </si>
  <si>
    <t>Normal thorax and abdomen. There is no evidence of cardiovascular disease on this study. A small valvular regurgitant jet can result in a relatively loud murmur. A reason for discomfort is not identified.</t>
  </si>
  <si>
    <t>If pain persists but is not localized to the spine, abdominal ultrasound would be recommended. If spinal pain is confirmed, is medically manageable, and there are no neurologic deficits, conservative treatment with anti-inflammatories and strict rest could be considered. Otherwise, consultation with a neurologist would be recommended.</t>
  </si>
  <si>
    <t xml:space="preserve">
1.The liver and spleen are normal in size and shape._x000D_
2.Serosal detail within the peritoneal space is normal._x000D_
3.The stomach contains a small volume of fluid opaque material and gas. The gastric rugae appear prominent._x000D_
4.The small bowel contains gas and fluid and is normal in diameter._x000D_
5.No abnormal AI findings reported._x000D_
6.The colon contains scant fecal material and gas.</t>
  </si>
  <si>
    <t>WHOLE-BODY (6 total radiographs for review).  A previous examination is available for comparison from 08/13/24._x000D_
_x000D_
- Peritoneal serosal detail is normal._x000D_
- The stomach contains mild gas and soft-tissue opaque material_x000D_
- The small intestine is nondistended and mostly homogenously soft tissue opaque._x000D_
- The colon contains gas, soft-tissue/fluid and minimal formed fecal material._x000D_
- The liver, spleen, region of the kidneys and urinary bladder are normal._x000D_
- There are numerous tiny mineralized pulmonary foci throughout the lungs._x000D_
- Mild left-sided mediastinal shift_x000D_
- Mild unstructured interstitial pattern throughout the left lung lobes._x000D_
- The cardiac silhouette and pulmonary vasculature are normal._x000D_
- The trachea, esophagus and mediastinum are normal._x000D_
- The pleural space, diaphragm and ribs are normal._x000D_
- The remaining intrathoracic structures are normal._x000D_
- Multifocal spondylosis deformans with bridging at L2-3._x000D_
- Multiple lobular fat opaque abdominal wall nodules, the largest ventrally and on the left</t>
  </si>
  <si>
    <t>1.  There is no obvious remaining evidence of gastrointestinal foreign material (reported corn cob ingestion). The appearance of the stomach, small intestine and colon can be compatible with a non-specific generalized functional ileus (e.g. gastroenterocolitis). If clinically indicated, abdominal ultrasonography might be considered._x000D_
_x000D_
2. Mild diffuse bronchial pattern with numerous incidental mineralized pulmonary osteomas. Most likely representing age-related lower airway changes, however a component of chronic bronchitis is possible, especially if there is a history of abnormal respiratory sounds, wheezing and/or coughing._x000D_
_x000D_
3.  Mild left-sided pulmonary atelectasis._x000D_
_x000D_
4.  Multiple abdominal body wall lipomatous masses._x000D_
_x000D_
5.  Multifocal spondylosis deformans most notable in the cranial lumbar region.</t>
  </si>
  <si>
    <t xml:space="preserve">
1.The liver has a normal shape, size and margination._x000D_
2.The spleen is normal._x000D_
3.The peritoneal serosal detail is normal._x000D_
4.The colon contains gas and feces._x000D_
5.The small intestines are mainly fluid-filled, and mild-to moderately dilated._x000D_
6.The stomach contains a mild volume of gas and fluid.</t>
  </si>
  <si>
    <t>ABDOMEN (2 radiographs for review). _x000D_
_x000D_
- There are four (4) mature, mineralized fetal skeletons present within a homogenously fluid distended uterus.  There is a mild associated mass-effect causing a dorsal displacement of the majority of the gastrointestinal tract._x000D_
- The stomach contains a moderate volume of granular mineral opaque material._x000D_
- The colon contains a moderate volume of formed fecal material with a few small mineralized foci._x000D_
- The liver, spleen, kidneys, urinary bladder are of limited assessment due to border effacement however no distinct abnormalities are noted._x000D_
- The included musculoskeletal structures are normal.</t>
  </si>
  <si>
    <t>1. Four (4) radiographically mature mineralized fetal skeletons, without distinct evidence of fetal distress and/or death.  No overt maternal-fetal disproportion identified.  If there is further clinical indication, consider sonographic assessment of the puppies for more sensitive evaluation._x000D_
_x000D_
2.  Moderate granular mineral opaque material in the stomach._x000D_
_x000D_
3.  Otherwise unremarkable limited abdomen.</t>
  </si>
  <si>
    <t xml:space="preserve">
1.The stomach is normal in position but the intestine is displaced._x000D_
2.There is a very large mass-effect within the cranial abdomen that is displacing colon and small intestines into the caudal abdomen. The gastrointestinal tract is considered within normal limits with the exception of being displaced by the mass-effect._x000D_
3.The caudoventral hepatic serosal margins are somewhat poorly defined but appear to be rounded._x000D_
4.The splenic serosal margins are also poorly defined._x000D_
5.There is a marked reduction in serosal detail within the peritoneal space and the abdomen has a pendulous appearance.</t>
  </si>
  <si>
    <t>Orthogonal radiographs of the thorax, and four views of the pelvis/proximal pelvic limbs are provided. The cardiac silhouette and pulmonary vessels are normal size and shape. The lungs are clear. There is no pleural effusion. Normal cranial mediastinal width. Moderate narrowed cervical trachea on the lateral view. In the viewable abdomen, the gastrointestinal tract is moderately filled. Normal-sized liver, spleen. The urinary bladder is minimally filled. No radiopaque urolithiasis. Normal lumbar spine. There is moderate thickened left femoral neck, with mild thickened right femoral neck. Pelvic limb musculature is approximately symmetric. Patellar location is normal. Possible small volume fluid in the cranial aspect of the right stifle joint, although stifle joint space evaluation is limited by high technique.</t>
  </si>
  <si>
    <t>1. Bilateral coxofemoral osteoarthritis, worse on the left. This is the most likely cause for lameness._x000D_
2. Suspect mild right stifle effusion suggestive of partial cranial cruciate ligament tear. This could also be responsible for lameness._x000D_
3. Probable cervical tracheal collapse. No abdominal or intrathoracic abnormalities.</t>
  </si>
  <si>
    <t>Recommend palpate for stifle discomfort and instability.</t>
  </si>
  <si>
    <t xml:space="preserve">
1.Abdominal detail is normal._x000D_
2.Liver size, shape and margin are normal._x000D_
3.The stomach is normal. The small bowel is diffusely gas- and fluid-filled without segmental small bowel dilation._x000D_
4.Splenic size, shape and margin are normal.</t>
  </si>
  <si>
    <t>Study:_x000D_
Thoracic/abdominal radiography: three images dated September 11,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adequate. The stomach contains unstructured heterogeneous/granular soft tissue material presumed to be ingesta. The small intestines are normal in size, course and content. The colon contains gas and poorly formed fecal material. The liver and spleen are normal in size and margin. The renal silhouettes are normal in size and contour. The urinary bladder is normal in size and opacity. There is no prostatomegaly. The osseous structures are unremarkable/age appropriate.</t>
  </si>
  <si>
    <t>1. Postprandial stomach=ZZ90= otherwise, unremarkable abdomen. A cause of the intermittent diarrhea is not evident. Abdominal sonography, cPLI testing, trypsin-like immunoreactivity testing and a G.I. panel can be considered if the clinical signs persist or worsen in spite of ongoing medical management._x000D_
2. Normal thorax.</t>
  </si>
  <si>
    <t>SPINE (2 radiographs for review).  A previous examination is available for comparison from 2023._x000D_
_x000D_
- The caudal thoracic vertebral column is normal._x000D_
- The thoracolumbar vertebrae are normal._x000D_
- The lumbar vertebral column is unremarkable._x000D_
- The lumbosacral junction is normal._x000D_
- The sacroiliac joints, pelvic bones and coxofemoral joints are normal._x000D_
- The included portions of the abdomen are unremarkable._x000D_
- Limited assessment of the caudal thorax is normal.</t>
  </si>
  <si>
    <t>1. A discrete spinal cause for the reported clinical signs is not clearly identified. Radiographic sensitivity for detecting lesions affecting the spine (e.g. IVDD, FCE) can be limited. There are no fractures, luxations, discospondylitis or aggressive bone lesions noted. If clinically indicated, consultation with a veterinary neurologist and/or advanced imaging of the spine (e.g. CT or MRI) might be considered.</t>
  </si>
  <si>
    <t>6 images of the pelvis and lumbar spine are provided for review.  No fractures, luxations, or aggressive osseous lesions are seen.  There is consistent narrowing of the intervertebral disc space at L7-S1.  Coverage of the femoral heads by their acetabular rims is adequate.  The joint surfaces are smooth and regular.  No stifle effusion is seen.  The soft tissue structures included are normal.</t>
  </si>
  <si>
    <t>Narrowed intervertebral disc space suggestive of intervertebral disc herniation.  This does not rule out intervertebral disc herniation at another site or other causes of spinal cord/nerve root compression.</t>
  </si>
  <si>
    <t>CT or MRI could be considered in further evaluation.</t>
  </si>
  <si>
    <t>Three orthogonal radiographs of the abdomen dated 11th September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is empty with a normal axis. There is fluid filling of the pylorus on the left lateral image. The small intestines are diffusely mildly distended with mainly fluid. The transverse and descending colon is mildly dilated with formed faeces. The urinary bladder is small. The serosal detail is normal._x000D_
_x000D_
Extra-abdominal findings: No significant abnormalities are detected._x000D_
_x000D_
Included thorax: No significant abnormalities are detected.</t>
  </si>
  <si>
    <t>1. The small intestinal filling may be post-prandial, however a diffuse mild enteropathy such as IBD, food allergy, unlikely intestinal lymphoma should be considered. Dietary indiscretion is possible. The minimal constipation is likely due to diet/inactivity=ZZ90= physiologic ileus is considered unlikely.</t>
  </si>
  <si>
    <t>A complete abdominal ultrasonographic examination is advised, with a view to FNA of abnormal organs, after complete blood work, and a normal coagulation panel.</t>
  </si>
  <si>
    <t>Pelvis: There is left femoral thickening and osseous remodeling.  There are no significant abnormalities involving the right coxofemoral joint.  The remainder of the pelvis is unremarkable.  Spondylosis deformans is noted at the lumbosacral junction.  Lateralizing spondylosis deformans is noted along the right side of L6-7._x000D_
_x000D_
Stifles: There are no significant abnormalities involving either stifle or tarsi.</t>
  </si>
  <si>
    <t>Left coxofemoral osteoarthrosis._x000D_
_x000D_
L6-7 and L7-S1 spondylosis deformans.</t>
  </si>
  <si>
    <t xml:space="preserve">
1.Splenic size, shape and margin are normal._x000D_
2.Abdominal detail is normal._x000D_
3.The stomach contains gas and ingesta or prominent rugae, suggestive of gastritis. The small bowel is diffusely fluid filled but without segmental small bowel dilation._x000D_
4.Liver size, shape and margin are normal.</t>
  </si>
  <si>
    <t>Opposite lateral and ventrodorsal abdominal radiographs (6 images) dated September 11, 2024._x000D_
_x000D_
_x000D_
The liver and spleen are normal in size and shape. The stomach contains a small volume of gas and has prominent rugal folds. A small amount of soft tissue content also appears present in the stomach based on the right lateral view. The pyloric antrum is gas-filled on the left lateral view. The small intestine is unremarkable in size and course with most segments mildly gas-filled and others empty/collapsed. No radiopaque foreign material identified in the small intestine. The colon is minimally distended with stool and gas and some images, and colon is more distended with gas after reported pneumocolonogram. Both kidneys are normal in size and shape. The urinary bladder is mildly distended with homogeneous fluid opacity. Retroperitoneal and peritoneal detail are normal. No regional lymphadenopathy is evident._x000D_
No osseous abnormalities are identified. The included caudal thorax is unremarkable.</t>
  </si>
  <si>
    <t>Nonobstructive gastroenteritis. The small amount of mobile soft tissue content appreciable on the right lateral view may represent residual foreign material or potentially normal ingesta.</t>
  </si>
  <si>
    <t>Options include abdominal ultrasound to further scrutinize the gastric content vs. emesis induction vs. fasting NPO food 12 hours and water 4 hrs and repeat abdominal radiographs.</t>
  </si>
  <si>
    <t>Kreig Embriano</t>
  </si>
  <si>
    <t>Three orthogonal radiographs of the abdomen dated 11th September 2024 are available for review. There are no previous radiographs available for comparison. _x000D_
_x000D_
Intra-abdominal findings: The hepatic silhouette is normal. The tail of the spleen is mildly prominent with smooth borders. The kidneys are partially obscured by gastrointestinal contents, but the visible aspect are normal. The stomach is mainly empty with a normal axis. No radiopaque foreign material is seen. The small intestines are variably filled with gas, fluid, and soft tissue opaque material. No segmental dilation is noted. The transverse and descending colon contain formed faeces. The urinary bladder is filled. The serosal detail is normal._x000D_
_x000D_
Extra-abdominal findings: No significant abnormalities are detected._x000D_
_x000D_
Included thorax: No significant abnormalities are detected.</t>
  </si>
  <si>
    <t>1. Normal post-prandial abdomen. The mildly soft faeces may be dietary induced. A mild diffuse enterocolitis cannot be excluded._x000D_
2. Mild splenomegaly: differential diagnoses include passive congestion from sedation (if administered), splenitis, extramedullary hematopoiesis, lymphoid hyperplasia, or neoplasia.</t>
  </si>
  <si>
    <t>Supportive/dietary management is advised.</t>
  </si>
  <si>
    <t>Three radiographs of the thorax and of the abdomen are provided. The cardiac silhouette is normal size and shape, with no chamber enlargement. Pulmonary vessels are normal size. There are no abnormalities in the pulmonary parenchyma or pleural space. No intrathoracic lymphadenomegaly. Tracheal diameter is adequate._x000D_
_x000D_
In the abdomen the patient is thin, with reduced peritoneal detail. Formed feces fills the colon. There is gas in the small bowel and stomach. No radiopaque foreign material or urolithiasis. The prostate is not definitively seen. Normal-sized liver. The spleen and kidneys are obscured. Normal lumbar spine and coxofemoral joints. The left patella is medially displaced.</t>
  </si>
  <si>
    <t>1. Poor abdominal detail consistent with lack of intra-abdominal fat. Scant effusion is not ruled out. Otherwise normal abdomen_x000D_
2. Medial patellar luxation on the left._x000D_
3. Normal thorax.</t>
  </si>
  <si>
    <t>There is no contraindication for general anesthesia based on this study. If there are significant blood work abnormalities identified, additional imaging of the abdomen with ultrasound may be indicated.</t>
  </si>
  <si>
    <t xml:space="preserve">
1.Mild microhepatia is present with cranial positioning to the gastric axis._x000D_
2.Splenic size, shape and margin are normal._x000D_
3.Abdominal detail is normal._x000D_
4.The colon contains mild to moderate heterogeneous soft tissue material and gas._x000D_
5.The small bowel is diffusely gas- and fluid-filled without segmental small bowel dilation._x000D_
6.The stomach contains a mild to moderate volume of gas and soft tissue material. The gastric axis is cranially positioned due to the microhepatia._x000D_
7.Resource: https://platform.v2.vetology.net/doc/microhepatia_and_giulcers</t>
  </si>
  <si>
    <t xml:space="preserve">
CBC, serum biochemsitry, GI panel and empirical therapy for gastroenteritis, as clinically warranted.._x000D_
Consider bile acid testing, coagulation testing, computed tomography portography and/or ultrasonography of the liver with/without biopsy for a definitive diagnosis, if clinically and or biochemically indicated._x000D_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</si>
  <si>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Nine radiographs are provided, with images of the thorax, thoracic limbs, and abdomen. The cardiac silhouette is normal size and shape. There are no abnormalities in the pulmonary parenchyma. Fat deposition is noted ventral to the heart on the lateral views. Normal tracheal diameter. The shoulders are congruent. The humeroulnar joint is widened bilaterally, more prominent on the right side. There is mild cranial lateral bowing of both antebrachia, more prominent on the right side. No carpal/metacarpal osseous or soft tissue abnormalities._x000D_
_x000D_
In the abdomen there is no peritoneal or retroperitoneal effusion. The gastrointestinal tract is minimally filled. No radiopaque urolithiasis or medial iliac lymphadenomegaly. Normal-sized liver, kidneys, spleen. No osseous abnormalities. The coxofemoral joints are congruent. Normal patellar position.</t>
  </si>
  <si>
    <t>1. Bilateral cubital incongruity and craniolateral antebrachial bowing that is commonly seen in this breed, but more prominent on the right side. No other thoracic limb abnormalities are appreciated._x000D_
2. Normal thorax and abdomen.</t>
  </si>
  <si>
    <t>Treatment for manus/pes dermatitis appears indicated.</t>
  </si>
  <si>
    <t>Three radiographs of the thorax/abdomen are provided. The cardiac silhouette and pulmonary vessels are normal size and shape. The lungs are clear. There is no pleural effusion. Normal tracheal diameter. No esophageal abnormalities._x000D_
_x000D_
In the abdomen there is small volume amorphous soft tissue density, fluid, and gas in the stomach. Small intestines are minimally distended. Formed feces fills the distal colon. There are several thin flat metal opaque fragments in the colon. These fragments measure up to 0.5 cm. No other foreign material is appreciated. The liver, spleen, and left kidney are normal size. The right kidney is obscured. No radiopaque urolithiasis. Osseous structures are unremarkable.</t>
  </si>
  <si>
    <t>1. Metal opaque fragments in the colon, will continue to pass successfully. These are likely incidental, however is indicative of foreign material ingestion. Gastroenteritis secondary to dietary indiscretion is most likely. Gastric contents appears to be normal ingesta. All or a portion of gastric contents could be foreign material. There is no evidence of small bowel obstruction._x000D_
2. Normal thorax.</t>
  </si>
  <si>
    <t>Recommend CBC, blood chemistry profile, fecal examination, supportive care. A positive contrast gastrogram could be considered to rule out gastric foreign material. Abdominal ultrasound is another option to evaluate the entire abdomen, as long as the patient has been strictly fasted and there is minimal gas in the stomach at the time of imaging.</t>
  </si>
  <si>
    <t xml:space="preserve">
1.Splenic size, shape and margin are normal._x000D_
2.Abdominal detail is satisfactory._x000D_
3.The stomach is normal. The small bowel is diffusely gas- and fluid-filled but without segmental bowel dilation._x000D_
4.On the lateral projection, the liver is small with cranial displacement of the gastric axis to lower limits of normal for size.</t>
  </si>
  <si>
    <t>ABDOMEN (3 images):
Images are dated September 11,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gas and heterogeneous admixed soft tissue material.   The stomach is within normal limits for size.  Gas is in the pylorus in the left lateral image.
The small intestine contains mild to moderate gas with a subjectively uniform population for size. 
The colon contains moderate heterogeneous soft tissue material and gas.  The colon is within normal limits for size.  
Musculoskeletal: Spondylosis deformans is at T11-12, T12-13 and T13-L1.  Dorsal articulation osteoarthrosis is at T13-L1. 
 No obvious thoracolumbar intervertebral disc space narrowing.  The os penis is bi-partite incidentally.  The remaining included musculoskeletal structures are normal.</t>
  </si>
  <si>
    <t>1. Gastric material due to recent meal, or unlikely other given lack of vomiting in reported history.
2. Non-specific small intestinal appearance such as from enteritis, versus variation of normal.
- There is no current evidence of gastrointestinal mechanical ileus.
3. T13-L1 dorsal articulation osteoarthrosis.
- This may be contributing to reported clinical signs.</t>
  </si>
  <si>
    <t>Consider radiographs of the pelvis and centered on the stifles for further evaluation.  Consider neurologist consultation and possible MRI versus computed tomography for further evaluation of the thoracolumbar spine and possibly myelopathy contributing to reported signs, versus secondary to vertebral osteoarthrosis changes, or other. Empirical therapy and supportive care in the interim as needed.  Thoracic imaging to screen for occult systemic disease if not recently performed prior to advanced imaging.  Monitoring as directed or sooner if clinical signs acutely change, fail to improve or worsen.</t>
  </si>
  <si>
    <t>Ten radiographs are provided, with images of the thorax, abdomen, pelvis, stifles. Images dated 10/1/2020 are available for comparison. The cardiac silhouette and pulmonary vessels are normal size. Mild age-related changes in the lungs. No soft tissue pulmonary nodules or pleural effusion. Normal tracheal diameter and cranial mediastinal width. Mild degenerative change in one of the shoulders and in both cubital joints._x000D_
_x000D_
In the abdomen there is no effusion or organomegaly. The gastrointestinal tract is minimally filled. No radiopaque cystic calculi. No significant lumbar spinal abnormalities. No coxofemoral joint abnormalities are appreciated, although evaluation is limited by positioning. Punctate mineral density cranial to the os penis is incidental separate center of ossification. Transverse linear sclerotic band in the distal aspect of both femurs is incidental growth arrest line. There is moderate to large volume fluid in the cranial aspect of both stifle joints, worse on the right. Patellar ligament thickness is normal. A tibial plateau leveling osteotomy procedure has been performed on the right side. There is mild to moderate enthesophyte formation on the femoral trochlear ridges, distal patella, proximal tibia. A tibial tuberosity advancement procedure has been performed on the left, with moderate periarticular osseous remodeling. There is no lysis in either limb.</t>
  </si>
  <si>
    <t>1. Soft tissue opacity in the stifle joints may be incidental synovial hyperplasia/synovitis secondary to chronic insult. Effusion due to meniscal insult is not definitively ruled out. Other soft tissue sprain/strain could also be responsible for the lameness. There is no evidence of osseous lysis to suggest neoplasia or osteomyelitis. No other pelvic limb abnormalities are appreciated._x000D_
2. Normal thorax and abdomen.</t>
  </si>
  <si>
    <t>Recommend palpate for a meniscal click.</t>
  </si>
  <si>
    <t>2 views of the thorax are provided for review. The trachea is dorsally deviated, indicating left ventricular enlargement. A bulge is present in the area of the left atrium. The cardiac silhouette is widened with rounding of the right ventricular margin. Interstitial to alveolar opacity is present in all lung lobes, worse near the hilus. The pleural and mediastinal structures are normal. Cranial abdominal detail is adequate.</t>
  </si>
  <si>
    <t>Generalized cardiomegaly. Interstitial to alveolar pulmonary pattern consistent with cardiogenic pulmonary edema.</t>
  </si>
  <si>
    <t>Consider repeat radiographs following diuretic therapy. Echocardiography may be helpful in further evaluation.</t>
  </si>
  <si>
    <t xml:space="preserve">
1.Liver size is at the upper limits of normal to mildly enlarged but no mass is noted in the region of the liver._x000D_
2.Splenic size is at the upper limits of normal to mildly enlarged but no mass is noted in the region of the spleen._x000D_
3.Cranial abdominal detail is mildly decreased. DDx: confluence of soft tissue structures vs. less suspected, regional inflammation._x000D_
4.The stomach contains a small amount of gas and ingesta. The small bowel is diffusely gas- and fluid-filled without segmental small bowel dilation._x000D_
5.The colon is gas filled and a portion of the colon has a rigid appearance.</t>
  </si>
  <si>
    <t>Gastric contents. DDx: food vs. gastric foreign material. This finding should be correlated to last known meal and clinical concern for gastric foreign material. Appearance to the small and large bowel could indicate a component of enterocolitis however no small intestinal obstruction noted. The AI result is most compelling for: Normal post prandial GI tract. However, in a patient with GI signs, gastric foreign material or delayed gastric emptying secondary to gastroenterocolitis becomes a stronger consideration. Splenic size at the upper limits of normal to mildly enlarged. No splenic mass identified. Lymphoid hyperplasia, potentially secondary to gastrointestinal or pancreatic disease, is a primary consideration. Mild decrease in cranial abdominal detail. DDx: superimposition of soft tissue structures vs. decreased detail secondary to regional inflammation, potentially secondary to gastroenteritis or pancreatitis.</t>
  </si>
  <si>
    <t xml:space="preserve">
If GI signs are present, withhold food for 12-15 hours followed by repeat abdominal radiographs to assess for retention of the gastric contents. If the gastric contents persist after withholding food or if there is non-productive vomiting, the concern for gastric foreign material increases._x000D_
Supportive care in the interim as clinically warranted._x000D_
Blood work +/- pancreatic testing, if GI signs are present._x000D_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</si>
  <si>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thorax and three views of the abdomen are provided. Images dated 6/21/24 were reviewed for comparison. The cardiac silhouette and pulmonary vessels are normal size. Diffuse mild bronchial pattern and several pulmonary osteomas is normal for the age of this patient. Fat deposition noted in the cranial mediastinum. The soft tissue nodular contour previously overlying the cranial thorax on the right lateral view is not present overlying the thorax today. There is a faint round 0.9cm soft tissue density ventral to the 2nd sternal segment on the left lateral view which likely represents the offending structure, previously overlying the thorax. No soft tissue pulmonary nodules or pleural effusion are appreciated. Normal tracheal diameter._x000D_
_x000D_
In the abdomen there is mild hepatomegaly. Hepatic margins are rounded. Normal-sized spleen and kidneys. The gastrointestinal tract is minimally filled. No radiopaque cystic calculi. Normal lumbar spine. Degenerative change in both coxofemoral joints.</t>
  </si>
  <si>
    <t>Mild hepatomegaly. This is a nonspecific finding which may be steroid or other hepatopathy, acute inflammation, or neoplasia. This is the only abnormality identified on this study. The remainder of the abdomen and the thorax are normal.</t>
  </si>
  <si>
    <t xml:space="preserve">
1.The liver is mild to moderately enlarged._x000D_
2.The spleen is mildly enlarged._x000D_
3.Abdominal detail is normal._x000D_
4.The stomach is normal. The small bowel is diffusely gas- and fluid-filled without segmental small bowel dilation.</t>
  </si>
  <si>
    <t>The AI result for this case is most compelling for: Mild to moderate hepatomegaly. This is a nonspecific finding that may be due to steroid or endocrine hepatopathy. Less likely considerations include infiltrative neoplasia, or acute inflammation.
The spleen is also prominent, which can be a result of sedation. However, together these findings can be seen with infectious disease or reticuloendothelial neoplasia such as lymphoma.</t>
  </si>
  <si>
    <t xml:space="preserve">
Hepatomegaly and prominent spleen should be evaluated with blood work, and an abdominal ultrasound._x000D_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</si>
  <si>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abdomen are provided. There is moderate volume granular soft tissue opaque ingesta filling the stomach. The descending duodenum is transiently mildly gas dilated. Remaining small bowel are mildly filled with fluid and gas. The colon is minimally filled. Normal-sized liver, spleen, kidneys. No radiopaque urolithiasis. No narrowed intervertebral disc spaces. Osseous structures are age-appropriate.</t>
  </si>
  <si>
    <t>Normal post prandial abdomen. A reason for discomfort is not identified.</t>
  </si>
  <si>
    <t>Recommend palpate for spinal discomfort and a neurologic examination. If spinal pain is ruled out and discomfort persists, fasted abdominal ultrasound should be considered.</t>
  </si>
  <si>
    <t xml:space="preserve">
1.The liver is normal._x000D_
2.The spleen is normal._x000D_
3.Adequate serosal detail is noted in the peritoneal space._x000D_
4.The stomach is moderately gas filled and has prominent rugae._x000D_
5.The distended small bowel and colon have a similar appearance._x000D_
6.Several loops of mildly dilated loops of small intestine as well as several, less dilated loops of small bowel are noted approaching 2 bowel populations.</t>
  </si>
  <si>
    <t>The overall impression is one of gastroenteritis. This may be due to dietary indiscretion, or infectious/ inflammatory causes. Additionally, a partial or early complete obstruction cannot be excluded and this bowel appearance should be closely monitored if the patient is vomiting. Enteritis secondary to recent passage of a foreign body which is now in the colon also cannot be entirely excluded.</t>
  </si>
  <si>
    <t xml:space="preserve">
Virtual Radiologist Case Difficulty: LOW_x000D_
Virtual Radiologist Confidence: HIGH_x000D_
Blood work should be considered._x000D_
If GI signs are present, repeat radiographs after 4-6 hours of fluid therapy, submission of these radiographs for Vetology review and/or an abdominal ultrasound should be considered._x000D_
A pneumocolon study could also be performed to determine if the dilated loops of bowel are large or small intestine.</t>
  </si>
  <si>
    <t>13 images of the pelvis, pelvic limbs, and spine are provided for review.  No fractures or aggressive osseous lesions are seen.  The left coxofemoral joint is incongruent.  Osteophytes present on the left femoral neck.  No mineralized intervertebral discs or consistently narrowed intervertebral disc spaces are seen.  The joint surfaces are smooth and regular.  Increased soft tissue is seen in the stifle joints bilaterally.  Osteophytes are present on the femoral trochlear ridges, tibial plateau, and patella on the right.  At periarticular osteophyte formation is seen in the dorsal aspect of the right distal intertarsal joint.  Osteophytes are also seen surrounding the left tibiotarsal joint.  The kidneys are small with irregular margins and mineral in the pelves.  The remaining soft tissue structures included are normal.</t>
  </si>
  <si>
    <t>Chronic renal changes with nephrolithiasis.  Left coxofemoral incongruency concerning for joint laxity.  Mild left coxofemoral DJD.  Bilateral tarsal DJD.  Bilateral stifle effusion with right stifle DJD consistent with soft tissue injury such as to the cranial cruciate ligaments or menisci, likely chronic on the right.  Radiographically normal spine.  This does not rule out intervertebral disc herniation or other causes of spinal cord compression.</t>
  </si>
  <si>
    <t>SPINE AND PELVIC LIMBS (4 images):
Images are dated September 11, 2024.
Bones/Joints:
Lucency over the right femur proxima/cranial cortex is presumed artifact, and is suspected to be the same artifact over L6 in the left lateral image. Similar radiolucent foci are over the soft tissues rightward of L7 in the ventrodorsal image, and over the positioning aid/outside the plane of the patient in multiple images.  
There is no evidence of intervertebral disc space narrowing, or mineral over the intervertebral foramina.  There is no evidence of intervertebral dorsal articulation osteoarthrosis.
The coxofemoral joints have no obvious osteoarthrosis.  There is adequate coverage of the femoral heads by the acetabulums.
Bilateral femoral trochlear hypoplasia is present.  No current evidence of medial patella luxation.  
The left stifle has no evidence of osteoarthrosis.  Mild to moderate increased soft tissue is suspected in the left stifle joint, partially obscuring the infrapatellar fat pad.
The right stifle has no evidence of osteoarthrosis.   Mild to moderate increased soft tissue is suspected in the right stifle joint, partially obscuring the infrapatellar fat pad.
There is no evidence of medullary sclerosis, osteolysis, endosteal scalloping, or periosteal proliferation.
Soft tissues:  The included soft tissues are normal.</t>
  </si>
  <si>
    <t>1. Mild-moderate left and right stifle joint effusion/proliferation such as from cranial cruciate ligament injury, or less likely hemarthrosis or evolving immune-mediated polyarthritis or other given patients young age.
2. Bilateral femoral trochlear hypoplasia without current evidence of medial patella luxation.
3. Normal coxofemoral joints.
4. No evidence of lumbar vertebral osteolysis.</t>
  </si>
  <si>
    <t>Consider orthopedist consultation and routine blood work for further evaluation.  Consider focused radiographs of the stifles and possibly arthrocentesis for further evaluation.  Empirical therapy and supportive care in the interim as needed. Monitoring as directed or sooner if clinical signs acutely change, fail to improve or worsen.</t>
  </si>
  <si>
    <t>Three images are provided.
Images are dated September 11, 2024.
Caudal abdomen is excluded in the left lateral image.
Pulmonary parenchyma: A minimal diffuse bronchial pattern is present.  In the hypoinflated left lateral image, and minimal diffuse interstitial pattern is present.
Pulmonary vasculature: The pulmonary vasculature is subjectively normal in size and tapers in the periphery of the lungs.
Cardiac silhouette: The cardiac silhouette is apparently tall in the oblique and hypoinflated left lateral image, which is not corroborated in the orthogonal images.  
Mediastinum: The cranial mediastinum is normal.
Trachea: The trachea is normal.
Esophagus: The esophagus is not well-identified.
Pleural space: The pleural space is normal.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minimal soft tissue.  Gas is in the pylorus and descending duodenum in the ventrodorsal image.   The stomach is within normal limits for size.
The small intestine contains mild gas with a subjectively uniform population for size. 
The colon contains mild well-defined soft tissue material and gas.  The colon is within normal limits for size.  
Musculoskeletal: The included musculoskeletal structures are normal.</t>
  </si>
  <si>
    <t>1. Minimal diffuse bronchial and interstitial pulmonary patterns.
- Differential diagnoses include infectious/immune-mediated lower airway disease such as from mycoplasma spp., bordetella spp., parasitism, or inhaled allergen/irritant, fibrosis from prior disease, age-related changes, transient hypoinflation/atelectasis, a combination of these, or unlikely other.
2. Microhepatia or unlikely variation of normal.
- The primary differential diagnosis is occult portosystemic shunting vessel.
3. There is no current evidence of gastrointestinal mechanical ileus.</t>
  </si>
  <si>
    <t>Consider respiratory PCR panel, fecal analysis/deworming, airway sampling, and possibly tracheoscopy/bronchoscopy/fluoroscopy to rule out occult dynamic airway disease if clinically indicated.  Routine blood work, bile acid testing and possibly computed tomography portography for further evaluation of the liver, if clinically indicated.  Empirical therapy and supportive care for coughing in the interim as needed.  Monitoring as directed or sooner if clinical signs acutely change, fail to improve or worsen.</t>
  </si>
  <si>
    <t>Study:_x000D_
Abdominal radiography: four images dated September 10, 2024_x000D_
_x000D_
Findings:_x000D_
The serosal detail is normal. The stomach is mildly distended with gas and fluid. The pylorus is probably gas-filled on the left lateral image. The small intestines are normal in size, course and content. The colon contains formed fecal material. The liver is on the lower limits of normal for size. On the right lateral projection, there is a mild amount of indistinct unstructured mineral in the region of the gallbladder. The spleen is mildly enlarged with smooth margins. The renal silhouettes are normal in size and contour. The urinary bladder is normal in size and opacity. The uterus is not visualized. The included thorax is normal. The T 13 vertebra is transitional with bilateral hypoplastic ribs.</t>
  </si>
  <si>
    <t>1. The gas and fluid dilation of the stomach in the absence of any pyloric outflow obstruction or small intestinal mechanical obstruction may be secondary to pa ncreatitis, gastritis and/or gastric atony._x000D_
2. Equivocal microhepatia. Rule out normal variant, vascular anomaly or chronic hepatitis/cirrhosis. Correlate with any liver enzyme abnormalities. Abdominal sonography and bile acid testing can be considered for further evaluation if clinically relevant._x000D_
3. Mineral gallbladder debris._x000D_
4. The generalized splenomegaly is nonspecific. Rule out extramedullary hematopoiesis, lymphoid hyperplasia, splenitis, congestion or infiltrative neoplasia. Sonography can reconsider for further evaluation._x000D_
5. There is no radiographically evident uterine dilation. This does not exclude the possibility of open pyometra. Consider abdominal sonography for further evaluation of the reported vulvar discharge.</t>
  </si>
  <si>
    <t xml:space="preserve">
1.The liver and spleen are normal._x000D_
2.Serosal detail in the cranial abdomen is mildly decreased on the lateral projection._x000D_
3.No abnormal AI findings reported._x000D_
4.The gastric rugae are prominent._x000D_
5.The small bowel is diffusely gas- and fluid-filled but without segmental bowel dilation._x000D_
6.On the VD projection, a portion of the colon is gas filled and has a rigid appearance.</t>
  </si>
  <si>
    <t>There is a small quantity of soft tissue dense ingesta in the stomach. Clinical significance is probably limited. A small quantity of gastric foreign material cannot be excluded, but this finding needs to be correlated with clinical signs. If vomiting and/or diarrhea is/are present, gastroenterocolitis is most likely. Gastric foreign material is a lesser consideration. Pancreatitis, or less likely hepatobiliary inflammation, should also be ruled out given the decreased cranial abdominal detail on the lateral projection.</t>
  </si>
  <si>
    <t>Study:_x000D_
Abdominal radiography: three images dated September 10, 2024_x000D_
_x000D_
Findings:_x000D_
There is decreased cranial abdominal detail. The stomach contains a small volume of gas. The small intestines are gas-filled and normal in size and course. The liver and spleen are normal in size and margin. The renal silhouettes are normal in size and contour. The urinary bladder is normal in size and opacity. The included thorax is unremarkable. There is variable mild to severe multifocal thoracolumbar spondylosis deformans. There is a large mineral body adjacent to the greater trochanter of the left femur. There is mild right stifle periarticular bone formation. The patient is of thin body condition.</t>
  </si>
  <si>
    <t>1. The decreased cranial abdominal detail may be secondary to the thin body condition of the patient, reduced intra-abdominal fat visceral crowding. Cranial abdominal effusion, peritonitis and/or pancreatitis is also possible._x000D_
2. The abdomen is otherwise unremarkable. A definitive cause of the reported weight loss is not evident._x000D_
3. Mild left stifle osteoarthrosis. Consider underlying cranial cruciate and/or meniscal injury._x000D_
4. Left gluteal enthesopathy.</t>
  </si>
  <si>
    <t>Abdominal sonography and a G.I. panel can be considered to further evaluate the reported weight loss.</t>
  </si>
  <si>
    <t xml:space="preserve">
1.No abnormal AI findings reported._x000D_
2.No abnormal AI findings reported._x000D_
3.The visible margins of the liver and spleen are obscured by the decrease in abdominal detail._x000D_
4.The stomach contains mild gas and is normal in size._x000D_
5.The small intestine contains heterogeneous soft tissue material and gas._x000D_
6.Overall, the small intestine is normal in size._x000D_
7.The colon contains moderate fluid and mild gas.</t>
  </si>
  <si>
    <t>Study:_x000D_
The images of the thorax and right lateral projection of the abdomen dated September 10, 2024_x000D_
_x000D_
Findings:_x000D_
The cardiac silhouette and pulmonary vasculature are normal in size. The pulmonary parenchyma is unremarkable. No pulmonary nodules or masses are present. The pleural space is normal. There is no intrathoracic lymphadenopathy. On the left lateral view, there is an indistinct broad-based soft tissue opaque band superimposed with the dorsal aspect of the cervical trachea lumen representing either a redundant dorsal tracheal membrane or superimposition of the esophagus. The trachea is normal in diameter and course. The stomach contains unstructured heterogeneous soft tissue material presumed to be ingesta. The small intestines are normal in size, course and content. The colon contains formed fecal material with a normal diameter. The liver extends mildly beyond the costal arch with smooth margins. The spleen is normal in size and margin. The renal silhouettes are normal in size and contour. The urinary bladder is normal in size and opacity. There is a smoothly marginated mineral body is adjacent to the ability of the right stifle. The patient is of overweight body condition.</t>
  </si>
  <si>
    <t>1. Normal thorax. There is no radiographic evidence of cardiopulmonary disease or intrathoracic neoplasia._x000D_
2. The generalized hepatomegaly is nonspecific. Rule out metabolic/vacuolar hepatopathy, hyperplasia, hepatitis or infiltrative neoplasia. Remainder the abdomen is unremarkable._x000D_
3. The mineral body adjacent to the fabellae of the right stifle may indicate incidental multipartite fabella or gastrocnemius enthesopathy.</t>
  </si>
  <si>
    <t>Abdominal sonography can be considered for further evaluation of the hepatomegaly.</t>
  </si>
  <si>
    <t>Study:_x000D_
Thoracic/abdominal radiography: four images dated September 10, 2024_x000D_
_x000D_
Findings:_x000D_
There is mild left ventricular and left atrial enlargement. The pulmonary vasculature is normal in size. The pulmonary parenchyma is unremarkable. No pulmonary nodules or masses are present. The pleural space is normal. There is no intrathoracic lymphadenopathy. The trachea is normal in diameter. The abdominal serosal detail is normal. The stomach contains a small amount of unstructured heterogeneous soft tissue material presumed to be ingesta. The small intestines are gas and fluid-filled and normal in size and course. The colon contains formed fecal material with a normal diameter. The liver is normal in size and margin. The tail the spleen is mildly to moderately enlarged with smooth margins. The renal silhouettes are normal in size and contour. The urinary bladder is normal in size and opacity. There is no prostatomegaly. There is narrowing of the L1-L2 intervertebral disc space with moderate spondylosis deformans. There is also spondylosis deformans at L3-L4. There is a healed malunion fracture of the left distal femoral diaphysis. There is mild left stifle periarticular bone formation.</t>
  </si>
  <si>
    <t>1. The generalized splenomegaly is nonspecific. Rule out extramedullary hematopoiesis, lymphoid hyperplasia, splenitis, congestion or infiltrative neoplasia._x000D_
2. Mild left-sided cardiomegaly, indicative of mitral valve disease, without evidence of decompensation. Echocardiography should be considered for further evaluation._x000D_
3. L1-L2 intervertebral disc disease._x000D_
4. Left distal femoral healed malunion fracture._x000D_
5. Mild left stifle osteoarthrosis.</t>
  </si>
  <si>
    <t>Abdominal sonography should be considered for further evaluation of the reported anemia and thrombocytopenia.</t>
  </si>
  <si>
    <t xml:space="preserve">
1.Small-volume gas is present within the stomach._x000D_
2.Small intestines are diffusely moderately fluid and gas filled._x000D_
3.Formed feces is present in the distal colon._x000D_
4.Serosal detail is normal._x000D_
5.The liver is moderately enlarged with smooth margins._x000D_
6.The spleen and visualized kidneys are normal size.</t>
  </si>
  <si>
    <t>Study:_x000D_
Abdominal radiography: orthogonal views (two images) dated September 10, 2024_x000D_
_x000D_
Findings:_x000D_
The stomach contains heterogeneous soft tissue material presumed to be ingesta. The small intestines are normal in size, course and content. The colon contains formed fecal material with a normal diameter. The liver extends moderately beyond the costal arch with smooth margins. The spleen is normal in size and margin. The renal silhouettes are normal in size and contour. Too numerous to count small mineral opaque calculi are clustered in the central aspect of the urinary bladder. No calculi are present in the region the urethra. The included thorax is normal. The included thorax is normal. No skeletal abnormalities are present.. The patient is of overweight body condition.</t>
  </si>
  <si>
    <t>1. Cystolithiasis. Consider dissolution versus cystotomy._x000D_
2. The generalized hepatomegaly is nonspecific. Rule out metabolic/vacuolar hepatopathy, hyperplasia, hepatitis or infiltrative neoplasia. Sonography can be considered for further evaluation.</t>
  </si>
  <si>
    <t>Study:_x000D_
Abdominal radiography: three images dated September 10, 2024_x000D_
_x000D_
Findings:_x000D_
The abdominal serosal detail is adequate. There is an approximately 4.5 cm ovoid soft tissue opacity in the fundic portion of the stomach on the left lateral and VD views. The pylorus is a appropriately gas-filled on the left lateral image. There is a linear metallic opacity in the mesentery adjacent to the pylorus. The small intestines are normal in size, course and content. The colon contains a small volume of gas and poorly formed fecal material. The liver is normal in size and margin. The spleen is mildly enlarged with smooth margins. The renal silhouettes are normal in size and contour. The urinary bladder is normal in size and opacity. There is no uterine dilation. The included thorax is normal. There is mild L6-L7 and moderate lumbosacral spondylosis deformans.</t>
  </si>
  <si>
    <t>1. The ovoid opacity in the fundic portion of the stomach may represent food, foreign material or, less likely, and intraluminal mass. There is no evidence of small intestinal mechanical obstruction. Repeat fasted radiography can be considered to monitor for persistence or resolution of the ovoid opacity in the stomach. Alternatively, sonography can be considered if clinical signs persist or worsen in spite of medical management._x000D_
2. Peritoneal linear metallic foreign body, possibly wire or metallic brush bristle. This is a relatively common incidental finding.</t>
  </si>
  <si>
    <t xml:space="preserve">
1.Abdominal detail is normal._x000D_
2.Splenic size, shape and margin are normal._x000D_
3.Liver size, shape and margin are normal._x000D_
4.Small small-volume amorphous soft tissue opacity is present within the stomach. 
The small intestines are mildly filled with gas and fluid. No signs of obstruction.</t>
  </si>
  <si>
    <t>Study:_x000D_
Thoracic/abdominal radiography: six images dated September 10, 2024_x000D_
_x000D_
Findings:_x000D_
The cardiac silhouette and pulmonary vasculature are normal in size. The pulmonary parenchyma is unremarkable. No nodules or masses are present. The pleural space is normal. There is no intrathoracic lymphadenopathy. The larynx is unremarkable. The trachea is normal in diameter. There is no esophageal dilation. The abdominal serosal detail is normal. The stomach contains a small amount of unstructured heterogeneous soft tissue material presumed to be ingesta. The small intestines are normal in size, course and content. The colon contains formed fecal material. The liver is small with associated cranial rotation of the gastric axis. The spleen is normal in size and margin. The renal silhouettes are normal in size and contour. The urinary bladder is normal in size and opacity. There is narrowing of the T 13-L1 intervertebral disc space with sclerotic endplates and moderate spondylosis deformans. The L1-L2 intervertebral disc space also appears narrowed in comparison to the L2-L3 intervertebral disc space. On the right lateral projection timestamped 17:14, the right patella is superimposed with the femoral condyles.</t>
  </si>
  <si>
    <t>1. T 13-L1 and suspect L1-L2 intervertebral disc disease. Neurology consultation and MRI should be considered for further evaluation._x000D_
2. Microhepatia. Rule out normal variant, vascular anomaly or chronic hepatitis/cirrhosis. Correlate with any liver enzyme abnormalities. Abdominal sonography and bile acid testing can be considered for further evaluation if clinically relevant._x000D_
3. Normal thorax._x000D_
4. Right medial luxating patella.</t>
  </si>
  <si>
    <t>Study:_x000D_
Abdominal radiography: five images dated August 13, 2024_x000D_
_x000D_
Findings:_x000D_
On both lateral projections, there is a ovoid structured soft tissue opacity containing reticular gas. The stomach also contains recently ingested food. The small intestines are normal in size, course and content. The colon contains gas and poorly formed fecal material. The liver and spleen are normal in size and margin. The renal silhouettes are normal in size and contour. The urinary bladder is normal in size and opacity. Suture material from prior ovariohysterectomy is present caudal to each kidney, situated between the descending colon/urinary bladder and in the mid-ventral abdominal body wall. The included thorax is normal. There is variable mild to severe multifocal spondylosis deformans. Multiple lipomatous masses distorts the subcutaneous tissues.</t>
  </si>
  <si>
    <t>1. The structured soft tissue opacity containing reticular gas in the pylorus has the appearance of a corncob foreign body._x000D_
2. There is no evidence of small intestinal mechanical obstruction.</t>
  </si>
  <si>
    <t>Emesis could be attempted=ZZ90= however, there is risk for the foreign body lodging within the esophagus. Alternatively, endoscopy can be considered.</t>
  </si>
  <si>
    <t xml:space="preserve">
1.There is borderline hepatomegaly._x000D_
2.The spleen and abdominal serosal detail are within normal limits._x000D_
3.The small intestines are a combination of gas-filled and fluid-filled/collapsed, and all are within normal limits for diameter._x000D_
4.The colon contains a combination of gas and granular fecal material._x000D_
5.No abnormal AI findings reported.</t>
  </si>
  <si>
    <t>The AI result for this case is most compelling for: Normal post prandial GI tract in a patient WITHOUT GI signs. In a patient WITH GI signs, gastric foreign material is a consideration. The gastric contents likely represent food though foreign material cannot be ruled out. There is no evidence of small intestinal mechanical obstruction. Non-specific borderline hepatomegaly is likely normal variant or secondary to fat deposition or metabolic hepatopathy. Less benign causes such as hepatitis and neoplasia cannot be completely ruled out though these are thought less likely.</t>
  </si>
  <si>
    <t xml:space="preserve">
If GI signs are present, withhold food for 12 hours followed by repeat abdominal radiographs. If gastric material persists after withholding food, concern for gastric foreign material increases and further evaluation via abdominal ultrasound or positive contrast gastrography may be warranted._x000D_
Blood work is also recommended to further assess the liver values, particularly if abdominal disease is clinically suspected._x000D_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</si>
  <si>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7 views of the thorax, abdomen, and pelvic limbs are submitted for review._x000D_
There is moderate soft tissue swelling associated with the toe over the fourth digit of the left hindfoot.  No definitive osseous abnormalities are seen in this digit.  The remainder of the left hindfoot is within normal limits.  No abnormalities are noted in the right hindfoot._x000D_
Mild degenerative changes are noted in the left tarsus.  Moderate intracapsular effusion and mild degenerative changes noted in the left stifle.  A metallic implant is noted at the stifle, consistent with historical surgery._x000D_
In the abdomen, the stomach contains a mild amount of gas and ingesta.  The small bowel and colon are within normal limits.  The liver is normal in size and shape.  An approximately 2 to 3 cm focal soft tissue opacity structure summates with the lateral aspect of the left kidney, just caudal to the head of the spleen on the VD view.  This is not definitively seen on the lateral view.  The remainder of the spleen and renal silhouettes appear otherwise normal.  The urinary bladder is moderately distended.  Serosal detail is adequate._x000D_
In the thorax, the cardiac silhouette and pulmonary vasculature are within normal limits.  Mild bronchointerstitial markings are noted throughout the lung fields.  No pleural or mediastinal abnormalities are seen.  The trachea is normal in diameter.</t>
  </si>
  <si>
    <t>Soft tissue swelling associated with the fourth digit of the left hindfoot.  Differentials include inflammation or possibly soft tissue neoplasia.  No osseous involvement is seen._x000D_
Moderate degenerative change in intracapsular effusion in the left stifle, consistent with chronic cranial cruciate ligament injury.  Mild degenerative changes in the left tarsus._x000D_
The rounded soft tissue opacity structure lateral to the left kidney may represent a nodule associated with the tail of the spleen.  This could also be artifact.  Otherwise, radiographically normal abdomen._x000D_
Radiographically normal geriatric thorax.</t>
  </si>
  <si>
    <t>Symptomatic medical management for the swelling in the toe of the left hindfoot may be helpful._x000D_
If there is sufficient clinical concern, an abdominal ultrasound could be considered to further evaluate the spleen.</t>
  </si>
  <si>
    <t>Study:
Abdominal radiography: right lateral and orthogonal views (two images) dated September 10, 2024
Findings:
The stomach contains a small volume of gas. The thickness of the gastric wall is within normal limits for the degree of gastric distention. The small intestines are gas and fluid-filled and normal in size and course. The colon contains formed fecal material with a normal diameter. The liver and spleen are normal in size and margin. The renal silhouettes are normal in size and contour. The urinary bladder is normal in size and opacity. There is no prostatomegaly. The included thorax is normal. The osseous structures are unremarkable. There is no apparent intervertebral disc space or foraminal narrowing.</t>
  </si>
  <si>
    <t>Unremarkable abdomen. Abdominal sonography and cPLI testing can be considered to further evaluate for sources of intra-abdominal pain.</t>
  </si>
  <si>
    <t xml:space="preserve">
1.The gastric rugae are prominent on the VD proojection suggestive of gastritis. Alternatively, gastric luminal contents could be mimicking the appearance of prominent gastric rugae._x000D_
2.The small bowel is diffusely fluid filled without segmental small bowel dilation._x000D_
3.The colon is normal._x000D_
4.Abdominal detail is normal._x000D_
5.Liver size, shape and margin are normal._x000D_
6.Splenic size, shape and margin are normal.</t>
  </si>
  <si>
    <t>6 views centered over the thorax and thoracolumbar spine are submitted for review.  Multiple narrowed intervertebral disc spaces are noted in the caudal thoracic and cranial to mid lumbar spine from approximately T10-L4.  There is endplate sclerosis and ventral spondylosis deformans throughout this region. Mild kyphosis is noted in the caudal thoracic spine. Moderate degenerative changes are noted in the dorsal articular facet joints.  The caudal lumbar spine and lumbosacral junction appear subjectively normal.  No definitive abnormalities are noted in the visible portion of the abdomen.  The cardiac silhouette and pulmonary vasculature are within normal limits.  Mild bronchointerstitial markings are noted throughout the lung fields.</t>
  </si>
  <si>
    <t>Moderate to severe degenerative changes and chronic intervertebral disc disease in the caudal thoracic and cranial to mid lumbar spine.  Intervertebral disc protrusion or extrusion and a compressive myelopathy at 1 or multiple sites throughout this region is possible.</t>
  </si>
  <si>
    <t>Cross-sectional imaging of the thoracolumbar spine is indicated for more definitive diagnosis.</t>
  </si>
  <si>
    <t xml:space="preserve">
1.Abdominal detail is normal however the abdomen is mildly pendulous._x000D_
2.The stomach is normal. The small bowel contains gas and fluid but no segmental small bowel dilation is noted._x000D_
3.Splenic size, shape and margin are normal._x000D_
4.The liver is mildly enlarged but with smooth margins. No liver mass is noted.</t>
  </si>
  <si>
    <t>Five images are provided.
Images are dated September 10,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heterogeneous soft tissue material admixed with gas.  Minimal granular mineral is admixed with pyloric content.  Gas is partially in the pylorus in the left lateral image.  The stomach is within normal limits for size.
The small intestine contains minimal gas, mild fluid, or is empty with a subjectively uniform population for size. 
The colon contains mild to moderate heterogeneous soft tissue material and gas.  The colon is within normal limits for size.  
Musculoskeletal: The left femoral head has just under 50% coverage of the femoral head by the acetabulum.  No obvious coxofemoral joint osteoarthrosis is present.  The remaining included musculoskeletal structures are normal.</t>
  </si>
  <si>
    <t>1. Gastric material due to recent meal, versus gastritis/delayed gastric emptying or less likely pyloric outflow tract obstruction (partial/intermittent).
2. Minimal pyloric mineral material such as from dietary indiscretion.
3. Non-specific small intestinal and colon appearance such as from enteritis, colitis, or variation of normal.
- There is no current evidence of small intestinal mechanical ileus.
- Differential diagnoses include dietary indiscretion, toxin ingestion, diet/antibiotic responsive disease, inflammatory bowel disease, pancreatitis, occult systemic disease or unlikely other.
4. Mild left coxofemoral joint subluxation, such as from underlying laxity/dysplasia.</t>
  </si>
  <si>
    <t>Empirical therapy for gastritis/enteritis in the interim as needed, and consider repeat abdominal radiographs after 8-12 hours of fasting to monitor for passage of the gastric content.  Consider abdominal ultrasonography if signs fail to improve/worsen and repeat radiographs are inconclusive.   Consider PENNHIP radiographs for further evaluation of the hips, and/or stifle radiographs for further evaluation of reported right pelvic limb signs.  Monitoring as directed, or sooner if clinical signs acutely change, fail to improve or worsen.</t>
  </si>
  <si>
    <t>Study:_x000D_
Abdominal radiography: three images dated September 10, 2024_x000D_
_x000D_
Findings:_x000D_
There is a moderate amount of free peritoneal gas from the recent laparotomy/ovariohysterectomy. The stomach contains a small amount of heterogeneous soft tissue material presumed to be ingesta.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 included thorax is normal. The osseous structures are unremarkable.</t>
  </si>
  <si>
    <t>Pneumoperitoneum (normal finding postoperative laparotomy)=ZZ90= otherwise, unremarkable abdomen.</t>
  </si>
  <si>
    <t>Abdominal sonography can be its or for further evaluation if clinical signs persist or worsen.</t>
  </si>
  <si>
    <t>Three images are provided.
Images are dated September 10, 2024.
Pulmonary parenchyma:  In the left lateral image, over the lungs in the 4th intercostal space is an ill-defined, ovoid soft tissue focus.  In the ventrodorsal image, this focus is suspicious superimposed over the border of the right scapula in the right 4th intercostal space. A minimal to mild diffuse bronchial pattern is present.  A mild interstitial pattern is present in the lungs in the hypoinflated lateral images.  
Pulmonary vasculature: The pulmonary vasculature is subjectively normal in size and tapers in the periphery of the lungs.
Cardiac silhouette: The cardiac silhouette is normal in size and shape.
Mediastinum: The cranial mediastinum is normal.
Trachea: A slight soft tissue band partially superimposes over the dorsal aspect of the mid-cervical trachea.
Esophagus: The esophagus is not well-identified.
Pleural space: The pleural space is normal.
Musculoskeletal: The included thoracic musculoskeletal structures are normal.</t>
  </si>
  <si>
    <t xml:space="preserve">1. Suspicious for a right cranial lung lobe soft tissue nodule, versus artifact/superimposed normal structures, or unlikely other.
- If present, early/evolving metastatic neoplasia is suspected.
2. Minimal diffuse bronchial and mild interstitial patterns such as from hypoinflation/atelectasis and/or fibrosis from prior disease, age-related changes, or unlikely infectious/immune-mediated lower airway disease or other.
3. Slight dorsal redundant tracheal membrane with/without underlying dynamic airway disease, versus superimposed normal structures.  </t>
  </si>
  <si>
    <t>Consider a humanoid VD image for further evaluation of the right cranial lung lobe, versus computed tomography of the thorax for a more sensitive evaluation.  Computed tomography of the abdomen may also be contributory for pre-surgical planning of reported mammary mass resection with histopathology for a definitive diagnosis.  Repeat radiographs for monitoring may also be contributory in lieu of computed tomography.  Oncologist consultation depending on results of tissue sampling.  Routine blood work if not recently performed.   Empirical therapy and supportive care in the interim as needed.  Monitoring as directed or sooner if clinical signs acutely change, fail to improve or worsen.</t>
  </si>
  <si>
    <t>Four radiographs of the thorax/abdomen are provided. There is moderate generalized cardiac silhouette enlargement. Cranial pulmonary arteries and veins are enlarged. There is a severe interstitial pattern in the perihilar region causing loss of perihilar vessel visibility. The thoracic trachea and mainstem bronchi are deviated dorsally by the enlarged heart. No pleural effusion. Normal tracheal diameter. In the abdomen serosal detail is adequate. The liver is normal size with smooth margins. Moderate volume gas, amorphous soft tissue density in the stomach. There are several small sharply marginated mineral and metal opaque fragments in the stomach and intestines. These fragments measure up to 0.7 cm. Small bowel are diffusely mildly fluid-filled. Formed feces in the colon. Normal sized spleen. The kidneys are partially visible and are normal size. No radiopaque cystic calculi. Osseous structures are unremarkable.</t>
  </si>
  <si>
    <t>Moderate generalized cardiomegaly consistent with acquired mitral and tricuspid valve disease. There is pulmonary venous congestion and pulmonary edema indicating left sided heart failure. Enlarged pulmonary arteries is concerning for pulmonary hypertension. Cardiac disease is the most likely cause for the clinical signs. Mineral and metal opaque gastrointestinal foreign material, likely incidental at this time. No other abdominal abnormalities.</t>
  </si>
  <si>
    <t>Patient expired- no recommendations.</t>
  </si>
  <si>
    <t xml:space="preserve">
1.The liver is mildly enlarged with a smooth margin._x000D_
2.Resource: https://platform.v2.vetology.net/doc/liver_disease_x000D_
3.The spleen is normal in size and margin._x000D_
4.The stomach appears within normal limits._x000D_
5.The small intestines appear normal in size, course and content. No signs of small bowel obstruction._x000D_
6.No abnormal AI findings reported.</t>
  </si>
  <si>
    <t>ABDOMEN (4 radiographs for review). _x000D_
_x000D_
- Peritoneal serosal detail is normal._x000D_
- The stomach contains mild gas and gas-stippled soft-tissue opaque material_x000D_
- The small intestine contains mild to moderate multifocal gas and soft-tissue opaque material_x000D_
- The cecum is distended with gas._x000D_
- The colon has a corrugated appearance and contains gas, and minimal formed fecal material._x000D_
- The liver, spleen, region of the kidneys and urinary bladder are normal._x000D_
- The caudal thorax is normal_x000D_
- There are multiple caudal thoracic hemivertebral segments and a congenital screw tail vertebral anomaly is identified.</t>
  </si>
  <si>
    <t>1. The appearance of the stomach, small intestine and colon can be compatible with a non-specific generalized functional ileus (e.g. gastroenterocolitis). There is no obvious small intestinal foreign material or clear evidence of mechanical obstruction. If clinically indicated, abdominal ultrasonography might be considered._x000D_
_x000D_
2.  Multiple caudal thoracic hemivertebrae and congenital screw tail vertebral anomaly.</t>
  </si>
  <si>
    <t>Abdomen: There is a mild amount of heterogeneous soft tissue opacity within the gastric lumen.  A gastric outflow obstruction is not suspected.  Within the mid to caudal ventral right abdomen there is a segment/segments of jejunum that have a heterogeneous soft tissue opacity within their lumens.  There is no evidence of a small intestinal obstructive process.  The liver and spleen are unremarkable.  There are no abnormalities involving the visible portions of the urinary tract.  Serosal detail is normal.</t>
  </si>
  <si>
    <t>The material within the gastric lumen may represent normal ingesta or foreign material._x000D_
_x000D_
The appearance of the small intestines within the mid to caudal ventral right abdomen may represent ingesta within the small intestines however for material cannot be ruled out.</t>
  </si>
  <si>
    <t xml:space="preserve">
1.Abdominal detail is normal._x000D_
2.The stomach contains small volume gas and scant amorphous soft tissue density material. Diffuse, mild to moderate gas dilation of the small bowel without evidence of obstruction._x000D_
3.Liver size, shape and margin are normal._x000D_
4.Splenic size, shape and margin are normal.</t>
  </si>
  <si>
    <t>The AI result for this case is most compelling for: Gastric contents which may represent ingesta or foreign material. However, these finding may be associated with gastroenteritis.
There is no evidence of intestinal obstruction.</t>
  </si>
  <si>
    <t>ABDOMEN (3 images):
Images are dated September 10,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gas and minimal soft tissue.   The stomach is within normal limits for size.
The small intestine contains mild fluid or is empty with a subjectively uniform population for size. 
The colon contains mild  soft tissue material and gas.  The colon is within normal limits for size.  
Musculoskeletal: T13 is transitional with a hypoplastic right rib.  The L7 segment is transitional and partially sacralized on the right, forming the right sacroiliac joint.  The remaining included musculoskeletal structures are normal.</t>
  </si>
  <si>
    <t xml:space="preserve">1. Non-specific gastrointestinal tract appearance such as from enteritis, colitis, or unlikely individual variation of normal given reported history.
- There is no current evidence of gastrointestinal mechanical ileus.
- Differential diagnoses include dietary indiscretion, toxin ingestion, diet/antibiotic responsive disease, inflammatory bowel disease, pancreatitis, occult systemic disease or unlikely other.
</t>
  </si>
  <si>
    <t>Etiology of reported clinical signs is not definitively identified.  Consider routine blood work to rule out early/evolving coagulopathy (IMTP) contributing to repoed ventral abdominal bruising.  Consider GI panel, fecal analysis/deworming, and possibly abdominal ultrasonography for further evaluation.  Empirical therapy and supportive care in the interim as needed.  Monitoring as directed, or sooner if clinical signs acutely change, fail to improve or worsen in the face of empirical therapy.</t>
  </si>
  <si>
    <t xml:space="preserve">
1.The ascending, transverse and descending colon are in a normal position and contain gradually more formed feces._x000D_
2.The stomach contains a small amount of air and either has prominent gastric rugae or contains a small amount of soft tissue material._x000D_
3.The small intestinal tract contains normal volumes of fluid, gas and ingesta._x000D_
4.Abdominal detail is normal._x000D_
5.Splenic size, shape and margin are normal._x000D_
6.On the VD projection, the hepatic silhouette appears small however on the lateral projection, the hepatic silhouette is normal.</t>
  </si>
  <si>
    <t>Three orthogonal survey radiographs of the thorax and abdomen dated 10th September 2024 are available for review. There are no previous radiographs available for comparison. _x000D_
_x000D_
Thorax: _x000D_
Airway findings: The thoracic trachea is undulating. Dorsal to the tracheal bifurcation there is a poorly marginated soft tissue opacity. There is reduced tapering of the mainstem bronchi. There is a mild bronchointerstitial opacification of the lung parenchyma._x000D_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in size with smooth borders. The spleen is normal in shape, size and position. The kidneys are partially obscured by gastrointestinal contents, but the visible aspect are normal. The stomach contains some soft issue opaque heterogenous material and some gas. The gastric axis is normal. There is appropriate gas in the pylorus on the left lateral image. The small intestines are diffusely mildly filled/mildly dilated with a mixture of fluid and gas. There is mild loss of serosal detail in the region of the small intestines. The transverse and descending colon contain formed faeces. The urinary bladder is small._x000D_
_x000D_
Musculoskeletal findings: There is multisite intervertebral disc narrowing and ventral spondylosis deformans.</t>
  </si>
  <si>
    <t>1. The soft tissue opacity dorsal to the tracheal bifurcation may be an enlarged tracheobronchial lymph node, less likely left atrial dilation. The bronchiectasis and bronchointerstitial opacification is indicative of chronic lower airway inflammatory disease such as parasitic, environmental, allergic bronchitis._x000D_
2. No significant abnormalities are detected. Small intestinal findings may be post-prandial, however suspicion of a diffuse enteropathy such as IBD, food allergy, intestinal lymphoma is increased. There is no evidence for a foreign body._x000D_
3. Multisite intervertebral disc disease.</t>
  </si>
  <si>
    <t>A thoracic CT may be considered. Respiratory workup including CBC, serum chemistry, urinalysis, Baermann faecal testing, 4DX, +/- respiratory panel or fungal testing as indicated is advised.  Alternatively, empirical therapy for lower airway disease, empirical deworming, and removal of allergens and environmental irritants (i.e. smoke, dust, perfumes, etc.) can be considered._x000D_
Consider complete abdominal ultrasonographic examination, and or further workup for diffuse enteropathy such as food allergy and IBD. Consider a dietary trial.</t>
  </si>
  <si>
    <t>Two lateral radiographs of the thorax, and three views of the abdomen are provided. The cardiac silhouette and pulmonary vessels are normal size and shape. The lungs are clear. There is no pleural effusion. No enlarged intrathoracic lymph nodes. Normal tracheal diameter. The plane of the esophagus is unremarkable._x000D_
_x000D_
In the abdomen there is no effusion. The prostate is mildly enlarged, consistent with the reproductive status of this patient. The urinary bladder is mildly filled and soft tissue opaque. Normal-sized liver, spleen, kidneys. Moderate volume gas and scant amorphous soft tissue density in the stomach. Small and large bowel are minimally filled. There is no radiopaque foreign material. Osseous structures are unremarkable.</t>
  </si>
  <si>
    <t>Normal thorax and abdomen. A reason for the clinical signs is not identified.</t>
  </si>
  <si>
    <t xml:space="preserve">
1.The small bowel is diffusely gas- and fluid-filled with intestinal distention approaching the upper limit of normal. In a small portion of cases, uterine horn distention could mimic small bowel dilation._x000D_
2.The stomach is mildly to moderately gas distended._x000D_
3.Cranial abdominal detail is mildly decreased._x000D_
4.Splenic size, shape and margin are normal._x000D_
5.Resource: https://platform.v2.vetology.net/doc/microhepatia_and_giulcers_x000D_
6.Liver size is at the lower limits of normal to slightly small with cranial displacement of the gastric axis.</t>
  </si>
  <si>
    <t>Three orthogonal radiographs of the abdomen dated 10th September 2024 are available for review. There are no previous radiographs available for comparison. These images are submitted for assessment of the vertebral column and pelvis._x000D_
_x000D_
Vertebral column: There is collapse of the T5-T6 intervertebral disc space with ventral spondylosis. The vertebral and plates are smooth. The remainder of the thoracic vertebral column is normal. There is spondylosis deformans at the lumbosacral junction. Both sacroiliac joints are normal. Both coxofemoral joints are normal. The patella are laterally positioned on the femoral condyles.</t>
  </si>
  <si>
    <t>1. T5-T6 intervertebral disc disease with spondylosis. Discospondylitis is considered unlikely. This may be degenerative or traumatic or a combination thereof. Extradural compression by herniated disc material is possible, although this may also be an incidental finding. The lumbosacral spondylosis is unlikely to be causing the clinical signs.</t>
  </si>
  <si>
    <t>Consider treating for intervertebral disk disease/arthritis (exercise restriction, NSAIDs with supportive bloodwork, +/- multimodal analgesia). If no response to therapy, patient has continued proprioceptive deficits or is worsening in general, referral to a neurologist for discussion regarding feasibility of MRI vs. CT of the spine is advised.</t>
  </si>
  <si>
    <t xml:space="preserve">
1.No abnormal AI findings reported._x000D_
2.No abnormal AI findings reported._x000D_
3.The liver, spleen and abdominal detail are normal._x000D_
4.The gastric rugae are prominent or the gastric lumen contains soft tissue opaque material that mimics the appearance of prominent gastric rugae._x000D_
5.The remainder of the small intestinal tract is normal. A portion of the colon has a questionably rigid appearance.</t>
  </si>
  <si>
    <t>2 images of the thorax and abdomen are presented for review.  The trachea is dorsally deviated.  There is straightening of the caudal cardiac waist in the region of the left atrium.  There is a diffuse interstitial pulmonary pattern that is considered appropriate for the age of the patient.  No pulmonary nodules are seen.  Thin pleural fissure lines are present.  A large soft tissue mass is present in the cranial mediastinum..  Abdominal serosal detail is adequate in all quadrants.  The liver margins are rounded and extend beyond the costal arch.  The stomach contains a moderate amount of ingesta.  The small intestines are normal in size.  Gas and feces are present in the colon.  The urinary bladder is small.  The remaining abdominal organs are normal.</t>
  </si>
  <si>
    <t>Cranial mediastinal mass concerning for neoplasia=ZZ90= consider lymphoma, thymoma, other.  Scant pleural effusion.  Thoracic ultrasound or CT could be considered in further evaluation and to aid in sampling if the mass is solid.  Mild left-sided cardiomegaly without current evidence of cardiogenic pulmonary edema.  Echocardiography may be helpful in further evaluation.  Hepatomegaly=ZZ90= this is a nonspecific finding that may be seen with congestion, vacuolar hepatopathy, inflammation, neoplasia, etc.  Abdominal ultrasound may be helpful in further evaluation if biochemically indicated.</t>
  </si>
  <si>
    <t xml:space="preserve">
1.The liver is enlarged with rounded borders._x000D_
2.There is increased soft tissue opacity in the splenic region. DDx: secondary to caudal extension of the liver vs. loss of detail due to abdominal fluid vs. splenomegaly or a splenic mass._x000D_
3.There is poor detail identified in the abdomen. DDx: secondary to hepatomegaly causing crowding of the abdominal organs and/or abdominal fluid._x000D_
4.The abdomen is mildly pendulous._x000D_
5.The small intestine is diffusely fluid filled._x000D_
6.The stomach contains fluid and some gas.</t>
  </si>
  <si>
    <t>THORAX (3 images) and ABDOMEN (6 images):
Images are dated September 10, 2024.
Pulmonary parenchyma: An ill-defined interstitial pattern is in the left caudal lung lobe in all images.  A mild diffuse bronchial and minimal interstitial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but is partially obscured by decreased serosal detail
Spleen: The spleen is subjectively normal in size but partially obscured due to peritoneal serosal detail.
Kidneys: The kidneys are obscured without obvious enlargement or mineral.
Urinary bladder/Urethra: The urinary bladder is partially obscured without obvious enlargement or mineral.
Peritoneum: Peritoneal detail is generally mildly decreased, most severe in the cranial abdomen.
Gastrointestinal tract: The stomach contains a moderate volume of gas.   The stomach is within normal limits for size.
The small intestine contains minimal gas and fluid or is empty with a subjectively uniform population for size. 
The colon contains mild to moderate gas.  The colon wall is mildly spastic.  The colon is within normal limits for size.  
Musculoskeletal: Multifocal thoracolumbar spondylosis deformans and lumbar dorsal articulation osteoarthrosis is present. 
 The remaining included musculoskeletal structures are normal.</t>
  </si>
  <si>
    <t xml:space="preserve">1. Left caudal lung lobe interstitial pattern is suspicious for an evolving mass-lesion such as primary or less likely metastatic neoplasia, versus other such as from atypical pneumonitis, hematogenous spread of pneumonia, less likely non-cardiogenic edema or unlikely other.
2. Mild diffuse bronchial and minimal interstitial pulmonary pattern such as from infectious/immune-mediated lower airway disease (mycoplasma spp., bordetella spp., parasitism, or other) versus artifact/technique.
3. Mild peritoneal effusion due to occult malignancy versus inflammation (hepatitis/cholangiohepatitis/pancreatitis or other), or unlikely other.
4. Non-specific gastrointestinal tract appearance such as from enteritis/colitis or unlikely  variation of normal given reported history.
- There is no current evidence of gastrointestinal mechanical ileus.
- Differential diagnoses include dietary indiscretion, toxin ingestion, diet/antibiotic responsive disease, inflammatory bowel disease, pancreatitis, occult systemic disease or unlikely other.
5. No obvious hepatomegaly is identified in this examination.  </t>
  </si>
  <si>
    <t>Consider computed tomography of the thorax/abdomen as well as abdominocentesis and fluid analysis/cytology.  Consider coagulation testing and hepatic tissue sampling depending on results, especially if an occult hepatic mass/malignancy is revealed.  Abdominal ultrasonography may also be beneficial, but may be limited in the cranial abdomen given patient size/body conformation.  Empirical therapy and supportive care in the interim as needed.  Monitoring as directed or sooner if clinical signs acutely change, fail to improve or worsen.</t>
  </si>
  <si>
    <t xml:space="preserve">
1.Liver size, shape and margin are normal._x000D_
2.Splenic size, shape and margin are normal._x000D_
3.Serosal detail is adequate to slightly decreased._x000D_
4.The small intestines have a diffuse fragmented gas pattern.</t>
  </si>
  <si>
    <t>The AI result for this case is most compelling  for:  normal post-prandial GI tract in a patient WITHOUT GI signs. In a patient WITH GI signs, gastric foreign material or low grade gastroenteritis is a consideration. Primary differential consideration for the appearance of the gastric lumen include normal ingesta. However, if vomiting or anorexia are present, gastric foreign material becomes a consideration. Fragmented gas pattern associated with the small intestines which may be secondary to enteritis. No small intestinal obstruction is identified.</t>
  </si>
  <si>
    <t>WHOLE-BODY (3 total radiographs for review).  Multiple previous examinations are available for comparison most recently from January 2024._x000D_
_x000D_
- Peritoneal serosal detail is mildly reduced._x000D_
- The stomach contains mild gas and gas-stippled soft-tissue opaque material_x000D_
- The small intestine contains mild multifocal gas and soft-tissue opaque material_x000D_
- The colon contains gas, soft-tissue/fluid and minimal/no formed fecal material._x000D_
- The spleen is mildly enlarged, with rounded margins._x000D_
- The liver, region of the kidneys and urinary bladder are normal._x000D_
- The cardiac silhouette and pulmonary vasculature are normal._x000D_
- The pulmonary parenchyma is normal_x000D_
- The trachea, esophagus and mediastinum are normal._x000D_
- The pleural space, diaphragm and ribs are normal._x000D_
- The remaining intrathoracic structures are normal._x000D_
- There are again multiple mid and caudal thoracic hemivertebral segments and fusion of the dorsal spinous processes, in addition to mild multifocal spondylosis deformans and a congenital screw tail vertebral anomaly.</t>
  </si>
  <si>
    <t>1. The appearance of the stomach, small intestine and colon can be compatible with a non-specific generalized functional ileus (e.g. gastroenterocolitis). There is no obvious small intestinal foreign material or clear evidence of mechanical obstruction.  No evidence of neoplasia is identified.  If clinically indicated, abdominal ultrasonography might be considered._x000D_
_x000D_
2. Moderate splenomegaly. DDx congestion from sedation, lymphoid hyperplasia, EMH, less likely neoplasia._x000D_
_x000D_
3.  Normal thorax._x000D_
_x000D_
4.  Multiple mid and caudal thoracic hemivertebral segments, spondylosis deformans and congenital screw tail vertebral anomaly.</t>
  </si>
  <si>
    <t xml:space="preserve">
1.There is decreased detail in the cranial abdomen._x000D_
2.The spleen is within normal limits._x000D_
3.The stomach is partially distended with food material and fluid._x000D_
4.The small intestinal track is mostly fluid filled uniform in diameter._x000D_
5.The colon is gas filled in corrugated._x000D_
6.Liver size, shape and margin are normal.</t>
  </si>
  <si>
    <t>Decreased cranial abdominal detail. DDx: regional inflammation secondary to pancreatitis or gastroenteritis vs. extension of the hepatomegaly into the cranial abdomen. There is evidence of concurrent colitis and regional enteritis.</t>
  </si>
  <si>
    <t xml:space="preserve">
Blood work, pancreatic testing and abdominal ultrasound._x000D_
If GI signs are present, initiate therapy for pancreatitis and gastroenteritis while awaiting additional diagnostics._x000D_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</si>
  <si>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Abdominal radiography: three images dated September 10, 2024_x000D_
_x000D_
Findings:_x000D_
The abdominal serosal detail is normal. The stomach contains a small volume of gas. The thickness of the gastric wall and rugae is within normal limits for the degree of gastric distention. The small intestines are normal in size, course and content. The colon contains gas and formed fecal material. The liver and spleen are normal in size and margin. The renal silhouettes are normal in size and contour. The urinary bladder is normal in size and opacity. There is no prostatomegaly. The included thorax is normal. No skeletal abnormalities are present.</t>
  </si>
  <si>
    <t>Unremarkable abdomen. A cause of the reported vomiting, inappetence, lethargy and tenesmus is not evident. There is no radiographic evidence of gastrointestinal foreign material or small intestinal mechanical obstruction. Abdominal sonography can be considered for further evaluation if clinical signs persist or worsen in spite of medical management.</t>
  </si>
  <si>
    <t xml:space="preserve">
1.Liver size, shape and margin are normal._x000D_
2.Splenic size, shape and margin are normal._x000D_
3.Abdominal detail is normal._x000D_
4.The stomach contains small volume gas and scant amorphous soft tissue density material. The small bowel is normal.</t>
  </si>
  <si>
    <t>7 views of the thorax and abdomen are submitted for review.  Stomach contains a mild amount of gas.  The small bowel is normal and uniform in diameter and contains a mild amount of gas and fluid.  No definitively dilated or plicated loops of bowel are seen.  The colon is mostly empty.  The liver and spleen are normal in size, shape, and margination.  The bilateral renal silhouettes are within normal limits.  The urinary bladder is unremarkable.  Serosal detail is normal._x000D_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No osseous abnormalities are seen.</t>
  </si>
  <si>
    <t>The appearance of the GI tract is consistent with functional ileus associated with gastroenteritis from any cause.  No evidence of mechanical obstruction of the GI tract is seen._x000D_
Radiographically normal thorax.</t>
  </si>
  <si>
    <t>Symptomatic/supportive medical management may be helpful in the short-term.  If clinical signs persist, correlation with blood work and an abdominal ultrasound would be recommended.</t>
  </si>
  <si>
    <t xml:space="preserve">
1.Liver size, shape and margin are normal._x000D_
2.Splenic size, shape and margin are normal._x000D_
3.The stomach is mildly gas and fluid filled with some soft tissue density material. The small bowel is gas and fluid-containing. No obvious obstruction._x000D_
4.Abdominal detail is normal.</t>
  </si>
  <si>
    <t>Three orthogonal thoracic radiographs dated 10th September 2024 are available for review. There are no previous radiographs available for comparison. _x000D_
_x000D_
Airway findings: The cervical and thoracic trachea have a normal size, outline and position. The carina, tracheal bifurcation and mainstem bronchi are normal. Throughout the lung parenchyma there are variable sized small nodules. There is bronchointerstitial opacification of the lung parenchyma._x000D_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Thin pleural fissure lines are present._x000D_
_x000D_
Musculoskeletal findings: There is collapse of the T11-T12 intervertebral disc space, and ventral displacement of the T13 vertebral body relative to the T12 vertebral body. The T12 the 13 intervertebral disc space is collapsed. The T11-T12 vertebral bodies are compressed and fused._x000D_
_x000D_
Included abdomen: No significant abnormalities are detected.</t>
  </si>
  <si>
    <t>1. The findings are most consistent with metastatic neoplasia, likely mammary adenocarcinoma, as reported. The interstitial opacification is likely secondary._x000D_
2. Historic thoracal lumbar trauma with subluxation of T12-T13</t>
  </si>
  <si>
    <t>Thorax and abdomen. Two radiographs of the thorax (right lateral and ventrodorsal) and two radiographs of the abdomen (right lateral and ventrodorsal) dated September 10, 2024 are provided, a total of 4 images.
Cardiac silhouette: The cardiac silhouette is subjectively within normal limits (VHS 10.1). However, there is enlargement of the aortic root/arch which widens the cardiac waist and creates a trapezoidal shape to the cardiac silhouette on the lateral view.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stomach contains a small volume of heterogeneous ingesta admixed with gas. The small intestine is diffusely within normal limits of diameter and is gas and soft tissue opaque. The colon contains loosely formed feces and gas.
Liver: The liver is mildly enlarged with rounded caudal margins which extend beyond the costal arch.
Spleen: The spleen is normal in size and shape with smooth margins.
Urinary: The visible margins of the kidneys are normal. The urinary bladder is within normal limits of size and opacity.
Peritoneal space: There is adequate serosal detail.
Musculoskeletal: The included skeletal and superficial soft tissue structures of the study are within normal limits.</t>
  </si>
  <si>
    <t xml:space="preserve">1. There is moderate enlargement of the aortic arch. Given the reported murmur, aortic stenosis/subaortic stenosis is prioritized. Systemic hypertension is not ruled out. There is no evidence of congestive heart failure.
2. Mild hepatomegaly.  This is a nonspecific finding, differentials include metabolic disease, endocrine disease, inflammation, and less likely, infiltrative neoplasia.  </t>
  </si>
  <si>
    <t>An echocardiogram, EKG, and blood pressure are recommended to further evaluate the heart prior to general anesthesia. An abdominal ultrasound with fine-needle aspirates of the liver could be considered.</t>
  </si>
  <si>
    <t xml:space="preserve">
1.There is mild hepatomegaly._x000D_
2.Resource: https://platform.v2.vetology.net/doc/liver_disease_x000D_
3.The spleen is within normal limits._x000D_
4.Abdominal detail is questionably decreased, although this may be due to artifact._x000D_
5.The gastrointestinal tract is unremarkable containing only small volumes of gas and fluid with a moderate volume of fecal material within the colon.</t>
  </si>
  <si>
    <t>The AI result for this case is most compelling for: Mild hepatomegaly. Vacuolar hepatopathy or inflammation could be considered. Neoplasia would be given lesser consideration due the mild change and smooth serosal margins.</t>
  </si>
  <si>
    <t xml:space="preserve">
Virtual Radiologist Case Difficulty: MODERATE_x000D_
Virtual Radiologist Confidence: MODERATE_x000D_
Abdominal ultrasound could also be considered for further evaluation of the liver.</t>
  </si>
  <si>
    <t>5 images of the spine are provided for review.  No fractures, luxations, or aggressive osseous lesions are seen.  Hemivertebrae are present in the mid thoracic spine.  There is consistent narrowing of the intervertebral disc spaces at L3-5.  Coverage of the femoral heads by their acetabular rims is adequate.  The thoracic and abdominal structures included are normal.</t>
  </si>
  <si>
    <t>Congenital hemivertebrae.  Narrowed intervertebral disc spaces suggestive of intervertebral disc herniations.  This does not rule out intervertebral disc herniation at another site or other causes of spinal cord compression.</t>
  </si>
  <si>
    <t xml:space="preserve">
1.Splenic size, shape and margin are normal._x000D_
2.Abdominal detail is normal._x000D_
3.The stomach contains gas and ingesta or prominent rugae. The small bowel is diffusely fluid filled but without segmental small bowel dilation._x000D_
4.Liver size, shape and margin are normal.</t>
  </si>
  <si>
    <t xml:space="preserve">THORAX (2 images):
Images are dated September 10, 2024
Pulmonary parenchyma:  Diffusely throughout the lungs are numerous, well-defined, discrete and coalescing soft tissue nodules.  The largest of these is suspected in the ventral aspect of the left caudal lung in the right lateral image.  A moderate to severe interstitial to minimal alveolar pattern is in the right middle lung in the ventrodorsal image.  A diffuse moderate bronchial and mild interstitial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Mild pleural fluid is present, with widened pleural fissures in the periphery of the lungs between the right middle/caudal, left cranial/caudal subsegments and left cranial/caudal lung lobes, and rounding of the caudal lungs in the diaphragmatic recesses.  
Musculoskeletal: The included musculoskeletal structures are normal.
Cranial abdomen:  Suspicious for hepatomegaly and peritoneal fluid.  </t>
  </si>
  <si>
    <t>1. Numerous soft tissue pulmonary nodules is most likely due to metastatic/multicentric neoplasia from an occult primary malignancy.
2. Right middle lung lobe interstitial to alveolar pattern.
- Differential diagnoses include atelectasis from bronchial plugging versus other, or less likely atypical metastatic neoplasia, hemorrhage, or other.
3. Diffuse bronchial and interstitial patterns due to atypical/evolving metastatic/multicentric neoplasia, fibrosis from prior disease, age-related changes, infectious/immune-mediated lower airway disease, or unlikely other.
4. Mild pleural fluid such as from malignant effusion, or unlikely other.</t>
  </si>
  <si>
    <t>Consider computed tomography of the thorax and abdomen and/or abdominal ultrasonography for further evaluation.  Routine blood work and coagulation testing, and tissue sampling of peripherally accessible lesions for a definitive diagnosis. Thoracocentesis with fluid analysis/cytology may also be contributory. If tissue sampling is inconclusive, consider fungal/granulomatous disease testing, but this is considered least likely unless the patient has an appropriate travel/exposure history. Empirical therapy and supportive care in the interim as needed.  Monitoring as directed, or sooner if clinical signs acutely change, fail to improve or worsen.</t>
  </si>
  <si>
    <t xml:space="preserve">
1.The stomach is mildly gas and fluid filled with some soft tissue density material. The small bowel is gas and fluid-containing. No obvious obstruction._x000D_
2.Splenic size, shape and margin are normal._x000D_
3.The liver is mildly enlarged but retains a smooth margin._x000D_
4.No abnormal AI findings reported.</t>
  </si>
  <si>
    <t>Orthogonal radiographs of the abdomen are provided. Serosal detail is reduced in the cranial peritoneal space. Moderate volume fluid and small volume gas in the stomach. Small intestines are diffusely moderately fluid-filled. Scant minimally formed feces in the colon. No radiopaque foreign material. Normal-sized liver, kidneys, spleen. No radiopaque cystic calculi. Normal caudal thorax.</t>
  </si>
  <si>
    <t>Hazy cranial peritoneal detail, with small intestinal functional ileus and evidence of diarrhea. Gastroenteritis secondary to dietary indiscretion or infectious etiology is most likely. There is no evidence of an obstructive process. Small radiolucent gastric foreign material is not ruled out. There is no evidence of small bowel obstruction.</t>
  </si>
  <si>
    <t>Recommend a CBC, blood chemistry profile, fecal examination, and supportive care. If the patient does not rapidly improve, abdominal ultrasound should be considered.</t>
  </si>
  <si>
    <t xml:space="preserve">
1.Splenic size, shape and margin are normal._x000D_
2.Abdominal detail is normal._x000D_
3.The stomach contains small volume gas and scant soft tissue density. The small bowel is diffusely gas- and fluid-filled without segmental small bowel dilation._x000D_
4.The liver is mildly enlarged with smooth margins.</t>
  </si>
  <si>
    <t>Five images are provided.
Images are dated September 10, 2024.
Bones/Joints:
A dens is present.  There is no evidence of atlantoaxial joint subluxation.
Mineral foci are suspected over the ventral aspect of the L4-5 and L5-6 intervertebral foramina.  The T12-13 intervertebral disc space is mildly narrowed in lateral and ventrodorsal images.  Apparent narrowing of other intervertebral disc spaces in some images is not confirmed in the orthogonal image, such as T13-L1. There is no evidence of intervertebral dorsal articulation osteoarthrosis.
There is no evidence of medullary sclerosis, osteolysis, endosteal scalloping, or periosteal proliferation.
Soft tissues:  The included paraspinal soft tissues are normal.</t>
  </si>
  <si>
    <t>1. Suspected L4-5 and L5-6 intervertebral disc disease versus dural mineral or superimposed lateralized spondylosis deformans.
2. T12-13 intervertebral disc disease narrowing is suspected.
3. No obvious cervical vertebral fractures.</t>
  </si>
  <si>
    <t>Consider neurologist consultation and MRI for further evaluation.  Routine blood work if not recently performed. Empirical therapy and supportive care as needed in the interim. Monitoring as directed or sooner if clinical signs acutely change, fail to improve or worsen.</t>
  </si>
  <si>
    <t xml:space="preserve">
1.Splenic size, shape and margin are normal._x000D_
2.The liver is mildly enlarged but with a normal shape and smooth margins. No hepatic mass has been identified._x000D_
3.Abdominal detail is normal._x000D_
4.The stomach and intestinal tract are normal.</t>
  </si>
  <si>
    <t>Opposite lateral and ventrodorsal abdominal radiographs (3 images) dated September 10, 2024._x000D_
_x000D_
The liver and spleen are unremarkable in size and shape. The urinary bladder is mildly distended with homogeneous fluid opacity. The tubular soft tissue opacity is present bilaterally and caudal abdomen the kidneys are only partially visible with no abnormalities appreciable. The stomach is empty. The small intestine, cecum, and colon are unremarkable. Retroperitoneal and peritoneal detail are normal. No regional lymphadenopathy is evident. _x000D_
No osseous abnormalities are identified.</t>
  </si>
  <si>
    <t>1. Uterine distention under 2 weeks post-parturition is an unremarkable finding, and it can take 40-60 days for complete involution. Additionally, the vulvar discharge can persist up to 3 weeks after whelping. Note that this does not completely rule out uterine pathology._x000D_
2. The remainder of the abdomen is unremarkable.</t>
  </si>
  <si>
    <t>CBC, Chem, UA, thyroid, fecal, BP._x000D_
Palpate for hot painful mammary glands in case of mastitis._x000D_
Supportive care with fluids and antiemetic injection while awaiting diagnostic results. _x000D_
Abdominal ultrasound is reasonable to consider depending on patient=ZZ91=s response or labwork results.</t>
  </si>
  <si>
    <t xml:space="preserve">
1.The stomach contains small volume gas. Small intestines are minimally distended._x000D_
2.Abdominal detail is normal._x000D_
3.Splenic size, shape and margin are normal._x000D_
4.Liver size, shape and margin are normal.</t>
  </si>
  <si>
    <t>The AI result for this case is most compelling for: Normal appearing abdomen. However, In the correct clinical context, this could also be seen with gastroenteritis or pancreatitis. There is no severe intestinal dilation to suggest an obstruction.</t>
  </si>
  <si>
    <t>5 images of the thorax and abdomen are provided for review and compared with the previous study. The trachea is dorsally deviated, indicating left ventricular enlargement. A bulge is present in the area of the left atrium. The cardiac silhouette is also widened  with rounding of the right ventricular margin. The primary bronchi are narrowed. Moderate bronchial markings are present in all lung lobes. No perihilar pulmonary infiltrates are seen. The pulmonary vasculature is normal in size. The mediastinal and pleural structures are normal. Abdominal serosal detail is adequate in all quadrants. The liver margins are rounded and extend beyond the costal arch, causing caudal displacement of the gastric axis. The stomach contains a moderate amount of ingesta. The small intestines are normal in size. Gas and feces are present in the colon. The urinary bladder is small. A rounded faintly mineral structure is seen in the urinary bladder. The remaining abdominal organs are normal. There are healed fractures of left ribs 12 and 13.</t>
  </si>
  <si>
    <t>Progressive cardiomegaly without current evidence of cardiogenic pulmonary edema. Bronchial narrowing consistent with compression and/or collapse. Persistent bronchial pulmonary pattern consistent with chronic lower airway disease such as bronchitis. Persistent hepatomegaly.</t>
  </si>
  <si>
    <t>Opposite lateral and ventrodorsal abdominal radiographs (3 images) dated September 10, 2024._x000D_
_x000D_
The liver and spleen are normal in size and shape. Both kidneys are normal in size and shape. The urinary bladder is small and fluid opaque. There is no radiographic evidence of uterine distention. The stomach is distended with a large amount of heterogeneous granular soft tissue content and a smaller volume of gas. This gastric material is mobile between views, and the pyloric antrum is gas-filled on the left lateral view. The duodenum is mildly gas distended and has a normal course. The remaining small intestine is similar in appearance with most segments minimally distended with gas and fluid. Some segments have an irregular linear coalescing gas pattern. The cecum contains gas. The colon is empty/collapsed. Retroperitoneal and peritoneal detail are normal. No regional lymphadenopathy is evident._x000D_
No osseous abnormalities are noted.</t>
  </si>
  <si>
    <t>Non-obstructive gastroenteritis +/- colitis.  Rule out dietary indiscretion or toxin vs. food allergy/intolerance vs. flareup of a chronic enteropathy (ex: IBD) vs. GI infectious vs. systemic/extra GI causes (liver or kidney injury/disease, pancreatitis, endocrine disorder, systemic infection, non-GI neoplasia).</t>
  </si>
  <si>
    <t>Supportive care with fluid rehydration, antiemetics, gastroprotectants/omeprazole, antidiarrheal with probiotic, and bland diet.  General health profile (CBC, chemistry, UA, fecal) +/- spec cPL and baseline cortisol to screen for underlying causes.  Repeat fasted abdominal radiographs or ideally abdominal ultrasound if the patient fails medical management.</t>
  </si>
  <si>
    <t xml:space="preserve">
1.The stomach contains small volume gas and equivocal scant soft tissue density._x000D_
2.Small intestines are minimally distended. No evidence of obstruction._x000D_
3.Abdominal detail is normal._x000D_
4.No abnormal AI findings reported._x000D_
5.The liver and spleen are normal size and shape.</t>
  </si>
  <si>
    <t>Three radiographs of the abdomen are provided. There is no abdominal effusion. The stomach contains a moderate amount of fluid, small volume of mineral opaque debris, and a thin 0.7 cm stippled metal density. Small intestines are diffusely mildly filled with gas and stippled soft tissue density. There is gas and small volume of formed feces in the colon. No severe intestinal distention. The liver, kidneys, and spleen are normal size and shape. The urinary bladder is minimally filled. Both femoral heads are mildly flattened, with mildly thickened femoral necks. The right femoral head is minimally covered by the dorsal acetabular rim. The left femoral head is located lateral to the acetabulum.</t>
  </si>
  <si>
    <t>1. Mineral and metal gastric foreign material. Subsequent gastritis is likely. Remaining gastric contents may represent fluid and residual ingesta. Foreign material causing gastritis and pyloric outflow obstruction is not definitively ruled out. There is no evidence of small bowel obstruction._x000D_
2. Bilateral hip dysplasia with subluxation.</t>
  </si>
  <si>
    <t>Recommend supportive care and repeat abdominal radiographs following a confirmed fast to rule out gastric foreign material. With the volume of gastric contents, extended fast may be necessary. If vomiting is severe/persistent, retrieval of gastric contents with gastroscopy or exploratory surgery may be necessary.</t>
  </si>
  <si>
    <t xml:space="preserve">
1.The stomach has a normal axis._x000D_
2.The small intestines are homogenously fluid-filled, and mildly dilated._x000D_
3.The colon is gas-filled._x000D_
4.The descending colon contains mainly fluid opaque material._x000D_
5.There is a moderate amount of fluid and gas within the stomach._x000D_
6.The hepatic silhouette is normal._x000D_
7.Abdominal detail is normal._x000D_
8.The spleen is normal for size, shape and margin.</t>
  </si>
  <si>
    <t>Opposite lateral and ventrodorsal whole body radiographs (3 images) dated September 10, 2024. Only the abdomen was specifically requested for interpretation._x000D_
_x000D_
A large amount of somewhat tubular soft tissue opacity creating a mass effect is present in the caudal abdomen, resulting in cranial displacement of the small intestine and slight dorsal displacement of the descending colon. Urinary bladder is small and fluid opaque. The liver is unremarkable in size and shape. The splenic head is unremarkable, and the tail is not clearly visible. The kidneys are partially visible with no overt abnormalities appreciable. The stomach contains a scant volume of gas. The proximal colon is gas dilated. The small intestine has a mild variation in diameter. The colon contains poorly formed stool. Peritoneal detail is reduced. No regional lymphadenopathy is evident.</t>
  </si>
  <si>
    <t>1. Large tubular mass effect in the caudal abdomen is concerning for uterine distention. Rule out pyometra vs. less likely early pregnancy or other =ZZ92=metras=ZZ92= (hydrometra, mucometra, hematometra) vs. least likely uterine tumor._x000D_
2. Peritoneal detail may represent mesenteric inflammation from presumed pyometra vs. less likely other causes._x000D_
3. Poorly formed stool in the colon is concerning for loose stool/diarrhea.</t>
  </si>
  <si>
    <t>Hospitalized supportive care with fluid rehydration for the next few hours, with a plan of either abdominal ultrasound or exploratory laparotomy for ovariohysterectomy.</t>
  </si>
  <si>
    <t xml:space="preserve">
1.The stomach is caudally displaced by the hepatomegaly. The small bowel is normal._x000D_
2.The colon is gas filled and has a rigid appearance._x000D_
3.There is smoothly margined hepatomegaly._x000D_
4.The spleen is at the upper limits of normal for size on the VD projection._x000D_
5.Abdominal detail is decreased, particularly in the mid-abdomen, with a mild increase in soft tissue opacity in the region caudal to the stomach._x000D_
6.The ventral abdominal line is mildly pendulous.</t>
  </si>
  <si>
    <t>Hepatomegaly with caudal displacement of the stomach. DDx: Rule out metabolic/vacuolar hepatopathy, hyperplasia, hepatitis or infiltrative neoplasia. Correlate with any liver enzyme abnormalities. Decreased abdominal detail and increased soft tissue opacity caudal to the stomach. DDx: secondary to the hepatomegaly vs. secondary to other soft tissue structure such as splenomegaly, pancreatic enlargement or lymph node enlargement. Gas filled and rigid appearance to the colon suggestive of colitis. Given #2, pancreatitis causing colitis is a consideration.</t>
  </si>
  <si>
    <t xml:space="preserve">
Virtual Radiologist Case Difficulty: MODERATE_x000D_
Virtual Radiologist Confidence: MODERATE_x000D_
A CBC, biochemistry profile, and urinalysis are recommended if not recently performed. Empirical therapy for colitis if clinically warranted._x000D_
Abdominal ultrasound +/- tissue sampling. Coagulation profile, platelet count and PCV prior to tissue sampling.</t>
  </si>
  <si>
    <t>Opposite lateral and ventrodorsal abdominal radiographs (3 images) dated September 9, 2024._x000D_
_x000D_
The liver and spleen are normal in size and shape. The kidneys are not well visualized due to superimposed viscera. The urinary bladder is mildly distended with homogeneous fluid opacity. The prostate is partially visible in the cranial pelvic inlet as a rounded soft tissue opacity. The stomach contains a mild volume of gas and has a prominent rugal folds. The pyloric antrum is gas-filled on left lateral view. The small intestine is diffusely and mildly distended with gas and has a normal course. The cecum and colon are diffusely gas-filled. Peritoneal detail in the cranial abdomen and located just caudal to the stomach is mildly reduced. The remainder of the peritoneal space has normal detail. No regional lymphadenopathy is evident. The included caudal thorax and osseous structures are unremarkable.</t>
  </si>
  <si>
    <t>Nonobstructive gastroenteritis +/- colitis._x000D_
Mildly reduced peritoneal detail in the cranial abdomen. Rule out pancreatitis or secondary to gastroenteritis vs. incidental from superimposition with the spleen vs. less likely other causes.</t>
  </si>
  <si>
    <t>PT/PTT to assess coagulation._x000D_
Supportive care with fluid rehydration, antiemetics, gastroprotectants/omeprazole, and bland diet.  General health profile (CBC, chemistry, UA, fecal) +/- spec cPL and baseline cortisol to screen for underlying causes.  Repeat fasted abdominal radiographs or ideally abdominal ultrasound if the patient fails medical management.</t>
  </si>
  <si>
    <t>Nine radiographs are provided, with images of the thorax, thoracic limbs, and abdomen. The cardiac silhouette is normal size and shape. There are no abnormalities in the pulmonary parenchyma or pleural space. Increased opacity overlying the cranial left thorax on the VD projection is caused by superimposed scapula. The trachea is normal diameter. The glenohumeral joints are congruent. Hazy increased opacity overlying the caudal aspect of the proximal left humeral metaphysis on the left lateral view is caused by superimposed normal anatomy. There is no osseous lysis. The cubital and carpal joints are congruent. No soft tissue swelling._x000D_
_x000D_
In the abdomen the gastrointestinal tract is moderately filled. There is no peritoneal effusion. The kidneys, spleen, and liver are normal size. No radiopaque cystic calculi. Osseous structures are unremarkable.</t>
  </si>
  <si>
    <t>Normal thorax, abdomen, thoracic limbs. A reason for lameness is not identified. Soft tissue sprain/strain is most likely. A lateralized cervical intervertebral disc lesion is next on the differential list.</t>
  </si>
  <si>
    <t>Recommend supportive care with anti-inflammatories as needed. There is no contraindication for general anesthesia based on this study.</t>
  </si>
  <si>
    <t xml:space="preserve">
1.In the abdomen there is no effusion._x000D_
2.The liver and spleen are normal size with smooth margins._x000D_
3.No gastrointestinal abnormalities are appreciated. No signs of obstruction._x000D_
4.No abnormal AI findings reported.</t>
  </si>
  <si>
    <t>Five radiographs of the thorax and abdomen are provided. There is prominence of the left atrium. The right heart appears increased in convexity on the VD projection due to mild rotation. Pulmonary vessels are normal size. Mild unstructured interstitial pattern and crisp pleural fissure line is normal for the age of this patient. There is no pleural effusion. Redundant dorsal trachealis membrane causes moderate narrowing cervical trachea. Normal larynx. In the abdomen the liver is mildly enlarged with smooth margins. Normal-sized spleen and left kidney. The right kidney is incompletely visible. No radiopaque urolithiasis. The gastrointestinal tract is mildly filled. Thin V-shaped 0.2 cm metal opacity between the urinary bladder and distal colon is likely incidental suture material. The coxofemoral joints are congruent.</t>
  </si>
  <si>
    <t>1. Cervical tracheal collapse, the only abnormality identified that could explain the coughing. Inhaled irritant/allergens could be contributing._x000D_
2. Prominent left atrium suggestive of chronic degenerative mitral valve disease. There is no pulmonary venous congestion or pulmonary edema. This is not felt to be responsible for the cough._x000D_
3. Mild hepatomegaly, a nonspecific finding that may be steroid or other hepatopathy, acute inflammation, or neoplasia. This should be correlated with a history and blood work. No other abdominal abnormalities.</t>
  </si>
  <si>
    <t>Recommend weight management as needed, utilization of a body harness in place of a neck lead, and symptomatic treatment for the cough.</t>
  </si>
  <si>
    <t>The AI result for this case is most compelling for: Mild hepatomegaly. This is a nonspecific finding that could represent steroid hepatopathy, acute inflammation or infiltrative neoplasia.</t>
  </si>
  <si>
    <t xml:space="preserve">
Hepatomegaly etiology can be further evaluated with blood work. An ultrasound evaluation of the liver could also be considered._x000D_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</si>
  <si>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3 views of the abdomen are provided for review and compared with the previous study. Serosal detail is adequate. The stomach contains a small amount of gas with resolution of previous soft tissue material. The small intestines are normal in size. Gas and opaque feces are present in the colon. The remaining abdominal organs are normal.</t>
  </si>
  <si>
    <t>Persistent mild constipation. Resolution of gastric contents.</t>
  </si>
  <si>
    <t xml:space="preserve">
1.Splenic size, shape and margin are normal._x000D_
2.Abdominal detail is normal._x000D_
3.The GI tract is normal._x000D_
4.Liver size, shape and margin are normal.</t>
  </si>
  <si>
    <t>Three radiographs of the thorax/abdomen are provided. Previous thoracic images dated 2/20/23 are available for comparison. The cardiac silhouette is normal size and shape. There are mild age-related changes in the lungs. No pleural effusion. Redundant dorsal trachealis membrane causes severe narrowed cervical tracheal lumen on the right lateral view. This C2-3, C3-4, C6-7 intervertebral disc spaces are narrowed on the VD projection, but not definitively on the lateral views. The appearance of a step lesion along the ventral aspect of C4 on the right lateral view is caused by obliquity and superimposed C5 transverse process. There is no endplate lysis. Normal proximal thoracic limbs. In the abdomen the liver is mildly enlarged, a new development. Normal abdominal serosal detail. The gastrointestinal tract is minimally filled. Normal-sized spleen and kidneys. Thin punctate mineral density overlying the caudoventral left abdomen was present previously and is likely incidental granuloma. The T13-L1, L1-2, L2-3 intervertebral disc spaces appear narrowed on the lateral views but is not confirmed on the VD projection. Degenerative change noted in the coxofemoral joints.</t>
  </si>
  <si>
    <t>1. Several narrowed intervertebral disc spaces in the cervical spine and cranial lumbar spine, only visible on some of the images, likely artifact due to dependent sloping of the spine and patient rotation. A definitive reason for discomfort is not identified. A non-mineralized protruded intervertebral disc is suspected. Soft tissue sprain/strain is next on the differential list._x000D_
2. Cervical tracheal collapse as before. No intrathoracic abnormalities._x000D_
3. New development of mild hepatomegaly, a nonspecific finding that may be steroid or other hepatopathy, acute inflammation, or neoplasia. This should be correlated with history and blood work.</t>
  </si>
  <si>
    <t>Since the patient does not have neurologic deficits, consider conservative treatment with anti-inflammatories and strict rest. If there is no improvement, consultation with a neurologist and advanced spinal imaging with MRI should be considered.</t>
  </si>
  <si>
    <t xml:space="preserve">
1.Splenic size, shape and margin are normal._x000D_
2.Abdominal detail is normal._x000D_
3.The stomach is normal. The small bowel is diffusely gas- and fluid-filled without segmental small bowel dilation._x000D_
4.The liver is mildly enlarged with smooth margins</t>
  </si>
  <si>
    <t>Study:_x000D_
Abdominal radiography: three images dated September 9, 2024_x000D_
_x000D_
Findings:_x000D_
The serosal detail is normal. The stomach contains a small volume of gas with the pylorus appropriately gas-filled on the left lateral image.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There is no uterine dilation. The included thorax is normal. The osseous structures are unremarkable.</t>
  </si>
  <si>
    <t>Opposite lateral and ventrodorsal whole body radiographs (4 images) dated September 9, 2024._x000D_
_x000D_
_x000D_
The cardiac silhouette is mildly tall in height with flattening of the caudal cardiac waist. The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lumen=ZZ90= a horizontal soft tissue band is superimposed with the thoracic inlet trachea on the left lateral view, most consistent with a superimposed esophagus or a redundant dorsal tracheal membrane. No intrathoracic lymphadenopathy is evident._x000D_
_x000D_
The liver is moderately enlarged with a rounded lobe margin. The spleen is unremarkable in size and shape. The kidneys are only partially visible with no abnormalities appreciated. The urinary bladder is moderately distended with homogeneous fluid opacity. The prostate is radiographically visible as an ovoid soft tissue opacity caudal to the urinary bladder in the cranial pelvic inlet. The stomach is moderately distended with heterogeneous soft tissue content and gas. The small intestine and colon are unremarkable. Retroperitoneal and peritoneal detail are normal. No regional lymphadenopathy is evident._x000D_
_x000D_
Chronic disc space collapse is affecting L4-L5, and milder narrowing affects T13 through L4. No aggressive osseous pathology is 5.</t>
  </si>
  <si>
    <t>1. Mild generalized and predominantly left-sided cardiomegaly is consistent with myxomatous mitral valve disease. There is no evidence of heart failure._x000D_
2. Redundant dorsal tracheal membrane or superimposed esophagus vs. potentially tracheal collapse._x000D_
3. Hepatomegaly. Rule out a benign metabolic/vacuolar hepatopathy vs. less likely inflammatory and infiltrative neoplastic conditions._x000D_
4. Multifocal chronic intervertebral disc disease, as described.</t>
  </si>
  <si>
    <t>Empirical treatment for presumed tracheal collapse is reasonable and includes includes antitussives, anti-inflammatory steroidal therapy (fluticasone inhaler), maintaining a lean body condition, reducing overexertion and overexcitement, and maintaining a cool and non-humid environment. Internal medicine consultation could also be considered._x000D_
Fluoroscopy or tracheoscopy is needed for definitive diagnosis._x000D_
A sedated upper airway exam is also reasonable to screen for upper airway disease._x000D_
Consider scheduling an echocardiogram, especially for murmur is auscultated._x000D_
Hepatic lab work and ultrasound.</t>
  </si>
  <si>
    <t xml:space="preserve">
1.Resource: https://platform.v2.vetology.net/doc/liver_disease_x000D_
2.The spleen is caudally displaced by the hepatomegaly. The spleen is at the upper limits of normal for size._x000D_
3.The abdomen is pendulous._x000D_
4.There is adequate serosal margin detail._x000D_
5.The stomach contains a moderate amount of mottled soft tissue material mixed with gas. The gastric axis is caudally displaced by the hepatomegaly._x000D_
6.Small intestinal bowel loops are normal in size and distribution and have a mixed pattern with mottled content._x000D_
7.The colon contains feces and gas._x000D_
8.The liver is moderately, generally enlarged with a convex ventral margin. On the VD projection, the liver margin extends caudally to the level of the spleen.</t>
  </si>
  <si>
    <t>Hepatomegaly is a nonspecific finding that has rule outs including vacuolar and nonspecific hepatopathies (such as hyperadrenocorticism which can be a cause for lethargy and increased liver enzyme elevation), hyperplasia, extramedullary hematopoiesis, inflammation, and neoplasia. Mottled soft tissue material within the stomach and small bowel is likely undigested food in the clinical absence of vomiting. Gastric foreign material cannot be entirely ruled out.</t>
  </si>
  <si>
    <t xml:space="preserve">
Virtual Radiologist Case Difficulty: MODERATE_x000D_
Virtual Radiologist Confidence: MODERATE_x000D_
Abdominal ultrasound would be beneficial to further evaluate the liver and adrenal glands._x000D_
If hyperadrenocorticism is clinically considered, adrenal function testing would be recommended._x000D_
A urinalysis, urine culture, and sensitivity could be performed to evaluate for cystitis if Cushing's disease is identified.</t>
  </si>
  <si>
    <t>3 views of the abdomen are provided for review.  Serosal detail is adequate in all quadrants.  The liver margins are rounded and extend mildly beyond the costal arch.  The stomach contains a moderate amount of ingesta.  The small intestines are normal in size.  Gas and feces are present in the colon.  The urinary bladder is small.  No mineral is seen associated with the urinary tract.  The remaining abdominal organs are normal.</t>
  </si>
  <si>
    <t>Mild hepatomegaly=ZZ90= this is a nonspecific finding that may be seen with congestion, vacuolar hepatopathy, inflammation, neoplasia, etc.</t>
  </si>
  <si>
    <t>Opposite lateral and ventrodorsal abdominal radiographs (3 images) dated September 9, 2024._x000D_
_x000D_
The liver and spleen are normal in size and shape. Both kidneys are normal in size and shape. The urinary bladder is small and fluid opaque. There is no radiographic evidence of uterine distention. The stomach is moderately distended with gas and also has a mild amount of dependent mobile mineral sediment. The pyloric antrum and proximal duodenum are gas-filled on the left lateral in VD views. The small intestine has a mild and unremarkable variation in diameter with most segments empty in a minority containing fluid and gas. The colon contains fluid/diarrhea mixed with gas. Retroperitoneal and peritoneal detail are normal. No regional lymphadenopathy is evident._x000D_
The osseous structures and included caudal thorax are unremarkable.</t>
  </si>
  <si>
    <t>Non-obstructive gastroenteritis and colitis.  The nonobstructive mineral sediment in the stomach is suggestive of recent dietary indiscretion._x000D_
No evidence of uterine distention.</t>
  </si>
  <si>
    <t>4 images of the abdomen are provided for review. Serosal detail is adequate. The liver is rounded and extends beyond the costal arch. The stomach contains a small amount of amorphous soft tissue material. The small intestines are normal in size. Gas and feces are present in the colon. The remaining abdominal organs are normal.
(amended on 09/10/2024 14:03)
The prostate is at the upper limits of normal for size for an intact male.</t>
  </si>
  <si>
    <t>Hepatomegaly. Considerations include regeneration, inflammation, neoplasia. Abdominal ultrasound may be helpful in further evaluation. Gastric contents may represent normal ingesta or foreign material. Consider repeat radiographs following fasting to determine if gastric contents persist.</t>
  </si>
  <si>
    <t xml:space="preserve">
1.The liver is mildly enlarged with smooth margins._x000D_
2.The spleen is normal in size with smooth, well-defined margins._x000D_
3.Peritoneal serosal detail is adequate._x000D_
4.The stomach contains soft tissue material._x000D_
5.The small intestine contains mild gas and fluid. No segmental small bowel dilation is noted._x000D_
6.The colon contains heterogenous feces and gas.</t>
  </si>
  <si>
    <t>Mild hepatomegaly, a nonspecific finding that could be due to fat deposition/vacuolar change vs. steroid or other metabolic hepatopathy vs. hepatitis or in an older patient, infiltrative neoplasia. Small intestines are mildly fluid filled. If GI signs are present, a functional ileus secondary to enteritis is a consideration. There is no evidence of a small bowel obstruction. There is small-volume amorphous  soft tissue within the stomach. If vomiting or anorexia are present, a small-volume of foreign material within the stomach cannot be ruled out.</t>
  </si>
  <si>
    <t xml:space="preserve">
CBC, serum biochemistry, urinalysis to screen for systemic disease._x000D_
If GI signs are present, withhold food for 12-15 hours followed by repeat abdominal radiographs to assess for retention of the gastric contents. If the gastric contents persist after withholding food or if there is non-productive vomiting, the concern for gastric foreign material increases._x000D_
If abnormal liver values are present or there is clinical suspicion of hepatopathy, pre- and post-prandial bile acids testing along with an abdominal ultrasound should be considered._x000D_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</si>
  <si>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ABDOMEN (3 images):
Images are dated September 9,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minimal fluid.   Gastric rugal folds are slightly prominent in the ventrodorsal image. The stomach is within normal limits for size.  Gas is in the pylorus and descending duodenum in the ventrodorsal image.
The small intestine contains minimal gas and soft tissue material, mild fluid or is empty with a subjectively uniform population for size. In the image from examination 2756347, The small intestine contains subjectively uniform mild fluid/soft tissue or is empty.
The colon contains mild heterogeneous soft tissue material and gas.  The colon is within normal limits for size.  
Musculoskeletal: The included musculoskeletal structures are normal.</t>
  </si>
  <si>
    <t>1. Non-specific gastrointestinal tract appearance such as from gastritis, enteritis, or less likely given reported history variation of normal.
- Differential diagnoses for enteritis/gastritis include dietary indiscretion, toxin ingestion, diet/antibiotic responsive disease, inflammatory bowel disease, parasitism/primary infectious disease, or pancreatitis or occult systemic disease.
- There is no current evidence of gastrointestinal mechanical ileus.</t>
  </si>
  <si>
    <t>Consider GI panel, fecal analysis/deworming, and routine blood work for further evaluation.  Abdominal ultrasonography for further evaluation of the gastrointestinal tract.  Empirical therapy and supportive care in the interim as needed.  Monitoring as directed or sooner if clinical signs acutely change, fail to improve or worsen.</t>
  </si>
  <si>
    <t>Study:_x000D_
Abdominal radiography: six images dated September 9, 2024_x000D_
_x000D_
Findings:_x000D_
The serosal detail is adequate. The stomach is empty.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There is no uterine dilation. The included thorax is normal. The osseous structures are unremarkable.</t>
  </si>
  <si>
    <t>Unremarkable abdomen. There is no radiographic evidence of gastrointestinal foreign material, small intestinal mechanical obstruction or constipation. Abdominal sonography can be considered for further evaluation if clinical signs persist or worsen in spite of medical management.</t>
  </si>
  <si>
    <t xml:space="preserve">
1.Splenic size, shape and margin are normal._x000D_
2.Liver size, shape and margin are normal._x000D_
3.The stomach contains gas and ingesta or prominent rugae, suggestive of gastritis. The small bowel is diffusely fluid filled but without segmental small bowel dilation._x000D_
4.Abdominal detail is normal.</t>
  </si>
  <si>
    <t>WHOLE-BODY (4 total radiographs for review)._x000D_
_x000D_
- The region of the described prior abscess (caudal dorsum/tail base) is within normal._x000D_
- Thoracic vertebral column normal._x000D_
- Narrowing of the L1-2 and L3-4 intervertebral disc spaces, with spondylosis deformans._x000D_
- Lumbosacral junction normal._x000D_
- Sacroiliac joints, pelvic bones, coxofemoral joints normal._x000D_
- Bilateral distal femoral varus angular limb deformity. Medial positioning of the left patella._x000D_
- The liver is mildly enlarged, extending caudal to the costal arch with rounded margins._x000D_
- The stomach contains moderate gas and mild gas stippled soft-tissue opaque material._x000D_
- The small intestine is mildly to moderately diffusely distended with gas and contains soft-tissue/fluid._x000D_
- The cecum is distended with gas._x000D_
- The remainder of the colon contains gas and minimal formed fecal material._x000D_
- Ill-defined mineral opacities superimposed over the kidneys bilaterally._x000D_
- The caudal thorax is normal.</t>
  </si>
  <si>
    <t>1. Although a discrete radiographic cause for the reported clinical signs is not clearly identified, there is evidence of cranial lumbar (L1-2 and L2-3) intervertebral disc disease which may hold clinical relevance in this case. Consider if indicated consultation with a neurologic specialist and/or spinal CT for further evaluation._x000D_
_x000D_
2. Bilateral distal femoral varus angular limb deformity is known to predispose to medial patellar luxation. There is medial positioning but not overt luxation of the left patella noted._x000D_
_x000D_
3. Mild hepatomegaly. Most likely vacuolar (metabolic) hepatopathy. Hepatitis, hepatic congestion or neoplasia are less likely, but possible._x000D_
_x000D_
4. Generalized gastrointestinal aerophagia +/- functional ileus (gastroenteritis)._x000D_
_x000D_
5. Suspect bilateral small nephroliths. Consider correlation to sonographic evaluation of the renal architecture.</t>
  </si>
  <si>
    <t xml:space="preserve">
1.The hepatic silhouette is mildly enlarged, with smooth margins._x000D_
2.The spleen is positioned along the left body wall._x000D_
3.The peritoneal serosal detail is normal._x000D_
4.The stomach is contains a mild amount of food material, and has a mildly caudally displaced axis._x000D_
5.The small intestines contain an increased amount of gas for a feline patient._x000D_
6.The transverse colon is moderately gas dilated._x000D_
7.The descending colon contained some poorly formed faeces and gas.</t>
  </si>
  <si>
    <t>WHOLE-BODY (6 total radiographs for review). _x000D_
_x000D_
- Mild to moderate left-sided cardiomegaly, characterized by straightening of the caudal cardiac margin and dorsal displacement of the caudal aspect of the thoracic trachea._x000D_
- Mild cranial lobar pulmonary vasculature distention._x000D_
- Pulmonary parenchyma is normal._x000D_
- The trachea, mediastinum, pleural space and remaining included intrathoracic structures are normal._x000D_
- The liver is mildly enlarged, with rounded margins._x000D_
- Peritoneal serosal detail is normal._x000D_
- The stomach contains mild gas and gas-stippled soft-tissue opaque material_x000D_
- The small intestine contains mild multifocal gas and soft-tissue opaque material_x000D_
- The colon contains gas, soft-tissue/fluid and mild formed fecal material._x000D_
- The liver, spleen, region of the kidneys and urinary bladder are normal._x000D_
- No musculoskeletal abnormalities are noted.</t>
  </si>
  <si>
    <t>1.  Mild-to-moderate left-sided cardiomegaly, without evidence of congestive heart failure. Most likely compatible with degeneration of the mitral valve. Consider consultation with a veterinary cardiologist and echocardiography/ECG for further assessment._x000D_
_x000D_
2. Mild hepatomegaly. Most likely vacuolar (metabolic) hepatopathy. Hepatitis, hepatic congestion or neoplasia are less likely, but possible._x000D_
_x000D_
3.  Recent meal.</t>
  </si>
  <si>
    <t>3 views of the abdomen are provided for review. Serosal detail is adequate. The stomach contains a small amount of soft tissue material. The small intestines are normal in size. Gas and opaque feces are present in the colon. The remaining abdominal organs are normal.</t>
  </si>
  <si>
    <t>Gastric contents may represent normal ingesta or foreign material. Mild constipation.</t>
  </si>
  <si>
    <t>ABDOMEN (2 images):
Images are dated September 9,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partially obscured by superimposed soft tissue, presumably from the small intestine.  No obvious enlargement or mineral is identified in the region of the urinary bladder.  
Reproductive: The prostate gland is not well-identified.
Peritoneum: In the lateral image, ill-defined fluid opaque striations are admixed with mesentery, superimposed over intestine in the mid-abdomen.  Serosal detail is overall adequate.
Gastrointestinal tract: The stomach contains a mild to moderate  volume of gas.   The stomach is within normal limits for size.
The small intestine contains moderate fluid and mild gas with a subjectively uniform population for size. 
The colon contains mild gas and fluid, or is empty.  The colon is within normal limits for size.  
Musculoskeletal: The T12-13 and T13-L1 intervertebral disc spaces are narrow in the ventrodorsal image.  The remaining included musculoskeletal structures are normal.</t>
  </si>
  <si>
    <t xml:space="preserve">1. Suspicious for mid-abdominal peritoneal fluid such as from peritonitis/steatitis or less likely other.
- No obvious peritoneal gas is identified.
- Given reported history, consider peritonitis secondary to penetrative trauma (bite wounds) versus other.
2. Non-specific small intestinal and colon appearance such as from enteritis/colitis with functional ileus, or less likely other given reported history.
- There is no current evidence of gastrointestinal mechanical ileus.
- Differential diagnoses include secondary to evolving peritonitis, or unlikely other.
3. Partially obscured urinary bladder without obvious enlargement.
- Uroabdomen is not ruled out as an etiology of reported clinical signs.  </t>
  </si>
  <si>
    <t>Consider routine blood work and abdominal ultrasonography for further evaluation of the peritoneum as well as abdominocentesis with fluid analysis/cytology.  If concern for septic peritonitis (especially if location of reported prior trauma is the abdomen), consider celiotomy and lavage with exploration of wounds or occult ruptured hollow viscus, versus other.  If suspicion of uroabdomen, consider referral and contrast cystourethrography and celitomy for further evaluation.  If peritoneal disease is ruled out, empirical therapy for gastroenteritis in the interim as needed. Monitoring as directed, or sooner if clinical signs acutely change, fail to improve or worsen.</t>
  </si>
  <si>
    <t>Study:_x000D_
Abdominal radiography: three images dated September 9, 2024_x000D_
_x000D_
Findings:_x000D_
The abdominal serosal detail is normal. The stomach contains gas with the pylorus appropriately gas-filled on the left lateral image. The small intestines are normal in size, course and content. The colon contains a small amount of poorly formed fecal material with a normal diameter. The liver and spleen are normal in size and margin. The renal silhouettes are normal in size and contour. The urinary bladder is normal in size and opacity. There is no prostatomegaly. The included thorax is normal. The osseous structures are unremarkable.</t>
  </si>
  <si>
    <t xml:space="preserve">
1.No abnormal AI findings reported._x000D_
2.No abnormal AI findings reported._x000D_
3.The liver and spleen are within normal limits for size, with smooth margins._x000D_
4.The stomach is partially distended with gas, some fluid and some soft tissue opaque debris._x000D_
5.The small intestine is normal in diameter. No obvious signs of obstruction.</t>
  </si>
  <si>
    <t>WHOLE-BODY (2 total radiographs for review). _x000D_
_x000D_
- Mild to moderate diffuse bronchial pulmonary pattern._x000D_
- Soft tissue opaque band dorsally overlying the trachea in the region of the thoracic inlet._x000D_
- Questionable left-sided cardiomegaly with straightening of the caudal cardiac margin and a mild rounding in the region of the left atrium._x000D_
- The pulmonary vasculature is normal._x000D_
- The remaining included intrathoracic structures are normal._x000D_
- The liver is moderately to markedly enlarged, extending caudal to the costal arch with rounded margins._x000D_
- The stomach contains mild gas and soft-tissue opaque material._x000D_
- The small intestine contains mild multifocal gas and soft-tissue opaque material._x000D_
- The colon contains gas and minimal formed fecal material._x000D_
- Bilateral cubital osteoarthritis (limited assessment).</t>
  </si>
  <si>
    <t>1.  Mild to moderate diffuse bronchial pulmonary pattern.  Considering the reported coughing this may indicate chronic lower airway disease, such as bronchitis.  A component of this can be normal expected age-related airway changes._x000D_
_x000D_
2.  The appearance of the trachea at the level of the thoracic inlet can be compatible with tracheal collapse, secondary to chondromalacia._x000D_
_x000D_
3. Mild left-sided cardiomegaly, without pulmonary vasculature congestion or congestive heart failure. Most likely compatible with degeneration of the mitral valve. Consider careful cardiac auscultation, veterinary cardiologist consultation and echocardiography/ECG for further assessment._x000D_
_x000D_
4. Moderate to marked hepatomegaly. Most likely vacuolar (metabolic) hepatopathy. Hepatic congestion, hepatitis or neoplasia are less likely, but possible._x000D_
_x000D_
5.  Aerophagia._x000D_
_x000D_
6.  Bilateral cubital osteoarthritis.</t>
  </si>
  <si>
    <t>In this case, the patient=ZZ91=s coughing could be multifactorial and related to chronic lower airway disease and/or tracheal collapse.</t>
  </si>
  <si>
    <t xml:space="preserve">
1.The liver is moderately enlarged._x000D_
2.The stomach is normal. The small bowel is diffusely gas- and fluid-filled without segmental small bowel dilation._x000D_
3.Splenic size, shape and margin are normal._x000D_
4.Abdominal detail is normal.</t>
  </si>
  <si>
    <t>The AI result for this case is most compelling for: Moderate hepatomegaly. Steroid hepatopathy and infiltrative neoplasia are the most likely etiologies, although acute inflammation can also be considered.</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</si>
  <si>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</si>
  <si>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 xml:space="preserve">
1.Splenic size, shape and margin are normal._x000D_
2.The stomach is normal. The small bowel is diffusely gas- and fluid-filled without segmental small bowel dilation._x000D_
3.Liver size, shape and margin are normal._x000D_
4.Abdominal detail is normal.</t>
  </si>
  <si>
    <t>7 views of the neck, thorax, and abdomen are submitted for review._x000D_
The larynx and ventral cervical soft tissues are within normal limits._x000D_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The stomach contains a moderate amount of food-like material.  The small bowel and colon are within normal limits.  The liver and spleen are normal in size, shape, and margination.  The bilateral renal silhouettes are within normal limits.  The urinary bladder is unremarkable.  Serosal detail is normal._x000D_
No osseous abnormalities are seen.</t>
  </si>
  <si>
    <t>Radiographically normal neck, thorax, and abdomen.  Acute infectious or allergic inflammatory airway disease is not excluded.</t>
  </si>
  <si>
    <t>Three radiographs of the thorax and three views of the abdomen are provided. There is soft tissue opacity with air bronchograms in the ventral left lungs. The left ventricle appears prominent on the VD projection, with no definitive cardiac enlargement on the lateral views. The esophagus is persistently severely gas dilated. This causes ventral displacement of the cervical trachea. Tracheal diameter remains adequate._x000D_
_x000D_
In the abdomen the liver is mildly enlarged with smooth margins. Normal-sized spleen and kidneys. There are small nephroliths bilaterally, measuring up to 0.7 cm on the left and punctate mineral density on the right. Smoothly irregular 0.9 cm mineral opaque calculus in the urinary bladder. The gastrointestinal tract is minimally filled. Mineral density overlying the L3-4 intervertebral foramen is of doubtful significance today.</t>
  </si>
  <si>
    <t>1. Megaesophagus with aspiration pneumonia. Causes for megaesophagus include myasthenia gravis, endocrinopathy (hypothyroidism, hypoadrenocorticism), idiopathic etiology, esophagitis._x000D_
2. Suspect enlarged left ventricle suggestive of acquired mitral valve disease. This is of uncertain clinical significance today._x000D_
3. Mild hepatomegaly, a nonspecific finding that may be steroid or other hepatopathy, acute inflammation, or neoplasia. No other abdominal abnormalities._x000D_
4. Cystic calculus, of a size that is likely to large the past the urethra.</t>
  </si>
  <si>
    <t>Recommend antibiotics for aspiration pneumonia, with follow-up thoracic radiographs upon completion (same three views) to ensure resolution of pneumonia and determine if the esophageal dilation is persistent. Recommend monitoring for progressive respiratory signs, as noncardiogenic pulmonary edema can occur within 24 hours of seizure activity. If the patient has a murmur, an echocardiogram should be considered.</t>
  </si>
  <si>
    <t xml:space="preserve">
1.The stomach is normal. The small bowel is diffusely gas- and fluid-filled without segmental small bowel dilation._x000D_
2.Abdominal detail is normal._x000D_
3.Splenic size, shape and margin are normal._x000D_
4.The liver is moderately enlarged.</t>
  </si>
  <si>
    <t>Three radiographs of the abdomen and a VD view of the pelvis are provided. The thorax is included on the left lateral view. There is large volume soft tissue opaque ingesta filling the stomach. Small intestines and colon are minimally filled. There is no effusion. Normal-sized liver, spleen, left kidney. The right kidney is obscured. Cardiovascular structures are normal size and shape. The lungs are clear. There is no pleural effusion. Congenital vertebral malformations in the mid thoracic spine, with several mild vertebral malformations in the lumbar spine. Mineral density overlying the L2-3, L3-4, L4-5 intervertebral foramina. Spondylosis deformans at the lumbosacral junction. The coxofemoral joints are normal.</t>
  </si>
  <si>
    <t>1. The appearance of L2-3, L3-4, L4-5 are all suggestive of intervertebral disc disease. Such a lesion at these or another site is the most likely cause for neurologic deficits. Congenital vertebral malformations are common in this breed and typically incidental, however can predispose to spinal canal stenosis and instability._x000D_
2. Normal abdomen.</t>
  </si>
  <si>
    <t>Consultation with a neurologist and advanced spinal imaging such as CT/MRI is recommended.</t>
  </si>
  <si>
    <t xml:space="preserve">
1.No abnormal AI findings reported._x000D_
2.No abnormal AI findings reported._x000D_
3.The liver and spleen appear within normal limits for size and contour._x000D_
4.Small intestines are moderately fluid filled._x000D_
5.The stomach contains small-volume fluid and gas.</t>
  </si>
  <si>
    <t>The appearance of the GI tract is likely within normal limits, however, findings can also suggest a small intestinal functional ileus. This is a nonspecific finding that may be due to stress/discomfort or metabolic abnormality.</t>
  </si>
  <si>
    <t>Right lateral and ventrodorsal abdominal radiographs with inclusion of the pelvis (2 images) dated September 9, 2024._x000D_
_x000D_
_x000D_
The liver and spleen are unremarkable in size and shape. The kidneys are mostly obscured from visualization due to superimposed bowel. The urinary bladder is small and fluid opaque. The prostate is radiographically visible as an ovoid soft tissue opacity located caudal to the urinary bladder in the cranial pelvic inlet. The stomach is moderately distended with heterogeneous soft tissue content. The small intestine is unremarkable in diameter and course and contains a mixture of gas and slightly heterogeneous ingesta. The colon contains gas and a small amount of formed stool. Retroperitoneal and peritoneal detail are normal. No regional lymphadenopathy is evident._x000D_
_x000D_
In situ disc mineralization affects L5 through L7 and T12-T13 without disc space narrowing. Mild disc space narrowing is suspected T13-L1. The T13-L1 and L1-L2 disc spaces have a curved linear bone opacity superimposed with the intervertebral foramen on the lateral view. There are multiple middle thoracic vertebral bodies that are anomalously developed result in variable disc space narrowing and focal kyphosis._x000D_
_x000D_
Both hips are incongruent with poor acetabular coverage, minimal left and mild right hip laxity/subluxation, and minimal left and mild right periarticular bony remodeling.</t>
  </si>
  <si>
    <t>1. Hip dysplasia with laxity and minimal left and mild right hip osteoarthritis._x000D_
2. Suspect T13-L1 intervertebral disc disease._x000D_
3. T12-T13 and L5 through L7 in situ disc mineralization. This is more often an incidental finding, although clinical intervertebral disc disease cannot be ruled out._x000D_
4. Curvlinear bone opacity superimposed with the dorsal margin of the T13-L1 and L1-L2 disc spaces. Rule out dorsolateral spondylosis deformans vs. protruding mineralized disc/intervertebral disc disease vs. incidental dural or dorsal longitudinal ligament mineralization._x000D_
5. Unremarkable abdomen.</t>
  </si>
  <si>
    <t>Assess for neurologic deficits of the pelvic limbs. If present, neurology consultation and advanced spinal imaging are recommended._x000D_
Otherwise consider medical management for presumed intervertebral disc disease and hip osteoarthritis.</t>
  </si>
  <si>
    <t xml:space="preserve">
1.The liver and spleen are normal size._x000D_
2.Abdominal detail is adequate._x000D_
3.The stomach contains a small amount of amorphous soft tissue density._x000D_
4.Small intestines are mildly filled._x000D_
5.No severe intestinal distention is present._x000D_
6.Semi-formed and formed feces fills the colon._x000D_
7.No abnormal AI findings reported.</t>
  </si>
  <si>
    <t>The appearance of the stomach is likely related to normal ingesta in the ABSENCE of GI symptoms. However, if GI symptoms are PRESENT, gastroenteritis/pancreatitis secondary to dietary indiscretion or infectious etiology could be considered. There is no evidence of an obstructive process.</t>
  </si>
  <si>
    <t xml:space="preserve">
Virtual Radiologist Case Difficulty: MODERATE_x000D_
Virtual Radiologist Confidence: MODERATE_x000D_
In a vomiting or anorexic patient, supportive care and therapy for gastroenteritis/pancreatitis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</si>
  <si>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Study:_x000D_
Thoracic and abdominal radiography: seven images dated September 9, 2024_x000D_
_x000D_
Findings:_x000D_
The cardiac silhouette is normal in size and shape. The pulmonary vasculature is normal in size. There is a mild generalized bronchial pulmonary pattern. No alveolar disease present. The pleural space is normal. There is no intrathoracic lymphadenopathy. There is mild narrowing of the trachea lumen at the thoracic inlet on the left lateral view in comparison to the right lateral projection. There is no lobar bronchi narrowing. The abdominal serosal detail is normal. The stomach is empty. The small intestines are normal in size, course and content. The colon contains formed fecal material with a normal diameter. The liver and spleen are normal in size and margin. The renal silhouettes are normal in size and contour. The urinary bladder is mildly distended. In the absence of any urinary signs come of this finding is likely secondary conscious retention. There is no prostatomegaly. Mild periarticular bone formation is present at the caudodistal aspect the humeral head bilaterally. The L7 vertebra is transitional. There is mild to moderate multifocal thoracolumbar spondylosis deformans. Small mineral foci are superimposed with L1-L2, L3-L4, L4-L5 and L5-L6 intervertebral foramen.</t>
  </si>
  <si>
    <t>1.  The mild generalized bronchial pulmonary pattern may indicate allergic, inflammatory, infectious, parasitic or irritant bronchitis. Airway sampling, heartworm testing and Baermann fecal flotation can be considered for further evaluation. There is no evidence of pneumonia._x000D_
2. Suspect chondromalacia and dynamic airway disease/tracheal collapse. Fluoroscopy can be considered for further evaluation._x000D_
3. Unremarkable abdomen. A cause of vomiting is not evident. There is no radiographic evidence of gastrointestinal foreign material or small intestinal mechanical obstruction. Abdominal sonography can be considered for further evaluation if clinical signs persist or worsen in spite of medical management._x000D_
4. Mild bilateral shoulder osteoarthrosis._x000D_
5. The mineral foci superimposed with the lumbar intervertebral foramen may indicate herniated mineralized intervertebral disc material or dural ossification.</t>
  </si>
  <si>
    <t>Orthogonal views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  There is spondylosis deformans of the thoracic and lumbar spine.</t>
  </si>
  <si>
    <t xml:space="preserve">
1.Splenic size, shape and margin are normal._x000D_
2.Liver size, shape and margin are normal._x000D_
3.The stomach is normal. The small bowel is diffusely gas- and fluid-filled without segmental small bowel dilation._x000D_
4.Abdominal detail is normal.</t>
  </si>
  <si>
    <t>Orthogonal radiographs of the abdomen are provided. The urinary bladder is mildly filled and soft tissue opaque. No abnormalities in the region of the medial iliac lymph nodes. Normal size left kidney. The right kidney is obscured. The liver is upper normal size. Normal-sized spleen. The gastrointestinal tract is minimally filled. No osseous abnormalities.</t>
  </si>
  <si>
    <t>Normal abdomen. There is no evidence of radiopaque urolithiasis.</t>
  </si>
  <si>
    <t>Treatment for cystitis is recommended. If further evaluation of the urinary tract is desired, ultrasound would be recommended.</t>
  </si>
  <si>
    <t xml:space="preserve">
1.The stomach is normal. The small bowel contains gas and fluid but no segmental small bowel dilation is noted._x000D_
2.Splenic size, shape and margin are normal._x000D_
3.Abdominal detail is normal however the abdomen is mildly pendulous._x000D_
4.The liver is mildly enlarged but with smooth margins. No liver mass is noted.</t>
  </si>
  <si>
    <t>Three radiographs of the thorax/abdomen are provided. The cardiac silhouette is normal size and shape. There are mild age-related changes in the lungs. No pleural effusion or soft tissue pulmonary nodules. The plane of the esophagus is unremarkable. In the abdomen serosal detail is adequate. The liver, kidneys, and spleen are normal size. Small volume gas in the stomach. Small and large bowel are minimally filled. No radiopaque foreign material. The urinary bladder is mildly filled and soft tissue opaque. The uterus is not identified. Osseous structures are unremarkable.</t>
  </si>
  <si>
    <t>If vomiting persists despite supportive care, options include either a positive contrast gastrogram or strictly fasted abdominal ultrasound (as long as there is minimal gas in the stomach at the time of imaging).</t>
  </si>
  <si>
    <t>The AI result for this case is most compelling for: Radiographically normal liver, spleen, GI tract and abdominal detail. The appearance of the stomach is likely related to normal ingesta in the absence of GI symptoms. However, if GI symptoms are present, gastroenteritis secondary to dietary indiscretion or infectious etiology could be considered.</t>
  </si>
  <si>
    <t xml:space="preserve">
Virtual Radiologist Case Difficulty: LOW_x000D_
Virtual Radiologist Confidence: HIGH_x000D_
If GI signs are present, supportive and symptomatic therapy for gastroenteritis can be considered. Repeat radiographs to assess for passage of gastric contents or obstruction, and abdominal ultrasound could be performed for further evaluation.</t>
  </si>
  <si>
    <t>Study:_x000D_
Thoracic radiography: three images dated September 9, 2024_x000D_
_x000D_
Findings:_x000D_
The abdominal serosal detail is age appropriate. The stomach contains a small volume of gas. The pylorus is readily gas-filled on the left lateral projection. The small intestines are normal in size, course and content. The colon contains formed fecal material with interspersed punctate mineral foci. The colonic diameter is normal. The liver and spleen are normal in size and margin. The renal silhouettes are normal in size and shape. The urinary bladder is normal in size and opacity. The included thorax is normal. The osseous structures are unremarkable/age appropriate.</t>
  </si>
  <si>
    <t xml:space="preserve">
1.Liver size, shape and margin are normal._x000D_
2.The stomach contains a small amount of soft tissue dense material. The small bowel is gas and fluid filled without segmental bowel dilation. The colon is gas-containing._x000D_
3.Abdominal detail is mildly decreased._x000D_
4.Splenic size, shape and margin are normal.</t>
  </si>
  <si>
    <t>The AI result for this case is most compelling for: colitis/gastroenteritis.  
This may be due to dietary indiscretion, or infectious-inflammatory causes. The appearance of the bowel may suggest functional ileus. No findings to suggest complete obstruction.
The reduction of peritoneal serosal detail is most likely due to intestinal crowding, however mild abdominal effusion, likely inflammatory transudate may also be considered.</t>
  </si>
  <si>
    <t xml:space="preserve">
Symptomatic therapy and supportive care, in addition to treatment for suspected gastroenterocolitis. This can include fecal evaluation and empirical deworming.
Follow up imaging of the abdomen is recommended to rule out obstruction with radiolucent foreign material. Consider an abdominal ultrasound if signs continue over the next 24 to 48 hours._x000D_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</si>
  <si>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9 images of the spine are provided for review.  No fractures, luxations, or aggressive osseous lesions are seen.  Osteophytes present on the femoral necks bilaterally.  No mineralized intervertebral discs or consistently narrowed intervertebral disc spaces are seen.  The thoracic and abdominal structures included are normal.</t>
  </si>
  <si>
    <t>Moderate bilateral coxofemoral DJD.  Radiographically normal spine.  This does not rule out intervertebral disc herniation or other causes of spinal cord compression.</t>
  </si>
  <si>
    <t>CT or MRI could be considered in further evaluation if clinically indicated.</t>
  </si>
  <si>
    <t xml:space="preserve">
1.Splenic size, shape and margin are normal._x000D_
2.The entire liver or a portion of the liver is at the lower limits of  normal for size to slightly small._x000D_
3.There is soft appearing fecal material within the colon._x000D_
4.The small intestinal track is mostly fluid filled and mildly dilated._x000D_
5.The stomach is distended with gas, fluid and some granular luminal material._x000D_
6.Detail in the abdomen is adequate.</t>
  </si>
  <si>
    <t>Three radiographs of the thorax/abdomen, and a VD view of the pelvis are provided. The heart and pulmonary vessels are normal size and shape. There are no abnormalities in the pulmonary parenchyma. No pleural effusion. Adequate tracheal diameter. Normal thoracic spine. In the abdomen serosal detail is adequate. The urinary bladder is mildly filled and well delineated. Small volume gas is present throughout the gastrointestinal tract. There is formed feces in the distal colon. No radiopaque foreign material or urolithiasis. Vertebral alignment is normal. Possible narrowed L1-2 intervertebral disc space on two of the views. No other spinal abnormalities are appreciated. The sacroiliac and coxofemoral joints are congruent. The right patella is medially displaced.</t>
  </si>
  <si>
    <t>1. The appearance of L1-2 is suggestive of intervertebral disc protrusion/extrusion. Such a lesion is the most likely cause for discomfort._x000D_
2. Medial patellar luxation on the right, of doubtful significance today._x000D_
3. Normal abdomen and thorax.</t>
  </si>
  <si>
    <t>Recommend a neurologic examination and palpation for spinal and musculoskeletal discomfort. A CBC and blood chemistry profile are also recommended to workup the hyporexia/anorexia.</t>
  </si>
  <si>
    <t xml:space="preserve">
1.The liver is moderately enlarged with sharp, caudal margins._x000D_
2.No abnormal AI findings reported._x000D_
3.The spleen is normal._x000D_
4.The gastric lumen contains a mild amount of soft tissue and gas opacity._x000D_
5.The small intestine is a uniform population size and is diffusely of soft tissue opacity with a small amount of gas throughout._x000D_
6.The colon contains a moderate amount of formed, heterogenous fecal material caudally.</t>
  </si>
  <si>
    <t>Orthogonal views of the thorax and abdomen are provided:_x000D_
_x000D_
Thorax:_x000D_
_x000D_
Cardiac silhouette shows a mild enlargement of the left atrium dorsally displacing the carina._x000D_
Pulmonary vessels are within normal limits of size and shape._x000D_
Pulmonary parenchyma is within normal limits. _x000D_
Pleural space, mediastinum, diaphragm and thoracic wall within normal limits._x000D_
_x000D_
Abdomen:_x000D_
_x000D_
The stomach is filled with food._x000D_
Small intestines are mildly gas and fluid filled, not overtly distended. _x000D_
There is a central oval soft tissue mass with preserved serosal detail._x000D_
Liver and spleen are within normal limits of size and smoothly marginated._x000D_
Kidneys and urinary bladder WNL.</t>
  </si>
  <si>
    <t>1) Left atrial enlargement secondary to chronic mitral endocardiosis without signs of CHF._x000D_
2) Lack of visualization of tracheal collapse does not exclude this differential (especially taking into account the breed). Unremarkable lungs do not exclude a bronchitis of allergic vs inflammatory/infectious or parasitic origin. _x000D_
3) Rule out splenic mass: rule out neoplasia (HS vs round cell neoplasia felt far less likely) vs benign such as lymphoid hyperplasia or hematoma. A peritoneal or eccentric GI mass is less likely.</t>
  </si>
  <si>
    <t>Consider a cardiology consultation with ECG and echocardiogram to further evaluate the left atrial enlargement and to rule out a concomitant right atrial mass._x000D_
Consider abdominal US to further evaluate the mass and the rest of the abdomen for abdominal metastases (such as in the liver). If the mass shows characteristics of an hemangiosarcoma, then a whole body contrast CT is recommended given 25% of hemangiosarcomas lead to muscular metastases, affecting prognosis of the disease._x000D_
Consider fluoroscopy (followed by tracheobronchoscopy, BAL and culture/cytology) to rule in/out extrathoracic vs intrathoracic tracheal collapse or bronchial component, evaluating treatment options. Take advantage of the bronchoscopy to further evaluate the larynx given 30% of patients with tracheal collapse display different degrees of laryngeal paralysis: Pugs especifically suffer more of laryngeal collapse than LARPAR (both representing different ways of upper airway obstruction leading to cervical tracheal collapse). If negative, consider empirical treatment for chronic bronchitis.</t>
  </si>
  <si>
    <t xml:space="preserve">
1.Mild to moderate hepatomegaly with smooth margins is likely present on the lateral projection._x000D_
2.Splenic size, shape and margin are normal._x000D_
3.Abdominal detail is satisfactory._x000D_
4.The ventral abdominal line is likely pendulous._x000D_
5.In most cases, there is a small quantity of ingesta in the stomach and the pylorus is caudally displaced by the hepatomegaly. Infrequently, the stomach is ingesta distended and overlying the liver creating the appearance of hepatomegaly._x000D_
6.No small intestinal obstruction is noted.</t>
  </si>
  <si>
    <t>3 views of the pelvis, pelvic limbs, and abdomen are submitted for review.  The bilateral femoral heads are well-seated in the acetabula.  There is mild periarticular osteophytosis and bony remodeling associated with the bilateral femoral necks and cranial aspect of the acetabula.  Mild periarticular osteophytosis and enthesiopathy is also noted at the distal aspect of the femur and proximal tibia in both stifles.  These changes are subjectively slightly worse on the right side.  Interpretation of the intracapsular space on the lateral views of the stifles is prohibited by obliquity and superimposition with the ventral abdominal soft tissues.  Mild to moderate osteophytes are noted at the dorsal aspect of the bilateral tarsi._x000D_
No definitive abnormalities are noted in the visible caudal thoracic or lumbar spine._x000D_
The liver is mildly prominent with smooth serosal margins.  No other abnormalities are noted in the abdomen.</t>
  </si>
  <si>
    <t>Mild to moderate osteoarthritis in both hips and both stifles.  Concurrent cranial cruciate ligament injury in both stifles is also possible.  No definitive radiographic evidence of intervertebral disc disease is noted although occult IVDD cannot be excluded._x000D_
Mild hepatomegaly.  This is most consistent with vacuolar change and is likely incidental in this case.</t>
  </si>
  <si>
    <t>Symptomatic medical management may be helpful in the short-term.  Repeat, straightened lateral radiographs centered and collimated to the stifle joints individually should be helpful for better interpretation of the stifles.  Otherwise, consultation with a surgeon could be considered.</t>
  </si>
  <si>
    <t>Study:_x000D_
Abdominal radiography: three images dated September 8, 2024_x000D_
_x000D_
Findings:_x000D_
The serosal detail is normal. The stomach contains a small volume of gas. The small intestines are normal in size, course and content. The colon is gas and fluid-filled with a normal diameter. The liver and spleen are normal in size and margin. The renal silhouettes are normal in size and contour. The urinary bladder is normal in size and opacity. The included thorax is normal. The osseous structures are unremarkable.</t>
  </si>
  <si>
    <t>Fluid in the colon is suggestive of incipient diarrhea. The abdomen is otherwise unremarkable. There is no radiographic evidence of gastrointestinal foreign material or small intestinal mechanical obstruction. Abdominal sonography can be considered for further evaluation if clinical signs persist or worsen in spite of medical management.</t>
  </si>
  <si>
    <t xml:space="preserve">
1.Liver size, shape and margin are normal._x000D_
2.Splenic size, shape and margin are normal._x000D_
3.Abdominal detail is normal._x000D_
4.The stomach contains gas and a minimal amount of fluid/soft tissue material. The stomach is minimally distended._x000D_
5.The small bowel contains small volumes of gas and fluid. No segmental small bowel dilation is noted._x000D_
6.There is gas within the colon.</t>
  </si>
  <si>
    <t>Study:_x000D_
Abdominal radiography: three images dated_x000D_
_x000D_
Findings:_x000D_
There is severe peritoneal effusion. The severity of the effusion limits evaluation of the abdominal viscera. The reported hepatic mass is not radiographically evident=ZZ90= however, there is caudal to displacement of the gastric axis. There is a 4.5 cm round soft tissue opaque structure in the fundic portion of the stomach on the VD view.. The small intestines are normal in size, course and content. The colon is empty. The spleen is normal in size and margin. The renal silhouettes are normal in size and contour. The urinary bladder is normal in size and opacity. The included thorax is unremarkable=ZZ90= however, overexposure limits evaluation of the included lung fields. The patient has multiple, breed associated, congenitally anomalous vertebrae. There is multifocal thoracolumbar and lumbosacral spondylosis deformans. On the VD view, there are two small mineral bodies craniolateral to the left femoral head likely representing a gluteal enthesophyte.</t>
  </si>
  <si>
    <t>1. While there is mild evidence of hepatomegaly, the reported hepatic mass is not appreciated radiographically. Consider computed tomography of the thorax for surgical planning. A three view thoracic met check should also be considered._x000D_
2. Severe nonspecific peritoneal effusion. Consider neoplastic effusion or hemoabdomen given the reported hepatic mass. Abdominocentesis should be considered for further evaluation._x000D_
3. The round soft tissue opacity in the stomach may represent food, foreign material or, less likely, and intraluminal mass.</t>
  </si>
  <si>
    <t xml:space="preserve">
1.Abdominal detail is diffusely decreased._x000D_
2.A mid-abdominal mass is identified._x000D_
3.On the lateral views, the mass is in the splenic region._x000D_
4.The liver is partially obscured but appears mildly enlarged._x000D_
5.The abdomen is pendulous._x000D_
6.Gas filled and somewhat rigid Intestines are deviated by the mass.</t>
  </si>
  <si>
    <t>Mid-abdominal mass most likely originating from the spleen, with regional mesenteric inflammation and/or abdominal effusion. Neoplasia such as hemangiosarcoma is most likely. A hematoma or hemangioma are next on the differential list. Gas filled small bowel. Rule out peritonitis secondary to abdominal fluid causing a functional ileus.</t>
  </si>
  <si>
    <t xml:space="preserve">
Virtual Radiologist Case Difficulty: MODERATE_x000D_
Virtual Radiologist Confidence: MODERATE_x000D_
Abdominal ultrasound is recommended._x000D_
Coagulation profile, platelet count and PCV prior to abdominocentesis and/or tissue sampling._x000D_
Three view thoracic radiographs vs. thoracic CT if abdominal neoplasia is identified. Also consider an abdominal CT if the abdominal ultrasound is unable to determine mass origin.</t>
  </si>
  <si>
    <t>Study:_x000D_
Abdominal radiography: three images dated September 8, 2024_x000D_
_x000D_
Findings:_x000D_
The stomach contains unstructured heterogeneous soft tissue material. There is a small amount of granular soft tissue material in some small intestinal segments. The small intestines are normal in size and course. The colon contains gas and a small amount of poorly formed fecal material that has a granular appearance. The liver is small with associated cranial rotation of the gastric axis. The spleen is normal in size and margin. The renal silhouettes are normal in size and contour. The urinary bladder is normal in size and opacity. There is no prostatomegaly. The included thorax is normal. No skeletal abnormalities are present.</t>
  </si>
  <si>
    <t>1. Gastrointestinal contents contents likely represent ingesta given the patient=ZZ91=s recent dietary history. There is no evidence of small intestinal mechanical obstruction. Abdominal sonography can be considered for further evaluation if the gastrointestinal signs persist or worsen in spite of medical management._x000D_
2. Microhepatia. Rule out normal variant, vascular anomaly or chronic hepatitis/cirrhosis. Correlate with any liver enzyme abnormalities. Abdominal sonography and bile acid testing can be considered for further evaluation if clinically relevant.</t>
  </si>
  <si>
    <t xml:space="preserve">
1.The liver and spleen are normal in size with smooth margins._x000D_
2.Serosal detail is adequate._x000D_
3.The stomach is mildly gas and fluid filled with dense material. The small bowel is gas and fluid-containing._x000D_
4.There is no evidence of a gastrointestinal obstruction._x000D_
5.No abnormal AI findings reported.</t>
  </si>
  <si>
    <t>Study:_x000D_
Thoracic radiography: three images dated September 8, 2024_x000D_
_x000D_
Findings:_x000D_
There is severe cardiomegaly characterized by biventricular and left atrial enlargement. The pulmonary vasculature is normal in size. There is a mild perihilar/caudal dorsal unstructured interstitial pulmonary pattern. There is mild bilateral pleural effusion. There is no intrathoracic lymphadenopathy. The trachea is normal in diameter. There is no lobar bronchi narrowing. A modern amount of arborizing mineral is present throughout the liver. There is mild multifocal thoracolumbar and lumbosacral spondylosis deformans. There is severe bilateral elbow periarticular bone formation. The patient is of overweight body condition.</t>
  </si>
  <si>
    <t>1. Severe biventricular cardiomegaly with likely biventricular decompensated congestive heart failure (cardiogenic pulmonary edema and pleural effusion). Both mitral and tricuspid valve disease are suspected. Recommend echocardiography for further evaluation. Diuretic therapy with repeat radiography to monitor for response to treatment should be considered in the interim._x000D_
2. Intrahepatic cholelithiasis and/or biliary mineralization._x000D_
3. Severe bilateral elbow osteoarthrosis.</t>
  </si>
  <si>
    <t>Study:_x000D_
Thoracic/abdominal radiography: three images dated September 7,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The thickness of the gastric wall and rugae are considered within normal limits for the degree of gastric distention.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There is no prostatomegaly. The osseous structures are unremarkable. The patient is of overweight body condition.</t>
  </si>
  <si>
    <t>1. Unremarkable abdomen. A cause of the waxing and waning gastrointestinal signs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 There is no radiographic evidence of cardiopulmonary disease.</t>
  </si>
  <si>
    <t xml:space="preserve">
1.The liver extends slightly beyond the costal arch but maintains sharp margins and there is no deviation of the gastric axis._x000D_
2.The spleen is normal size._x000D_
3.The abdomen is pendulous but abdominal detail is normal._x000D_
4.Small-volume amorphous soft tissue ingesta within the stomach._x000D_
5.Small intestines are mildly filled._x000D_
6.Formed feces fills the colon.</t>
  </si>
  <si>
    <t>Liver at the upper limits of normal for size. Fat deposition suspected. Mild abdominal distention. Intra-abdominal fat deposition suspected. Rule out a component of Pickwickian syndrome. Appearance to the GI tract is compatible with a normal post-prandial GI tract. If GI signs are present, this appearance can also represent low grade gastroenteritis. This finding needs to be correlated with clinical signs.</t>
  </si>
  <si>
    <t xml:space="preserve">
Virtual Radiologist Case Difficulty: MODERATE_x000D_
Virtual Radiologist Confidence: MODERATE_x000D_
Further evaluation of the GI tract as clinically warranted.</t>
  </si>
  <si>
    <t>Three radiographs of the thorax, and three views of the abdomen are provided. The cardiac silhouette is normal size and shape. There is a round fairly well-delineated 7.0 cm soft tissue opaque mass in the cranioventral right thorax, with mild dorsal deviation of the trachea. There is extensive lysis of the 2nd sternal segment, which is collapsed and has no definitive remaining margins. There are mild age-related changes throughout the lungs. Linear mineral density overlying the mid heart on the right lateral view is platelike atelectasis. There is no pleural effusion. Tracheal diameter is adequate._x000D_
_x000D_
In the abdomen there is no effusion or organomegaly. Formed feces in the colon. The stomach and small bowel are minimally filled. No radiopaque urolithiasis. Narrowed T12-13 intervertebral disc space is of doubtful clinical significance today.</t>
  </si>
  <si>
    <t>1. Cranioventral right thoracic mass with aggressive lysis of the 2nd sternal segment. This is most consistent with malignant bone neoplasia such as osteosarcoma or chondrosarcoma. Pleural or lung origin neoplasia are next on the differential list. No other thoracic abnormalities._x000D_
2. Normal abdomen.</t>
  </si>
  <si>
    <t>Ultrasound guided sampling of the thoracic mass could be considered for a definitive diagnosis.</t>
  </si>
  <si>
    <t>Study:_x000D_
Spinal radiography (including the thorax and abdomen): three images dated September 7, 2024_x000D_
_x000D_
Findings:_x000D_
The patient has multiple, breed associated, congenitally anomalous thoracic hemivertebrae. There is variable mild to severe multifocal thoracolumbar spondylosis deformans. There is no evidence of discospondylitis. There are no vertebral fractures or luxations. The cardiac silhouette and pulmonary vasculature are normal in size. The pulmonary parenchyma is unremarkable. The pleural space is normal. There is no intrathoracic lymphadenopathy. The trachea is normal in diameter and course. The stomach contains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 prostate is mildly to moderately enlarged likely secondary to benign prostatic hyperplasia given the intact status of the patient.</t>
  </si>
  <si>
    <t>Congenitally anomalous thoracic hemivertebrae, typical for patient breed. The patient could have a compressive myelopathy secondary to the congenitally anomalous thoracic vertebral confirmation or intervertebral disc disease=ZZ90= however, advanced cross-sectional imaging (CT myelography or MRI) would be needed for further evaluation.</t>
  </si>
  <si>
    <t>Neurology consultation should be considered if the patient=ZZ91=s conical signs persist or worsen in spite of strict activity restriction and pain management.</t>
  </si>
  <si>
    <t>Study:_x000D_
Abdominal radiography: five images dated September 7, 2024_x000D_
_x000D_
Findings:_x000D_
The serosal detail is adequate. The stomach contains a large amount of heterogeneous soft tissue material presumed to be ingesta with multiple interspersed small mineral opacities measuring up to 0.7 cm. Similar mineral opacities are scattered throughout the small intestines. The small intestines are normal in size and course. The colon contains gas and formed fecal material. The liver and spleen are normal in size and margin. The renal silhouettes are normal in size and contour. The urinary bladder is normal in size and opacity. The prostate is moderately enlarged with smooth margins. There is mild L1 through L4 spondylosis deformans. The included thorax is unremarkable.</t>
  </si>
  <si>
    <t>1. The mineral material scattered throughout the gastrointestinal tract may indicate dietary indiscretion or may be an incidental finding depending on the contents of the patient=ZZ91=s normal diet and treats._x000D_
2. The prostatomegaly likely indicates benign prostatic hyperplasia given the intact status of the patient. Concurrent prostatitis, prostatic abscess or para-prostatic cyst are possible but unlikely in the absence of any reported urinary signs.</t>
  </si>
  <si>
    <t>A definitive cause of abdominal pain is not evident. Abdominal sonography and cPLI testing can be considered to further evaluate for sources of intra-abdominal pain._x000D_
_x000D_
Thoracic radiography can be considered for further evaluation of the reported collapsing episodes.</t>
  </si>
  <si>
    <t>WHOLE-BODY (3 total radiographs for review). _x000D_
_x000D_
- The thoracic vertebral column is normal._x000D_
- The thoracolumbar junction is unremarkable._x000D_
- The lumbar vertebral column is normal._x000D_
- The lumbosacral junction is unremarkable._x000D_
- The sacroiliac joints are normal._x000D_
- The pelvic bones and coxofemoral joints are normal bilaterally._x000D_
- The included portions of the pelvic limbs are normal bilaterally._x000D_
- Peritoneal serosal detail is normal._x000D_
- The stomach contains mild gas and gas-stippled soft-tissue opaque material_x000D_
- The small intestine contains mild multifocal gas and soft-tissue opaque material_x000D_
- The colon contains gas, soft-tissue/fluid and minimal formed fecal material._x000D_
- The liver, spleen, region of the kidneys and urinary bladder are normal._x000D_
- The caudal thorax is normal</t>
  </si>
  <si>
    <t>1. A discrete spinal cause for the reported clinical signs is not clearly identified. Radiographic sensitivity for detecting lesions affecting the spine (e.g. IVDD, FCE) can be limited. There are no fractures, luxations, discospondylitis or aggressive bone lesions noted. If clinically indicated, consultation with a veterinary neurologist and/or advanced imaging of the spine (e.g. CT or MRI) might be considered._x000D_
_x000D_
2.  Unremarkable abdomen with mild aerophagia._x000D_
_x000D_
3.  Normal thorax.</t>
  </si>
  <si>
    <t>Orthogonal views of the abdomen are provided:_x000D_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_x000D_
Visible spine is unremarkable without signs of disc herniation, aggressive bone lesions, vertebral fractures or subluxations.</t>
  </si>
  <si>
    <t>Consider abdominal US to further evaluate the liver and causes of anemia and lethargy.</t>
  </si>
  <si>
    <t>Orthogonal views of the abdomen are provided:_x000D_
_x000D_
Abdomen:_x000D_
_x000D_
The stomach is empty. No signs of radiopaque foreign bodies._x000D_
Small intestines are mildly gas and fluid filled, not overtly distended. No signs of mechanical ileus._x000D_
Unformed feces in the colon._x000D_
Serosal detail is preserved._x000D_
Liver and spleen are within normal limits of size and smoothly marginated._x000D_
Kidneys and urinary bladder WNL.</t>
  </si>
  <si>
    <t>1) Unremarkable abdomen. Rule out gastroenterocolitis secondary to dietary indiscretion vs gastroenterocolitis of allergic/inflammatory/idiopathic origin.</t>
  </si>
  <si>
    <t>Consider abdominal US to further evaluate causes of gastroenterocolitis, lethargy and hyporexia.</t>
  </si>
  <si>
    <t xml:space="preserve">
1.The spleen is visible and within normal limits._x000D_
2.The liver is normal in shape, size and opacity._x000D_
3.There is a mildly reduced cranial abdominal serosal detail._x000D_
4.The stomach has a normal axis, with subjectively thickened mucosal folding._x000D_
5.The small intestines are mildly dilated with a mixture of gas and fluid, and have a mild turgid appearance._x000D_
6.The ascending, transverse and descending colon contain gradually more formed faeces.</t>
  </si>
  <si>
    <t>Four radiographs of the thorax/abdomen are provided. The heart and pulmonary vessels are normal size and shape. The lungs are clear. There is no pleural effusion or esophageal dilation. In the abdomen serosal detail is adequate. The stomach contains a small amount of amorphous soft tissue opacity, small volume punctate mineral opaque debris, and gas. Small intestines are minimally filled. The cecum is gas-dilated. Formed feces in the distal colon. Normal-sized liver, spleen, left kidney. The right kidney is obscured. The prostate is visible, consistent with the reproductive status of this patient. No osseous abnormalities.</t>
  </si>
  <si>
    <t>Gastric contents appears to be normal ingesta. Foreign material is not definitively ruled out but given lesser consideration in the absence of vomiting. Otherwise normal abdomen.</t>
  </si>
  <si>
    <t>A CBC, blood chemistry profile, and fasted abdominal radiographs +/- positive contrast gastrogram to rule out gastric foreign material is recommended. Strictly fasted abdominal ultrasound is another option, as long as there is minimal gas in the stomach at the time of imaging.</t>
  </si>
  <si>
    <t xml:space="preserve">
1.Liver size, shape and margin are normal._x000D_
2.Splenic size, shape and margin are normal._x000D_
3.Abdominal detail is normal._x000D_
4.The gastric rugae are prominent on the VD proojection suggestive of gastritis. Alternatively, gastric luminal contents could be mimicking the appearance of prominent gastric rugae._x000D_
5.The small bowel is diffusely fluid filled without segmental small bowel dilation._x000D_
6.The colon is normal.</t>
  </si>
  <si>
    <t>Study:_x000D_
Thoracic limb and abdominal radiography: four images dated September 7, 2024_x000D_
_x000D_
Findings:_x000D_
_x000D_
Thoracic limbs:_x000D_
The elbow joints are congruent. The anconeal process is appropriate fused bilaterally. No degenerative change is present in either elbow. The bones of the carpus and manus are unremarkable bilaterally. There are no fractures or luxations. There is no evidence of aggressive osseous disease. There is no apparent superficial soft tissue swelling._x000D_
_x000D_
Abdomen:_x000D_
The stomach contains a small volume of gas. The small intestines are normal in size, course and content. The colon contains formed fecal material. The liver and extends mildly man the costal arch with smooth margins. The spleen is normal in size and margin. The kidneys are normal in size and contour. The urinary bladder is normal in size and opacity. No mineral opaque calculi are present in the bladder or region the urethra. Included thorax is normal. The osseous structures included in the abdominal image is unremarkable.</t>
  </si>
  <si>
    <t>1. There is no urocystolithiasis. Urinalysis plus/minus urine culture and abdominal sonography can be considered for further evaluation of the reported hematuria._x000D_
2. The generalized hepatomegaly is nonspecific. Rule out metabolic/vacuolar hepatopathy, hyperplasia, hepatitis or infiltrative neoplasia. Sonography can be considered for further evaluation._x000D_
3. The thoracic limbs are unremarkable. A cause of the right thoracic limb lameness is not evident. Orthopedic consultation, computed tomography of the forelimbs and shoulder sonography can be considered if the lameness persists in spite of activity restriction and pain management.</t>
  </si>
  <si>
    <t xml:space="preserve">
1.Splenic size, shape and margin are normal._x000D_
2.Abdominal detail is normal._x000D_
3.The liver is mildly enlarged, and retains a smooth margin._x000D_
4.The stomach is normal. The small bowel is diffusely gas- and fluid-filled without segmental small bowel dilation.</t>
  </si>
  <si>
    <t>Five radiographs of the thorax and abdomen are provided. Images dated 5/11/2020 are available for comparison. The cardiac silhouette is normal size for this breed. There is a mild to moderate bronchial pattern throughout the lungs as before. On the left lateral view there is a curved 4.6 cm soft tissue opacity cranial to the heart. This is not definitively seen on the right lateral or VD views, however there is superimposed thoracic limb tissue and large volume mediastinal fat deposition. No pleural effusion. Gas in the caudal esophagus is transient and incidental. Mild congenital vertebral malformations in the mid thoracic spine are incidental. In the abdomen there is large volume soft tissue opaque ingesta filling the stomach. There is a curved 4.6 cm soft tissue contour along the ventral aspect of the splenic tail on two of the lateral views. Normal-sized liver and left kidney. The right kidney is incompletely visible. No radiopaque urolithiasis. Narrowed L2-3 intervertebral disc space, of uncertain significance today.</t>
  </si>
  <si>
    <t>1. Suspect cranial mediastinal mass. Artifact caused by mediastinal fat and extrathoracic tissue could potentially cause this appearance._x000D_
2. Unchanged bronchial pattern, likely due to chronic airway inflammation such as bronchitis. This should be correlated with patient history._x000D_
3. Mass-like splenic tail contour, concerning for neoplasia such as hemangiosarcoma. Hematoma/hemangioma or lymphoid hyperplasia or next on the differential list.</t>
  </si>
  <si>
    <t>Recommend a CBC, blood chemistry profile, abdominal ultrasound, and ultrasound evaluation of the cranial mediastinum. Also recommend monitoring for worsening respiratory signs, as noncardiogenic pulmonary edema can occur within 24 hours of seizure activity.</t>
  </si>
  <si>
    <t xml:space="preserve">
1.The liver is enlarged with suspicion of asymmetric hepatomegaly or a liver mass._x000D_
2.There is reduced abdominal serosal detail._x000D_
3.The gastrointestinal tract is within normal limits except in a small number of cases where severe gastric distention mimics the finding of hepatomegaly or a liver mass._x000D_
4.The spleen is mildly enlarged with a focal bulge in the splenic capsular margin.</t>
  </si>
  <si>
    <t>Hepatomegaly which could be due to an infiltrative neoplastic process or metastatic neoplasia, vacuolar change, or inflammation. Splenomegaly or bulge in the splenic margin which could represent metastatic neoplasia, a disseminated neoplastic process such as lymphoma, or a small hematoma or nodular hyperplasia. Decreased abdominal detail. DDx: abdominal fluid and/or mesenteric inflammation vs. soft tissue crowding secondary to organomegaly. These concurrent changes would be highly suspect for a disseminated neoplastic process such as lymphoma or malignant histiocytosis in an older patient.</t>
  </si>
  <si>
    <t>Three radiographs of the thorax, and three views of the abdomen are provided. Images dated 10/27/21 are available for comparison. The cardiac silhouette is normal size and shape. There is a small area of well delineated increased opacity overlying the cranial heart on the right lateral view, with small area of moderate interstitial infiltrates in the left 4th intercostal space on the VD projection. Faint increased opacity overlying the cranial heart on the left lateral view is likely due to superimposed skinfold. No pleural effusion. Normal tracheal diameter. The plane of the esophagus is unremarkable._x000D_
_x000D_
In the abdomen there is no peritoneal or retroperitoneal effusion. Normal-sized liver, spleen, kidneys. The gastrointestinal tract and urinary bladder are minimally filled. Normal osseous structures.</t>
  </si>
  <si>
    <t>The appearance of the left cranial lung lobe is most likely mild aspiration pneumonia, however it is unexpected that the patient has no clinical signs. Artifact caused by superimposed skinfold is given secondary consideration. Otherwise normal thorax and abdomen. There is no evidence of cardiovascular disease on this study. Small valvular regurgitant jet can result in a relatively loud murmur.</t>
  </si>
  <si>
    <t>Antibiotics should be considered if the patient is febrile, hyporexic, or has elevated white blood cell count. Otherwise, there is no contraindication for general anesthesia based on this study.</t>
  </si>
  <si>
    <t>Six radiographs of the thorax and abdomen are provided. The cardiac silhouette is normal size and shape. Triangular increased opacity cranial to the heart on the VD view and seen cranioventral to the heart on the right lateral view is normal thymus. There is no pleural fluid or gas. The diaphragm is intact. The lungs are clear. No rib fractures. Normal tracheal diameter. In the abdomen serosal detail is normal. There is no effusion. Punctate mineral density overlies the ventral liver on the left lateral view. No organomegaly. Formed feces fills the distal colon. The stomach and small bowel are minimally filled. The urinary bladder is minimally filled. No lumbar spinal or pelvic abnormalities.</t>
  </si>
  <si>
    <t>Gas focus overlying the ventral liver is likely superimposed subcutaneous gas associated with the reported bite wound. The abdomen and thorax are otherwise normal.</t>
  </si>
  <si>
    <t>Recommend wound management.</t>
  </si>
  <si>
    <t xml:space="preserve">
1.Small intestines are diffusely mildly fluid-filled. No evidence to suggest obstruction._x000D_
2.The stomach appears within normal limits._x000D_
3.Abdominal detail is adequate._x000D_
4.The liver and spleen appear within normal limits for size and contour._x000D_
5.No abnormal AI findings reported.</t>
  </si>
  <si>
    <t>THORAX (4 images):
Images are dated September 7, 2024.
Pulmonary parenchyma: A mild diffuse bronchial and minimal diffuse interstitial pattern is present.
Pulmonary vasculature: The pulmonary vasculature is subjectively normal in size and tapers in the periphery of the lungs.
Cardiac silhouette: The cardiac silhouette is normal in size and shape.
Mediastinum: The cranial mediastinum is symmetrically widened without obvious increased soft tissue.
Trachea: The trachea is subjectively small.
Esophagus: The esophagus is not well-identified.
Pleural space: The pleural space is normal.
Musculoskeletal: Multifocal breed-specific thoracic vertebral anomalies are present.  The remaining included musculoskeletal structures are normal.</t>
  </si>
  <si>
    <t>1. Mild diffuse bronchial and minimal interstitial pulmonary patterns.
- Differential diagnoses include infectious/immune-mediated lower airway disease, inhaled allergen/irritant, or artifact from hypoinflation or a combination of these, or unlikely other.
2. Suspected tracheal hypoplasia due to patient breed.
3. Cranial mediastinal widening due to fat deposition and/or thymus gland enlargement given patients young age, or unlikely other.</t>
  </si>
  <si>
    <t>Consider routine blood work, respiratory PCR panel, airway sampling, and fecal analysis for further evaluation.  Sedated laryngeal examination may be contributory for further evaluation of brachycephalic airway syndrome contributing to reported signs.  Abdominal imaging to screen for occult systemic disease contributing to reported signs.
Empirical therapy and supportive care in the interim as needed. Monitoring as directed or sooner if clinical signs acutely change, fail to improve or worsen.</t>
  </si>
  <si>
    <t xml:space="preserve">
1.Splenic size, shape and margin are normal._x000D_
2.No abnormal AI findings reported._x000D_
3.On the lateral projection, the liver is mildly enlarged with rounded margins. The ventral abdominal line is pendulous._x000D_
4.The GI tract contains regions of gas and fluid but no segmental bowel dilation is noted.</t>
  </si>
  <si>
    <t>Abdomen: The majority of the small intestines are fluid and gas-filled without evidence of an obstruction or other foreign body.  There is no evidence of a gastric foreign body.  The remainder of the abdominal viscera is unremarkable.</t>
  </si>
  <si>
    <t>Possible enteritis._x000D_
_x000D_
Although not identified, a small intestinal foreign body cannot be ruled out.</t>
  </si>
  <si>
    <t>THORAX (2 images):
Images are dated September 6, 2024.
Pulmonary parenchyma: A minimal interstitial pattern is present diffusely.  In the ventrodorsal image, the interstitial pattern is slightly more severe in the left cranial lung lobe.  A minimal to mild diffuse bronchial pattern is present.
Pulmonary vasculature: The pulmonary vasculature is subjectively normal in size and tapers in the periphery of the lungs.
Cardiac silhouette: The cardiac silhouette is tall and occupies greater than 2/3 the height of the thorax in the lateral image.  The trachea is dorsally displaced.  The caudodorsal margin of the cardiac silhouette is flattened.  Rounded increased soft tissue is present in the region of the left atrium in the ventrodorsal image.    The cardiac silhouette is widened and  and occupies 3.5-4 intercostal spaces width.  The cardiac silhouette is widened and rounded in the ventrodorsal image.
Mediastinum: The cranial mediastinum is mildly symmetrically widened, without obvious increased soft tissue.
Trachea: The trachea is normal.
Esophagus: The esophagus is not well-identified.
Pleural space: A pleural fissure between the left cranial/caudal lung lobes is slightly widened in the periphery in the ventrodorsal image.
Musculoskeletal: The included musculoskeletal structures are normal.
Cranial abdomen:  Ovoid mineral is over the right cranial liver.</t>
  </si>
  <si>
    <t>1. Moderate generalized cardiomegaly such as from myxomatous mitral with/without tricuspid valvular disease or cor pulmonale/pulmonary hypertension, or unlikely other.
2. Minimal diffuse interstitial pulmonary pattern, slightly more severe in the left cranial lung lobe.
- This is suspicious for atypical/evolving left-sided congestive heart failure, versus artifact from hypoinflation and/or fibrosis from prior disease, age-related changes, or unlikely other.
3. Slight left-sided pleural fluid is suspected over artifact or pleural thickening/folding.
- If present, consider evolving left-sided congestive heart failure versus other.
4. Minimal-mild diffuse bronchial pattern due to infectious/immune-mediated lower airway disease (such as from mycoplasma spp., bordetella spp., parasitism such as lung worms, or less likely other), fibrosis from prior disease, age-related changes, or unlikely other.</t>
  </si>
  <si>
    <t>Consider diuretic therapy and oxygen therapy, with repeat radiographs after 4-6 hours to monitor for improvement of possible evolving interstitial pattern/left-sided pleural fluid.  Echocardiography, blood pressure, and eCG for further evaluation once stable. Routine blood work and urinalysis if not recently performed.  Empirical therapy and supportive care in the interim as needed.  Monitoring as directed or sooner if clinical signs acutely change, fail to improve or worsen.</t>
  </si>
  <si>
    <t xml:space="preserve">
1.Abdominal detail is normal._x000D_
2.The stomach contains small volume gas and scant soft tissue density. The small bowel is diffusely gas- and fluid-filled without segmental small bowel dilation._x000D_
3.The liver is mildly enlarged with smooth margins._x000D_
4.Splenic size, shape and margin are normal.</t>
  </si>
  <si>
    <t>Study:_x000D_
Thoracic and abdominal radiography: six images dated September 6, 2024_x000D_
_x000D_
Findings:_x000D_
The cardiac silhouette and pulmonary vasculature are normal in size. The pulmonary parenchyma is unremarkable. The pleural space is normal. There is no intrathoracic lymphadenopathy. The trachea is normal in diameter and course. The serosal detail is normal. The stomach contains a small volume of gas. The small intestines are normal in size, course and content. The colon contains gas and poorly formed fecal material with a normal diameter. The liver and spleen are normal in size and margin. The kidneys are normal in size and contour. The urinary bladder is normal in size and opacity. No skeletal abnormalities are present.</t>
  </si>
  <si>
    <t>1. Normal thorax. There is no radiographic evidence of cardiopulmonary disease._x000D_
2. Unremarkable abdomen. A cause of the reported hyporexia is not evident.</t>
  </si>
  <si>
    <t>Consider abdominal sonography, a G.I. panel and resting cortisol level for further evaluation if clinical signs persist or worsen in spite of medical management.</t>
  </si>
  <si>
    <t>ABDOMEN (5 images):
Images are dated September 6, 2024.
Liver: The liver is subjectively small with cranial displacement of the gastric axis.  Hepatic margins are not well-identified.
Spleen: The spleen is not well-identified.  In the lateral images, the possible ventral extremity of the spleen is subtly rounded in the right lateral image, but not well-identified.  
Kidneys: The kidneys are obscured without obvious enlargement or mineral.
Retroperitoneum: Retroperitoneal detail is adequate.
Urinary bladder/Urethra: The urinary bladder is not well-identified without obvious enlargement or mineral.
Peritoneum: Cranial abdominal detail is reduced and hepatic margins are obscured.
Gastrointestinal tract: The stomach contains a moderate gas and mild fluid.  Gastric rugal folds are mildly prominent.   The stomach is within normal limits for size.
The small intestine contains mild gas and fluid or is empty with a subjectively uniform population for size. 
The colon contains mild well-defined soft tissue material and gas.  The colon is within normal limits for size.  
Musculoskeletal: Multifocal thoracolumbar and lumbosacral spondylosis deformans is present.  Dorsal articulation osteoarthrosis is at L2-3.  the patient is thin with slightly convex soft tissues between lumbar spinous processes.  The remaining  included musculoskeletal structures are normal.</t>
  </si>
  <si>
    <t>1. Suspected microhepatia versus artifact/individual variation of normal.
- If present, consider portosystemic shunt versus chronic hepatitis/cirrhosis or unlikely other.
2.  Poor cranial abdominal serosal detail due to peritoneal fluid and/or decreased body condition.
- If peritoneal fluid is present, consider peritonitis/steatitis such as from pancreatitis, occult malignancy (splenic/hepatic), or secondary to chronic hepatic disease, versus other.
3. Possible splenomegaly versus artifact/normal variation.
- If present, consider extramedullary hematopoiesis, lymphoid hyperplasia, or evolving neoplasia (primary versus metastatic/multicentric).
4. Non-specific gastrointestinal tract appearance such as from variation of normal given reported history, or unlikely other.
- This does not completely rule-out occult malabsorbtive/maldigestive disease contributing to reported weight loss.
5. Thin body condition, consistent with reported signs.</t>
  </si>
  <si>
    <t>Consider GI panel, fecal analysis/deworming, bile acid testing, urinalysis and routine blood work for further evaluation. Consider computed tomography versus ultrasonography of the abdomen for further evaluation of the liver, kidneys, spleen and urinary bladder.  Abdominocentesis with fluid analysis/cytology if confirmed.  Thoracic imaging for further evaluation of reported new heart murmur, as well as echocardiography, eCG and blood pressure.   Empirical therapy and supportive care in the interim as needed.  Monitoring with abdominal radiographs if signs fail to improve or worsen in the face of empirical therapy.</t>
  </si>
  <si>
    <t xml:space="preserve">
1.Abdominal detail is adequate._x000D_
2.The stomach appears within normal limits._x000D_
3.Small intestines are diffusely mildly fluid-filled. No evidence to suggest obstruction._x000D_
4.The liver and spleen appear within normal limits for size and contour._x000D_
5.No abnormal AI findings reported.</t>
  </si>
  <si>
    <t>ABDOMEN (3 radiographs for review)._x000D_
_x000D_
- Peritoneal serosal detail is mildly reduced._x000D_
- The stomach contains moderate gas and mild soft-tissue opaque material_x000D_
- The small intestine is mildly homogenously distended with soft-tissue/fluid._x000D_
- The colon contains gas, soft-tissue/fluid and no formed fecal material.  On the VD projection, the mucosal margin of the colon has a corrugated appearance._x000D_
- The liver, spleen, region of the kidneys and urinary bladder are normal._x000D_
- The caudal thorax is normal_x000D_
- No musculoskeletal abnormalities are noted.</t>
  </si>
  <si>
    <t>1.  There is minimal nonspecific gastric undigested food and/or foreign material, without pyloric outflow tract obstruction.  Otherwise, the appearance of the stomach, small intestine and colon can be compatible with a non-specific generalized functional ileus (e.g. gastroenterocolitis). There is no evidence of small intestinal foreign material or mechanical obstruction.  If clinically indicated, abdominal ultrasonography or recheck abdominal radiographs might be considered.</t>
  </si>
  <si>
    <t xml:space="preserve">
1.The liver appears borderline to mildly small, with slight deviation of the gastric axis. This is more prominent on the lateral projection._x000D_
2.The stomach is mildly gas and fluid filled with some soft tissue density material. The small bowel is gas and fluid-containing. No evidence of obstruction._x000D_
3.The spleen is within normal limits._x000D_
4.Serosal detail in the abdomen is normal.</t>
  </si>
  <si>
    <t>The appearance of the GI tract is most compatible with gastroenteritis/colitis in the presence of GI symptoms. No small intestinal obstruction is identified. Abdominal detail is favored as normal, which makes pancreatitis less likely. Microhepatia vs. less likely artifact, which can be seen with images where the cranial aspect of the liver is excluded from the radiograph due to cropping.</t>
  </si>
  <si>
    <t xml:space="preserve">
Virtual Radiologist Case Difficulty: LOW_x000D_
Virtual Radiologist Confidence: HIGH_x000D_
In a vomiting or anorexic patient, supportive care and therapy for gastroenteritis/colitis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material._x000D_
If the potential microhepatia is of clinical concern, pre- and post-prandial bile acid testing could be considered in addition to blood work and abdominal ultrasound.</t>
  </si>
  <si>
    <t>Five images are provided.
Images are dated September 6, 2024.
Liver: The liver is equivocally enlarged with a caudoventral margin extending to the level of the 13th ribs and slight caudal gastric axis displacement.  
Spleen: The spleen is normal in size with smooth margins and homogeneous soft tissue.
Kidneys: The right kidney is partially obscured without obvious enlargement or mineral.  The left kidney is normal.
Retroperitoneum: Retroperitoneal detail is adequate.
Urinary bladder/Urethra: The urinary bladder is normal in size, homogeneous soft tissue, and smoothly marginated.
Peritoneum: Peritoneal detail is adequate.
Gastrointestinal tract: The stomach contains a mild to moderate fluid and mild gas.   The stomach is within normal limits for size.
The small intestine contains mild to moderate gas and mild soft tissue material, fluid or is empty with a subjectively uniform population for size.  Minimal granular mineral is admixed with some intestinal content.
The colon contains moderate heterogeneous soft tissue material and gas.  The colon is within normal limits for size.  
Musculoskeletal: The included musculoskeletal structures are normal.</t>
  </si>
  <si>
    <t>1. Non-specific gastrointestinal tract appearance such as from enteritis, colitis, or less likely individual variation of normal given reported history.
- There is no current evidence of gastrointestinal mechanical ileus.
- Differential diagnoses include dietary indiscretion (such as from granular mineral intestinal content), toxin ingestion, diet/antibiotic responsive disease, inflammatory bowel disease, pancreatitis, occult systemic disease or unlikely other.
2. Equivocal hepatomegaly due to vacuolar change, nodular hyperplasia, hepatitis/cholangiohepatitis, variation of normal/artifact, or unlikely other.</t>
  </si>
  <si>
    <t>Consider GI panel, fecal analysis/deworming, and routine blood work for further evaluation.   Consider 3-view thoracic radiographs for further evaluation, especially if coughing signs progress.   Empirical therapy and supportive care in the interim as needed for possible dietary indiscretion and gastroenteritis.  Abdominal ultrasonography may be contributory for further evaluation. Monitoring with abdominal radiographs if signs fail to improve or worsen in the face of empirical therapy.</t>
  </si>
  <si>
    <t>Abdomen: There is mild increase in heterogeneous soft tissue opacity within the gastric lumen.  There is no evidence of a gastric outflow obstruction.  There are several segments of jejunum that have a mild heterogeneous soft tissue opacity within the lumens without evidence of overt distention or obstruction.  A mineral opaque foreign body is not identified.  The liver and spleen are unremarkable.  There are no abnormalities involving the urinary tract.  Serosal detail is normal.</t>
  </si>
  <si>
    <t>The appearance of the gastric lumen may represent normal ingesta, nonobstructive foreign material, or gas outlining rugal folds._x000D_
_x000D_
The heterogeneous soft tissue opacity within the segments of small intestine most likely represents progression of ingesta or nonobstructive foreign material.</t>
  </si>
  <si>
    <t xml:space="preserve">
1.The small intestines are homogenously fluid-filled, and mildly dilated._x000D_
2.The colon is gas-filled._x000D_
3.The descending colon contains mainly fluid opaque material._x000D_
4.The hepatic silhouette is normal._x000D_
5.The spleen is normal for size, shape and margin._x000D_
6.Abdominal detail is normal._x000D_
7.There is a moderate amount of fluid and gas within the stomach._x000D_
8.The stomach has a normal axis.</t>
  </si>
  <si>
    <t>THORAX (2 images) and ABDOMEN (2 images):
Images are dated September 6, 2024
Pulmonary parenchyma: Numerous, well-defined, variably sized round soft tissue nodules are present throughout the lungs.  These nodules are discrete or coalescing.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obscured without obvious enlargement or mineral.
Peritoneum: Peritoneal detail is adequate.
Gastrointestinal tract: The stomach contains a moderate gas and mild fluid.   The stomach is within normal limits for size.
The small intestine contains mild fluid or is empty with a subjectively uniform population for size. 
The colon contains mild heterogeneous admixed soft tissue material and gas.  The colon is within normal limits for size.  
Musculoskeletal: T12-13, L2-3, L3-4 and L7-S1 spondylosis deformans is present.   Presumed multipartite fabellae associated with the stifle joints is incidental.  The coxofemoral joints are normal.   The remaining included musculoskeletal structures are normal.</t>
  </si>
  <si>
    <t xml:space="preserve">1. Numerous pulmonary soft tissue nodules.
- Differential diagnoses include metastatic neoplasia from an occult primary malignancy, or unlikely round cell neoplasia, or least likely granulomatous/fungal pneumonia such as from blastomycosis spp. or other.
2. No obvious hepatomegaly/masses in this examination.
3. Non-specific gastrointestinal tract appearance such as from enteritis, colitis, or individual variation of normal.
</t>
  </si>
  <si>
    <t>Consider computed tomography of the thorax and abdominal ultrasonography for further evaluation.  Coagulation testing and tissue sampling or peripherally accessible lesions (possibly pulmonary nodules) depending on results of additional imaging, and consider Oncologist consultation.  This examination does not completely rule out occult hepatic or possibly pancreatic neoplasm contributing to reported signs and current findings.  If additional diagnostics above are inconclusive, consider fungal serology, especially if the patient has an appropriate travel/exposure history.  Empirical therapy, oxygen therapy, and supportive care in the interim as needed.  Monitoring as directed or sooner if clinical signs acutely change, fail to improve or worsen.</t>
  </si>
  <si>
    <t>Study:_x000D_
Thoracic and radiography: six images dated September 6,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with the pylorus superbly gas-filled on the left lateral image. The small intestines are normal in size, course and content. The colon contains gas and poorly formed fecal material. The liver and spleen are normal in size and margin. The renal silhouettes are normal in size and contour. The urinary bladder is normal in size and opacity. On the left lateral projection, there is a mild amount of ill-defined mineral caudal to the urinary bladder in the region of the proximal urethra just cranial to the pelvic inlet. There is variable mild to severe multifocal thoracolumbar and lumbosacral spondylosis deformans. There is moderate L2-L3 and L3-L4 spondylosis deformans.</t>
  </si>
  <si>
    <t>1. The ill-defined mineral caudal to the urinary bladder just cranial to the pelvic inlet is of unknown location and clinical significance. Rule out urethral wall mineralization, pubic bone periosteal new bone formation or mineralization of a mass in the pelvic canal. Consider orthogonal views of the caudal abdomen/pelvis the caudal abdomen/pelvis for further evaluation. Alternatively sonography or computed tomography can be considered for further evaluation._x000D_
2. The gastrointestinal tract is unremarkable. There is no radiographic evidence of gastrointestinal foreign material or small intestinal mechanical obstruction._x000D_
3. Normal thorax._x000D_
4. Moderate L2-L3 and L3-L4 articular facet osteoarthrosis.</t>
  </si>
  <si>
    <t>THORAX (3 total radiographs for review). _x000D_
_x000D_
- Very large, left-sided hemithoracic soft tissue opaque mass, causing rightward displacement of the majority of visible pulmonary segments._x000D_
- Homogenous, wedge-shaped alveolar pattern with air bronchograms in the region of the right middle lung lobe._x000D_
- The cardiac silhouette is of limited assessment due to border effacement._x000D_
- The pulmonary vasculature is within normal limits._x000D_
- There is a mild, diffuse bronchial pulmonary pattern present._x000D_
- The liver is mildly enlarged, extending caudal to the costal arch with rounded margins._x000D_
- The stomach contains mild gas and gas stippled soft-tissue opaque material._x000D_
- There is a small, well-defined, rounded mineral opacity in the region of the gallbladder._x000D_
- The remaining cranial abdominal structures are normal._x000D_
- Thin/hypoplastic ribs originating from T13._x000D_
- No additional discrete musculoskeletal abnormalities are identified.</t>
  </si>
  <si>
    <t>1.  This is a challenging case, and there may be multiple concurrent etiologies present._x000D_
_x000D_
2.  Large left-sided hemithoracic soft tissue opaque mass.  I would have primary concern for neoplasia, especially given the patient age, such as pulmonary carcinoma.  Nonneoplastic etiologies such as severe pneumonia (fungal, bacterial) might be possible but are less likely. I would recommend considering thoracic ultrasonography to further clarify the radiographic suspicion and potentially performing ultrasound-guided fine-needle aspiration to achieve a diagnosis.  The patient could benefit from a thoracic CT for more generalized global assessment/screening._x000D_
_x000D_
3.  Wedge-shaped alveolar pattern in the region of the right middle lung lobe.  While this could be the same etiology is #2, I would also have suspicion that this could represent consolidated lung parenchyma from pneumonia (e.g. either aspiration or less likely primary infectious).  Similar to #2 sonographic assessment and fine needle aspiration might help discriminate, or empirically treating the patient for pneumonia and assessing clinical response and potentially rechecking the thoracic radiographs may be helpful._x000D_
_x000D_
4. Mild diffuse bronchial pattern. Most likely representing age-related lower airway changes, however a component of chronic bronchitis is possible._x000D_
_x000D_
5.  Limited assessment of the cardiac silhouette.  Congestive heart failure is considered unlikely in this case._x000D_
_x000D_
6.  Small cholecystolith (7 x 7 mm)._x000D_
_x000D_
7. Mild hepatomegaly. Most likely vacuolar (metabolic) hepatopathy. Hepatitis, hepatic congestion or neoplasia are less likely, but possible._x000D_
_x000D_
8.  Aerophagia._x000D_
_x000D_
9.  Transitional thoracolumbar vertebral segment.</t>
  </si>
  <si>
    <t xml:space="preserve">THORAX (4 images) and ABDOMEN (3 images):
Images are dated September 6, 2024.
Prior images dated August 27, 2024 are available.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fluid.   The stomach is within normal limits for size.
In the left lateral image only, a segment of intestine in the mid and caudodorsal abdomen is enlarged with ill-defined soft tissue material and minimal gas.  Orad, this segment appears to contain gas and is suspected to be the descending limb of the duodenum.  The remainder of the small intestine contains moderate gas and fluid.  
The distal descending colon contains minimal gas and soft tissue material in the ventrodorsal image. 
Musculoskeletal: Breed-specific caudal vertebral anomalies (screw tail). The T13 vertebra is transitional with a hypoplastic right rib. </t>
  </si>
  <si>
    <t xml:space="preserve">1. Suspicious for foreign material in the descending limb of the duodenum, or less likely superimposed material in the ascending limb of the colon given the position of this segment. 
2. Minimal diffuse bronchial pulmonary pattern such as from fibrosis from prior disease, age-related changes, infectious/immune-mediated lower airway disease or unlikely other.
</t>
  </si>
  <si>
    <t>Consider compression radiographs over the mid-abdomen and/or pneumocolonogram to confirm position of the colon, and confirm suspected proximal duodenal foreign material.  Abdominal ultrasonography may also be contributory.  Consider celiotomy and decompression if mechanical ileus of the descending duodenum/small intestine is confirmed.  If ruled out, consider GI panel, fecal analysis/deworming, and routine blood work for further evaluation.  Empirical therapy and supportive care in the interim as needed.  Monitoring as directed or sooner if clinical signs acutely change, fail to improve or worsen.</t>
  </si>
  <si>
    <t xml:space="preserve">
1.No abnormal AI findings reported._x000D_
2.The liver and spleen are normal size._x000D_
3.Cranial abdominal detail is decreased however this is attributed to a confluence of soft tissues or lack of intra-abdominal fat over mesenteric inflammation and/or abdominal fluid._x000D_
4.A portion of the colon is gas filled and rigid consistent with inflammation._x000D_
5.The small intestines are distended._x000D_
6.The gastric rugae are prominent or the gastric lumen contains soft tissue opaque material mimicking the appearance of prominent gastric rugae.</t>
  </si>
  <si>
    <t>Abdomen: There is mild rounding of the caudal ventral margins of the liver.  On the ventrodorsal view there is caudal displacement of the stomach.  The tail the spleen has an undulating slightly irregular contour.  There are no abnormalities involving the visible portions of the urinary tract or gastrointestinal tract.  There is a thin linear metallic opacity within the cranial ventral right abdomen._x000D_
_x000D_
Neck: There are no abnormalities identified.  There are no abnormalities involving the visible portions of the thorax.</t>
  </si>
  <si>
    <t>Rounded caudal ventral margins of the liver.  Differential considerations include possible hepatopathy or hepatitis._x000D_
_x000D_
Caudal displacement of the body of the stomach.  This may reflect diffuse hepatomegaly or possible central hepatic mass._x000D_
_x000D_
The margins of the spleen may represent splenic nodules._x000D_
_x000D_
The linear metallic opacity within the right cranial ventral abdomen most likely represents a chronic migrating foreign body.</t>
  </si>
  <si>
    <t>Consider abdominal ultrasound for further evaluation per</t>
  </si>
  <si>
    <t>3 views of the abdomen are provided for review.  Serosal detail is adequate in all quadrants.  The stomach contains a small amount of gas and the rugal folds are prominent.  The small intestines are normal in size.  Gas is present in the colon and cecum.  The urinary bladder is small.  The remaining abdominal organs are normal.</t>
  </si>
  <si>
    <t>If clinical signs persist with supportive therapy, repeat radiographs or abdominal ultrasound could be considered in further evaluation.</t>
  </si>
  <si>
    <t xml:space="preserve">
1.Liver size, shape and margin are normal._x000D_
2.Splenic size, shape and margin are normal._x000D_
3.The small intestines have a diffuse fragmented gas pattern._x000D_
4.Serosal detail is adequate to slightly decreased._x000D_
5.There is a heterogeneous soft tissue opacity associated with the gastric lumen.</t>
  </si>
  <si>
    <t>ABDOMEN (4 images):
Images are dated September 6,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small in size, homogeneous soft tissue, and smoothly marginated.
Peritoneum: Peritoneal detail is adequate.
Gastrointestinal tract: The stomach contains a mild to moderate volume of gas and mild fluid.   The stomach is within normal limits for size.
The small intestine contains fluid or is empty with a subjectively uniform population for size. 
The colon contains minimal soft tissue material and gas.  The colon is within normal limits for size.  
Musculoskeletal: The included musculoskeletal structures are normal.</t>
  </si>
  <si>
    <t>1. Non-specific gastrointestinal tract appearance  such as from enteritis, colitis, or unlikely variation of normal given reported history.
- Differential diagnoses for enteritis/colitis include dietary indiscretion, toxin ingestion, diet/antibiotic responsive disease, inflammatory bowel disease, parasitism/primary infectious disease, pancreatitis or occult systemic disease.
- There is no current evidence of gastrointestinal mechanical ileus.</t>
  </si>
  <si>
    <t>Consider GI panel, fecal analysis/deworming, and routine blood work for further evaluation.  Abdominal ultrasonography may be contributory for further evaluation. Empirical therapy and supportive care in the interim as needed.  Monitoring as directed or sooner if clinical signs acutely change, fail to improve or worsen.</t>
  </si>
  <si>
    <t xml:space="preserve">
1.The stomach contains small-volume amorphous soft tissue opacity and gas. Small intestines are diffusely mildly filled with fluid._x000D_
2.The spleen and liver silhouettes are within normal limits._x000D_
3.Serosal detail is normal._x000D_
4.No abnormal AI findings reported.</t>
  </si>
  <si>
    <t>The appearance of the stomach and bowel is likely related to normal ingesta in the ABSENCE of GI symptoms. However, if GI symptoms are PRESENT, gastroenterocolitis secondary to dietary indiscretion or infectious etiology could be considered.</t>
  </si>
  <si>
    <t>Orthogonal views of the thorax and abdomen are provided:_x000D_
_x000D_
Thorax:_x000D_
_x000D_
Cardiac silhouette shows a moderate enlargement of the left atrium dorsally displacing the carina._x000D_
Pulmonary vessels are within normal limits of size and shape._x000D_
Pulmonary parenchyma is within normal limits. _x000D_
Pleural space, mediastinum, diaphragm and thoracic wall within normal limits._x000D_
_x000D_
Abdomen:_x000D_
_x000D_
No abnormalities seen in the trachea._x000D_
The stomach is empty._x000D_
Small intestines are mildly gas and fluid filled, not overtly distended. _x000D_
Serosal detail is preserved._x000D_
Liver and spleen are within normal limits of size and smoothly marginated._x000D_
Kidneys and urinary bladder WNL.</t>
  </si>
  <si>
    <t>1) Left atrial enlargement secondary to chronic mitral endocardiosis without signs of CHF. Rule out concomitant tricuspid endocardiosis with post-capillary pulmonary hypertension._x000D_
2) Unremarkable lungs do not exclude a bronchitis of allergic vs inflammatory/infectious or parasitic origin._x000D_
3) Unremarkable abdomen.</t>
  </si>
  <si>
    <t>Consider a cardiology consultation with ECG and echocardiogram followed by empirical treatment for chronic bronchitis evaluating response to treatment._x000D_
Consider abdominal US and full neuro exam to further evaluate causes of lethargy.</t>
  </si>
  <si>
    <t xml:space="preserve">
1.In the abdomen the liver is mildly enlarged with smooth margins._x000D_
2.The spleen is normal._x000D_
3.Abdominal detail is normal however the abdomen is mildly pendulous._x000D_
4.The gastric axis is displaced caudally by the hepatomegaly. No intestinal abnormalities are present.</t>
  </si>
  <si>
    <t>Hepatomegaly, a nonspecific finding that may be due to fat deposition only vs. diabetic or steroid hepatopathy vs. less likely, hepatitis. In an older patient, infiltrative neoplasia is a consideration. This should be correlated with blood work and clinical signs.</t>
  </si>
  <si>
    <t xml:space="preserve">
Virtual Radiologist Case Difficulty: MODERATE_x000D_
Virtual Radiologist Confidence: MODERATE_x000D_
Further evaluation of the hepatomegaly as biochemically warranted. Consider an abdominal ultrasound and/or pre- and post-prandial bile acids.</t>
  </si>
  <si>
    <t>ABDOMEN (3 images):
Images are dated September 6, 2024.
Prior images dated September 4, 2024 are available.
Liver: The liver is subjectively normal in size.
Spleen: The spleen is normal in size with smooth margins and homogeneous soft tissue.
Kidneys: The left kidney is normal.  The right kidney is  partially obscured without obvious enlargement or mineral.
Retroperitoneum: Retroperitoneal detail is adequate.
Urinary bladder/Urethra: The urinary bladder is partially obscured without obvious enlargement or mineral.
Peritoneum: Peritoneal detail is adequate.
Gastrointestinal tract: The stomach contains a moderate gas, soft tissue and fluid.  The stomach is within normal limits for size. Gas is in the pylorus in the left lateral image.
The small intestine contains minimal gas and moderate fluid with a subjectively uniform population for size. 
The colon contains minimal soft tissue material and gas.  The colon is within normal limits for size.  
Musculoskeletal: The included musculoskeletal structures are normal.</t>
  </si>
  <si>
    <t>1. Non-specific gastrointestinal tract appearance such as from enteritis, colitis, or unlikely individual variation of normal given reported history.
- Differential diagnoses for enteritis/colitis include dietary indiscretion, toxin ingestion, diet/antibiotic responsive disease, inflammatory bowel disease, parasitism/primary infectious disease, or pancreatitis or occult systemic disease.
- There is no evidence of mechanical ileus.</t>
  </si>
  <si>
    <t>Consider GI panel, fecal analysis/deworming and routine blood work for further evaluation.  Empirical therapy and supportive care in the interim as needed.  Consider abdominal ultrasonography for further evaluation of the gastrointestinal tract if clinical signs fail to improve or worsen in the face of empirical therapy.  Monitoring as directed or sooner if clinical signs acutely change, fail to improve or worsen.</t>
  </si>
  <si>
    <t>Six images are provided.
Images are dated September 6, 2024.
Bones/Joints:
A dens is present.  There is no evidence of atlantoaxial joint subluxation.  Possible intervertebral disc space narrowing of T11-12 and T12-13 in the ventrodorsal image is not identified in the lateral image.  In situ intervertebral disc mineral  is suspected at T13-L1.   There is no evidence of mineral over the intervertebral foramina.  There is no evidence of intervertebral dorsal articulation osteoarthrosis.
There is no evidence of medullary sclerosis, osteolysis, endosteal scalloping, or periosteal proliferation.
Soft tissues:  The included paraspinal soft tissues are normal.</t>
  </si>
  <si>
    <t xml:space="preserve">1. Suspected T13-L1 in situ intervertebral disc mineral 
2. Possible T11-12 and/or T12-13 intervertebral disc space narrowing versus artifact in positioning.
</t>
  </si>
  <si>
    <t>Etiology of reported paraparesis and suspected UMN signs to the pelvic limbs is not definitively identified.  Consider thoracic radiographs, routine blood work and urinalysis to screen for occult systemic disease.  MRI and neurologist consultation for further evaluation of acutely T3-L3 myelopathy given reported clinical signs.    Empirical therapy and supportive care in the interim as needed.  Monitoring as directed or sooner if clinical signs acutely change, fail to improve or worsen.</t>
  </si>
  <si>
    <t>WHOLE-BODY (3 total radiographs for review). _x000D_
_x000D_
- Peritoneal serosal detail is mildly reduced._x000D_
- The stomach contains mild gas and soft-tissue opaque material_x000D_
- The small intestine is mildly to moderately diffusely distended with gas and soft-tissue/fluid.  A few segments have an appearance of mildly thickened walls._x000D_
- The colon contains gas, soft-tissue/fluid and minimal formed fecal material._x000D_
- The spleen is moderately to markedly enlarged._x000D_
- The liver, region of the kidneys and urinary bladder are normal._x000D_
- The cardiac silhouette and pulmonary vasculature are normal._x000D_
- The pulmonary parenchyma is normal_x000D_
- The trachea, esophagus and mediastinum are normal._x000D_
- The pleural space, diaphragm and ribs are normal._x000D_
- The remaining intrathoracic structures are normal._x000D_
- No musculoskeletal abnormalities are noted.</t>
  </si>
  <si>
    <t>1. The appearance of the stomach, small intestine and colon can be compatible with a combination of aerophagia and non-specific generalized functional ileus (e.g. gastroenterocolitis). There is no evidence of small intestinal foreign material or mechanical obstruction. If clinically indicated, abdominal ultrasonography might be considered._x000D_
_x000D_
2. Marked splenomegaly. DDx congestion from sedation (if used) +/-  lymphoid hyperplasia, EMH, less likely neoplasia._x000D_
_x000D_
3.  Normal thorax.</t>
  </si>
  <si>
    <t xml:space="preserve">
1.Liver size, shape and margin are normal._x000D_
2.Splenic size, shape and margin are normal._x000D_
3.The small bowel is diffusely fluid filled without segmental small bowel dilation._x000D_
4.The colon is normal._x000D_
5.Abdominal detail is normal._x000D_
6.The gastric rugae are prominent on the VD proojection suggestive of gastritis. Alternatively, gastric luminal contents could be mimicking the appearance of prominent gastric rugae.</t>
  </si>
  <si>
    <t>THORAX (4 total radiographs for review). _x000D_
_x000D_
- The patient has an excessive body habitus._x000D_
- Moderate to severe dynamic collapse of the tracheal lumen at the level of the cervical region and extending through the thoracic inlet.  Caudal displacement of the hyoid apparatus and larynx._x000D_
- Mild, diffuse, mixed bronchial and peribronchial unstructured interstitial pattern._x000D_
- The cardiac silhouette and pulmonary vasculature are normal._x000D_
- The pulmonary parenchyma is normal_x000D_
- The trachea, esophagus and mediastinum are normal._x000D_
- The pleural space, diaphragm and ribs are normal._x000D_
- The remaining intrathoracic structures are normal._x000D_
- The liver is mildly enlarged, with rounded margins._x000D_
- The visible osseous structures are unremarkable.</t>
  </si>
  <si>
    <t>1.  The appearance of the trachea at the level of the thoracic inlet can be compatible with tracheal collapse, secondary to chondromalacia.  Further evaluation for this pathology might be considered with internal medicine consultation and/or fluoroscopy however empirical treatment may provide clinical benefit._x000D_
_x000D_
2.  Generalized, diffuse, mixed bronchial and peribronchial unstructured interstitial pulmonary pattern is common in cases of tracheal collapse and can represent associated chronic lower airway disease (e.g. bronchitis), but can also be partially expected due to normal age related airway degeneration._x000D_
_x000D_
3. Mild hepatomegaly. Most likely vacuolar (metabolic) hepatopathy. Hepatitis, hepatic congestion or neoplasia are less likely, but possible._x000D_
_x000D_
4.  Excessive body habitus.</t>
  </si>
  <si>
    <t xml:space="preserve">
1.The liver is mildly enlarged with smooth margins_x000D_
2.Splenic size, shape and margin are normal._x000D_
3.Abdominal detail is normal._x000D_
4.The stomach is normal. The small bowel is diffusely gas- and fluid-filled without segmental small bowel dilation.</t>
  </si>
  <si>
    <t>Orthogonal views of the abdomen are provided:_x000D_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_x000D_
Multifocal signs of chronic IVDD._x000D_
Left pelvic metallic plate.</t>
  </si>
  <si>
    <t>Consider abdominal US to further evaluate the liver with full neuro exam with MRI if necessary.</t>
  </si>
  <si>
    <t>Six radiographs of the abdomen are provided. There is no peritoneal or retroperitoneal effusion. The liver is mildly enlarged with smooth margins. The spleen is normal size. Curved soft tissue opacity extending caudal to the left kidney on the VD projection is normal splenic body. There is small volume gas in the stomach. Undulating soft tissue density in the pylorus on the left lateral view is likely collapsed rugal folds. Small intestines are minimally filled with fluid and gas. Small volume gas in the colon. No radiopaque gastrointestinal foreign material is appreciated. Normal kidneys. Equivocal prominent left atrium on the edge of the study, of doubtful significance today.</t>
  </si>
  <si>
    <t>Mild hepatomegaly, a nonspecific finding that can be seen with hepatopathy, acute inflammation, and neoplasia. Otherwise normal abdomen.</t>
  </si>
  <si>
    <t>Fasted abdominal ultrasound is recommended, particularly if the patient does not rapidly improve with supportive care.</t>
  </si>
  <si>
    <t xml:space="preserve">
1.Abdominal detail is normal._x000D_
2.The stomach contains a small amount of air and either has prominent gastric rugae or contains a small amount of soft tissue material mimicking the appearance of prominent gastric rugae._x000D_
3.A portion of the small bowel has a rigid appearance on the VD projection. No segmental small bowel dilation is noted._x000D_
4.A portion of the colon is gas filled and has a rigid appearance on the VD projection._x000D_
5.The spleen is prominent but retains a smooth margin._x000D_
6.Liver size is normal and retains a smooth margin.</t>
  </si>
  <si>
    <t>The overall impression is one of a normal post-prandial GI tract. However, in a vomiting patient, gastritis with concurrent low grade enterocolitis should be ruled out. Gastroenterocolitis may be due to dietary indiscretion, or infectious-inflammatory causes. There is no evidence of a complete mechanical obstruction. Prominent spleen. DDx: sedation vs. lymphoid hyperplasia secondary to abdominal inflammation (GI inflammation).</t>
  </si>
  <si>
    <t>4 images of the thorax are provided for review.  The cardiovascular structures are normal.  There is a mild bronchial pattern in all lung lobes.  The mediastinal and pleural structures are normal.  Cranial abdominal detail is adequate.</t>
  </si>
  <si>
    <t>Mild bronchial pulmonary pattern=ZZ90= consider viral or Bordetella type pneumonitis, bronchitis, response to inhaled irritants, response to circulating parasites, eosinophilic bronchopneumopathy.</t>
  </si>
  <si>
    <t xml:space="preserve">
1.Mild microhepatia is present with cranial positioning to the gastric axis._x000D_
2.Resouce: https://platform.v2.vetology.net/doc/liver_disease_x000D_
3.Splenic size, shape and margin are normal._x000D_
4.Abdominal detail is normal._x000D_
5.The stomach contains a mild to moderate volume of gas and soft tissue material. The gastric axis is cranially positioned due to the microhepatia._x000D_
6.The small bowel is diffusely gas- and fluid-filled without segmental small bowel dilation._x000D_
7.The colon contains mild to moderate heterogeneous soft tissue material and gas.</t>
  </si>
  <si>
    <t>THORAX (4 images) and ABDOMEN (4 images):
Images are dated September 5, 2024.
Pulmonary parenchyma: A minimal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slightly enlarged with a rounded caudoventral margin.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fluid and minimal gas.   Minimal granular mineral is ademixed with colon content.  The stomach is within normal limits for size.
The small intestine contains moderate heterogeneous soft tissue material admixed with gas, or is empty with a subjectively uniform population for size. 
The colon contains mild to moderate heterogeneous soft tissue material and gas.  The colon is within normal limits for size.  
Musculoskeletal: The included musculoskeletal structures are normal.</t>
  </si>
  <si>
    <t>1. Minimal diffuse bronchial pulmonary pattern such as from artifact, fibrosis from prior disease, or unlikely infectious/immune-mediated lower airway disease, inhaled allergen/irritant, or unlikely other.
2. Equivocal hepatomegaly due to vacuolar change, nodular hyperplasia, hepatitis/cholangiohepatitis, or unlikely evolving neoplasia.
3. Minimal granular gastric/colonic mineral material such as from dietary indiscretion.
4. Non-specific small intestinal appearance due to recent meal versus enteritis/functional ileus such as from dietary indiscretion, or less likely other.
- There is no current evidence of gastrointestinal mechanical ileus.
- Differential diagnoses include dietary indiscretion, toxin ingestion, diet/antibiotic responsive disease, inflammatory bowel disease, pancreatitis, occult systemic disease or unlikely other.</t>
  </si>
  <si>
    <t>Etiology of reported signs is not definitively identified, but heat stress/stroke is considered given reported history and physical exam.  Consider routine blood work and abdominal ultrasonography for further evaluation of the liver and gastrointestinal tract.  Repeat abdominal radiographs after 8-12 hours of fasting and empirical therapy/supportive care to monitor for passage of gastrointestinal material may also be contributory.  Neurologist consultation and MRI may be contributory if signs of mentation changes and anisocoria fail to improve, change or worsen.  Empirical therapy and supportive care in the interim as needed.  Monitoring as directed or sooner if clinical signs acutely change, fail to improve or worsen.</t>
  </si>
  <si>
    <t>Three radiographs of the thorax, and three views of the abdomen are provided. Images dated 7/22/24 are available for comparison. The left atrium is faintly visible on the VD projection, and the heart is slightly larger than before on the VD view. Pulmonary vessels are normal size. There is a mild bronchial pattern throughout the lungs. No pleural effusion. Redundant dorsal trachealis membrane resulting in moderate narrowed cervical trachea. No esophageal dilation. Broad-based fat opaque 5.2 x 2.2 cm lipomatous mass in the lateral left extrathoracic tissues, incidental._x000D_
_x000D_
In the abdomen the liver is mildly enlarged with smooth margins as before. The gastrointestinal tract is moderately filled. Fat opaque lipomatous tissue overlying the flanks bilaterally, incidental. No radiopaque urolithiasis. Narrowed L4-5 intervertebral disc space, unchanged.</t>
  </si>
  <si>
    <t>1. Probable dynamic cervical tracheal collapse, the most likely cause for coughing. Mild bronchial pattern may be normal age change versus allergic bronchitis which could be contributing to the cough._x000D_
2. Prominent left atrium consistent with acquired mitral valve disease. There is no pulmonary venous congestion or pulmonary edema. This is not responsible for the cough._x000D_
3. Mild hepatomegaly as before, a nonspecific finding that may be steroid or other hepatopathy. Acute inflammation or neoplasia are given lesser consideration. This should be correlated with history and blood work.</t>
  </si>
  <si>
    <t>Recommend weight management, symptomatic treatment for the cough, and utilization of a body harness in place of a neck lead. Follow-up echocardiogram could be considered to obtain baseline measurements.</t>
  </si>
  <si>
    <t>The AI result for this case is most compelling for: Hepatomegaly. This finding can be nonspecific, and is often due to fat deposition, steroid hepatopathy, or metabolic hepatopathy (Cushing's disease). Other less likely differential diagnosis considerations include hepatitis or infiltrative neoplasia.</t>
  </si>
  <si>
    <t xml:space="preserve">
Routine blood work and abdominal ultrasound are recommended for further evaluation._x000D_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</si>
  <si>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6 images of the thorax and abdomen are presented for review.  The cardiovascular structures are normal.  Increased bronchial markings are present in all lung lobes.  No pulmonary nodules or enlarged intrathoracic lymph nodes are seen.  The pleural and mediastinal structures are normal.  Abdominal serosal detail is adequate in all quadrants.  The liver margins are rounded and extend beyond the costal arch.  The stomach contains a moderate amount of soft tissue material.  The rugal folds are prominent.  The small intestines are normal in size.  Gas and feces are present in the colon.  The urinary bladder is small.  The remaining abdominal organs are normal.  The coxofemoral joints are congruent.  No fractures or aggressive osseous lesions are seen.  Spinal alignment is normal with no consistently narrowed intervertebral disc spaces.</t>
  </si>
  <si>
    <t>Moderate bronchial pulmonary pattern=ZZ90= consider bronchitis, early bronchopneumonia, response to inhaled irritants, response to circulating parasites, eosinophilic bronchopneumopathy.  Airway sampling may be helpful in further evaluation.  Gastric contents may represent residual ingesta or foreign material.  Consider repeat radiographs following strict fasting to determine if gastric contents persist.  Prominent rugal folds consistent with gastritis.  This does not rule out underlying pancreatitis or infiltrative neoplasia.  Hepatomegaly=ZZ90= this is a nonspecific finding that may be seen with congestion, vacuolar hepatopathy, inflammation, neoplasia, etc.  Abdominal ultrasound may be helpful in further evaluation.</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</si>
  <si>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</si>
  <si>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Consider abdominal US to further evaluate the GI tract and pancreas.</t>
  </si>
  <si>
    <t xml:space="preserve">
1.No abnormal AI findings reported._x000D_
2.The liver is at the upper end of normal range for size._x000D_
3.Abdominal serosal detail is normal._x000D_
4.On the VD projection, the stomach contains a small amount of gas and has slightly prominent rugal folds or a small amount of soft tissue. Additionally, there is a round soft tissue shadow in the region of the splenic head which likely represents superimposition of the spleen and left kidney._x000D_
5.The small bowel is gas filled._x000D_
6.No segmental small bowel dilation is noted to suggest obstruction.</t>
  </si>
  <si>
    <t>Two views of the abdomen are provided for review.  Serosal detail is adequate in all quadrants.  The stomach contains a small amount of gas and the rugal folds are mildly prominent.  The small intestines are normal in size.  Gas is present in the colon.  The urinary bladder is small.  The remaining abdominal organs are normal.  There is spondylosis deformans of the lumbosacral spine.</t>
  </si>
  <si>
    <t>Mildly prominent rugal folds suggestive of gastritis.  This does not rule out underlying pancreatitis or infiltrative neoplasia.</t>
  </si>
  <si>
    <t xml:space="preserve">
1.Liver size, shape and margin are normal._x000D_
2.The stomach contains small volume gas and likely ingesta. The small bowel is diffusely gas- and fluid-filled without segmental small bowel dilation._x000D_
3.Abdominal detail is normal._x000D_
4.Splenic size, shape and margin are normal.</t>
  </si>
  <si>
    <t>THORAX (3 images):
Images are dated September 5, 2024.
Cranial thorax tip excluded in the ventrodorsal image.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subjectively normal.
Trachea: The trachea is normal.
Esophagus: The esophagus is not well-identified.
Pleural space: The pleural space is normal.
Musculoskeletal: Multiple prominent nipples in the ventral extra-thoracic and abdominal soft tissues, which superimpose over the right and left thorax in the 6th intercostal spaces in the ventrodorsal image.  The remaining included musculoskeletal structures are normal.
(amended on 09/07/2024 08:52)
Small mineral foci are suspected over the cranioventral lungs, best identified in the right lateral image.</t>
  </si>
  <si>
    <t>1. Minimal-mild diffuse bronchial pulmonary pattern such as from fibrosis from prior disease, age-related changes, or less likely infectious/immune-mediated lower airway disease, or unlikely other.
2. No obvious evidence of cardiomegaly.
3. No obvious pulmonary soft tissue nodules or intrathoracic lymphadenomegaly.
(amended on 09/07/2024 08:52)
4. Presumed benign pulmonary osseous metaplasia.</t>
  </si>
  <si>
    <t>Consider echocardiography, eCG and blood pressure given reported murmur.  Computed tomography of the thorax/abdomen for a more sensitive evaluation of occult systemic disease, and pre-surgical planning of mammary gland nodule resection with histopathology.  Oncologist consultation depending on results.  Empirical therapy and supportive care in the interim as needed. Monitoring as directed or sooner if clinical signs acutely change, fail to improve or worsen.</t>
  </si>
  <si>
    <t xml:space="preserve">
1.Abdominal detail is normal._x000D_
2.Splenic size, shape and margin are normal._x000D_
3.Liver size, shape and margin are normal._x000D_
4.The stomach is normal. The small bowel is diffusely gas- and fluid-filled without segmental small bowel dilation.</t>
  </si>
  <si>
    <t xml:space="preserve">Three images are provided.
Images are dated September 6, 2024.
Bones/Joints:
A dens is present.  There is no evidence of atlantoaxial joint subluxation.
T13 is transitional with absent ribs.  There are eight vertebrae without ribs.
T12-13 is mildly narrowed in the ventrodorsal image.
There is no evidence of mineral over the intervertebral foramina.  There is no evidence of intervertebral dorsal articulation osteoarthrosis.
The presumed left 2nd and 3rd ribs are fractured in their distal thirds, best identified in the right lateral image.  
There is no evidence of medullary sclerosis, osteolysis, endosteal scalloping, or periosteal proliferation.
Soft tissues:  The included paraspinal soft tissues are normal.
</t>
  </si>
  <si>
    <t>1. T12-13 intervertebral disc space narrowing versus artifact from positioning.
2. Left 2nd and 3rd rib fractures.
3. Transitional T13 with absent ribs.</t>
  </si>
  <si>
    <t>Consider etiology of reported pain may be due to rib fractures.  Empirical therapy and supportive care in the interim as needed. 
 Routine blood work and neurologist consultation with MRI for further evaluation if clinical signs persist or worsen in the face of empiric therapy and supportive care.  Monitoring as directed, or sooner if clinical signs acutely change, fail to improve or worsen.</t>
  </si>
  <si>
    <t xml:space="preserve">
1.No abnormal AI findings reported._x000D_
2.The liver and spleen are normal in size with smooth margins._x000D_
3.The serosal detail is adequate._x000D_
4.The stomach is within normal limits. The small bowel is gas- and fluid-filled without segmental small bowel dilation or signs of obstruction.</t>
  </si>
  <si>
    <t>Abdomen: There is an increase in heterogeneous soft tissue opacity within the gastric lumen.  There is no evidence of a small intestinal foreign body or obstruction.  The liver and spleen are unremarkable.  The visible portions of the urinary tract are unremarkable.  Serosal detail is normal.</t>
  </si>
  <si>
    <t>The appearance of the gastric lumen may represent normal ingesta, nonobstructive foreign material, or possible gas outlining rugal folds.</t>
  </si>
  <si>
    <t>Abdomen: There is mild diffuse hepatomegaly.  The spleen is unremarkable.  There is a mild amount of heterogeneous soft tissue opacity and faint mineral opacities within the gastric lumen without evidence of an obstruction.  There are no abnormalities involving the small intestines.  There are no abnormalities involving the visible portions of the urinary tract._x000D_
_x000D_
Thorax: The cardiac silhouette and pulmonary vasculature are unremarkable.  There are no abnormalities involving the pulmonary parenchyma.  There is no evidence of pleural effusion or lymphadenopathy._x000D_
_x000D_
Spine: Mild obliquity prevents definitive evaluation of the visible portions of the cervical, thoracic, and lumbar vertebral columns.  There is no evidence of overt disc space collapse.  There is no evidence of lysis, malalignment, or fractures.</t>
  </si>
  <si>
    <t>Diffuse hepatomegaly._x000D_
_x000D_
The material within the gastric lumen most likely represents normal ingesta however nonobstructive foreign material cannot be ruled out.</t>
  </si>
  <si>
    <t xml:space="preserve">
1.The spleen is within normal limits._x000D_
2.Detail in the abdomen is normal._x000D_
3.The stomach is mildly gas and fluid filled with some soft tissue density material. The small bowel is gas and fluid-containing. No obvious obstruction._x000D_
4.The liver is within normal limits for size.</t>
  </si>
  <si>
    <t>Thorax: Today=ZZ91=s study is compared to a study dated 10/9/2023.  There is a soft tissue opacity within the caudal dorsal thorax along midline (previous only a faint increase in soft tissue opacity within this region).  The cardiac silhouette and pulmonary vasculature are unremarkable.  The remainder of the pulmonary parenchyma is unremarkable.  There is no evidence of pleural effusion or lymphadenopathy._x000D_
_x000D_
Abdomen: Today=ZZ91=s study is compared to a study dated 10/9/2023.  There is mild diffuse hepatomegaly with rounding of the caudal ventral margins.  There is a mineral opacity superimposed over the ventral aspects of the liver on the right side as previous.  The remainder of the abdominal viscera is unremarkable.</t>
  </si>
  <si>
    <t>The soft tissue opacity superimposed over the caudal dorsal thorax may represent a sliding hiatal hernia however a pulmonary mass along midline cannot be ruled out._x000D_
_x000D_
Mild diffuse hepatomegaly._x000D_
_x000D_
Choliliths.</t>
  </si>
  <si>
    <t xml:space="preserve">
1.The spleen and kidneys are normal size._x000D_
2.The stomach contains a small amount of gas and the gastric rugae are prominent._x000D_
3.The liver is mildly enlarged but retains a smooth margin._x000D_
4.No abnormal AI findings reported.</t>
  </si>
  <si>
    <t>The AI result for this case is most compelling for: Mild hepatomegaly. This finding can be nonspecific, and is often due to fat deposition, steroid hepatopathy, or metabolic hepatopathy (Cushing's disease). Other less likely differential diagnosis considerations include hepatitis or infiltrative neoplasia. The appearance of the stomach is likely related to normal ingesta in the ABSENCE of GI symptoms. However, if GI symptoms are PRESENT, gastroenteritis secondary to dietary indiscretion or infectious etiology could be considered.</t>
  </si>
  <si>
    <t xml:space="preserve">
Virtual Radiologist Case Difficulty: MODERATE_x000D_
Virtual Radiologist Confidence: MODERATE_x000D_
Abdominal ultrasound could be performed for further evaluation of the liver._x000D_
If GI signs are present and gastroenteritis is considered, supportive care and further evaluation after withholding food for 12-15 hours followed by repeat abdominal radiographs to assess for retention of the gastric contents. If the gastric contents persist after withholding food or if there is non-productive vomiting, the concern for gastric foreign material increases.</t>
  </si>
  <si>
    <t>Orthogonal views of the abdomen are provided:_x000D_
_x000D_
Abdomen:_x000D_
_x000D_
The stomach is distended with food with tiny mineral foreign material._x000D_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show faint and tiny renoliths._x000D_
Urinary bladder WNL._x000D_
_x000D_
Signs of chronic IVDD at T12-T13.</t>
  </si>
  <si>
    <t>1) Hepatomegaly: Neoplastic/metastatic is the main differential. Other concomitant differentials such as Hepatic nodular hyperplasia vs hepatic abscess vs hepatic granulomata vs Metabolic vs Vacuolar infiltration vs Inflammatory vs Toxic or hepatopathies are not excluded._x000D_
2) Bilateral faint and tiny renoliths.</t>
  </si>
  <si>
    <t>Consider abdominal US to further evaluate the liver with +/- US guided FNAs also evaluating the urinary tract with renal function test, urinalysis, UPC and urine culture._x000D_
Consider also 3 views of the thorax.</t>
  </si>
  <si>
    <t>ABDOMEN (2 radiographs for review). _x000D_
_x000D_
- There are several very poorly mineralized fetal skeletons present within a homogenously fluid distended uterus.  It is very difficult to count fetal skeletons in this examination as the mineralization is minimal, however it seems there are at least 3 puppies present._x000D_
- Peritoneal serosal detail is normal._x000D_
- The stomach contains mild gas and soft-tissue opaque material._x000D_
- The small intestine and colon contain mild multifocal gas and soft tissue opaque material._x000D_
- The liver, spleen, kidneys are of limited assessment however no distinct abnormalities are noted._x000D_
- The urinary bladder is mildly to moderately distended._x000D_
- The included portions of the thorax are normal._x000D_
- Transitional lumbosacral vertebral segment characterized by fusion of the left transverse process of L7 to the wing of the left ilium.</t>
  </si>
  <si>
    <t>1.  At least 3 poorly mineralized, immature fetal skeletons and fairly homogenously fluid distended uterus.  This can be within normal appearance, with overt evidence of fetal death or distress not distinctly identified.  For a more accurate fetal skeleton count, consider radiographing the patient in late term gestation (e.g. =ZZ93= 55 days), or alternatively performing abdominal ultrasonography for further evaluation. _x000D_
_x000D_
2.  Otherwise unremarkable abdomen with mild aerophagia._x000D_
_x000D_
3.  Transitional lumbosacral vertebral segment.</t>
  </si>
  <si>
    <t>REFERENCES:_x000D_
_x000D_
Radiographic diagnosis of canine pregnancy_x000D_
Concannon + Rendano  AJVR (1983)</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</si>
  <si>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  There is consistent narrowing of the intervertebral disc space at T11-12.  No fractures or aggressive osseous lesions are seen.</t>
  </si>
  <si>
    <t>Radiographically normal abdomen.  Radiographically normal thorax for patient of this age.  Narrowed intervertebral disc space suggestive of intervertebral disc herniation.  This does not rule out intervertebral disc herniation at another site or other causes of spinal cord compression.</t>
  </si>
  <si>
    <t xml:space="preserve">
1.No segmental small bowel dilation is noted to suggest obstruction._x000D_
2.The liver is at the upper end of normal range for size._x000D_
3.No abnormal AI findings reported._x000D_
4.On the VD projection, the stomach contains a small amount of gas and has slightly prominent rugal folds or a small amount of soft tissue. Additionally, there is a round soft tissue shadow in the region of the splenic head which likely represents superimposition of the spleen and left kidney._x000D_
5.The small bowel is gas filled._x000D_
6.Abdominal serosal detail is normal.</t>
  </si>
  <si>
    <t>Study:_x000D_
Abdominal radiography: three images dated September 5, 2024_x000D_
_x000D_
Findings:_x000D_
The abdominal serosal detail is normal. The stomach contains a small amount of amorphous soft tissue material and a small volume of gas. The pylorus is appropriately gas filled on the on the left lateral view. The small intestines are normal in size, course and content. The colon contains a small volume of gas with a normal diameter. The liver and spleen are normal in size and margin. The kidneys are normal in size and shape. The urinary bladder is mildly distended likely secondary to conscious retention. The included thorax is normal. There is mild lumbosacral spondylosis deformans.</t>
  </si>
  <si>
    <t>The soft tissue material in the stomach likely represents ingesta. Foreign material cannot be completely excluded. The abdomen is otherwise unremarkable.</t>
  </si>
  <si>
    <t>Abdominal sonography plus/minus a three view thoracic series should be considered for further evaluation of the reported thrombocytopenia.</t>
  </si>
  <si>
    <t>Orthogonal views of the abdomen are provided:_x000D_
_x000D_
Abdomen:_x000D_
_x000D_
The stomach is empty with the gastric axis abnormally shifted cranioventrally due to a microhepatia._x000D_
Small intestines are mildly gas and fluid filled, not overtly distended. No signs of mechanical ileus._x000D_
Unformed feces in the ascending colon._x000D_
Serosal detail is preserved._x000D_
Spleen is within normal limits of size and smoothly marginated._x000D_
Left renoliths. Right kidney and urinary bladder WNL._x000D_
_x000D_
Left 6th, 7th and 8th ribs show old fractures along a wide fat to soft tissue in opacity extra pleural sign extending from the 6th through the 7th intercostal space (the latter being widened).</t>
  </si>
  <si>
    <t>1) Microhepatia compatible with congenital PSS vs chronic hepatitis vs lver lobe hypoplasia vs individual variation._x000D_
2) Left renoliths._x000D_
3) Suspected old trauma in the left thoracic wall with probably laceration/ter of the intercostal muscles with herniation of SC fat.</t>
  </si>
  <si>
    <t>Consider abdominal US to further evaluate causes of lethargy and diarrhea as well as to evaluate the liver, ruling out PSS with bile acids and ammonia and to evaluate the urinary tract with renal function test, urinalysis, UPC and urine culture.</t>
  </si>
  <si>
    <t xml:space="preserve">
1.Small intestinal bowel loops are normal in size and have a mixed pattern. No obvious obstruction._x000D_
2.The spleen is normal in size._x000D_
3.Minimal decrease in abdominal detail._x000D_
4.There is a minimal amount of mottled soft tissue density material mixed with gas within the stomach._x000D_
5.The liver is normal in size.</t>
  </si>
  <si>
    <t>Study:_x000D_
Abdominal radiography: orthogonal views (two images) dated September 5, 2024_x000D_
_x000D_
Findings:_x000D_
The stomach contains a small volume of gas. The small intestines are normal in size, course and content. The colon contains gas and poorly formed fecal material with a normal diameter. The liver and spleen are normal in size and margin. The renal silhouettes are normal in size and contour. The urinary bladder is normal in size and opacity. The included thorax is normal. No skeletal abnormalities are present.</t>
  </si>
  <si>
    <t xml:space="preserve">
1.Liver and spleen appear within normal limits._x000D_
2.No abnormal AI findings reported._x000D_
3.Peritoneal detail is normal._x000D_
4.Small-to-moderate volume ingesta in the stomach._x000D_
5.Small intestines and colon are minimally filled without compelling evidence for obstruction.</t>
  </si>
  <si>
    <t>3 views of the thorax are provided for review.  The cardiovascular structures are normal.  There is a moderate bronchial pattern in all lung lobes.  The mediastinal and pleural structures are normal.  Cranial abdominal detail is adequate.</t>
  </si>
  <si>
    <t>Moderate bronchial pulmonary pattern=ZZ90= consider bronchitis, response to inhaled irritants, response to circulating parasites, eosinophilic bronchopneumopathy.</t>
  </si>
  <si>
    <t xml:space="preserve">
1.The spleen is smoothly margined but subjectively very mildly enlarged._x000D_
2.Serosal detail is normal._x000D_
3.The stomach contains gas, fluid, and a small amount of amorphous soft tissue opaque material._x000D_
4.The small intestines contain gas and fluid and are normal in diameter._x000D_
5.The colon is primarily gas filled with a small amount of what appears to be semi-formed fecal material within the distal descending colon._x000D_
6.The liver is normal in size with smooth serosal margins.</t>
  </si>
  <si>
    <t>The small amount of soft tissue opaque material within the stomach may be incidental food. If this patient is anorexic, I cannot completely rule out foreign material within the stomach. There is no definitive evidence of mechanical obstruction of the gastrointestinal tract. There is very mild splenomegaly. DDx: sedation vs. breed related (Shepherd) vs. extramedullary hematopoiesis vs. lymphoid hyperplasia.</t>
  </si>
  <si>
    <t xml:space="preserve">
Virtual Radiologist Case Difficulty: LOW_x000D_
Virtual Radiologist Confidence: HIGH_x000D_
Depending on clinical signs and blood work, further evaluation of the stomach and spleen may be warranted._x000D_
A CBC could be beneficial if this is not a Shepherd breed and the splenomegaly is an unexpected finding, along with unexplained illness._x000D_
Abdominal ultrasound and tick titers could also be considered to further assess the spleen if clinically warranted or there is an unexplained CBC abnormality.</t>
  </si>
  <si>
    <t>Study:_x000D_
Abdominal radiography: three images dated September 5, 2024_x000D_
_x000D_
Findings:_x000D_
There is mild peritoneal effusion. The stomach contains heterogeneous soft tissue material presumed to be ingesta. The small intestines are normal in size, course and content. The colon contains formed fecal material with a normal diameter. The liver extends beyond the costal arch with a rounded caudoventral margin. The spleen is normal in size and margin. The renal silhouettes are normal in size and shape. Numerous punctate mineral foci are present in the kidneys. There are at least two mineral opaque calculi measuring up to 0.6 cm mineral opaque in the urinary bladder. The included thorax is normal. There is mild bilateral stifle periarticular bone formation.</t>
  </si>
  <si>
    <t>1. The hepatomegaly is nonspecific. Rule out metabolic/vacuolar hepatopathy, hyperplasia, hepatitis or neoplasia. Abdominal sonography should be considered for further evaluation._x000D_
2. Mild nonspecific peritoneal effusion. Abdominocentesis should be considered for further evaluation._x000D_
3. Bilateral nephrolithiasis and/or nephrocalcinosis._x000D_
4. Cystolithiasis. Urinalysis should be considered for further evaluation._x000D_
5. Mild bilateral stifle osteoarthrosis. Consider underlying cranial cruciate ligament injury, meniscal injury or patellar luxation.</t>
  </si>
  <si>
    <t xml:space="preserve">
1.The liver is moderately enlarged but retains a smooth margin._x000D_
2.Splenic size, shape and margin are normal._x000D_
3.Abdominal detail is normal._x000D_
4.The stomach is normal. Small intestinal bowel loops are normal in size and distribution and have a mixed pattern. No signs of obstruction.</t>
  </si>
  <si>
    <t>WHOLE-BODY (6 total radiographs for review). _x000D_
_x000D_
- Peritoneal serosal detail is mildly decreased._x000D_
- The stomach contains mild gas and moderate gas-stippled soft-tissue opaque material_x000D_
- The small intestine contains mild multifocal gas and soft-tissue opaque material_x000D_
- The colon contains gas, soft-tissue/fluid and poorly formed fecal material._x000D_
- The liver is mildly enlarged, extending caudal to the costal arch with rounded margins._x000D_
- The spleen, region of the kidneys and urinary bladder are normal._x000D_
- There is a mild diffuse bronchial pulmonary pattern present._x000D_
- The cardiac silhouette and pulmonary vasculature are normal._x000D_
- The trachea, esophagus and mediastinum are normal._x000D_
- The pleural space, diaphragm and ribs are normal._x000D_
- The remaining intrathoracic structures are normal._x000D_
- No musculoskeletal abnormalities are noted._x000D_
- There are broad-based fat opaque nodules along the right cranial thoracic body wall and along the ventral abdominal body wall.</t>
  </si>
  <si>
    <t>1.  A discrete radiographic cause for the reported vaginal bleeding is not clearly identified.  Consider sonographic assessment of the abdomen and/or consultation with a reproductive specialist for further evaluation._x000D_
_x000D_
2. The appearance of the stomach, small intestine and colon can be compatible with a non-specific generalized functional ileus (e.g. gastroenterocolitis). There is no evidence of small intestinal foreign material or mechanical obstruction. If clinically indicated, abdominal ultrasonography might be considered._x000D_
_x000D_
3. Mild hepatomegaly. Most likely vacuolar (metabolic) hepatopathy. Hepatitis, hepatic congestion or neoplasia are less likely, but possible._x000D_
_x000D_
4. Mild diffuse bronchial pattern. Most likely representing age-related lower airway changes, however a component of chronic bronchitis is possible, especially if there is a history of abnormal respiratory sounds, wheezing and/or coughing._x000D_
_x000D_
5. Right cranial thoracic and ventral abdominal body wall lipomas.</t>
  </si>
  <si>
    <t>Study:_x000D_
Abdominal radiography: three images dated September 5, 2024_x000D_
_x000D_
Findings:_x000D_
The abdominal serosal detail is normal. The stomach contains minimal gas. The small intestines are normal in size, course and content. The colon contains gas and poorly formed fecal material. The liver and spleen are normal in size and margin. The renal silhouettes are normal in size and contour. The urinary bladder is normal in size and opacity. The uterus is not visualized. The included thorax is normal. No skeletal abnormalities are present.</t>
  </si>
  <si>
    <t>Unremarkable abdomen. There is no radiographic evidence of gastrointestinal foreign material, small intestinal mechanical obstruction or pyometra. Abdominal sonography can be considered for further evaluation if clinical signs persist or worsen in spite of medical management.</t>
  </si>
  <si>
    <t xml:space="preserve">
1.The liver and spleen are within normal limits for size with smooth margins._x000D_
2.Abdominal detail is normal._x000D_
3.The stomach is mildly gas and fluid filled with some soft tissue density material. The small bowel is gas and fluid-containing. No overt obstruction._x000D_
4.No abnormal AI findings reported.</t>
  </si>
  <si>
    <t>The appearance of the GI tract is likely related to normal ingesta in the absence of GI symptoms. However, if GI symptoms are present, gastroenteritis/colitis secondary to dietary indiscretion or infectious etiology is favored. No overt obstruction.</t>
  </si>
  <si>
    <t xml:space="preserve">
Virtual Radiologist Case Difficulty: LOW_x000D_
Virtual Radiologist Confidence: HIGH_x000D_
If clinical signs are consistent with gastroenterocolitis,  empirical management, and repeat radiographs as necessary. An upper GI contrast examination or abdominal ultrasound may be considered.</t>
  </si>
  <si>
    <t>Three radiographs of the abdomen, VD pelvis, and lateral view that includes both stifles are provided. There is no peritoneal or retroperitoneal effusion. Small volume gas in the stomach. Small bowel are minimally filled. There is gas in the cecum. The distal colon is filled with formed feces. Punctate mineral density in the distal colon is likely incidental. No other evidence of foreign material. Normal-sized liver, spleen, left kidney. The right kidney is obscured. The urinary bladder is mildly filled and soft tissue opaque. No lumbar spinal abnormalities. The caudal thorax is normal. The coxofemoral joints are congruent. Pelvic limb musculature is approximately symmetric. Patellar location is normal. A standard tibial plateau leveling osteotomy procedure has been performed on both sides, and there are no abnormalities associated with the tibial plate or screws. Soft tissue density overlying the cranial aspect of both stifle joints is likely incidental synovial hyperplasia secondary to chronic insult.</t>
  </si>
  <si>
    <t>1. Normal abdomen. A reason for lethargy and hyporexia is not identified._x000D_
2. No abnormalities are identified to explain the pelvic limb clinical signs. Soft tissue sprain/strain is suspected. Non-mineralized intervertebral disc lesion is next on the differential list.</t>
  </si>
  <si>
    <t>Recommend palpate for spinal discomfort. If the patient does not rapidly improve with supportive care, abdominal ultrasound would be recommended.</t>
  </si>
  <si>
    <t xml:space="preserve">
Virtual Radiologist Case Difficulty: MODERATE_x000D_
Virtual Radiologist Confidence: MODERATE_x000D_
Ultrasound of the GI tract would also be recommended if clinical signs are consistent with GI disease. Alternatively, an upper GI contrast study could be performed. in the interim, continued medical management for gastroenteritis.</t>
  </si>
  <si>
    <t>Study:_x000D_
Thoracic/abdominal radiography: three images dated September 5, 2024_x000D_
_x000D_
Findings:_x000D_
The cardiac silhouette and pulmonary vasculature are normal in size. The pulmonary parenchyma is unremarkable. The pleural space is normal. There is no intrathoracic lymphadenopathy. The trachea is normal in diameter and course. There is gas dilation of the esophagus on all three views. The stomach contains unstructured heterogeneous/granular soft tissue material. The small intestines are normal in size, course and content. The colon contains formed fecal material with few interspersed punctate mineral foci with a normal diameter. The liver and spleen are normal in size and margin. The renal silhouettes are normal in size and contour. The urinary bladder is normal in size and opacity. There is no apparent prostatomegaly. The L5-L6 intervertebral disc space appears narrowed on both lateral projections.</t>
  </si>
  <si>
    <t>1. Gastric contents likely represent ingesta. Foreign material cannot be completely excluded. The abdomen is otherwise unremarkable. Repeat fasted radiography can be considered to ensure gastric emptying if clinically relevant based on recent dietary history. Alternatively, abdominal sonography and cPLI testing can be considered to further very for sources of intra-abdominal pain._x000D_
2. The gas dilation of the esophagus may indicate aerophagia or an esophageal motility disorder/megaesophagus. Correlate with any reported regurgitation. An esophagogram can be considered for further evaluation if clinically relevant._x000D_
3. Suspected L5-L6 intervertebral disc disease. Correlate with any spinal pain and/or neurologic deficits.</t>
  </si>
  <si>
    <t xml:space="preserve">
1.No abnormal AI findings reported._x000D_
2.The liver and spleen are normal size with smooth margins._x000D_
3.In the abdomen there is no effusion._x000D_
4.No gastrointestinal abnormalities are appreciated. No signs of obstruction.</t>
  </si>
  <si>
    <t>Study:_x000D_
Abdominal radiography: three images dated September 4, 2024_x000D_
_x000D_
Findings:_x000D_
The stomach contains gas and a small amount of amorphous soft tissue material. On the left lateral projection, there is a small ovoid opacity in the center of the gas-filled pylorus. The small intestines are normal in size, course and content. The colon contains poorly formed fecal material. The liver and spleen are normal in size and margin. The renal silhouettes are normal in size and contour. The urinary bladder is unremarkable. The region of the prostate is not included on the lateral projections. The included thorax is unremarkable. No skeletal abnormalities are present.</t>
  </si>
  <si>
    <t>Gastric contents may represent food and/or foreign material. There is no evidence of small intestinal mechanical obstruction.  Repeat fasted radiography can be considered to ensure gastric emptying. Alternatively, sonography can be considered if clinical signs persist or worsen in spite of medical management.</t>
  </si>
  <si>
    <t xml:space="preserve">
1.Splenic size, shape and margin are normal._x000D_
2.Liver size is at the lower limits of normal but retains a smooth margin._x000D_
3.Abdominal detail is normal._x000D_
4.The small intestinal tract contains normal volumes of fluid, gas and ingesta._x000D_
5.The stomach contains a small amount of air and either has prominent gastric rugae or contains a small amount of soft tissue material.</t>
  </si>
  <si>
    <t>The AI result for this case is most compelling for: normal post-prandial GI tract in the absence of GI symptoms. However, if GI symptoms are present, gastroenteritis can be considered, and may be due to dietary indiscretion, or infectious-inflammatory causes. Pancreatitis could also be considered based on clinical symptoms. There is no evidence of a complete mechanical obstruction.</t>
  </si>
  <si>
    <t xml:space="preserve">
Virtual Radiologist Case Difficulty: LOW_x000D_
Virtual Radiologist Confidence: HIGH_x000D_
If GI signs are present, supportive and symptomatic therapy for gastroenteritis/pancreatitis can be considered. Repeat radiographs to assess for passage of gastric contents or obstruction, and abdominal ultrasound could be performed for further evaluation.</t>
  </si>
  <si>
    <t>WHOLE-BODY (4 total radiographs for review). _x000D_
_x000D_
- Consistent with the reported history, there is a large, homogenously soft tissue opaque mass in the rectal/perineal region causing a dorsal displacement and compression of the rectum, orad to which the colon is distended with gas and desiccated formed fecal material._x000D_
- Peritoneal serosal detail is normal._x000D_
- The stomach contains mild gas and gas-stippled soft-tissue opaque material_x000D_
- The small intestine contains mild multifocal gas and soft-tissue opaque material_x000D_
- The liver, spleen, region of the kidneys and urinary bladder are normal._x000D_
- The cardiac silhouette, pulmonary vasculature, pulmonary parenchyma, trachea, pleural space, mediastinum and remaining included intrathoracic structures are normal._x000D_
- There is narrowing of the T12-13 and L1-2 intervertebral disc spaces, with endplate sclerosis and spondylosis deformans.  Mineralized material superimposed over the spinal canal at L4-5._x000D_
- The mammary glands are prominent, which is expected given the patient is reported as intact female._x000D_
- Mild bilateral coxofemoral periarticular osteophyte formation._x000D_
- Bilateral distal femoral varus angular limb deformity.  Normal positioning of the patellas.</t>
  </si>
  <si>
    <t>1.  Very large rectal/perianal mass with dorsal rectal compression and probable partial mechanical compression of the distal colon._x000D_
_x000D_
2.  No distinct radiographic evidence of metastatic neoplasia either intra-abdominal or intrathoracic identified radiographically._x000D_
_x000D_
3.  Unremarkable abdomen._x000D_
_x000D_
4.  Normal thorax._x000D_
_x000D_
5.  T12-13 and L1-2 intervertebral disc disease._x000D_
_x000D_
6.  Bilateral glenohumeral osteoarthritis._x000D_
_x000D_
7.  Distal femoral varus angular limb deformity has been reported to predispose to medial patellar luxation which is not distinctly identified in this examination.</t>
  </si>
  <si>
    <t>Consider tissue sampling of the rectal mass which may be neoplastic (e.g. soft-tissue tumor) or less likely nonneoplastic.  Complete abdominal ultrasonography with further evaluation of the sublumbar lymph nodes may be of utility for further staging/screening.  Consultation with a veterinary oncologist might be considered pending tissue sampling results.</t>
  </si>
  <si>
    <t>Study:_x000D_
Abdominal radiography: five images (from two different time points approximately 10 minutes apart) dated September 5, 2024_x000D_
_x000D_
Compared to prior study dated June 17, 2024_x000D_
_x000D_
Findings:_x000D_
In initial images, the stomach is gas distended. The pylorus is appropriately gas-filled and in the correct anatomic location. Following passage of the gastric tube, the degree of gas within the stomach is reduced. The small intestines are normal in size, course and content in both time points. The colon contains formed fecal material with a normal diameter. As before, the liver extends mildly beyond the costal arch with smooth margins. As previously noted, the spleen is absent, consistent with the prior history of a splenectomy. The renal silhouettes are normal in size and contour. The urinary bladder is mildly distended, likely secondary conscious retention. The caudal vena cava is narrowed. There is unchanged multifocal spondylosis deformans. Mild periarticular bone formation is present at the proximal aspect of the right femoral trochlear groove.</t>
  </si>
  <si>
    <t>1. The gastric dilation in the absence of a pyloric outflow obstruction may be secondary to the suspected pancreatitis, gastritis and/or gastric atony. There is no evidence of gastrointestinal foreign material or small intestinal mechanical obstruction._x000D_
2. Static mild nonspecific hepatomegaly. Rule out metabolic/vacuolar hepatopathy, hyperplasia, hepatitis or infiltrative neoplasia._x000D_
3. Prior splenectomy._x000D_
4. Mild right stifle osteoarthrosis.
(amended on 09/05/2024 13:18)
Addendum for additional conclusion:_x000D_
_x000D_
5. The narrowing of the caudal vena cava suggestive of dehydration/hypovolemia.</t>
  </si>
  <si>
    <t>Abdominal sonography can be considered for further evaluation if clinical signs persist or worsen in spite of ongoing medical management.</t>
  </si>
  <si>
    <t xml:space="preserve">
1.The liver is upper limits of normal for size to mildly enlarged but retains a smooth margins._x000D_
2.The spleen is normal for size._x000D_
3.Abdominal detail is normal._x000D_
4.Small intestines are mildly gas filled._x000D_
5.Formed feces is present in the distal colon._x000D_
6.Moderate volume ingesta fills the stomach.</t>
  </si>
  <si>
    <t>This should be correlated with blood work. This is nonspecific and may represent fat deposition/vacuolar change vs. steroid hepatopathy vs. hepatitis or in an older patient, infiltrative neoplasia, such as lymphoma. No discrete hepatic mass has been identified. Liver size at the upper limits of normal to mild hepatomegaly. The AI resultfor this case is most compelling for: a normal abdomen. However, blood work should be correlated to this finding as this AI result can also be present with mild hepatomegaly.</t>
  </si>
  <si>
    <t>THORAX (3 total radiographs for review). _x000D_
_x000D_
- There is a soft tissue opaque band dorsally overlying the trachea in the caudal cervical region._x000D_
- There is a mild, diffuse, mixed bronchial and unstructured interstitial pulmonary pattern._x000D_
- The cardiac silhouette, pulmonary vasculature, pleural space and remaining included intrathoracic structures are normal._x000D_
- The liver is moderately enlarged, with rounded margins._x000D_
- The stomach contains mild gas stippled soft-tissue opaque material._x000D_
- The remaining included intra-abdominal structures are normal._x000D_
- Bilateral glenohumeral osteophyte formation._x000D_
- Mild multifocal cranial lumbar vertebral spondylosis deformans.</t>
  </si>
  <si>
    <t>1.  The appearance of the trachea at the level of the thoracic inlet can be compatible with tracheal collapse, secondary to chondromalacia._x000D_
_x000D_
2.  Mild, diffuse, mixed bronchial and peribronchial unstructured interstitial pulmonary pattern.  Given the reported history of coughing, this may represent chronic lower airway disease such as bronchitis which could have underlying infectious, inhaled irritant or allergic etiologies.  A component of this may be expected normal age-related airway degeneration._x000D_
_x000D_
3. Moderate hepatomegaly. Most likely vacuolar (metabolic) hepatopathy. Hepatitis, hepatic congestion or neoplasia are less likely, but possible._x000D_
_x000D_
4.  Thoracolumbar/cranial lumbar vertebral spondylosis deformans.</t>
  </si>
  <si>
    <t>In this case, the patient=ZZ91=s coughing could be multifactorial and related to tracheal collapse and/or chronic lower airway disease.  Assessment for and/or empirical treatment towards either of these pathologies may provide clinical benefit.</t>
  </si>
  <si>
    <t xml:space="preserve">
1.Resource: https://platform.v2.vetology.net/doc/liver_disease_x000D_
2.The spleen is normal in size and margin._x000D_
3.Abdominal detail is normal._x000D_
4.The abdomen is pendulous._x000D_
5.The small intestines are normal in size, course and content._x000D_
6.The stomach contains a small volume of gas._x000D_
7.The colon contains partially formed fecal material._x000D_
8.The liver extends moderately beyond the costal arch with a smooth margin.</t>
  </si>
  <si>
    <t>Study:_x000D_
Thoracic and abdominal radiography: six images dated September 5, 2024_x000D_
_x000D_
Findings:_x000D_
The cardiac silhouette is normal in size and shape. The pulmonary vasculature is normal in size. There mild patchy interstitial to alveolar infiltrates in the right cranial lung lobe, right middle lung lobe and caudal segment the left cranial lung lobe. The pleural space is normal. There is no intrathoracic lymphadenopathy. The trachea is normal in diameter. The stomach contains gas and amorphous soft tissue material. The pylorus is probably gas-filled on the left lateral image. The small intestines are normal in size, course and content. The colon contains poorly formed fecal material with a normal diameter. The liver and spleen are normal in size and margin. The renal silhouettes are normal in size and contour. The urinary bladder is normal in size and opacity. There is no uterine dilation. The patient has multiple, breed associated, congenitally anomalous vertebrae.</t>
  </si>
  <si>
    <t>1. The mild multifocal patchy interstitial to alveolar disease likely indicates pneumonia. Recommend empiric antibiotic therapy with repeat radiography in 10 to 14 days to monitor for response to treatment._x000D_
2. The amorphous soft tissue material in the stomach may represent food and/or foreign material. There is no evidence of small intestinal mechanical obstruction. Repeat fasted radiography can be considered to ensure gastric emptying. Alternatively, sonography can be considered if clinical signs persist or worsen in spite of medical management.</t>
  </si>
  <si>
    <t>Study:_x000D_
Spinal radiography: orthogonal views (two images) dated September 4, 2024_x000D_
_x000D_
Findings:_x000D_
There is mild narrowing of the L2-L3 through L4-L5 intervertebral disc spaces. There is mild L2-L3 and moderate L7-S1 spondylosis deformans. There is no evidence of discospondylitis. The coxofemoral joints are normal with good coverage of the femoral head by the acetabulum bilaterally. On the lateral projection, there is a 3.2 cm soft tissue opaque mass in the caudodorsal lung field.</t>
  </si>
  <si>
    <t>1. Suspect L2-L3 through L4-L5 intervertebral disc disease. Neurology consultation and MRI can be considered for further evaluation if the clinical signs persist or worsen in spite of strict activity restriction and pain management._x000D_
2. Pulmonary mass. Primary pulmonary neoplasia (carcinoma) is prioritized. Metastatic disease or a granuloma cannot be excluded. Recommend a three view thoracic series for further evaluation.</t>
  </si>
  <si>
    <t>A three view thoracoabdominal study is provided for interpretation._x000D_
_x000D_
There is a moderate bronchial pattern. The prominent bronchial markings is due to a combination of bronchial wall thickening in bronchial mineralization. There is an exceptional a subtle but possibly suspicious focal increase in alveolar opacity in the caudal dorsal costophrenic angle of the lung in the lateral views that could correspond the subtle increased opacity superimposed over the diaphragm and right 10th rib in the VD view. There is mild to moderate dynamic narrowing of the caudal cervical trachea. The heart is at the upper end of normal size range. No pleural effusion is seen. No laryngeal abnormalities are identified._x000D_
_x000D_
There is a small quantity of soft tissue dense ingesta in the stomach. Some of the ingesta in the fundic region has a formed irregular appearance. No dilation the stomach or intestine is seen. The liver is at the upper end of normal size range. The other abdominal organs are within normal limits. Serosal detail in the abdomen is normal. No mass lesions are seen._x000D_
_x000D_
There is moderate to severe spondylosis and disc space narrowing involving the caudal cervical spine. There is severe disc space narrowing and spondylosis from T11 to L1 and at L2-L3. No destructive bone lesions are identified.</t>
  </si>
  <si>
    <t>There is a moderate bronchial pattern. The appearance is compatible with chronic bronchitis of and idiopathic or allergic nature or prominent age related changes. Infectious causes are considered unlikely, but there is one very subtle focal area of opacity in the right caudal dorsal lung. This is subtle enough as to potentially be completely artifactual. However, a focal pneumonia secondary to aspiration of a foreign body such as a grass awn cannot be excluded._x000D_
_x000D_
The tracheal narrowing is not severe enough to be diagnostic for clinical tracheal collapse._x000D_
_x000D_
No significant abdominal abnormalities are identified._x000D_
_x000D_
There is evidence of chronic disc degeneration in the cervical and thoracolumbar spine.</t>
  </si>
  <si>
    <t>The focally suspicious opacity in the caudal dorsal lung is subtle enough as to potentially be artifact. CT would probably be necessary for more definitive evaluation._x000D_
_x000D_
The pulmonary pattern is consistent with chronic lower airway disease. Chronic bronchitis is suspected but relevance to the short-term history of respiratory signs is unknown._x000D_
Metabolic or systemic infectious disease should still be ruled out with appropriate labwork.</t>
  </si>
  <si>
    <t>ABDOMEN (3 images):
Images are dated September 5, 2024.
Liver: The liver is subjectively normal in size.
Spleen: The spleen is normal in size with smooth margins and homogeneous soft tissue.
Kidneys: The right kidney is subjectively at the lower limits of normal for size in the ventrodorsal image.  The kidneys have smooth, well-defined margins.
Retroperitoneum: Retroperitoneal detail is adequate.
Urinary bladder/Urethra: The urinary bladder is normal in size, homogeneous soft tissue, and smoothly marginated.
Peritoneum: Peritoneal detail is adequate.
Gastrointestinal tract: The stomach contains a moderate volume of gas and fluid.  Mild granular mineral is admixed with gastric contents.  gas is in the pylorus and descending duodenum in the left lateral image.   The stomach is within normal limits for size.
The small intestine contains minimal gas and mild fluid or is empty with a subjectively uniform population for size. 
The colon contains mild heterogeneous fluid, soft tissue material and gas.  The colon is within normal limits for size.  
Musculoskeletal: The included musculoskeletal structures are normal.</t>
  </si>
  <si>
    <t>1. Gastric mineral material due to dietary indiscretion and gastritis/delayed gastric emptying is suspected.
- No current evidence of pyloric outflow tract obstruction.
2. Non-specific small intestinal and colon appearance due to enteritis, colitis or given reported history unlikely variation of normal.
- There is no current evidence of gastrointestinal mechanical ileus.
- Differential diagnoses include dietary indiscretion (such as gastric mineral material), toxin ingestion, diet/antibiotic responsive disease, inflammatory bowel disease, pancreatitis, occult systemic disease or unlikely other.
3. Equivocal small right kidney versus normal variation/artifact or unlikely other.
- If present, mild chronic renal disease is possible.</t>
  </si>
  <si>
    <t xml:space="preserve">Empirical therapy and supportive care for gastritis/enteritis/colitis and dietary indiscretion in the interim.  Routine blood work, urinalysis, GI panel, and fecal analysis/deworming may be contributory.   Monitoring with repeat abdominal radiographs versus ultrasonography if clinical signs fail to improve, worsen or acutely change in the face of empirical therapy.  </t>
  </si>
  <si>
    <t>Study:_x000D_
Thoracic and abdominal radiography: five images dated September 5,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is empty. The small intestines are gas and fluid-filled and normal in size and course. The colon contains gas and poorly formed fecal material. The liver extends moderately beyond the costal arch with smooth margins. The spleen is normal in size and margin. The renal silhouettes are normal in size and shape. The urinary bladder is normal in size and opacity. There is mild bilateral elbow periarticular bone formation. The T 13 vertebra is transitional. The T 12-T 13 intervertebral disc space is narrowed with sclerotic endplates and moderate spondylosis deformans. The L3-L4 intervertebral disc space also appears narrowed on both lateral projections.</t>
  </si>
  <si>
    <t>1. The gastrointestinal tract is unremarkable. There is no radiographic evidence of gastrointestinal foreign material or small intestinal mechanical obstruction. Abdominal sonography, a G.I. panel, resting cortisol level testing and intestinal biopsies can be considered for further evaluation of the recurrent/chronic hematemesis._x000D_
2. The generalized hepatomegaly is nonspecific. Rule out metabolic/vacuolar hepatopathy, hyperplasia, hepatitis or infiltrative neoplasia. Sonography can be considered for further evaluation._x000D_
3. Normal thorax._x000D_
4. T 12-T 13 and L3-L4 intervertebral disc disease._x000D_
5. Mild bilateral shoulder osteoarthrosis.</t>
  </si>
  <si>
    <t xml:space="preserve">
1.The liver is mildly to moderately enlarged but retains a smooth margin. On the VD projection, asymmetric liver enlargement is present._x000D_
2.The spleen is caudally positioned secondary to the hepatomegaly. Splenic size is normal to upper limits of normal._x000D_
3.Cranial abdominal detail is mildly decreased._x000D_
4.The abdomen is pendulous._x000D_
5.On the lateral projection, the small bowel is diffusely gas- and fluid-filled but without segmental small bowel dilation. Portions of the colon are gas filled and have a rigid appearance._x000D_
6.The stomach and gastric axis are caudally displaced secondary to the hepatomegaly.</t>
  </si>
  <si>
    <t>Three radiographs of the thorax/abdomen are provided. Images dated 6/28/22 are available for comparison. There is new development of mild generalized cardiac silhouette enlargement. Subsequent dorsal deviation of the thoracic trachea and mainstem bronchi. No definitive abnormalities in the pulmonary parenchyma. There is no pleural effusion. Mild narrowed cervical trachea on the left lateral view. In the abdomen the liver is upper normal size with smooth margins. No peritoneal effusion. Normal-sized spleen and left kidney. The right kidney is incompletely visible. No radiopaque cystic calculi. Narrowed L2-3 intervertebral disc space, with increased opacity overlying the foramen. This is more pronounced than on the previous study.</t>
  </si>
  <si>
    <t>1. Mild generalized cardiomegaly consistent with acquired mitral and tricuspid valve disease. There is no evidence of pulmonary venous congestion or heart failure today. Increased vagal tone may be responsible for syncopal episodes._x000D_
2. Possible cervical tracheal collapse._x000D_
3. Normal abdomen._x000D_
4. Progressive change at L2-3 suggestive of intervertebral disc disease.</t>
  </si>
  <si>
    <t>An ECG and echocardiogram are recommended.</t>
  </si>
  <si>
    <t xml:space="preserve">
1.On the lateral projection, the liver is mildly to moderately enlarged with rounded margins. The ventral abdominal line is pendulous._x000D_
2.On the VD projection, an increase in soft tissue opacity is noted in the region of the spleen and left kidney. DDx: superimposition of the spleen and left kidney vs. less likely, splenic mass or other mass in this region._x000D_
3.Cranial abdominal detail is mildly decreased on the VD projection. This is attributed to the increase in soft tissue opacity in the cranial abdomen._x000D_
4.Formed feces in the distal colon._x000D_
5.The stomach and small bowel are minimally filled.</t>
  </si>
  <si>
    <t>Mild hepatomegaly with a pendulous abdomen. Fat deposition in the liver or early steroid hepatopathy are the top differentials. An inflammatory or neoplastic process are next on the differential list. This should be correlated with clinical signs and blood work. Abdominal distention secondary to the mild hepatomegaly and increased intra-abdominal fat deposition causing pulmonary hypoinflation (Pickwickian syndrome).</t>
  </si>
  <si>
    <t>THORAX (2 images) and ABDOMEN (3 images):
Images are dated September 5, 2024.
Pulmonary parenchyma: A minimal to mild diffuse bronchial and interstitial pattern is present.
Pulmonary vasculature: The pulmonary vasculature is subjectively normal in size and tapers in the periphery of the lungs.
Cardiac silhouette: The cardiac silhouette is normal in size and shape.
Mediastinum: The cranial mediastinum is widened symmetrical, exacerbated by obliquity in the ventrodorsal image.
Trachea: The trachea is normal.
Esophagus: The esophagus is not well-identified.
Pleural space: The pleural space is normal.
Liver: The liver is slightly small with cranial displacement of the gastric axis.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Gastric rugal folds are prominent.  Gas is in the pylorus in the left lateral image.  The stomach is within normal limits for size.
In the left mid-ventral abdomen a segment of presumed small intestine contains ovoid soft tissue material and mild gas.  In the right lateral image, an ovoid soft tissue structure with a subjectively thick wall and small lucent center is suspected in an intestinal segment in the mid-abdomen.  This is not definitively identified as the colon.  Some intestinal segments contain moderate gas in throughout the abdomen.
Musculoskeletal: Multifocal narrow or wedge-shaped thoracic vertebrae are present,  Spondylosis deformans is suspected atT13-L1.  T13-L1 is subjectively narrowed.  Caudal vertebral anomalies consistent with breed are present (screw tail anomaly).  The remaining included musculoskeletal structures are normal.</t>
  </si>
  <si>
    <t>1. Suspected small intestinal foreign material and mechanical ileus or given reported history unlikely colonic material.
2. Prominent gastric rugal folds such as from non-specific gastritis versus variation of normal.
3. Minimal to mild diffuse bronchial and interstitial pulmonary pattern. 
- Differential diagnoses include hypoinflation, artifact from patient conformation, fibrosis from prior disease, age-related changes, or less likely infectious/immune-mediated lower airway disease or unlikely other.
4. Microhepatia versus artifact from positioning. 
- If present, consider occult portosystemic shunting vessel or unlikely other.
5. Widened cranial mediastinum due to fat deposition and breed conformation, or unlikely lymphadenomegaly or other.</t>
  </si>
  <si>
    <t>Consider pneumocolonogram to confirm the position of the colon.  Compression radiographs over the mid-abdomen and suspicious small intestinal segments, versus abdominal ultrasonography for confirmation of suspected small intestinal mechanical ileus.  Exploratory celiotomy, routine blood work, and retrieval of suspected small intestinal material if mechanical ileus is confirmed.  Empirical therapy and supportive care in the interim as needed.  Monitoring as directed or sooner if clinical signs acutely change, fail to improve or worsen.</t>
  </si>
  <si>
    <t xml:space="preserve">
1.The liver is enlarged with rounded borders._x000D_
2.The spleen is within normal limits._x000D_
3.The stomach is partially distended with food material and fluid._x000D_
4.The small intestinal track is mostly fluid filled uniform in diameter._x000D_
5.The colon is gas filled in corrugated._x000D_
6.There is decreased detail in the cranial abdomen.</t>
  </si>
  <si>
    <t>Study:_x000D_
Abdominal radiography: three images dated September 5, 2024_x000D_
_x000D_
Findings:_x000D_
There is decreased mid abdominal detail with the impression of mild peritoneal effusion superimposed with the bowel in the mid-ventral abdomen. The stomach contains unstructured heterogeneous/granular soft tissue material presumed to be ingesta. The small intestines are normal in size, course and content. The colon contains gas and poorly formed fecal material. The liver is moderately enlarged with smooth and rounded margins. The spleen is normal in size and margin. The renal silhouettes are normal in size and shape. The urinary bladder is normal in size and opacity. The included thorax is normal. The osseous structures are unremarkable. The patient is of overweight body condition.</t>
  </si>
  <si>
    <t>1. Mild nonspecific peritoneal effusion is suspected. This finding may be secondary to the reported hypoalbuminemia. Other causes of peritoneal effusion cannot be completely excluded._x000D_
2. The generalized hepatomegaly is nonspecific. Rule out metabolic/vacuolar hepatopathy, hyperplasia, hepatitis or infiltrative neoplasia.</t>
  </si>
  <si>
    <t>Abdominal sonography can be considered to further evaluate the hypoalbuminemia, suspected peritoneal effusion and hepatomegaly. A urine protein creatinine ratio should also be considered for further evaluation of the reported hypoalbuminemia.</t>
  </si>
  <si>
    <t xml:space="preserve">
1.The stomach contains small volume gas and scant soft tissue density._x000D_
2.Slight decrease in abdominal detail._x000D_
3.Small intestines are mildly fluid filled. No signs of obstruction._x000D_
4.No abnormal AI findings reported._x000D_
5.Mild splenic enlargement.</t>
  </si>
  <si>
    <t>ABDOMEN (3 images):
Images are dated September 5, 2024.
Images contain no labels.
Liver: The liver is subjectively normal in size.
Spleen: The spleen is not well-identified in any image.
Kidneys: The left kidney is normal.  The right kidney is obscured without obvious enlargement or mineral.  
Retroperitoneum: Retroperitoneal detail is adequate.
Urinary bladder/Urethra: The urinary bladder is obscured without obvious enlargement or mineral.
Peritoneum: Peritoneal detail is adequate.
Gastrointestinal tract: The stomach contains a moderate volume of gas and fluid.  Mineral or metal granular material is admixed with gastric content.  The stomach is within normal limits for size.
The small intestine contains mild gas and fluid or is empty with a subjectively uniform population for size. 
The colon contains minimal to mild soft tissue material, fluid and gas.  Flecks of metal material are admixed with colon content. 
 The colon is within normal limits for size.  
Caudal thorax:  A large soft tissue opaque left caudal lung lobe mass with rightward displacement of the cardiac silhouette is suspected.  This mass does not silhouette with the diaphragm, and the diaphragm is well-defined.    A suspected nodule is over the mid-ventral lungs in one of the lateral images.
Esophagus:  No obvious esophageal enlargement is identified.
Musculoskeletal: L3-4 spondylosis deformans is suspected.  The remaining included musculoskeletal structures are normal.</t>
  </si>
  <si>
    <t xml:space="preserve">1. Suspected left caudal lung lobe soft tissue mass or unlikely esophageal mass or other.
- This is suspicious for primary neoplasia such as pulmonary carcinoma, or unlikely granulomatous/fungal disease (blastomycosis spp. versus other), or unlikely other.
2. Suspected pulmonary nodule such as from metastatic/multicentric neoplasia versus other.
3 Gastric material due to recent meal/dietary indiscretion with/without concurrent gastritis/delayed emptying or less likely pyloric outflow tract obstruction given lack of vomiting in reported history.
4. Non-specific small intestinal and colon appearance such as from enteritis, colitis, or less likely variation of normal/recent bowel movement.
- There is no current evidence of gastrointestinal mechanical ileus.
- Differential diagnoses include dietary indiscretion, toxin ingestion, diet/antibiotic responsive disease, inflammatory bowel disease, pancreatitis, occult systemic disease or unlikely other.
</t>
  </si>
  <si>
    <t>Consider focused thoracic radiographs including a dorsoventral image versus computed tomography of the thorax.  Contrast esophagography may be contributory to confirm esophageal position given the location of this mass.  Routine blood work if not recently performed.  Consider percutaneous tissue sampling if the mass is accessible via ultrasound guidance. Empirical therapy and supportive care in the interim as needed for gastroenteritis/dietary indiscretion.  Consider repeat imaging after 8-12 hours of empirical therapy/fasting to monitor for passage of gastric/intestinal content. Monitoring as directed or sooner if clinical signs acutely change, fail to improve or worsen.</t>
  </si>
  <si>
    <t xml:space="preserve">
1.The liver size is at the lower limits of normal to slightly small._x000D_
2.Splenic size, shape and margin are normal._x000D_
3.The serosal detail is adequate._x000D_
4.The stomach contains a mild amount of gas and soft tissue material._x000D_
5.No small intestinal segmental dilation is noted.</t>
  </si>
  <si>
    <t>Three radiographs of the thorax, and three views of the abdomen are provided. The heart is a normal size and shape. Pulmonary vessels are normal size. Faint bronchial markings is normal for the age of this patient. There are no soft tissue pulmonary nodules, pleural effusion, or enlarged intrathoracic lymph nodes._x000D_
_x000D_
In the abdomen there is reduced serosal detail in the cranial right quadrant on the VD projection, otherwise is normal. Moderate volume kibble-like soft tissue density in the stomach. Small intestines are minimally filled. Moderate volume of formed feces in the colon. Normal-sized liver, left kidney, spleen. The right kidney is obscured. No radiopaque cystic calculi. Mild degenerative change in the left coxofemoral joint.</t>
  </si>
  <si>
    <t>Reduced serosal detail in the cranial right quadrant is most likely due to size of the patient, with scatter artifact. Focal inflammation such as can be seen with gastritis/pancreatitis is given lesser consideration in the absence of associated clinical signs. Otherwise normal abdomen and thorax.</t>
  </si>
  <si>
    <t>Current diagnostics are appropriate.</t>
  </si>
  <si>
    <t>Study:_x000D_
Thoracic and abdominal radiography: six images dated September 5, 2024_x000D_
_x000D_
Findings:_x000D_
The cardiac silhouette and pulmonary vasculature are normal in size. There is a mild generalized bronchointerstitial pulmonary pattern. The pleural space is normal. There is no intrathoracic lymphadenopathy. The trachea is normal in diameter and course. The stomach and some small intestinal segments contain unstructured heterogeneous/granular soft tissue material presumed to be ingesta. The colon contains gas and formed fecal material with a normal diameter. The liver is moderately enlarged with smooth and rounded margins. The spleen is normal in size and margin. The renal silhouettes are normal in size and contour. The urinary bladder is normal in size and opacity. There is mild T8-T9, mild T9-T 10 and moderate L7-S1 spondylosis deformans.</t>
  </si>
  <si>
    <t>1. The moderate generalized hepatomegaly is nonspecific. Rule out metabolic/vacuolar hepatopathy, hyperplasia, hepatitis or infiltrative neoplasia. Sonography can be considered for further evaluation._x000D_
2. In the absence of any reported respiratory signs, the mild generalized bronchointerstitial pulmonary pattern is likely a benign age-related change. Allergic, inflammatory, infectious, inhaled irritant or parasitic bronchitis cannot be excluded. Airway sampling plus/minus heartworm testing and Baermann fecal flotation can be considered to further evaluate for lower disease if clinically relevant.</t>
  </si>
  <si>
    <t xml:space="preserve">
1.Mild hepatomegaly._x000D_
2.Splenic size is at the upper limits of normal to mildly enlarged. The splenic margin is smooth and no mass is identified in the region of the spleen._x000D_
3.Abdominal detail is normal to slightly reduced._x000D_
4.The stomach contains ingesta and the small bowel is mildly gas- and fluid-filled.</t>
  </si>
  <si>
    <t>Study:_x000D_
Abdominal radiography: three images dated September 5, 2024_x000D_
_x000D_
Findings:_x000D_
The serosal detail is normal. The stomach contains a small volume of gas with the pylorus appropriately gas-filled on the left lateral image. The small intestines are normal in size, course and content. The colon contains formed fecal material with a normal diameter. The liver and spleen are normal in size and margin. The kidneys are normal in size and contour. The urinary bladder is normal in size and opacity. There is no prostatomegaly. The included thorax is normal. The osseous structures are unremarkable/age appropriate.</t>
  </si>
  <si>
    <t>Unremarkable abdomen. A cause of vomiting, inappetence and lethargy is not evident. There is no radiographic evidence of gastrointestinal foreign material or small intestinal mechanical obstruction. Abdominal sonography can be considered for further evaluation if clinical signs persist or worsen in spite of medical management.</t>
  </si>
  <si>
    <t xml:space="preserve">
1.Splenic size, shape and margin are normal._x000D_
2.Abdominal detail is normal._x000D_
3.The stomach contains small volume gas and scant amorphous soft tissue density material. Diffuse, mild to moderate gas dilation of the small bowel without evidence of obstruction._x000D_
4.Liver size, shape and margin are normal.</t>
  </si>
  <si>
    <t>Opposite lateral and ventrodorsal thoracic and abdominal radiographs (7 images) dated September 5, 2024._x000D_
_x000D_
_x000D_
_x000D_
The cardiac silhouette, pulmonary vasculature, and great vessels are within normal limits. The pulmonary parenchyma as conspicuous bronchial markings that maintain thin walls, most compatible with bronchial wall mineralization=ZZ90= this is typically considered and incidental finding in older dogs and those with endocrine disorders. No pulmonary nodules, infiltrates, or other pathology is detected. The pleural space and diaphragm are normal. No mediastinal abnormalities are appreciated. The trachea is normal in diameter and course with gas filling its lumen. No intrathoracic lymphadenopathy is evident._x000D_
_x000D_
The liver is unremarkable in size and shape. There is an oblong shaped mass effect associated with the spleen in the left central abdomen, resulting in total displacement of the small bowel. The urinary bladder is fairly fluid-filled. The kidneys are not well visualized due to superimposed viscera. The stomach contains a fair amount of heterogeneous ingesta. The small bowel is unremarkable in diameter with most segments empty or containing a small amount of ingesta and gas. The colon contains gas and poorly formed stool. Peritoneal detail is adequate. No regional lymphadenopathy is evident._x000D_
_x000D_
Both shoulders have moderate periarticular bony remodeling affecting them. Degenerative changes are evident in at least the left but likely both stifles based on the visible portions of them. Bony remodeling is affecting both lesser trochanters. The hips and remainder of the pelvis are unremarkable. There is multifocal thoracolumbar and lumbosacral spondylosis deformans without evidence of disc space narrowing. No aggressive osseous lesions are identified.</t>
  </si>
  <si>
    <t>1. Mass effect associated with the spleen. Rule out a splenic mass (malignant =ZZ93= benign) vs. less likely diffuse splenomegaly with splenic folding vs. unlikely torsion._x000D_
2. The colonic content is suggestive of loose stool/diarrhea. There is no evidence of a small intestinal mechanical obstruction. The gastric content most close resembles normal ingesta=ZZ90= clinically significant foreign material mixed in with ingesta cannot be completely ruled out._x000D_
3. Normal thorax with no evidence of metastatic neoplasia._x000D_
4. Bilateral shoulder and stifle osteoarthritis._x000D_
5. Bilateral insertional iliopsoas enthesopathy at the lesser trochanters. This can be clinically relevant._x000D_
6. Multifocal spondylosis deformans.</t>
  </si>
  <si>
    <t>Fasted and sedated abdominal ultrasound to confirm the splenic pathology and to screen for visceral metastasis._x000D_
CBC, Chem, UA, thyroid, BP, fecal._x000D_
Discuss splenectomy, mass histopathology. Oncology consultation based on results.</t>
  </si>
  <si>
    <t>Study:_x000D_
Abdominal/pelvic and pelvic limb radiography: three images dated September 5, 2024_x000D_
_x000D_
Findings:_x000D_
The stomach contains a small biogas the pylorus appropriately gas-filled on the left lateral image. The small intestines are normal in size, course and content. The colon contains a small volume of gas. The liver and spleen are normal in size and margin. The kidneys are normal in size and contour. The urinary bladder is normal in size and opacity. There is no prostatomegaly. The included thorax is normal. The image spine is unremarkable with no intervertebral disc space or foraminal narrowing. The coxofemoral joints are normal with good coverage of the femoral head by the acetabulum bilaterally. The patella is in the correct anatomic location bilaterally. The degree of soft tissue opacity within the stifle joint spaces is within normal limits. No degenerative change is present in either stifle. The tarsus is unremarkable bilaterally on the VD view the pelvis._x000D_
_x000D_
A human digit is present in the primary beam on the VD view of the pelvis.</t>
  </si>
  <si>
    <t>1. The osseous structures are unremarkable. A cause of right pelvic limb lameness is not evident. Consider soft tissue injury. Orthopedic consultation can be considered if the lameness persists in spite of activity restriction and pain management._x000D_
2. Unremarkable abdomen. A cause of diarrhea is not evident. There is no radiographic evidence of gastrointestinal foreign material or small intestinal mechanical obstruction. Abdominal sonography can be considered for further evaluation if clinical signs persist or worsen in spite of medical management.</t>
  </si>
  <si>
    <t>Study:_x000D_
Abdominal radiography: right lateral and orthogonal views (two images dated September 4, 2024_x000D_
_x000D_
Findings:_x000D_
The serosal detail is adequate. The stomach contains a small volume of gas. The small intestines are normal in size, course and content. The colon contains formed fecal material. The liver is normal in size and margin. The spleen is mildly to moderately enlarged with smooth margins. The kidneys are normal in size and contour. The urinary bladder is normal in size and opacity. The included thorax is normal. No skeletal abnormalities are present.</t>
  </si>
  <si>
    <t>1.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2. The generalized splenomegaly is nonspecific. Rule out extramedullary hematopoiesis, lymphoid hyperplasia, splenitis, congestion (of higher priority if sedated for radiographs) or infiltrative neoplasia. Sonography can be considered for further evaluation.</t>
  </si>
  <si>
    <t xml:space="preserve">
1.Liver size, shape and margin are normal._x000D_
2.Splenic size, shape and margin are normal._x000D_
3.Abdominal detail is normal._x000D_
4.The GI tract is normal.</t>
  </si>
  <si>
    <t>1) Unremarkable thorax without signs of pulmonary metastases nor signs of thoracic lymphadenopathy._x000D_
2) Hepatomegaly: Metabolic vs Vacuolar infiltration vs Hepatic nodular hyperplasia vs Inflammatory vs Toxic vs Neoplastic or a combination of these differentials.</t>
  </si>
  <si>
    <t>Consider abdominal US to further evaluate the liver and entire abdomen for metastatic spread.</t>
  </si>
  <si>
    <t xml:space="preserve">
1.No small intestinal segmental dilation is noted._x000D_
2.Mid-peritoneal detail is decreased._x000D_
3.The liver and spleen are mildly enlarged._x000D_
4.No abnormal AI findings reported._x000D_
5.Small volume of gas is present within the stomach and small bowel._x000D_
6.There is gas in the cecum and proximal colon, with small volume of formed feces distally.</t>
  </si>
  <si>
    <t>Orthogonal views of the thorax and abdomen are provided:_x000D_
_x000D_
Thorax:_x000D_
_x000D_
Cardiac silhouette has a normal shape and size._x000D_
Pulmonary vessels are within normal limits of size and shape._x000D_
Pulmonary parenchyma is within normal limits. No signs of pneumonia._x000D_
Pleural space, mediastinum, diaphragm and thoracic wall within normal limits._x000D_
_x000D_
Abdomen:_x000D_
_x000D_
The stomach is empty._x000D_
Small intestines are mildly gas and fluid filled, not overtly distended. _x000D_
Serosal detail is preserved._x000D_
Liver extends beyond the costal arch with rounded margins._x000D_
Spleen is within normal limits of size and smoothly marginated._x000D_
Kidneys and urinary bladder WNL.</t>
  </si>
  <si>
    <t>1) Unremarkable lungs do not exclude a pharyngitis/pharyngeal or retropharyngeal FB/tonsilitis vs bronchitis of inflammatory/infectious or parasitic origin. _x000D_
2) Hepatomegaly: Metabolic vs Vacuolar infiltration vs Hepatic nodular hyperplasia vs Inflammatory vs Toxic vs Neoplastic or a combination of these differentials.</t>
  </si>
  <si>
    <t>Consider empirical treatment for pharyngitis/tonsilitis/bronchitis (after a negative oral and pharyngeal/laryngeal exam under sedation) evaluating response to treatment._x000D_
Consider abdominal US to further evaluate the liver.</t>
  </si>
  <si>
    <t>Orthogonal radiographs of the thorax/abdomen, and a lateral view of the thorax are provided. The name on the images attached to this request is =ZZ92=??=ZZ92=. There is mild right-sided cardiac silhouette enlargement. There is rounding of the main pulmonary arterial segment. Caudal pulmonary arteries are severely enlarged, tortuous, and blunted. Enlarged cranial lobar arteries as well. A mixed bronchointerstitial pattern is present in the lungs. No pleural effusion. Normal tracheal diameter._x000D_
_x000D_
In the abdomen there is a small accumulation of mineral opaque debris in the stomach, likely incidental. Small bowel and minimally filled. Normal size liver, spleen, kidneys. Formed feces in the distal colon. No radiopaque urolithiasis. Osseous structures are unremarkable.</t>
  </si>
  <si>
    <t>1. Enlarged right heart with severely dilated pulmonary arteries, most consistent with canine heartworm disease. Mixed bronchointerstitial pattern is likely eosinophilic bronchopneumopathy secondary to heartworms. Chronic allergic bronchitis with secondary pulmonary hypertension is given much lesser consideration._x000D_
2. Normal abdomen.</t>
  </si>
  <si>
    <t>Testing for heartworms is recommended.</t>
  </si>
  <si>
    <t xml:space="preserve">
1.On the VD projection, there is asymmetric liver enlargement._x000D_
2.Splenic size, shape and margin are normal._x000D_
3.There is no effusion._x000D_
4.The abdomen is mildly pendulous._x000D_
5.The gastrointestinal tract is mildly filled.</t>
  </si>
  <si>
    <t>Asymmetric mild hepatomegaly. DDx: fat deposition/vacuolar change with a mild shift to liver position vs. less suspected, hepatitis, small hepatic mass or gallbladder distention.</t>
  </si>
  <si>
    <t xml:space="preserve">
Virtual Radiologist Case Difficulty: MODERATE_x000D_
Virtual Radiologist Confidence: MODERATE_x000D_
Blood work, abdominal ultrasound. Tissue sampling as warranted by the abdominal ultrasound. Coagulation profile, platelet count and PCV prior to liver sampling.</t>
  </si>
  <si>
    <t>WHOLE-BODY (4 radiographs are available for review)._x000D_
_x000D_
- Peritoneal serosal detail is mildly reduced._x000D_
- The stomach is moderately distended and contains gas and soft-tissue opaque material (likely fluid). The pyloric outflow tract is not well identified on the LLAT projection._x000D_
- A small intestinal segment in the cranioventral abdomen is focally distended with heterogeneous soft-tissue opaque material. Similar to this, a segment in the caudal abdomen has the same appearance. Multiple additional segments have atypical, peripherally located gas bubbles and are mildly distended._x000D_
- The colon contains gas and minimal formed fecal material._x000D_
- The liver, spleen, kidneys and urinary bladder are normal._x000D_
- The cardiac silhouette, pulmonary vasculature and pleural space are normal._x000D_
- The remaining visible thoracic structures are normal._x000D_
- There is minimal multifocal vertebral spondylosis deformans.</t>
  </si>
  <si>
    <t>1. The appearance of the gastrointestinal tract is concerning in this patient. There is heterogeneous material (possibly foreign) distending small intestinal segments in the cranioventral (and caudal) abdomen, and multiple peripherally located intestinal gas bubbles raise my suspicion for intestinal plication secondary to a linear foreign body obstruction (which may be anchored in the pyloric antral region of the stomach)._x000D_
_x000D_
I would recommend considering emergent abdominal ultrasonography in this patient for further assessment of the pyloric outflow tract and gastrointestinal system. If ultrasound is not available, exploratory laparotomy may be considered. Repeat/serial radiographic examination of the abdomen might be considered if the patient remains clinically stable.</t>
  </si>
  <si>
    <t>Six radiographs of the thorax and three views of the abdomen are provided. Images dated 4/11/24 are available for comparison. The cardiac silhouette is normal size and shape. Mild unstructured interstitial pattern is normal for the age of this patient. Increased opacity overlying extending ventral to the heart on the lateral view is pleural fat deposition. Fat deposition also noted in the cranial mediastinum. Normal tracheal diameter and position. Scant gas in the esophagus is transient and incidental. No spinal or proximal thoracic limb abnormalities._x000D_
_x000D_
In the abdomen peritoneal and retroperitoneal detail is adequate. The gastrointestinal tract is mildly filled. Loops of mildly gas-filled small bowel are superimposed on the kidneys, an incidental variant seen in larger (rounded/rotund conformation) patients. Normal-sized liver and kidneys. The spleen is not definitively seen. No radiopaque urolithiasis. Normal coxofemoral joints.</t>
  </si>
  <si>
    <t>Normal thorax and abdomen. A reason for panting is not identified. There is no evidence of cardiovascular disease on this study.</t>
  </si>
  <si>
    <t>Study:_x000D_
Abdominal radiography: five images dated September 4, 2024_x000D_
_x000D_
Findings:_x000D_
The serosal detail is normal. The stomach contains a small volume of gas with the pylorus probably gas-filled on the left lateral image. The small intestines are normal in size, course and content. The colon contains gas with a normal diameter. The liver and spleen are normal in size and margin. The kidneys are normal in size and contour. The urinary bladder is normal in size and opacity. The included thorax is normal. No skeletal abnormalities are present.</t>
  </si>
  <si>
    <t>3 views of the abdomen are provided for review and compared with earlier images.  The stomach contains a moderate amount of gas.  Mineral material remains visible within the small intestine.  The majority of the material appears to be located near the ileocolic junction and the ileum, cecum, and ascending colon.  Overall, segmental intestinal dilation has improved, although several segments of small intestine remain mildly distended and larger than other segments.  Fluid and mineral material are present in the colon.  No other significant changes are seen.</t>
  </si>
  <si>
    <t>Overall improvement in the intestinal pattern suggests the mineral material is likely causing a partial obstruction.  The location suggests partial obstruction at the ileocolic junction.</t>
  </si>
  <si>
    <t>Based on the improvement, consider continued supportive therapy and monitoring.</t>
  </si>
  <si>
    <t xml:space="preserve">
1.The liver is normal size._x000D_
2.There is a mid-ventral abdominal soft tissue mass._x000D_
3.Mid abdominal peritoneal detail is decreased._x000D_
4.The stomach contains a moderate amount of soft tissue opacity._x000D_
5.This mass causes deviation of bowel loops._x000D_
6.Formed feces fills the colon._x000D_
7.Small intestines are mildly filled.</t>
  </si>
  <si>
    <t>Mid ventral abdominal mass, most likely of splenic origin. Neoplasia such as hemangiosarcoma is of concern. A hematoma or hemangioma is also possible. In an intact female, also consider distended uterine horns due to pyometra vs. pregnancy. A pedunculated hepatic mass is given lesser consideration. Decreased adjacent peritoneal detail may be due to scant effusion or mass effect.</t>
  </si>
  <si>
    <t>ABDOMEN (2 images):
Images are dated September 4, 2024.
Caudal abdomen is excluded in the ventrodorsal image.
Liver: The liver is subjectively normal in size.
Spleen: The spleen is equivocal enlarged and just identified in the ventral-abdomen in the lateral images.  The spleen is subjectively folded on itself in the left cranial to mid-abdomen in the ventrodorsal image.  
Kidneys: The right kidney is slightly small in the lateral image.  The left kidney is normal subjectively.
Retroperitoneum: Retroperitoneal detail is adequate.
Urinary bladder/Urethra: The urinary bladder is normal in size, homogeneous soft tissue, and smoothly marginated.
Reproductive:
Peritoneum: Peritoneal detail is adequate.
Gastrointestinal tract: The stomach contains a mild to moderate volume of gas.   The stomach is within normal limits for size.
The small intestine contains mild gas and fluid or is empty with a subjectively uniform population for size. 
The colon contains moderate gas and mild heterogeneous soft tissue material.  The colon is within normal limits for size.  
Musculoskeletal:  Multifocal lumbar and lumbosacral spondylosis deformans is present.  The L3-4, L4-5, L5-6, L6-7 and L7-S1 intervertebral disc spaces are narrowed.  The patient is obese. The remaining included musculoskeletal structures are normal.</t>
  </si>
  <si>
    <t>1. Non-specific gastrointestinal tract appearance such as from enteritis, colitis, or variation of normal/recent bowel movement.
- There is no current evidence of gastrointestinal mechanical ileus.
- Differential diagnoses include dietary indiscretion, toxin ingestion, diet/antibiotic responsive disease, inflammatory bowel disease, pancreatitis, occult systemic disease or unlikely other.
2. Equivocal splenomegaly versus folding or artifact/normal variation.
- If present, consider passive congestion from sedation (if administered) versus extramedullary hematopoiesis, lymphoid hyperplasia, or unlikely other.
3. Equivocally small right kidney versus normal variation/artifact.
- If present, consider early chronic renal disease.
4. Multifocal lumbar and lumbosacral intervertebral disc narrowing/disc disease, as above.</t>
  </si>
  <si>
    <t>Consider GI panel, fecal analysis/deworming, abdominal ultrasonography, urinalysis, thyroid function testing, and routine blood work for further evaluation.  Empirical therapy and supportive care in the interim as needed. Monitoring as directed or sooner if clinical signs acutely change, fail to improve or worsen.</t>
  </si>
  <si>
    <t xml:space="preserve">
1.Several bowel loops through the mid-abdomen are distended with gas- and/or fluid. These distended loops also have a rigid appearance._x000D_
2.The ventral abdominal line is pendulous._x000D_
3.The gastric rugae are prominent or the stomach contains soft tissue opaque material that has the appearance of prominent gastric rugae._x000D_
4.Hepatomegaly. Differential diagnoses include individual variation of normal, artifact and/or vacuolar hepatopathy (such as from hyperadrenocorticism or diabetes mellitus), nodular hyperplasia, hepatitis/cholangiohepatitis, or evolving neoplasia (metastatic versus primary)._x000D_
5.On the lateral projection, there is increased soft tissue opacity and a mild decrease in abdominal detail in the splenic region.</t>
  </si>
  <si>
    <t>4 images of the thorax and abdomen are provided for review.  The trachea is dorsally deviated, indicating left ventricular enlargement.  A bulge is present in the region of the left atrium.  The cardiac silhouette is also widened with rounding of the right ventricular border.  Mild interstitial opacity is present in the right caudal lung lobe near the hilus.  The trachea and primary bronchi are variably narrowed.  The mediastinal and pleural structures are normal.  Abdominal serosal detail is adequate in all quadrants.  The liver margins are rounded and extend beyond the costal arch, causing caudal displacement of the gastric axis.  The stomach contains a small amount of gas.  The small intestines are normal in size.  Gas and feces are present in the colon.  The urinary bladder is small.  The remaining abdominal organs are normal.</t>
  </si>
  <si>
    <t>Hepatomegaly=ZZ90= this is a nonspecific finding that may be seen with congestion, vacuolar hepatopathy, inflammation, neoplasia, etc.  Abdominal ultrasound may be helpful in further evaluation if biochemically indicated.  Tracheobronchial narrowing consistent with collapse.  Generalized cardiomegaly.  Interstitial pulmonary pattern consistent with early cardiogenic pulmonary edema.  Consider repeat radiographs following increased diuretic therapy.  Echocardiography may be helpful in further evaluation.</t>
  </si>
  <si>
    <t>Study:_x000D_
Abdominal radiography: three images dated September 4, 2024_x000D_
_x000D_
Findings:_x000D_
On the VD view, there is an indistinct ovoid soft tissue opacity in the gastric body. This finding is not seen on the lateral projections. The pylorus is probably gas-filled on the left lateral image. Some small intestinal segments are mildly gas distended. Other small intestinal segments contain smoothly marginated fragmented gas and are normal in diameter. The colon is empty. The liver and spleen are normal in size and margin. The renal silhouettes are normal in size and contour. The urinary bladder is normal in size and opacity. The included thorax is normal. No skeletal abnormalities are present.</t>
  </si>
  <si>
    <t>1. While there is segmental mild small intestinal dilation, no enteric foreign material is identified and there is not definitive evidence of mechanical obstruction_x000D_
2. The smoothly marginated fragmented gas pattern seen in other small intestinal segments can be an indicator of nonspecific enteritis._x000D_
3. The soft tissue opacity in the stomach may represent food or foreign material.</t>
  </si>
  <si>
    <t>Consider repeat fasted radiography to monitor for gastric emptying if any changes in the small intestinal gas pattern. Alternatively, abdominal sonography can be considered for further evaluation if clinical signs persist or worsen in spite of medical management.</t>
  </si>
  <si>
    <t>A three view thoracoabdominal study is provided for interpretation._x000D_
_x000D_
Mild to moderate heart enlargement is identified. The carina is elevated and there is a bulge at the caudal heart base in the area of the left atrium. VHS = 11.7. The pulmonary vessels are unremarkable. There is a mild bronchointerstitial pulmonary pattern. No tracheal or esophageal abnormalities are identified._x000D_
_x000D_
The liver is mildly enlarged, with normal shape and smooth margins. The other included abdominal organs are within normal limits. No mass lesions or loss of detail are seen in the abdomen.</t>
  </si>
  <si>
    <t>There is mild to moderate heart enlargement. The shape of the heart is consistent with left sided chamber dilation. Chronic mitral regurgitation would be the most likely explanation. Other valve pathology should also be ruled out._x000D_
_x000D_
The mild bronchointerstitial pattern is within the limits of what might be expected as age related change. Allergic lung disease or low-grade bronchitis could appear similar._x000D_
Considering the intermittent and mild nature of the signs, allergic or viral etiologies would be most likely._x000D_
The pulmonary pattern is not suggestive of congestive heart failure._x000D_
_x000D_
No evidence of collapsing trachea is seen in the radiographs, but tracheal collapse cannot be entirely excluded on the basis of survey images._x000D_
_x000D_
There is mild hepatomegaly. This would be compatible with many types of diffuse hepatopathy. Correlation with relevant labwork abnormalities were clinical signs is recommended.</t>
  </si>
  <si>
    <t>Symptomatic therapy for the cough is recommended._x000D_
_x000D_
Left ventricle dilation is suspected based on the radiographs. Echocardiography is recommended for more definitive evaluation. Pimobendan therapy may be indicated in this patient.</t>
  </si>
  <si>
    <t xml:space="preserve">
1.There is a marked reduction in serosal detail within the peritoneal space and the abdomen has a pendulous appearance._x000D_
2.The stomach is normal in position but the intestine is displaced._x000D_
3.There is a very large mass-effect within the cranial abdomen that is displacing colon and small intestines into the caudal abdomen. The gastrointestinal tract is considered within normal limits with the exception of being displaced by the mass-effect._x000D_
4.The splenic serosal margins are also poorly defined._x000D_
5.The caudoventral hepatic serosal margins are somewhat poorly defined but appear to be rounded.</t>
  </si>
  <si>
    <t>A two view study of the abdomen is provided for interpretation._x000D_
_x000D_
The stomach is slightly dilated, and contains a moderate quantity of soft tissue dense ingesta. Most is amorphous, some appears semi-formed. No discrete foreign objects are identified. There is a mildly fragmented gas pattern in the intestines in the caudal abdomen. The appearance is not suspicious for plication or obstruction. The rest of the intestinal tract is within normal limits, including the colon. The colon contains a mixture of soft form stool and amorphous content. Serosal detail is normal. The other organs are within normal limits.</t>
  </si>
  <si>
    <t>The content seen within the stomach is compatible with normal food, but radiolucent foreign material including textile such as remnant pieces of rug cannot be excluded based on the survey radiographic appearance. No definitive foreign bodies or obstructive pattern are identified. The other abdominal organs are within normal limits.</t>
  </si>
  <si>
    <t>Considering the clinical signs appear to be resolving, conservative management with symptomatic therapy and monitoring is recommended._x000D_
_x000D_
If vomiting returns, a barium upper GI study after fasting should be considered.</t>
  </si>
  <si>
    <t xml:space="preserve">
1.The stomach is moderately gas filled and has prominent rugae._x000D_
2.The distended small bowel and colon have a similar appearance._x000D_
3.Several loops of mildly dilated loops of small intestine as well as several, less dilated loops of small bowel are noted approaching 2 bowel populations._x000D_
4.The liver is normal._x000D_
5.The spleen is normal._x000D_
6.Adequate serosal detail is noted in the peritoneal space.</t>
  </si>
  <si>
    <t>3 views of the abdomen are provided for review.  Serosal detail is adequate in all quadrants.  The stomach contains a small amount of amorphous soft tissue material.  The rugal folds are prominent.  The small intestines are normal in size.  Gas and feces are present in the colon.  The urinary bladder is small.  The remaining abdominal organs are normal.</t>
  </si>
  <si>
    <t>Prominent rugal folds consistent with gastritis.  Gastric contents consistent with the reported foreign material.</t>
  </si>
  <si>
    <t>Consider repeat radiographs following strict fasting and supportive therapy to determine if a portion of the gastric contents persist.  If clinical signs persist following supportive therapy, abdominal ultrasound could also be considered to rule out concurrent pancreatitis.</t>
  </si>
  <si>
    <t xml:space="preserve">
1.There is increased soft tissue opacity in the splenic region on the VD projection._x000D_
2.There is a focal loss of serosal detail in the cranial abdomen on the VD projection._x000D_
3.Liver size, shape and margin are normal._x000D_
4.The small intestine is of uniform population size and is diffusely of soft tissue opacity with minimal gas opacity._x000D_
5.The gastric lumen contains a mild amount of soft tissue and gas opacity._x000D_
6.The gastric rugae are prominent._x000D_
7.The colon contains a mild amount of gas caudally and ill-formed heterogenous fecal material cranially._x000D_
8.No mechanical ileus is visualized.</t>
  </si>
  <si>
    <t>Appearance to the stomach may represent normal food however if the animal is anorexic or vomiting, gastritis or gastric foreign material is an additional consideration. Along with #1, appearance of the small intestine and colon is consistent with non-specific enteritis and colitis. Increased soft tissue opacity in the splenic region on the VD projection. If mild splenomegaly is present, lymphoid hyperplasia secondary to GI inflammation is the primary consideration. Decrease in cranial abdominal detail. This is likely due to a confluence of soft tissue structures vs. low grade cranial abdominal inflammation (i.e - pancreatitis, gastritis, duodenitis or less commonly, hepatobiliary disease).</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</si>
  <si>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beyond the costal arch.  The stomach contains a moderate amount of soft tissue material.  The small intestines are normal in size.  Gas and feces are present in the colon.  The urinary bladder is small.  The remaining abdominal organs are normal.  A mixed fat and soft tissue opacity mass is seen ventral to the cranial abdomen within the subcutaneous tissues.  The abdominal wall appears intact in this region.  Discrete intestinal structures are not seen in this mass.</t>
  </si>
  <si>
    <t>Material within the stomach may represent residual ingesta or foreign material.  Consider repeat radiographs following strict fasting to determine if gastric contents persist.  Hepatomegaly=ZZ90= this is a nonspecific finding that may be seen with congestion, vacuolar hepatopathy, inflammation, neoplasia, etc.  Abdominal ultrasound may be helpful in further evaluation if biochemically indicated.  Ventral abdominal subcutaneous mass.  Although the abdominal wall appears intact, small abdominal wall hernia cannot be completely excluded.  Ultrasonography of this area may be helpful to determine if intestine is incarcerated.  If not available, an upper GI contrast series or peritoneogram could be performed.  Radiographically normal thorax for patient of this age.</t>
  </si>
  <si>
    <t xml:space="preserve">
1.On the lateral projection, the liver is mildly enlarged with rounded margins. The ventral abdominal line is pendulous._x000D_
2.On the VD projection, an increase in soft tissue opacity is noted in the region of the spleen and left kidney. DDx: superimposition of the spleen and left kidney vs. splenomegaly, splenic mass or other mass in this region._x000D_
3.Cranial abdominal detail is mildly decreased on the VD projection. This is attributed to the increase in soft tissue opacity in the left cranial abdomen. Abdominal fluid is a lesser consideration but would be more likely if a splenic mass is present._x000D_
4.Formed feces in the distal colon._x000D_
5.The stomach and small bowel are minimally filled.</t>
  </si>
  <si>
    <t>Mild hepatomegaly with a pendulous abdomen. Steroid hepatopathy is the top differential. An inflammatory or neoplastic process are next on the differential list. This should be correlated with clinical signs and blood work. No gastrointestinal abnormalities are present on this study. Increase in soft tissue opacity in the left lateral abdomen on the VD projection. DDx: superimposition of the spleen and left kidney vs. splenomegaly or mass in the splenic region.</t>
  </si>
  <si>
    <t>Spine. Eight radiographs (five lateral, three VD) dated September 4, 2024 are provided. As requested, the spine is interpreted.
Cervical, thoracic, and lumbar spine: There are no repeatable sites of intervertebral disc space narrowing. The vertebral bodies and endplates are intact/normal. The articular process joints are unremarkable. The adjacent soft tissues are within normal limits.
Forelimbs: No significant abnormalities are identified in the proximal forelimbs.
Pelvis and pelvic limbs: The pelvis and pelvic limbs are unremarkable. The catheter is in the right pelvic limb.</t>
  </si>
  <si>
    <t>Normal spine. In agreeance with clinical suspicions, a lesion affecting the cervical spinal cord is prioritized given the reported abnormalities. Cervical intervertebral disc disease (disc protrusion/extrusion) is prioritized. Unfortunately a specific site of compression cannot be identified on plain radiographs.</t>
  </si>
  <si>
    <t>Cross-sectional imaging of the cervical +/- thoracolumbar spine and consultation with a neurologist are recommended. An MRI would be preferred; however, CT myelogram would also suffice if feasible/available. Strict cage rest and pain management are recommended in the interim.</t>
  </si>
  <si>
    <t xml:space="preserve">
1.The stomach contains gas and ingesta or prominent rugae, suggestive of gastritis. The small bowel is diffusely fluid filled but without segmental small bowel dilation._x000D_
2.Abdominal detail is normal._x000D_
3.Splenic size, shape and margin are normal._x000D_
4.Liver size, shape and margin are normal.</t>
  </si>
  <si>
    <t>Orthogonal radiographs of the thorax/abdomen are provided. Images dated 4/30/2020 are available for comparison. The cardiac silhouette is prominent on both views. Pulmonary vessels are normal size. Mild age-related changes in the lungs. Moderate narrowed cervical trachea. No pleural effusion. Narrowed caudal cervical intervertebral disc spaces. In the abdomen there is no effusion. Moderate volume gas in the stomach consistent with aerophagia. The descending duodenum is transiently gas dilated. Remaining small bowel are mildly filled with fluid and gas. The cecum is gas dilated. Small volume formed feces in the colon. No radiopaque foreign material or urolithiasis. Normal-sized liver, kidneys, spleen. Narrowed T13-L1, L3-4, L4-5 intervertebral disc spaces. The coxofemoral joints are congruent.</t>
  </si>
  <si>
    <t>1. Narrowed intervertebral disc spaces in the caudal cervical spine and multiple sites in the lumbar spine. This is consistent with intervertebral disc disease. This may be responsible for discomfort._x000D_
2. Mild cardiomegaly suggestive of chronic degenerative mitral and tricuspid valve disease. There is no pulmonary venous congestion or heart failure. This is not felt to be responsible for the clinical signs._x000D_
3. Probable cervical tracheal collapse._x000D_
4. No intra-abdominal abnormalities.</t>
  </si>
  <si>
    <t>Recommend palpate for spinal discomfort and a neurologic examination. If the patient does not rapidly improve with supportive care, abdominal ultrasound should be considered.</t>
  </si>
  <si>
    <t xml:space="preserve">
1.Hepatic margins are smooth._x000D_
2.The spleen is normal._x000D_
3.Cranial abdominal detail is minimally decreased. This is attributed to superimposition of the liver secondary to the hepatomegaly._x000D_
4.The pylorus is caudally displaced by the hepatomegaly. The gastrointestinal tract is minimally filled. A portion of the colon is gas filled._x000D_
5.The liver is mildly to moderately enlarged.</t>
  </si>
  <si>
    <t>Hepatomegaly. Consider fat deposition or steroid hepatopathy primarily. Acute inflammation or neoplasia are next on the differential list.</t>
  </si>
  <si>
    <t xml:space="preserve">
Virtual Radiologist Case Difficulty: MODERATE_x000D_
Virtual Radiologist Confidence: MODERATE_x000D_
Blood work +/- abdominal ultrasound and bile acids to further assess the liver.</t>
  </si>
  <si>
    <t>Study:_x000D_
Abdominal radiography: nine images dated September 4, 2024_x000D_
_x000D_
Interpreted in conjunction with additional images from September 4 and prior studies from September 3 and August 28, 2024_x000D_
_x000D_
Findings:_x000D_
In the initial study, the stomach contains unstructured heterogeneous soft tissue material. Similar material is present in some small intestinal segments. In all recheck studies, the stomach contains varying degrees of gas with the pylorus appropriately gas-filled on the left lateral projections. In all recheck studies, the small intestines are normal in size, course and content. The colon contains gas in some images and formed fecal material in other images. The colonic diameter is normal. The liver and spleen are normal in size and margin. The renal silhouettes are normal in size and contour. The urinary bladder is normal in size and opacity. There is no prostatomegaly. The included thorax is normal. The osseous structures are unremarkable.</t>
  </si>
  <si>
    <t>The abdomen is unremarkable. There is no evidence of gastrointestinal foreign material or small intestinal mechanical obstruction in any of the studies.</t>
  </si>
  <si>
    <t xml:space="preserve">
Virtual Radiologist Case Difficulty: MODERATE_x000D_
Virtual Radiologist Confidence: MODERATE_x000D_
If GI signs are present, empirical management, and repeat radiographs as necessary may be considered. If signs persist, an upper GI contrast examination, or abdominal ultrasound may be considered. Blood work is also recommended.</t>
  </si>
  <si>
    <t>4 images of the abdomen are presented for review.  Serosal detail is adequate in all quadrants.  The stomach contains a moderate amount of gas.  Multiple small intestinal segments are dilated with gas and mineral material.  These are above normal limits for size and larger than other segments.  Gas and feces are present in the colon.  The urinary bladder is small.  The remaining abdominal organs are normal.</t>
  </si>
  <si>
    <t>Segmental small intestinal dilation consistent with mechanical obstruction.  Intraluminal contents consistent with bone material.  Partial obstruction cannot be completely excluded and the bone pieces appear small enough to eventually pass.</t>
  </si>
  <si>
    <t>Consider repeat radiographs following supportive therapy to determine if material passes prior to abdominal exploratory.</t>
  </si>
  <si>
    <t xml:space="preserve">
1.The spleen is normal._x000D_
2.Cranial abdominal detail is mildly decreased._x000D_
3.Small intestinal bowel loops are normal in size and distribution and have mainly a soft tissue pattern._x000D_
4.The stomach contains a moderate amount of mixed gas and fluid._x000D_
5.The colon contains gas and fluid._x000D_
6.The liver is moderately enlarged.</t>
  </si>
  <si>
    <t>Gastroenteritis, pancreatitis, or infiltrative disease cannot be excluded if the patient has a decreased appetite. Suspicion for fluid within the colon concerning for impending diarrhea. Moderate hepatomegaly is a nonspecific finding that has rule out including: Congestion associated with right heart failure, nonspecific and vacuolar hepatopathies (such as hyperadrenocorticism), hyperplasia, hepatitis or in an older patient, infiltrative neoplasia, Decreased cranial abdominal detail. DDx: secondary to superimposition of the hepatomegaly vs. regional inflammation or less likely, hemorrhage. The AI result for this case is most compelling for: Nonspecific hepatomegaly which may be secondary to endocrine disease (i.e. Cushing's or diabetes) vs. infiltrative neoplasia, such as lymphoma, in an older dog.</t>
  </si>
  <si>
    <t xml:space="preserve">
A cPLI could be performed to evaluate for pancreatitis, as clinically warranted._x000D_
Abdominal ultrasound would be beneficial to further evaluate the liver +/- gastrointestinal tract and pancreas, depending on clinical signs._x000D_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</si>
  <si>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Thoracic and abdominal radiography: six images dated September 4,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heterogeneous soft tissue material with interspersed stippled mineral foci. Similar mineral foci are scattered throughout the small intestines. The small intestines are normal in size and course. The colon contains a small amount of formed fecal with interspersed stippled mineral foci. The liver and spleen are normal in size and margin. The kidneys are normal in size and contour. The urinary bladder is normal in size and opacity. The region of the prostate is not included on the lateral projections. The osseous structures are unremarkable. There is no apparent intervertebral disc space or foraminal narrowing.</t>
  </si>
  <si>
    <t>1. The heterogeneous soft tissue material in the stomach likely represents ingesta. Foreign material cannot be completely excluded. The stippled mineral foci seen throughout the gastrointestinal tract may indicate dietary indiscretion or may be an incidental finding depending on the contents of the patient=ZZ91=s normal diet and treats. Repeat fasted radiography can be considered to ensure gastric emptying if clinical relevant based on recent dietary history. Alternatively, abdominal sonography can be considered to further evaluate for any intra-abdominal causes of the clinical signs._x000D_
2. Normal thorax. There is no radiographic evidence of cardiopulmonary disease._x000D_
3. Normal appearance of the imaged spine does not exclude the possibility of intervertebral disc disease. Neurology consultation and MRI can be considered to further evaluate for possible intervertebral disc disease.</t>
  </si>
  <si>
    <t>WHOLE-BODY (5 radiographs for review)._x000D_
_x000D_
- The cardiac silhouette is severely enlarged, being characterized by increased cardiac height and apicobasilar length, dorsal displacement of the caudal aspect of the thoracic trachea, and a rounded opacity in the region of the left atrium. There is also the impression of concurrent right sided cardiomegaly, as the heart assumes a reverse-D appearance on the VD image._x000D_
- The pulmonary vasculature is normal._x000D_
- The pulmonary parenchyma is normal._x000D_
- Dynamic narrowing/collapse of  the intrathoracic trachea._x000D_
- The remaining intrathoracic structures are normal_x000D_
- The stomach contains a relatively large volume of gas-stippled soft-tissue opaque material._x000D_
- The small intestine and colon are normal._x000D_
- The remaining intra-abdominal structures are normal_x000D_
- No discrete musculoskeletal abnormalities are noted</t>
  </si>
  <si>
    <t>1. Severe generalized cardiomegaly with evidence of both left- and right heart enlargement. No evidence of congestive heart failure is noted, however radiographic sensitivity for subtle/early changes can be limited. The left heart enlargement is most likely secondary to degeneration of the mitral valve. The right heart enlargement may be due to cardiac remodeling from chronic pulmonary hypertension (cor pulmonale), or alternatively tricuspid valvular insufficiency. The patient=ZZ91=s coughing may be partially due to the enlarged left heart providing lower airway compression. Consider consultation with a veterinary cardiologist regarding echocardiography/ECG for further assessment._x000D_
_x000D_
2. The appearance of the trachea may be compatible with tracheal collapse, secondary to chondromalacia. This finding may be exacerbated by left heart enlargement causing compression of the carina and principal bronchi._x000D_
_x000D_
3. Recent meal. Otherwise normal abdomen.</t>
  </si>
  <si>
    <t xml:space="preserve">
1.Small small-volume amorphous soft tissue opacity is present within the stomach. 
The small intestines are mildly filled with gas and fluid. No signs of obstruction._x000D_
2.Liver size, shape and margin are normal._x000D_
3.Splenic size, shape and margin are normal._x000D_
4.Abdominal detail is normal.</t>
  </si>
  <si>
    <t>Orthogonal views of the thorax and abdomen are provided:_x000D_
_x000D_
Thorax:_x000D_
_x000D_
Cardiac silhouette has a normal shape and size._x000D_
Pulmonary vessels are within normal limits of size and shape._x000D_
Pulmonary parenchyma shows a diffuse interstitial pattern with suspected indistinct and ill defined pulmonary nodules._x000D_
Pleural space, mediastinum, diaphragm and thoracic wall within normal limits._x000D_
Questionable lytic lesions in both scapulae and dorsal spinous process of T1._x000D_
_x000D_
Abdomen:_x000D_
_x000D_
The stomach is filled with small volume of food._x000D_
Small intestines are mildly gas and fluid filled, not overtly distended. No signs of mechanical ileus._x000D_
Serosal detail is preserved._x000D_
Liver and spleen are within normal limits of size and smoothly marginated._x000D_
Kidneys and urinary bladder WNL.</t>
  </si>
  <si>
    <t>1) Diffuse interstitial pattern with suspected indistinct and ill defined pulmonary nodules compatible with widespread metastatic disease from sarcoma or carcinoma. The other differential would be peribronchial cuffing secondary to metastatic spread (lymphangitic carcinomatosis) vs immunomediated, fungal or pyogranulomatous disease is far less likely._x000D_
2) Questionable lytic lesions in both scapulae and dorsal spinous process of T1._x000D_
3) Unremarkable abdomen.</t>
  </si>
  <si>
    <t>Consider echocardiogram and abdominal US prior to a CT of the thorax (to also evaluate the scapulae and T1).</t>
  </si>
  <si>
    <t>Study:_x000D_
Abdominal radiography: three images dated September 4, 2024_x000D_
_x000D_
Findings:_x000D_
Evaluation is limited on the DV view due to the inherent visceral crowding this projection. The stomach contains heterogeneous/granular soft tissue material presumed to be ingesta. Similar material is present in some small intestinal segments. The small intestines are normal in size and course. The colon contains gas and formed fecal material with a normal diameter. The liver is moderately enlarged with smooth margins. The spleen is normal in size and margin. The renal silhouettes are normal in size and contour. At least five mineral opaque calculi measuring up to 0.8 cm present in the urinary bladder. There are three calculi measuring up to 0.6 cm in the penile urethra. The urinary bladder is normal in size and opacity. There is no prostatomegaly. There is impression of moderate left-sided cardiomegaly on both lateral projections. The osseous structures are unremarkable.</t>
  </si>
  <si>
    <t>1. Cystolithiasis and urethrolithiasis without evidence of urinary obstruction. Recommend urinalysis plus/minus urine culture for further evaluation. Retropulsion of the urethral stones can be considered. Consider dissolution versus cystotomy._x000D_
2. The generalized hepatomegaly is nonspecific. Rule out metabolic/vacuolar hepatopathy, hyperplasia, hepatitis or infiltrative neoplasia. Sonography can be considered for further evaluation._x000D_
3. Suspected left-sided cardiomegaly, suggestive of mitral valve disease. Correlate with any heart murmur. Three view thoracic radiography plus/minus echocardiography can be considered for further evaluation.</t>
  </si>
  <si>
    <t xml:space="preserve">
1.The liver is enlarged with asymmetric enlargement on the VD projection._x000D_
2.There is increased soft tissue opacity in the splenic region. This may be secondary to splenomegaly, a splenic mass or caudal extension of the liver into the splenic region._x000D_
3.Abdominal detail is decreased which may be secondary to organ crowding and/or abdominal fluid._x000D_
4.The colon is normal._x000D_
5.The ventral abdominal line is pendulous._x000D_
6.The stomach is caudally displaced by the hepatomegaly. No dilation of the stomach or small intestine is identified.</t>
  </si>
  <si>
    <t>Study:_x000D_
Thoracic/abdominal, pelvic and pelvic limb radiography: seven images dated September 4, 2024_x000D_
_x000D_
Findings:_x000D_
_x000D_
Skeletal:_x000D_
There is narrowing of the T 12-T 13, T 13-L1 and L2-L3 intervertebral disc spaces with moderate spondylosis deformans. The coxofemoral joints are unremarkable with good coverage of the femoral head by the acetabulum bilaterally. The patella is in the correct anatomic location bilaterally. The degree of soft tissue opacity within the stifle joint spaces is bilaterally symmetric and within normal limits. No degenerative change is present in either stifle. The tarsocrural joint is normal bilaterally. The pelvic limb musculature is bilaterally symmetric._x000D_
_x000D_
Thorax/abdomen:_x000D_
The cardiac silhouette and pulmonary vasculature are normal in size. The pulmonary parenchyma is unremarkable. The pleural space is normal. There is no intrathoracic lymphadenopathy. The trachea is normal in diameter and course. The stomach contains gas. The small intestines are normal in size, course and content. The colon contains gas and poorly formed fecal material. The liver and spleen are normal in size and margin. The kidneys are normal in size and contour. The urinary bladder is normal in size and opacity. There is no prostatomegaly. Metallic surgical clips are present in the inguinal region bilaterally.</t>
  </si>
  <si>
    <t>1. T 12-T 13, T 13-L1 and L2-L3 intervertebral disc disease. Neurology consultation and MRI can be considered for further evaluation._x000D_
2. Unremarkable coxofemoral joints and stifles._x000D_
3. Normal thorax._x000D_
4. Unremarkable abdomen.</t>
  </si>
  <si>
    <t xml:space="preserve">
1.The hepatic silhouette is normal._x000D_
2.The stomach contains a mild amount of fluid in food material._x000D_
3.The gastric axis is normal._x000D_
4.The small intestines are homogenous in size, mildly distended, mainly with fluid opaque material._x000D_
5.The ascending colon contains gas._x000D_
6.The spleen is normal._x000D_
7.No abnormal AI findings reported.</t>
  </si>
  <si>
    <t>The reduction of cranial abdominal peritoneal serosal detail is indicative of pancreatitis, or another cranial abdominal inflammatory process such as hepatitis, cholangitis, cholangiohepatitis, gastritis, or less likely neoplasia of any of the above. Gastroenteritis of viral-bacterial, or less likely parasitic origin cannot be excluded.</t>
  </si>
  <si>
    <t xml:space="preserve">
Virtual Radiologist Case Difficulty: MODERATE_x000D_
Virtual Radiologist Confidence: MODERATE_x000D_
Abdominal ultrasound is advised to further evaluate the cranial aspect of the abdomen. Blood work and pancreatic testing if not already performed._x000D_
Alternatively, empirical supportive therapy and repeat radiographs may be considered.</t>
  </si>
  <si>
    <t xml:space="preserve">ABDOMEN (4 images):
Images are dated September 4, 2024.
Liver: The liver is subjectively normal in size.
Spleen: The spleen is enlarged and extends into the caudoventral abdomen, with a slightly rounded, or smooth, well-defined margin.
Kidneys: The left kidney is normal.  No obvious right kidney mineral or enlargement.  
Retroperitoneum: Retroperitoneal detail is adequate.
Urinary bladder/Urethra: The urinary bladder is normal in size, homogeneous soft tissue, and smoothly marginated.
Peritoneum: Peritoneal detail is adequate.
Gastrointestinal tract: The stomach contains a moderate volume of gas.   Gastric rugal folds are prominent.  The stomach is within normal limits for size.
The small intestine contains mild to moderate gas with a subjectively uniform population for size. 
The colon contains moderate gas and mild heterogeneous soft tissue material admixed with gas.  The colon is within normal limits for size.  
Musculoskeletal: Multifocal lumbar and lumbosacral spondylosis deformans is present.  The remaining included musculoskeletal structures are normal.
Esophagus:  The caudal esophagus contains moderate gas.  </t>
  </si>
  <si>
    <t>1. Non-specific gastrointestinal tract appearance such as from enteritis, colitis, or unlikely individual variation of normal given reported history.
- There is no current evidence of gastrointestinal mechanical ileus.
- Differential diagnoses include dietary indiscretion, toxin ingestion, diet/antibiotic responsive disease, inflammatory bowel disease, pancreatitis, occult systemic disease or unlikely other.
2. Gastric rugal folds due to non-specific gastritis versus variation of normal, or unlikely other.
3. Splenomegaly due to variation of normal (German shepherd dog), passive congestion from sedation (if administered), extramedullary hematopoiesis, lymphoid hyperplasia, or evolving neoplasia.
4. Esophageal gas due to esophagitis such as from vomiting and/or esophageal reflux syndrome, and/or dysmotility or evolving megaesophagus such as from myositis or myasethnia gravis or other.</t>
  </si>
  <si>
    <t>Consider GI panel, fecal analysis/deworming, AChR-antibody serology, tensilon-testing and internist/neurologist consultation for further evaluation of esophageal dysmotility/evolving systemic disease.  Consider swallowing series and/or endoscopy/gastroscopy for further evaluation.  Empirical therapy and supportive care in the interim as needed for gastroenteritis/esophagitis with gastroprotectants and prokinetics.  Monitoring as directed or sooner if clinical signs acutely change, fail to improve or worsen.</t>
  </si>
  <si>
    <t xml:space="preserve">
1.The liver and spleen are normal._x000D_
2.No abnormal AI findings reported._x000D_
3.Serosal detail is normal._x000D_
4.The GI tract is unremarkable.</t>
  </si>
  <si>
    <t xml:space="preserve">
Virtual Radiologist Case Difficulty: MODERATE_x000D_
Virtual Radiologist Confidence: MODERATE_x000D_
No recommendations based on radiographs only.</t>
  </si>
  <si>
    <t>Four radiographs of the abdomen are provided. There is no peritoneal or retroperitoneal effusion. The stomach contains a moderate volume soft tissue opaque ingesta. Small intestines are mildly filled with fluid and gas. Formed feces fills the distal colon. No radiopaque foreign material. Normal-sized liver, spleen, kidneys. Small round soft tissue densities ventral to L6 are end-on deep circumflex iliac vessels. No lumbar vertebral abnormalities. The coxofemoral joints are congruent.</t>
  </si>
  <si>
    <t>Normal post prandial abdomen. A reason for discomfort is not identified. Soft tissue sprain/strain or and intervertebral disc protrusion should be considered.</t>
  </si>
  <si>
    <t>Recommend palpate for spinal discomfort and a neurologic examination. This patient may benefit from anti-inflammatories and rest.</t>
  </si>
  <si>
    <t>Three radiographs of the abdomen and orthogonal views of the distal right pelvic limb are provided. Abdominal images dated September 22, 2022 were reviewed. The liver is mildly enlarged, increased in size compared to the previous study. Hepatic margins remain smooth. Normal-sized spleen and kidneys. The gastrointestinal tract is minimally filled. The urinary bladder is distended. Several punctate mineral opaque calculi in the urinary bladder, measuring up to 0.2 cm. No abnormalities along the plane of the urethra. Prominent left atrium on the edge of the VD view. In the distal right pelvic limb, there is moderate soft tissue swelling surrounding the 4th digit. This extends into the interdigital spaces on either side. There is mild enthesophyte formation on the proximal interphalangeal joint of the 5th digit, incidental. No other osseous proliferation. There is no lysis. Degenerative change noted in the distal right tarsus, likely incidental.</t>
  </si>
  <si>
    <t>1. Small cystic calculi, smaller than before and there is no urethral calculi today. Cystitis is possible._x000D_
2. Right pelvic limb fourth digit soft tissue swelling, likely the reported mast cell lesion. There is no evidence of osseous involvement._x000D_
3. Mild hepatomegaly, increased in size compared to the previous study. This is most likely diabetic hepatopathy._x000D_
4. Prominent left atrium as before suggestive of chronic degenerative mitral valve disease. This is of doubtful clinical significance today.</t>
  </si>
  <si>
    <t>Urinalysis with culture should be considered.</t>
  </si>
  <si>
    <t xml:space="preserve">
1.The serosal margins of the liver are irregular and there is caudal deviation of the gastric axis._x000D_
2.There is moderate to marked hepatomegaly that extends caudally to the mid-abdomen on the lateral projection._x000D_
3.Resource: https://platform.v2.vetology.net/doc/liver_disease_x000D_
4.There is increased soft tissue in the splenic region along with bowel displacement suggestive of a mass effect._x000D_
5.Abdominal detail is decreased._x000D_
6.The ventral abdominal line is pendulous secondary to the cranial abdominal organomegaly/mass._x000D_
7.The stomach is caudally displaced by the hepatomegaly. The small bowel is normal.</t>
  </si>
  <si>
    <t>Study:_x000D_
Thoracic and abdominal radiography: five images dated September 4, 2024_x000D_
_x000D_
Compared to prior study dated May 23, 2022_x000D_
_x000D_
Findings:_x000D_
The cardiac silhouette (VHS approximately 10.25) is normal in size/shape and unchanged appearance from the prior examination. The pulmonary parenchyma is unremarkable. The pleural space is normal. There is no intrathoracic lymphadenopathy. The trachea is normal in diameter and course. The stomach contains a small vinyl gas. The small intestines are normal in size, course and content. The colon contains formed fecal material. The liver and spleen are normal in size and margin. The kidneys are normal in size and contour. There is a small mineral opacity in the right kidney. This finding is unchanged from the prior examination. The urinary bladder is normal in size and opacity. There is no prostatomegaly. The osseous structures are unremarkable.</t>
  </si>
  <si>
    <t>1. Normal thorax. There is no radiographic evidence of heart disease. Echocardiography can be considered for further heart disease screening._x000D_
2. A cause of the respiratory signs is not evident. Consider upper airway disease. Lack of a definitive bronchial pulmonary pattern does not exclude the possibility of allergic/inflammatory, infectious, irritant or parasitic bronchitis. Normal diameter of the trachea does not exclude the possibility of dynamic airway disease._x000D_
3. Static right nephrolith versus nephrocalcinosis. The abdomen is otherwise unremarkable.</t>
  </si>
  <si>
    <t>6 images of the abdomen are provided for review.  Serosal detail is adequate in all quadrants.  The liver and spleen are smoothly margined and normal in size.  The stomach contains a moderate amount of gas.  The small intestines are normal in size.  Gas and feces are present in the colon.  The urinary bladder is small.  The remaining abdominal organs are normal.  There is spondylosis deformans of the cranial lumbar spine.  Spinal alignment is normal with no consistently narrowed intervertebral disc spaces.</t>
  </si>
  <si>
    <t>Mild degenerative change of the lumbar spine.  Radiographically normal abdomen.  This does not rule out underlying pancreatitis, infiltrative neoplasia, gastroenteritis, etc.</t>
  </si>
  <si>
    <t xml:space="preserve">
1.The small intestines are normal in size, course and content._x000D_
2.The colon contains partially formed fecal material._x000D_
3.The liver extends moderately beyond the costal arch with a smooth margin._x000D_
4.The stomach contains a small volume of gas and is displaced caudally by the hepatomegaly._x000D_
5.Abdominal detail is normal._x000D_
6.The spleen is normal in size and margin.</t>
  </si>
  <si>
    <t>Moderate hepatomegaly which is a nonspecific finding. No liver mass is noted. Rule out metabolic/vacuolar hepatopathy, hyperplasia, hepatitis or infiltrative neoplasia.</t>
  </si>
  <si>
    <t xml:space="preserve">
Blood work and abdominal ultrasound +/- pre- and post-prandial bile acids for further evaluation of the hepatomegaly. Bile acids are NOT recommended if bilirubin is elevated._x000D_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</si>
  <si>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Spinal radiography including the thorax and abdomen: four images dated September 3, 2024_x000D_
_x000D_
Findings:_x000D_
The dens is intact and well defined. The atlantoaxial joint space is normal. There is no intervertebral disc space or foraminal narrowing. There is no evidence of discospondylitis. There are no vertebral fractures or luxations. The included appendicular skeletal structures are unremarkable.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t>
  </si>
  <si>
    <t>1. The spine is unremarkable. The lack of any apparent any apparent intervertebral disc space narrowing does not exclude the possibility of intervertebral disc disease._x000D_
2. Normal thorax._x000D_
3. Unremarkable abdomen.</t>
  </si>
  <si>
    <t>Neurology consultation and MRI can be considered for further evaluation if clinical signs persist or worsen in spite of strict activity restriction and pain management.</t>
  </si>
  <si>
    <t xml:space="preserve">
1.See liver finding. The small bowel is diffusely gas- and fluid-filled without segmental small bowel dilation._x000D_
2.Abdominal detail is normal._x000D_
3.Microhepatia is present with cranial positioning to the gastric axis._x000D_
4.Splenic size, shape and margin are normal.</t>
  </si>
  <si>
    <t>Microhepatia resulting in cranial positioning to the stomach. Ddx: In a young dog, consider microvascular dysplasia or a congenital portosystemic shunt. In an older dog, consider chronic liver disease resulting in cirrhosis. No abdominal fluid is noted at this time.</t>
  </si>
  <si>
    <t xml:space="preserve">
If abnormal liver values are present or there is clinical suspicion of hepatopathy, pre- and post-prandial bile acids testing should be considered._x000D_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</si>
  <si>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Thorax: The cardiac silhouette is enlarged and misshapen.  The cardiac silhouette cannot be separated from the diaphragm.  There are no abnormalities involving the pulmonary vasculature or pulmonary parenchyma.  There is no evidence of lymphadenopathy or pleural effusion._x000D_
_x000D_
Abdomen: The liver cannot be identified.  Within the cranial abdomen the stomach and small intestines are located adjacent to the level of the diaphragm.  The head of the spleen is identified on the ventrodorsal view however the remainder of the spleen is not identified.  There are no other abnormalities involving the abdomen.</t>
  </si>
  <si>
    <t>Findings are consistent with a PPDH with suspected liver and possible portions of the spleen within the pericardial sac.</t>
  </si>
  <si>
    <t>Study:_x000D_
Abdominal, pelvic and pelvic limb radiography: five images dated August 6, 2024_x000D_
_x000D_
Findings:_x000D_
The stomach contains a small volume of gas. The small intestines are normal in size, course and content. The colon contains gas and formed fecal material. The liver and spleen are normal in size and margin. The kidneys are normal in size and contour. The urinary bladder is normal in size and opacity. There is no uterine dilation. There is mild T 13-L1 spondylosis deformans. There is moderate right hip dysplasia and remodeling/thickening of the femoral head and neck. The coverage of the left femoral head by the acetabulum is adequate. The patella is in the correct anatomic location bilaterally. The degree of soft tissue opacity within the stifle joint spaces is within normal limits. No degenerative change is present in either stifle. The pelvic limb musculature is bilaterally symmetric.</t>
  </si>
  <si>
    <t>1. Moderate right hip dysplasia coxofemoral osteoarthrosis. Consider activity restriction and pain management as needed._x000D_
2. Normal stifles._x000D_
3. Unremarkable abdomen.</t>
  </si>
  <si>
    <t xml:space="preserve">
1.Splenic size, shape and margin are normal._x000D_
2.Liver size is normal to upper limits of normal. Liver margin is normal._x000D_
3.Cranial abdominal detail is decreased._x000D_
4.No dilation of the small intestine is seen._x000D_
5.The gastric rugae are prominent.</t>
  </si>
  <si>
    <t>WHOLE BODY, six images dated September 03, 2024._x000D_
_x000D_
 The patient has increased subcutaneous fat. Aside from bracyocephalic conformation and poorly developed frontal sinuses, no abnormality is noted in the head. No tracheal abnormality is noted. There is mild straightening of the caudal cardiac border. The pulmonary vasculature and parenchyma are normal. The pleural and mediastinal spaces are within normal limits. No intrathoracic lymphadenopathy is seen. The stomach contains amorphous, soft-tissue-opaque material, most consistent with food. The small intestines are a combination of gas-filled and fluid-filled/collapsed, and all are within normal limits in diameter. The colon contains a combination of gas and granular fecal material. There is borderline hepatomegaly. The remainder of the abdomen is unremarkable. There are mild shoulder degenerative changes. No elbow or antebrachial abnormality is noted. No other thoracic limb abnormality is noted. There are moderate bilateral coxofemoral degenerative changes with bilateral subluxation. No stifle effusion is seen.</t>
  </si>
  <si>
    <t>- There is potential left atrial enlargement versus an appearance related to rotation, without evidence of left-sided congestive heart failure. Otherwise normal thorax._x000D_
_x000D_
- Hepatomegaly is a nonspecific finding though is most likely secondary to a metabolic hepatopathy. Otherwise normal abdomen._x000D_
_x000D_
-Shoulder and coxofemoral degenerative joint disease with coxofemoral subluxation.</t>
  </si>
  <si>
    <t>David Szabo</t>
  </si>
  <si>
    <t xml:space="preserve">
1.The spleen has a slightly rounded, well-defined margin, and is normal in overall size._x000D_
2.The overall peritoneal serosal detail is mildly reduced._x000D_
3.The abdomen is pendulous._x000D_
4.The small bowel is diffusely gas- and fluid-filled without segmental small bowel dilation._x000D_
5.The stomach contains granular food material, with a moderately caudally displaced axis._x000D_
6.The caudoventral margin of the liver is enlarged and rounded.</t>
  </si>
  <si>
    <t>Study:_x000D_
Abdominal radiography: right lateral survey projection and upper G.I. images (six images) dated September 3, 2024_x000D_
_x000D_
A relative projection of the thorax is also present in the study._x000D_
_x000D_
Findings:_x000D_
The cardiac silhouette and pulmonary vasculature are normal in size. The pulmonary parenchyma is unremarkable. The pleural space is normal. There is no intrathoracic lymphadenopathy. The trachea is normal in diameter and course. On the survey right lateral projection of the abdomen, there is a small mineral opacity in the pylorus. On both VD images in the upper G.I. series, there is a 3.2 cm ovoid gas lucency containing a square region of contrast medium. The small intestines are normal in size, course and content. No filling defects are present in the small intestines. The colon contains formed fecal material and a small mineral opacity with a normal diameter. The liver and spleen are normal in size and margin. The renal silhouettes are normal in size and contour. The urinary bladder is not visualized and is likely small/empty. The osseous structures are unremarkable.</t>
  </si>
  <si>
    <t>1. Gastric foreign body._x000D_
2. There is no evidence of small intestinal mechanical obstruction._x000D_
3. Normal thorax.</t>
  </si>
  <si>
    <t>Consider endoscopy versus gastrotomy.</t>
  </si>
  <si>
    <t xml:space="preserve">
1.The gastric lumen contains a mild amount of soft tissue and gas opacity._x000D_
2.The gastric rugae are prominent._x000D_
3.The small intestine is of uniform population size and is diffusely of soft tissue opacity with minimal gas opacity._x000D_
4.No mechanical ileus is visualized._x000D_
5.The colon contains a mild amount of gas caudally and ill-formed heterogenous fecal material cranially._x000D_
6.No abnormal AI findings reported._x000D_
7.The liver and spleen are normal._x000D_
8.There is a focal loss of serosal detail in the cranial abdomen on the VD projection._x000D_
9.The pyloroduodenal is widened and the proximal duodenum contains a mild amount of air.</t>
  </si>
  <si>
    <t xml:space="preserve">Two images are provided.
Images are dated September 3, 2024.
Pulmonary parenchyma: The lungs are hypoinflated in both images.  A minimal to mild diffuse bronchial and minimal interstitial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</si>
  <si>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 xml:space="preserve">1. Minimal-mild diffuse bronchial and minimal interstitial pulmonary patterns.
- Differential diagnoses include fibrosis from prior disease, age-related changes, infectious/immune-mediated lower airway disease or unlikely other.
- No obvious evidence of pneumonia in this examination.
</t>
  </si>
  <si>
    <t>Consider 3- or 4-view focused thoracic radiographs for further evaluation.  Consider continued empirical antibiotic therapy for possible prior bronchopneumonia for 1-2 weeks past radiographic resolution.  Routine blood work if not recently performed may be contributory.  Empirical therapy and supportive care in the interim as needed.  Monitoring as directed or sooner if clinical signs acutely change, fail to improve or worsen.</t>
  </si>
  <si>
    <t>Study:_x000D_
Abdominal radiography: five images dated September 3, 2024_x000D_
A right lateral projection of the thorax is also present in the study._x000D_
_x000D_
Findings:_x000D_
Evaluation the thorax is limited by the lack of left lateral and orthogonal views. The cardiac silhouette and pulmonary vasculature are normal in size. The pulmonary parenchyma is unremarkable. The pleural space is normal. There is no intrathoracic lymphadenopathy. The trachea is normal in diameter and course. The stomach contains a small volume of gas. Some small intestinal segments contain heterogeneous soft tissue material. There is no small intestinal dilation. The colon contains formed fecal material with interspersed granular mineral. The liver and spleen are normal in size and margin. The renal silhouettes are normal in size and contour. The urinary bladder is normal in size and opacity. The osseous structures are unremarkable.</t>
  </si>
  <si>
    <t>1. Intestinal contents may represent food (in spite of the reported fasting history) or foreign material. There is no evidence of small intestinal mechanical obstruction. Repeat fasted radiography can be considered to ensure intestinal. The abdomen is otherwise unremarkable._x000D_
2. Unremarkable incomplete thoracic study. There is no evidence of cardiopulmonary disease.</t>
  </si>
  <si>
    <t>A G.I. panel resting cortisol level can be considered to further very for cause of the patient=ZZ91=s clinical signs.</t>
  </si>
  <si>
    <t xml:space="preserve">
1.There is a moderate quantity of soft tissue dense amorphous material in the stomach and prominent rugal folds._x000D_
2.The small intestines are mildly gas and fluid dilated without obvious signs of obstruction._x000D_
3.No abnormal AI findings reported._x000D_
4.No abnormal AI findings reported._x000D_
5.No abnormal AI findings reported.</t>
  </si>
  <si>
    <t>The AI result for this case is most compelling for: gastroenteritis. No complete intestinal obstruction is suspected, however, partial obstruction or ileus could be considered.</t>
  </si>
  <si>
    <t xml:space="preserve">
Virtual Radiologist Case Difficulty: LOW_x000D_
Virtual Radiologist Confidence: HIGH_x000D_
In a vomiting or anorexic patient, supportive care and therapy for gastroenteritis/pancreatitis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</si>
  <si>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ABDOMEN (2 images):
Images are dated September 3, 2024.
Prior images dated April 2, 2024 are available.
Liver: The liver is subjectively normal in size.
Spleen: The spleen is normal in size with smooth margins and homogeneous soft tissue.
Kidneys: The kidneys are obscured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The stomach is within normal limits for size.
The small intestine contains minimal gas and fluid or is empty with a subjectively uniform population for size. 
The colon contains moderate well-defined soft tissue material and gas.  The colon is within normal limits for size.  
Musculoskeletal: The included musculoskeletal structures are normal.</t>
  </si>
  <si>
    <t>1. Non-specific small intestinal tract appearance such as from variation of normal or unlikely enteritis given reported history.
- There is no current evidence of gastrointestinal mechanical ileus.</t>
  </si>
  <si>
    <t>Etiology of reported signs is not definitively identified.  Lower esophageal reflux disease cannot be ruled out, versus occult esophagitis, gastritis or enteritis such as from dietary indiscretion, toxin ingestion, diet/antibiotic responsive disease, inflammatory bowel disease, pancreatitis, occult systemic disease or unlikely other.  Consider GI panel, fecal analysis/deworming, and routine blood work for further evaluation.  Empirical therapy and supportive care in the interim as needed.  Monitoring as directed or sooner if clinical signs acutely change, fail to improve or worsen.</t>
  </si>
  <si>
    <t xml:space="preserve">
1.Splenic size, shape and margin are normal._x000D_
2.Liver size, shape and margin are normal._x000D_
3.Abdominal detail is normal._x000D_
4.The stomach contains small volume gas and scant amorphous soft tissue density material. Diffuse, mildly filled small bowel without evidence of obstruction.</t>
  </si>
  <si>
    <t>Study:_x000D_
Thoracic and abdominal radiography: six images dated September 3,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adequate. The stomach contains a small volume of gas with the pylorus appropriately gas-filled on the left lateral image. The thickness of the gastric wall and rugae are within normal limits for the degree of gastric distention. There is a thin linear metallic opacity in the mesentery of the right cranial abdomen. The small intestines are gas and fluid-filled and normal in size and course. The colon contains formed fecal material with a normal diameter. The liver and spleen are normal in size and margin. The renal silhouettes are normal in size and contour. The urinary bladder is normal in size and opacity. There is no prostatomegaly. There is narrowing of the T one intervertebral disc space with sclerotic endplates and mild spondylosis deformans. There is a lipomatous mass in the subcutaneous tissues of the caudoventral thorax.</t>
  </si>
  <si>
    <t>1. Peritoneal linear metallic foreign body, possibly wire or brush bristle. This is a relatively common incidental finding._x000D_
2. The abdomen is otherwise unremarkable. Abdominal sonography can be considered to further evaluate for sources of intra-abdominal pain._x000D_
3. T 13-L1 intervertebral disc disease. Consider referred spinal pain as a potential cause of the tense abdomen. Neurology consultation and MRI can be considered for further evaluation._x000D_
4. Normal thorax. There is no radiographic evidence of cardiopulmonary disease.</t>
  </si>
  <si>
    <t xml:space="preserve">
1.Formed feces is present in the distal colon._x000D_
2.Abdominal detail is normal._x000D_
3.Moderate volume ingesta fills the stomach._x000D_
4.Small intestines are mildly gas filled._x000D_
5.The liver is upper limits of normal for size to mildly enlarged but retains a smooth margins._x000D_
6.The spleen is normal for size.</t>
  </si>
  <si>
    <t>Seven radiographs of the thorax and abdomen are provided. There is mild left atrial enlargement. The left ventricle is elongated on the VD views. Pulmonary vessels are normal size. There are no abnormalities in the pulmonary parenchyma. Small volume fluid in the caudal esophagus is transient and incidental. Normal cranial mediastinal and tracheal diameter. No cervicothoracic spinal abnormalities, and the proximal thoracic limbs are normal. Smoothly marginated broad-based lipomatous thickening ventral to the cranial and caudal sternum consistent with lipomas, incidental._x000D_
_x000D_
In the abdomen peritoneal and retroperitoneal detail is adequate. The gastrointestinal tract is moderately filled. Normal-sized liver, spleen. The kidneys are incompletely visible. Narrowed T13-L1, L1-2, L2-3 intervertebral disc spaces. The coxofemoral joints are congruent.</t>
  </si>
  <si>
    <t>1. The appearance of T13-L1, L1-2, L2-3 are all suggestive of intervertebral disc disease. This is the most likely cause for discomfort._x000D_
2. Mild left-sided cardiomegaly consistent with acquired mitral valve disease. There is no pulmonary venous congestion or evidence of heart failure. Otherwise normal thorax._x000D_
3. Normal abdomen.</t>
  </si>
  <si>
    <t>If there are no neurologic deficits and discomfort can be medically managed, this patient may benefit from anti-inflammatories and strict rest. Otherwise, consultation with a neurologist and advanced spinal imaging with CT/MRI would be recommended.</t>
  </si>
  <si>
    <t xml:space="preserve">
1.The small intestines contain gas and fluid and are normal in diameter._x000D_
2.The colon is unremarkable._x000D_
3.The liver is normal in size with smooth serosal margins._x000D_
4.The spleen is smoothly margined and at the upper limits of normal for size to mildly enlarged on the lateral projection._x000D_
5.Serosal detail is normal._x000D_
6.The stomach is unremarkable.</t>
  </si>
  <si>
    <t>Study:_x000D_
Abdominal radiography: three images dated September 3, 2024_x000D_
_x000D_
Findings:_x000D_
The abdominal serosal detail is adequate. The stomach contains a small amount of unstructured heterogeneous soft tissue material.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There is no prostatomegaly. The included thorax is normal. The osseous structures are unremarkable.</t>
  </si>
  <si>
    <t>Gastric contents likely represent ingesta. Foreign material cannot be completely excluded. The abdomen is otherwise unremarkable. There is no evidence of small intestinal mechanical obstruction. Repeat fasted radiography can be considered to ensure gastric emptying if clinically relevant based on recent dietary history. Alternatively, sonography can be considered if clinical signs persist or worsen in spite of medical management.</t>
  </si>
  <si>
    <t xml:space="preserve">
1.Liver size, shape and margin are normal._x000D_
2.Splenic size, shape and margin are normal._x000D_
3.Abdominal detail is normal._x000D_
4.Small small-volume amorphous soft tissue opacity is present within the stomach. 
The small intestines are mildly filled with gas and fluid. No signs of obstruction.</t>
  </si>
  <si>
    <t>Study:_x000D_
Abdominal radiography: right lateral and orthogonal views (two images) images dated September 3, 2024_x000D_
_x000D_
Findings:_x000D_
The stomach contains a small volume of gas. Some small intestinal segments contain a small amount of granular soft tissue material presumed to be ingesta. The small intestines are normal in size and course. The colon contains formed fecal material. The liver and spleen are normal in size and margin. The renal silhouettes are normal in size and contour. On the urinary bladder, there is indistinct linear mineral coursing from the central aspect of the urinary bladder towards the region of the trigone/proximal urethra. The urinary bladder is normal in size. The included thorax is normal. No skeletal abnormalities are present.</t>
  </si>
  <si>
    <t>The indistinct mineral in the urinary bladder may represent sand-like cystolithiasis, conglomerated crystalline sediment or mural mineralization. Consider abdominal sonography for further evaluation pending urinalysis and urine culture results.</t>
  </si>
  <si>
    <t xml:space="preserve">
1.No abnormal AI findings reported._x000D_
2.The liver and spleen are normal size._x000D_
3.No effusion is present._x000D_
4.Moderate volume soft tissue opacity and/or gas fills the stomach._x000D_
5.Small intestines are mildly filled with a mixture of fluid and gas._x000D_
6.No segmental small intestinal distention is present.</t>
  </si>
  <si>
    <t>Opposite lateral and ventrodorsal abdominal radiographs (4 images) dated September 3, 2024._x000D_
_x000D_
The liver and spleen are unremarkable in size and shape. Both kidneys are normal in size and shape. There is an ovoid soft tissue opacity in the sublumbar region, consistent with sublumbar lymphadenopathy. Similarly, the superficial inguinal lymph nodes are enlarged. The stomach contains a mild amount of heterogeneous ingesta. The small intestine is unremarkable in size, course, and content (primarily gas). The colon contains a small amount of formed stool and has a normal course. Peritoneal detail is normal._x000D_
No osseous abnormalities are identified.</t>
  </si>
  <si>
    <t>1. Significant sublumbar and superficial inguinal lymph node enlargement. Rule out malignant neoplasia (ex: round cell =ZZ93= carcinoma or sarcoma) vs. less likely fungal lymphadenitis._x000D_
2. The remainder of the abdomen is unremarkable.</t>
  </si>
  <si>
    <t>FNA/cytology of the enlarged nodes. Three-view thoracic radiographs._x000D_
US-guided splenic FNA could be considered for staging (ideally after PT/PTT and platelet check). Medical oncology consultation based on results.</t>
  </si>
  <si>
    <t>Orthogonal radiographs of the abdomen are provided. There is no peritoneal or retroperitoneal effusion. The gastrointestinal tract is minimally filled. Punctate mineral densities in the intestines are likely incidental. Normal-sized liver, spleen, kidneys. No radiopaque urolithiasis. Narrowed L1-2 intervertebral disc space. Mineralized intervertebral disc material in situ at L4-5, L5-6, L6-7 is incidental. Normal caudal thorax. The coxofemoral joints are congruent.</t>
  </si>
  <si>
    <t>1. The appearance of L1-2 is suggestive of a protruding/extruded intervertebral disc. Such a lesion is the most likely cause for the discomfort and neurologic deficits.
2. Normal abdomen.</t>
  </si>
  <si>
    <t>Consultation with a neurologist and advanced spinal imaging with MRI/CT is recommended.</t>
  </si>
  <si>
    <t xml:space="preserve">
1.The liver and abdominal serosal detail are within normal limits._x000D_
2.On the lateral projection, the spleen is prominent but retains a normal shape and has a smooth margin._x000D_
3.The ventral abdominal line is minimally pendulous._x000D_
4.The stomach contains amorphous, soft-tissue-opaque material, most consistent with food._x000D_
5.The colon contains a combination of gas and granular fecal material._x000D_
6.The small intestines are a combination of gas-filled and fluid-filled/collapsed, and all are within normal limits for diameter.</t>
  </si>
  <si>
    <t>Prominent spleen on the lateral projection is likely a normal breed variant (Shepherd), patient variant or due to benign causes such as sedation or extramedullary hematopoiesis. Less benign etiologies cannot be completely ruled out (such as infiltrative neoplasia).</t>
  </si>
  <si>
    <t xml:space="preserve">
Virtual Radiologist Case Difficulty: MODERATE_x000D_
Virtual Radiologist Confidence: MODERATE_x000D_
Further evaluation of the spleen if a CBC abnormality is present.</t>
  </si>
  <si>
    <t>4 images of the pelvis and pelvic limbs are provided for review.  Coverage of the femoral heads by their acetabulae is adequate bilaterally.  No fractures, luxations, or aggressive osseous lesions are seen.  The joint surfaces are smooth and regular.  No right stifle effusion is seen.  The left stifle cannot be evaluated for effusion due to extreme obliquity of this region on the lateral view.  The soft tissue structures included are normal.</t>
  </si>
  <si>
    <t>Radiographically normal pelvis and pelvic limbs on the views provided.</t>
  </si>
  <si>
    <t>Consider a repeat lateral view of the left stifle (with sedation or anesthesia to aid positioning if necessary) to allow for evaluation for effusion.</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</si>
  <si>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Gas is present within the cranial thoracic esophagus.  The cranial border of the gas appears to efface with a rounded soft tissue structure terminating at the second ribs.  However, soft tissue is also superimposed over the trachea in this region with the esophagus.  The pleural and mediastinal structures are normal.  Abdominal serosal detail is adequate in all quadrants.  The stomach contains a small amount of gas.  The small intestines are normal in size.  Gas and feces are present in the colon.  The urinary bladder is small.  The remaining abdominal organs are normal.</t>
  </si>
  <si>
    <t>Radiographically normal abdomen.  The appearance of the cervical trachea and esophageal gas are difficult to distinguish.  Changes may be due to severe tracheal collapse with incidental esophageal gas.  However, the rounded caudal border to the soft tissue is more concerning for an esophageal foreign body.</t>
  </si>
  <si>
    <t>An esophagram (with iodinated contrast if endoscopy would be considered) could be considered in confirmation.</t>
  </si>
  <si>
    <t>Opposite lateral and VD views of the thorax and abdomen are provided (six images). The caudal part of the abdomen and pelvic canal not included._x000D_
_x000D_
In both lateral views, and irregular partially mineralized nodular structure measuring approximately 1.5 cm is identified at the level of the second rib. This does not appear to be associated with the costochondral junction. This area is not included in the VD view. The other lung fields are within normal limits for age and breed. The cardiovascular structures are unremarkable._x000D_
_x000D_
The abdominal organs are within normal size and shape limits. No mass lesions are seen in the abdomen. Abdominal serosal detail is normal._x000D_
No destructive or productive bone lesions are identified.</t>
  </si>
  <si>
    <t>There is one unusual shadow in the cranial thorax that appears to be a partially mineralized irregular nodule. The appearance is most suspicious for a granuloma that is likely incidental, but clinical significance cannot be definitively determined. No other significant thoracic abnormalities are identified._x000D_
No significant abdominal abnormalities are identified.</t>
  </si>
  <si>
    <t>CBC, serum chemistry, and urinalysis is recommended to help blood metabolic or systemic infectious disease as a cause of the presenting complaint._x000D_
The nodular shadow seen in the cranial thorax is suspected to be incidental, but etiology cannot be definitively determined. CT could be helpful for more complete evaluation.</t>
  </si>
  <si>
    <t xml:space="preserve">
1.Liver size is normal to upper limits of normal. Liver margin is normal._x000D_
2.Resource: https://platform.v2.vetology.net/doc/liver_disease_x000D_
3.Splenic size, shape and margin are normal._x000D_
4.Abdominal detail is normal._x000D_
5.The stomach contains gas and ingesta or prominent rugae. The small bowel is diffusely fluid filled but without segmental small bowel dilation.</t>
  </si>
  <si>
    <t>This AI result is most compelling for a normal post prandial GI tract. However, in a vomiting patient, gastroenteritis becomes a consideration. No small intestinal obstruction has been identified. Normal post-prandial GI tract vs. gastroenteritis if GI signs are present. Liver size is normal to upper limits of normal but retains a smooth margin. DDx: fat deposition/vacuolar change vs. hepatitis, potentially secondary to underlying GI disease, vs. less suspected, infiltrative neoplasia.</t>
  </si>
  <si>
    <t xml:space="preserve">
Blood work and abdominal ultrasound as clinically warranted._x000D_
Empirical therapy for gastritis/ gastroenteritis as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</si>
  <si>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 xml:space="preserve">ABDOMEN (3 images):
Images are dated September 3, 2024.
Prior images dated January 25, 2023 are available.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No obvious evidence of uterine enlargement.  
Peritoneum: Peritoneal detail is adequate.
Gastrointestinal tract: The stomach contains a moderate to large volume of gas.   The stomach is within normal limits for size.
The small intestine contains mild gas and fluid or is empty with a subjectively uniform population for size. 
The colon contains minimal soft tissue and mild to moderate gas.  The colon wall is segmentally spastic in the left lateral image.  The colon is within normal limits for size.  
Musculoskeletal: L3-4 spondylosis deformans is present.  T13 is transitional with a thick right rib. Unilateral patella luxation and bilateral femoral trochlear hypoplasia in the lateral images.  The remaining included musculoskeletal structures are normal.
</t>
  </si>
  <si>
    <t xml:space="preserve">1. Non-specific gastrointestinal tract appearance such as from enteritis, colitis, or variation of normal given reported history.
- There is no current evidence of gastrointestinal mechanical ileus.
- Differential diagnoses include dietary indiscretion, toxin ingestion, diet/antibiotic responsive disease, inflammatory bowel disease, pancreatitis, occult systemic disease or unlikely other.
</t>
  </si>
  <si>
    <t>Consider GI panel, fecal analysis/deworming, and routine blood work for further evaluation.   Abdominal ultrasonography for further evaluation of the colon and small intestine. Empirical therapy and supportive care in the interim as needed.  Monitoring as directed or sooner if clinical signs acutely change, fail to improve or worsen.</t>
  </si>
  <si>
    <t xml:space="preserve">
1.The spleen is normal for size, shape and margin._x000D_
2.Abdominal detail is normal._x000D_
3.There is a moderate amount of fluid and gas within the stomach._x000D_
4.The stomach has a normal axis._x000D_
5.The small intestines are homogenously fluid-filled, and mildly dilated._x000D_
6.The colon is gas-filled._x000D_
7.The descending colon contains mainly fluid opaque material._x000D_
8.The hepatic silhouette is normal.</t>
  </si>
  <si>
    <t>3 views of the abdomen are provided for review.  Serosal detail is adequate in all quadrants.  The stomach contains a moderate amount of gas and the rugal folds are prominent.  The small intestines are normal in size.  Gas is present in the colon.  The urinary bladder is small.  The remaining abdominal organs are normal.</t>
  </si>
  <si>
    <t xml:space="preserve">
1.The liver and spleen are within normal limits._x000D_
2.No abnormal AI findings reported._x000D_
3.Detail in the abdomen is adequate._x000D_
4.The stomach is partially distended with gas and some fluid._x000D_
5.The small intestinal tract is diffusely gas- and fluid-filled but without segmental bowel dilation._x000D_
6.The colon contains gas and has a rigid appearance.</t>
  </si>
  <si>
    <t>The radiographs are most consistent with gastroenterocolitis.</t>
  </si>
  <si>
    <t xml:space="preserve">
If clinically warranted, medical management for gastroenterocolitis is recommended. If no improvement is noted, repeat radiographs or abdominal ultrasound would be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</si>
  <si>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Six radiographs of the thorax and abdomen are provided. Images dated 7/23/24 and earlier were reviewed. The cardiac silhouette and pulmonary vessels are normal size and shape. There are no abnormalities in the pulmonary parenchyma. No pleural effusion. Cranial mediastinal width is normal._x000D_
_x000D_
In the abdomen moderate volume of formed feces fills the colon. Small bowel are minimally filled. Small volume of gas in the stomach. Serosal detail is normal. The liver, kidneys, and spleen are normal size. Narrowed T10-11 intervertebral disc space is a normal anatomic variant. No other definitive narrowed intervertebral disc spaces or foramina.</t>
  </si>
  <si>
    <t>Normal thorax and abdomen. A reason for lethargy is not identified.</t>
  </si>
  <si>
    <t>Current diagnostics are appropriate. If lethargy persists and/or there are abnormalities confirmed on lab work, abdominal ultrasound should be considered at that time.</t>
  </si>
  <si>
    <t>6 views are submitted.  There is equivocal narrowing of the C2-3 intervertebral disc space.  Mild spondylosis deformans is noted in the caudal cervical spine.  No definitively narrowed intervertebral to spaces are noted in the thoracic or lumbar spine._x000D_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moderate amount of food-like material.  The small bowel is normal in uniform diameter.  The colon contains a moderate amount of stool.  The liver is moderately enlarged with smooth serosal margins.  The spleen, renal silhouettes, and urinary bladder appear within normal limits.  Serosal detail is adequate._x000D_
The bilateral femoral heads are well-seated in the acetabula.  The coxofemoral joint spaces are congruent.  No degenerative changes are noted in either hip.  The sacroiliac joints are within normal limits.  No abnormalities are noted in either stifle or tarsus.</t>
  </si>
  <si>
    <t>Equivocal evidence of intervertebral disc disease in the cervical spine.  This is not definitive.  No obvious intervertebral disc disease is noted in the thoracolumbar spine although this cannot be excluded._x000D_
Moderate hepatomegaly.  Differentials include vacuolar hepatopathy, inflammation, venous congestion, or neoplasia._x000D_
Radiographically normal geriatric thorax.  The appearance of the lung fields are most consistent with incidental age-related change or possibly chronic inflammatory airway disease.</t>
  </si>
  <si>
    <t>Correlation with neurologic exam findings is recommended.  If neurologic deficits are present, cross-sectional imaging of the vertebral column would be indicated for more definitive diagnosis.  Otherwise, symptomatic/supportive medical management may be helpful._x000D_
Correlation of the findings in the liver with blood work and abdominal ultrasound could be considered.</t>
  </si>
  <si>
    <t xml:space="preserve">
1.The stomach contains granular food material, with a moderately caudally displaced axis._x000D_
2.The caudoventral margin of the liver is enlarged and rounded._x000D_
3.The spleen has a slightly rounded, well-defined margin, and is normal in overall size._x000D_
4.The overall peritoneal serosal detail is mildly reduced._x000D_
5.The abdomen is pendulous._x000D_
6.The small bowel is diffusely gas- and fluid-filled without segmental small bowel dilation.</t>
  </si>
  <si>
    <t>5 images of the abdomen are provided for review.  Serosal detail is adequate in all quadrants.  The stomach contains a moderate amount of mottled soft tissue material.  The small intestines are normal in size.  Gas and feces are present in the colon.  The urinary bladder is small.  The remaining abdominal organs are normal.</t>
  </si>
  <si>
    <t xml:space="preserve">
1.On the VD projection, there is asymmetric liver enlargement._x000D_
2.Splenic size, shape and margin are normal._x000D_
3.The abdomen is mildly pendulous._x000D_
4.There is no effusion._x000D_
5.The gastrointestinal tract is mildly filled.</t>
  </si>
  <si>
    <t>Opposite lateral and VD views of the thorax and abdomen are provided. There are six images total._x000D_
_x000D_
The cardiovascular structures are within normal limits. There is mild bronchial mineralization, which is more prominent than expected given the relatively young age of the patient. No alveolar infiltrates or pleural effusion are seen. The trachea is normal. No esophageal abnormalities are identified._x000D_
_x000D_
There is a moderate quantity of amorphous ingesta visible in the GI tract. No foreign bodies are seen. No dilation the stomach or intestine is identified. The other organs are within normal size and shape limits. Serosal detail in the abdomen is normal._x000D_
_x000D_
There is mild narrowing of the T13-L1 intervertebral disc space. L4-L5 also appears mildly narrowed. No destructive or productive bone lesions are identified.</t>
  </si>
  <si>
    <t>Pulmonary density is mild increased over what is expected for the age of the patient. However, this is still likely to be an incidental finding in the absence of relevant clinical signs. If coughing is a concern, the appearance would be most compatible with idiopathic or allergic chronic low-grade bronchitis._x000D_
No other thoracic abnormalities are seen._x000D_
No abdominal abnormalities are identified._x000D_
There is suspicion of disc degeneration at the thoracolumbar junction. Relevance to the clinical signs is probably limited.</t>
  </si>
  <si>
    <t>Symptomatic therapy and supportive care is recommended.</t>
  </si>
  <si>
    <t>Abdominal radiographs (4 images) dated September 3, 2024._x000D_
_x000D_
The liver and spleen are unremarkable in size and shape. Both kidneys are normal in size and shape. The urinary bladder is small and poorly visualized. There is a large roughly ovoid soft tissue opaque mass effect in the central and caudal abdomen, resulting in the medial displacement of the mostly gas-filled bowel. On the lateral views, this mass effect of somewhat tubular appearance. However, on the VD view it has a bilobed appearance with an ovoid mass on each side of the abdomen. The stomach contains a fair amount of gas and a small amount of fluid. The small bowel is mostly empty/collapsed. The colon contains a small amount of stool mixed with gas. Peritoneal detail is adequate considering the degree of serosal crowding. Retroperitoneal detail is normal. No regional lymphadenopathy is evident._x000D_
No aggressive or clinically significant osseous pathology is identified.</t>
  </si>
  <si>
    <t>1. Middle and caudal abdominal mass effect. Uterine distention is considered most likely (pyometra =ZZ93= early pregnancy =ZZ93==ZZ93= other metra types [hydrometra, mucometra, hematometra]). A neoplastic uterine tumor is unlikely. A mass of non-uterine origin (ex: splenic tail mass) is unlikely._x000D_
2. The appearance of the gastrointestinal tract is suspicious for gastroenteritis.</t>
  </si>
  <si>
    <t>Exploratory laparotomy. Ultrasound could be considered of expediently available prior to surgery._x000D_
Three-view thoracic radiographs for preanesthetic screening.</t>
  </si>
  <si>
    <t xml:space="preserve">
1.The liver is moderately enlarged with potential for a hepatic mass._x000D_
2.The spleen is enlarged with potential for a splenic mass._x000D_
3.Abdominal detail is diffusely decreased and the abdomen is pendulous._x000D_
4.Moderate volume gas fills the stomach._x000D_
5.Small intestines are mildly fluid-filled._x000D_
6.Segments of the colon have a rigid appearance.</t>
  </si>
  <si>
    <t>Hepatosplenomegaly. Rule out infiltrative neoplasia such as lymphoma in an older patient. Granulomatous disease or unrelated causes for hepatomegaly and splenomegaly. Decreased abdominal detail. DDx: secondary to organomegaly +/- lymphadenopathy, mesenteric inflammation and/or abdominal fluid. Diffusely fluid filled small bowel and rigid colon. DDx: enterocolitis secondary to abdominal disease vs. functional ileus secondary to abdominal disease or infiltrative neoplasia.</t>
  </si>
  <si>
    <t>A three view study of the abdomen is provided for interpretation._x000D_
_x000D_
There is a minimal quantity of amorphous and granular mineral/metal density in the stomach and in the large intestine. No dilation of the stomach or gastric malpositioning is seen. The small intestine appears mostly empty and nondistended. No intestinal plication is identified. No GI foreign bodies are visible. Serosal detail in the abdomen is normal. The other abdominal organs are within normal limits. No musculoskeletal abnormalities are identified.</t>
  </si>
  <si>
    <t>No foreign bodies or obstructive pattern are identified. No evidence of peritonitis is seen._x000D_
_x000D_
There is a minimal quantity of mineral/mineral dense material in the GI tract. This is not necessarily clinically significant, but could be considered evidence of dietary indiscretion._x000D_
Toxin ingestion should be ruled out, including metallic foreign material such as zinc oxide ointment.</t>
  </si>
  <si>
    <t>Supportive care and symptomatic therapy for gastroenteritis/pancreatitis is recommended._x000D_
_x000D_
Metabolic or systemic infectious disease should be ruled out._x000D_
_x000D_
CBC, serum chemistry including pancreatic specific lipase, and urinalysis is recommended.</t>
  </si>
  <si>
    <t xml:space="preserve">
1.Liver size, shape and margin are normal._x000D_
2.Splenic size, shape and margin are normal._x000D_
3.Serosal detail is adequate._x000D_
4.There is a heterogeneous soft tissue opacity associated with the gastric lumen._x000D_
5.The small intestines have a diffuse fragmented gas pattern._x000D_
6.The colon is gas filled with a rigid appearance.</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</si>
  <si>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beyond the costal arch.  The spleen is smoothly margined and normal in size.  No distinct splenic mass is seen.  The stomach contains a small amount of ingesta.  The small intestines are normal in size.  Gas and feces are present in the colon.  The urinary bladder is small.  The remaining abdominal organs are normal.</t>
  </si>
  <si>
    <t>Hepatomegaly=ZZ90= this is a nonspecific finding that may be seen with congestion, vacuolar hepatopathy, inflammation, neoplasia, etc.  Abdominal ultrasound may be helpful in further evaluation if biochemically indicated.  Radiographically normal thorax for patient of this age.</t>
  </si>
  <si>
    <t>Three radiographs of the thorax, and three views of the abdomen are provided. Images dated 8/24/22 are available for comparison. The cardiac silhouette is normal size and shape, with no chamber enlargement. There are several incidental pulmonary osteomas in the lungs. No soft tissue pulmonary nodules or pleural effusion. Incidental laryngeal mineralization. There is smoothly irregular round 1.6 cm soft tissue opacity overlying the pharynx on the right lateral view, not definitively seen on the left lateral projection but this area may not be included on the 2nd view. Tracheal diameter and position are normal. No esophageal dilation._x000D_
_x000D_
In the abdomen, there is no effusion. Semi-formed feces in the distal colon. The stomach and small bowel are minimally filled. Normal-sized spleen, kidneys, liver. No radiopaque cystic calculi.</t>
  </si>
  <si>
    <t>Soft tissue opacity overlying the pharyngeal region is concerning for a polyp/mass lesion, however is unexpected with the absence of increased respiratory noise or cough/gag. This could be incidental superimposed external tissue. No thoracic abnormalities, and the abdomen is normal.</t>
  </si>
  <si>
    <t>Recommend oropharyngeal evaluation.</t>
  </si>
  <si>
    <t>Three radiographs of the thorax, and three views of the abdomen are provided. The cardiac silhouette and pulmonary vessels are normal size. Small area of suspect severe interstitial pattern in the right cranial lung lobe on the left lateral view. There is faint stippled to linear mineral density following the mid and caudal lobar bronchioles, and two ovoid 2.0 x 0.3 cm and 0.7 x 0.5 cm mineral densities in the perihilar region. No pleural effusion. Tracheal diameter is normal. Elbow degenerative changes, of doubtful clinical significance today._x000D_
_x000D_
In the abdomen there is moderate volume soft tissue density stippled with gas filling the stomach. There is scant ventral peritoneal effusion best seen on the right lateral view. Small bowel are minimally filled with fluid and gas. Small volume gas and semi-formed feces in the colon. No radiopaque urolithiasis. Normal-sized liver, spleen, left kidney. The right kidney is obscured. No radiopaque cystic calculi. Mild osteoarthritis in the proximal joints.</t>
  </si>
  <si>
    <t>1. Gastric content appears to be normal ingesta, however it is unexpected with the history provided. If confirmed the patient has been completely anorexic for at least 12 hours, this would be concerning for foreign material although vomiting is typically present. There is mild peritoneal effusion which may be inflammatory, neoplastic, or due to metabolic abnormality._x000D_
2. Possible mild aspiration pneumonia in the right cranial lung lobe. The mineral opacities within the lungs and region of the tracheobronchial lymph nodes is consistent with previous barium aspiration. This is an incidental finding, which will remain indefinitely.</t>
  </si>
  <si>
    <t>Recommend antibiotics and fasting abdominal ultrasound.</t>
  </si>
  <si>
    <t xml:space="preserve">
1.On the lateral projection, the spleen is prominent but retains a normal shape and has a smooth margin._x000D_
2.The ventral abdominal line is minimally pendulous._x000D_
3.The stomach contains amorphous, soft-tissue-opaque material, most consistent with food._x000D_
4.The small intestines are a combination of gas-filled and fluid-filled/collapsed, and all are within normal limits for diameter._x000D_
5.The colon contains a combination of gas and granular fecal material._x000D_
6.The liver and abdominal serosal detail are within normal limits.</t>
  </si>
  <si>
    <t>Full body. Six radiographs (four lateral, two VD) of a skeletally mature patient dated September 3, 2024 are provided.
Cardiac silhouette: There is mild cardiomegaly with no specific chamber enlargement. This is most apparent on the left lateral and VD views.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stomach is mildly distended with heterogeneous ingesta admixed with gas. The small intestine is diffusely within normal limits of diameter and primarily gas-filled. The colon contains gas and feces.
Liver: The liver is normal in size and shape.
Spleen: The spleen is within normal limits.
Urinary: The visible margins of the kidneys are unremarkable. The urinary bladder is small in size and normal in opacity.
Peritoneal space: There is adequate serosal detail.
Musculoskeletal: There is moderate intervertebral disc space narrowing at T12-13. There is moderate spondylosis deformans of T12-13, T13-L1, and L1-2.</t>
  </si>
  <si>
    <t>1. Mild cardiomegaly. Differentials include valvular disease and dilated cardiomyopathy. There is no evidence of heart failure.
2. Unremarkable abdomen. Pancreatitis is likely contributing to weight loss, despite no vomiting or diarrhea. 
3. There is evidence of thoracolumbar intervertebral disc disease.</t>
  </si>
  <si>
    <t>Echocardiography, ECG, and blood pressure for further evaluation of the heart. Medical management and supportive care for pancreatitis is recommended. If clinical signs persist despite treatment, an abdominal ultrasound could be considered to further evaluate the pancreas and urinary tract.</t>
  </si>
  <si>
    <t>Six images are provided.
Images are dated September 3, 2024.
Bones/Joints:
A dens is present.   Suspected in situ intervertebral disc mineral at T10-11.
There is no evidence of intervertebral disc space narrowing, or mineral over the intervertebral foramina.  There is no evidence of intervertebral dorsal articulation osteoarthrosis.
There is no evidence of medullary sclerosis, osteolysis, endosteal scalloping, or periosteal proliferation.
Soft tissues:  The included paraspinal soft tissues are normal.</t>
  </si>
  <si>
    <t>1. No evidence of intervertebral disc space narrowing, or mineral over the intervertebral foramina.
2. Suspected in situ intervertebral disc mineral at T10-11.</t>
  </si>
  <si>
    <t xml:space="preserve">Consider routine blood work and thoracic/abdominal imaging, as well as digital rectal examination for further evaluation.  Empirical therapy and supportive care in the interim as needed.  Consider neurologist consultation and possibly MRI depending on results of additional diagnostics.  </t>
  </si>
  <si>
    <t xml:space="preserve">
1.Liver size, shape and margin are normal._x000D_
2.The spleen is enlarged but retains a smooth margin._x000D_
3.Decreased serosal detail._x000D_
4.There is heterogeneous soft tissue opacity in the stomach._x000D_
5.No small intestinal segmental dilation is noted. No signs of obstruction.</t>
  </si>
  <si>
    <t>The appearance of the stomach is likely related to normal ingesta in the absence of GI symptoms. However, if GI symptoms are present, gastroenteritis secondary to dietary indiscretion or infectious etiology could be considered. Decreased serosal detail may be consistent with mesenteric inflammation secondary to GI disease vs.  pancreatitis vs. less likely, lymphadenopathy. Splenomegaly. This may be secondary to abdominal inflammation, extramedullary hematopoiesis or in an older patient, infiltrative neoplasia.</t>
  </si>
  <si>
    <t xml:space="preserve">
Virtual Radiologist Case Difficulty: MODERATE_x000D_
Virtual Radiologist Confidence: MODERATE_x000D_
If GI signs are present, supportive and symptomatic therapy for gastroenteritis/pancreatitis can be considered. Repeat radiographs to assess for passage of gastric contents or obstruction, and abdominal ultrasound could be performed for further evaluation._x000D_
Bloodwork (including pancreatic testing) and abdominal ultrasound may be considered for further evaluation of the spleen.</t>
  </si>
  <si>
    <t>Six radiographs of the abdomen are provided. The liver is prominent with smooth margins. Normal-sized spleen and kidneys. Small volume gas in the stomach. Small bowel are diffusely mildly filled with fluid and gas. There is gas and moderate volume of formed feces in the colon. No radiopaque gastrointestinal foreign material or severe intestinal distention. No radiopaque urolithiasis.</t>
  </si>
  <si>
    <t>Prominent liver, a nonspecific finding that may be due to hepatopathy, acute inflammation, or least likely neoplasia. Otherwise normal abdomen. Gastritis/pancreatitis secondary to dietary indiscretion is most likely. There is no evidence of an obstructive process.</t>
  </si>
  <si>
    <t>Three radiographs of the abdomen are provided. Images dated 6/5/23 are available for comparison. There is no peritoneal or retroperitoneal effusion. There is scant gas in the stomach. Round soft tissue contour in the cranial left quadrant on the VD projection is normal, minimally distended stomach. Small bowel are diffusely minimally filled with fluid and gas. There is gas in the cecum and colon. No radiopaque foreign material. The liver, spleen, and kidneys are normal size. The urinary bladder is mildly filled and soft tissue opaque. Incidental multipartite fabella and probable medial patellar luxation  noted on the edge of the left lateral view.</t>
  </si>
  <si>
    <t>Normal abdomen. Gastroenteritis is suspected. There is no evidence of an obstructive process.</t>
  </si>
  <si>
    <t>If the patient does not continue to improve with supportive care, abdominal ultrasound would be recommended.</t>
  </si>
  <si>
    <t xml:space="preserve">
1.The stomach has a normal axis, with subjectively thickened mucosal folding._x000D_
2.The small intestines are mildly dilated with a mixture of gas and fluid, and have a mild turgid appearance._x000D_
3.The ascending, transverse and descending colon contain gradually more formed faeces._x000D_
4.The liver is normal in shape, size and opacity._x000D_
5.The spleen is visible and within normal limits._x000D_
6.There is a mildly reduced cranial abdominal serosal detail.</t>
  </si>
  <si>
    <t xml:space="preserve">ABDOMEN (3 images):
Images are dated September 3,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Gastric rugal folds are prominent.   The stomach is within normal limits for size.  Gas is in the pylorus in the left lateral image.  
In the right mid to caudal and ventral abdomen is a segment of small intestine that is moderate to severely enlarged with heterogeneous soft tissue material admixed with gas.  This segment is ventral and rightward of the descending colon.  Small intestinal segment sin the mid-ventral abdomen contain mild fluid or are empty.
The colon contains mild heterogeneous soft tissue material and gas.  The colon is within normal limits for size.  
Musculoskeletal: The included musculoskeletal structures are normal.
</t>
  </si>
  <si>
    <t>1. Moderate-severe small intestinal segmental enlargement with heterogeneous soft tissue and gas with two populations of small intestine.
- This is most suspicious for atypical foreign material and mechanical ileus.
2. Prominent gastric rugal folds such as from non-specific gastritis versus  variation of normal.</t>
  </si>
  <si>
    <t xml:space="preserve">Coinsider celiotomy for decompression of enlarged small intestinal segment and presumed mechanical ileus.  Given lack of reported vomiting, empirical therapy/supportive care and repeat imaging for monitor passage of this material could be considered.    Empirical therapy and supportive care in the interim as needed.  </t>
  </si>
  <si>
    <t>ABDOMEN (3 images):
Images are dated September 3, 2024.
Liver: The liver is has a slightly rounded or undulant ventral margin in the lateral images. 
Spleen: The spleen is prominent in the mid-ventral abdomen with smooth, well-defined margins.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minimal granular mineral.   The stomach is within normal limits for size.  Gastric rugal folds are mildly prominent.  
The small intestine contains minimal gas with soft tissue material and mild fluid or is empty with a subjectively uniform population for size. 
The colon contains mild gas and heterogeneous soft tissue material.  Granular mineral is ademixed with colon contents. The colon is within normal limits for size.  
Musculoskeletal: The presumed T13 is transitional with hypoplastic ribs.  There are eight vertebrae without ribs.  The remaining included musculoskeletal structures are normal.</t>
  </si>
  <si>
    <t xml:space="preserve">1. Equivocal splenomegaly due to passive congestion from sedation (if administered), extramedullary hematopoiesis, lymphoid hyperplasia, splenitis, or unlikely other.
2. Equivocal hepatomegaly versus variation of normal/positioning, gallbladder enlargement, or less likely other.
- If present, hepatomegaly may be due to reported phenobarbital administration/vacuolar hepatopathy, and/or nodular hyperplasia, or unlikely hepatitis or other.  
3. Minimal granular gastric material and prominent rugal folds such as from dietary indiscretion and gastritis/delayed emptying versus variation of normal.
4. Non-specific small intestinal appearance such as from enteritis, or variation of normal.
- There is no current evidence of gastrointestinal mechanical ileus.
- Differential diagnoses include dietary indiscretion (such as from passing granular mineral), toxin ingestion, diet/antibiotic responsive disease, inflammatory bowel disease, pancreatitis, occult systemic disease or unlikely other.
5. Minimal colonic granular mineral material due to dietary indiscretion and suspected colitis.
</t>
  </si>
  <si>
    <t>Consider GI panel, fecal analysis/deworming, and routine blood work for further evaluation.  Consider abdominal ultrasonography for further evaluation of the liver, spleen and gastrointestinal tract.  Empirical therapy and supportive care in the interim as needed.  Monitoring as directed or sooner if clinical signs acutely change, fail to improve or worsen.</t>
  </si>
  <si>
    <t xml:space="preserve">
1.The abdomen is pendulous._x000D_
2.The gastrointestinal tract is mildly filled._x000D_
3.On the VD projection, there is asymmetric liver enlargement causing caudal displacement of the stomach. On the lateral projection, the ventral liver margin extends caudally, ventral to the stomach._x000D_
4.The spleen is at the upper limits of normal for size to mildly enlarged but retains a smooth margin._x000D_
5.There is no effusion.</t>
  </si>
  <si>
    <t>Asymmetric hepatomegaly. DDx: hepatomegaly with a slightly shifted liver position on the VD projection vs. pedunculated liver mass. Splenic size at the upper limits of normal to mildly enlarged. DDx: lymphoid hyperplasia vs. extramedullary hematopoiesis vs. less suspected, infiltrative neoplasia. Mildly pendulous abdomen secondary to the hepatomegaly and intra-abdominal fat deposition.</t>
  </si>
  <si>
    <t>Three radiographs of the abdomen are provided. The liver is moderately enlarged with smooth margins. Normal sized kidneys and spleen. There is no effusion. The stomach contains gas. Small and large bowel are minimally filled. The urinary bladder is minimally distended. On both lateral views there is a poorly delineated area of increased opacity overlying the central aspect of the bladder, however there is also superimposed bowel loops at this level. No evidence of medial iliac lymphadenomegaly. The plane of the urethra is unremarkable. Punctate mineral density overlies the L4-5 intervertebral foramen. Normal caudal thorax. Multiple small round soft tissue opaque nodules in the dorsal cutaneous tissues, of uncertain significance today.</t>
  </si>
  <si>
    <t>1. Moderate hepatomegaly, a nonspecific finding that may be due to steroid or other hepatopathy, or neoplasia. An inflammatory process is given lesser consideration._x000D_
2. The appearance of L4-5 is suggestive of intervertebral disc disease. This may be responsible for discomfort and pelvic limb deficits._x000D_
3. No definitive urinary bladder abnormalities on this study. Increased opacities overlying the bladder is likely superimposed bowel loops.</t>
  </si>
  <si>
    <t>Ultrasound evaluation of the abdomen is recommended to further evaluate the liver, urinary tract, and adrenal glands.</t>
  </si>
  <si>
    <t xml:space="preserve">
1.No abnormal AI findings reported._x000D_
2.No abnormal AI findings reported._x000D_
3.Abdominal detail is diffusely decreased. The ventral abdominal line is pendulous._x000D_
4.The liver and stomach are confluent, with mild displacement of the gastric axis, which may be due to hepatomegaly versus severe gastric distension._x000D_
5.Mildly filled intestines without evidence of complete obstruction.</t>
  </si>
  <si>
    <t>Decreased abdominal detail is present. This may be secondary to abdominal fluid, organomegaly, and/or soft tissue mass. In a subset of cases, under penetration/technical artifact could cause this finding. Pendulous abdomen. This may be secondary to abdominal fluid, organomegaly, or mass(es). For the organomegaly versus soft tissue mass(es), a liver +/- splenic origin is most likely. Alternatively, this result can be associated with a component of severe gastric distension secondary to a pyloroduodenal obstruction or severe functional ileus. In an intact female, this set of findings can be seen with pregnancy.</t>
  </si>
  <si>
    <t xml:space="preserve">
Virtual Radiologist Case Difficulty: MODERATE_x000D_
Virtual Radiologist Confidence: MODERATE_x000D_
Abdominal ultrasound vs. abdominal CT (if pregnancy is not suspected) with tissue sampling as warranted by the findings._x000D_
Supportive care and bloodwork if not recently performed._x000D_
For additional information please refer to https://platform.v2.vetology.net/doc/liver_disease</t>
  </si>
  <si>
    <t>Patient name: Haley Nguyen. Date of study: 9/3/24. Three whole body radiographs are available for interpretation. No prior radiographs are available for comparison. Abdomen evaluation has been requested.
Abdomen:
Liver: On the lateral projections, round opacities overlie the cranial half of the liver. These round opacities are aggregated in the region of the gallbladder on the lateral projections but are not visualized on the VD projection. On the VD projection, several gas opacities are noted in the left craniolateral abdomen. Microhepatia is present on all projections, most severe on the VD projection. 
Spleen: On the VD projection, a portion of the splenic silhouette appears cranially displaced overlying the left lateral 10th and 11th intercostal spaces. On this projection, the medial aspect of the splenic silhouette is rounded. The splenic silhouette is not visible on the lateral projections. 
Kidneys and urinary bladder: Retroperitoneal detail is decreased obscuring visualization to the caudal renal margin on both lateral projections. On the VD projection, right abdominal detail is decreased and both kidneys are not visible. Only on the left lateral projection can a renal silhouette be potentially visualized and appears normal for size but has overlying stippled mineral opacity. 
GI: Segmental small bowel dilation is present with gas distended small bowel loops in the mid-ventral abdomen on the left lateral projection and empty small bowel loops in the cranioventral abdomen on the same projection. The colon is gas filled and corrugated. On the right lateral projection, the retroperitoneal space is enlarged causing ventral displacement to the colon. Ventral colonic displacement extends through the pelvic canal due to an increase in soft tissue opacity dorsal to the colon. 
Mesentery: Abdominal and retroperitoneal detail are decreased, more severely affecting the retroperitoneal space 
Caudal thorax: The CVC is small. A focal, round soft tissue bulge is present in the right atrial/auricular region on the lateral projections. A potential soft tissue nodular opacity overlies the caudodorsal thorax on the left lateral projection immediately ventral to the T10 vertebrae. This soft tissue nodular opacity is not visible on the other projections. 
Msk: The dog is thin.
(amended on 09/03/2024 09:37)
Kidneys and urinary bladder: Mineral opacities also overlie the caudal retroperitoneal space and region of the urinary bladder on the left lateral projection.</t>
  </si>
  <si>
    <t>1) Retroperitoneal fluid (hemorrhage) and potential mass in the region of the right kidney. 
2) Decreased cranial abdominal detail which could be secondary to tumor extension (if present) from the retroperitoneal space vs. secondary to another cause.
3) Potential metastatic neoplasia affecting the heart and lung.  
4) Segmental small bowel dilation. DDx: functional ileus due to abdominal hemorrhage or other caustic fluid causing chemical peritonitis vs. less suspected, mechanical ileus. 
5) Appearance to the left cranial abdomen on the VD projection is concerning but not conclusive for free abdominal air. If free abdominal air is present, rule out azotemia and GI ulceration given the retroperitoneal appearance and thin body condition.  
6) Hypovolemia vs. dehydration. Microhepatia.
(amended on 09/03/2024 09:37)
1a) While ureteral obstruction causing renomegaly and secondary ureteral rupture causing retroperitoneal fluid is an additional consideration, the right atrial/auricular appearance is concerning for a mass lesion in this older dog and should be further assessed.</t>
  </si>
  <si>
    <t>Abdominal and cardiac ultrasounds with abdominocentesis for fluid analysis and cytology if a mass is identified. If abdominal hemorrhage is present but no cause is identified, consider hepatic dysfunction resulting in coagulopathy.
(amended on 09/03/2024 09:37)
Bloodwork and urinalysis. If there is concern for urine leakage, comparison of abdominal fluid creatinine and potassium to serum values is recommended.</t>
  </si>
  <si>
    <t>7 views of the thorax and abdomen, and pelvis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moderate amount of ingesta.  The small bowel is normal in uniform diameter.  Formed stool is noted in the colon.  The liver and spleen are normal in size, shape, and margination.  The bilateral renal silhouettes are within normal limits.  The urinary bladder is unremarkable.  Serosal detail is normal._x000D_
The bilateral femoral heads are well-seated in the acetabula.  The coxofemoral joint spaces are congruent.  No degenerative changes are noted in either hip.  The sacroiliac joints are within normal limits.  Metallic implants are noted in the right stifle, consistent with historical surgery.  Mild degenerative changes are also noted in the right stifle. No aggressive bony changes are seen. The limited view of the left stifle is within normal limits.</t>
  </si>
  <si>
    <t>Radiographically normal thorax and postprandial abdomen.  Mild degenerative joint disease and metallic implants noted in the right stifle, consistent with historical surgery.</t>
  </si>
  <si>
    <t>Nothing specific.</t>
  </si>
  <si>
    <t xml:space="preserve">Patient name: Lola Rozell. Date of study: 9/3/24. Six radiographs of the thorax and abdomen are available for interpretation. No prior radiographs are available for comparison. Thoracic evaluation has been requested.
Image evaluation: The lateral projections are mildly oblique. 
Thorax:
Airway/pulmonary parenchyma: The lungs are hypoinflated on all projections. No soft tissue pulmonary nodules are noted. Mineral dense nodules are present along with a mild bronchial pattern. On the lateral projections, subtle alveolar infiltrates overlie the heart. No left caudal lobar bronchial narrowing associated with the left atrial enlargement is noted on the VD projection. 
Cardiovascular: Mild cardiomegaly is present with varying degrees of vessel enlargement on the lateral projections. On the VD projection, minimal to mild left atrial enlargement is present. 
Mediastinum: Mild widening to the cranial mediastinum is present with a fat opacity to this region. 
Pleural space: Normal
Cranial abdomen: The liver is minimally enlarged and has a slightly rounded ventral margin. Two thin wire foreign bodies overlie the gastric lumen on the lateral projection along with a third potential wire foreign body overlying the liver. A lucent region overlies the liver in the region adjacent to the wire foreign body on the left lateral projection. Mineral dense material overlies the pyloric region. Cranioventral abdominal detail is mildly decreased. 
Msk: The dog is overweight and has 2 soft tissue nodules associated with the right hemithorax on the VD projection. </t>
  </si>
  <si>
    <t>1) No conclusive soft tissue pulmonary nodules noted. Mineral dense nodules are likely benign.
2) Wire foreign body overlying the liver and potential hepatic abscess based on the left lateral projection. Decreased cranial abdominal detail is also consistent with regional inflammation.
3) Subtle alveolar infiltrates overlying the heart. DDx: atelectasis vs. aspiration pneumonia. 
4) Mild cardiomegaly and pulmonary venous distention. No evidence of heart failure noted on this study.</t>
  </si>
  <si>
    <t>Abdominal ultrasound to assess for hepatic gas with abdominal fluid collection if a fluid pocket can be identified and safely sampled. If fluid is present but insufficient to sample, a diagnostic peritoneal lavage should be considered if there is concern for septic peritonitis.  Assess bloodwork and body temperature for evidence of infection. If coughing, consider antibiotic therapy and recheck thoracic radiographs in 5-7 days. If not coughing, recheck thoracic radiographs in 5-7 days to reassess, sooner if clinically warranted. 
Cardiac ultrasound, ECG and systemic blood pressure evaluation prior to anesthesia.</t>
  </si>
  <si>
    <t xml:space="preserve">
1.No abnormal AI findings reported._x000D_
2.The liver, spleen, and kidneys are normal size and shape._x000D_
3.Serosal detail is normal._x000D_
4.The stomach is minimally distended._x000D_
5.Small intestines are mildly fluid and gas filled._x000D_
6.No severe intestinal distention is appreciated.</t>
  </si>
  <si>
    <t>The AI result for this case is most compelling for: Gastroenteritis secondary to dietary indiscretion. No suggestion of a complete obstruction, however the differential for these findings includes functional ileus or partial obstruction.</t>
  </si>
  <si>
    <t>Three radiographs of the thorax, and orthogonal views of the abdomen are provided. Images dated 8/19/23 are available for comparison. The cardiac silhouette and pulmonary vessels are normal size. There are no abnormalities in the pulmonary parenchyma. Small volume fluid in the caudal esophagus is transient and incidental. No esophageal foreign material or pleural effusion. Tracheal diameter and position are normal._x000D_
_x000D_
In the abdomen there is small volume amorphous soft tissue opacity in stomach. Small intestines are mildly filled with fluid and gas. The cecum is gas dilated. Formed feces filled the distal colon. There is no effusion. The kidneys, spleen, and liver are normal size. No radiopaque cystic calculi. The uterus is not identified. Osseous structures are unremarkable.</t>
  </si>
  <si>
    <t>Normal thorax and abdomen. A reason for the cough/gag is not identified. There is no evidence of pneumonia or megaesophagus. Gastric contents appears to be normal ingesta. Foreign material is given lesser consideration in the absence of persistent vomiting.</t>
  </si>
  <si>
    <t>Recommend oropharyngeal/laryngeal evaluation.</t>
  </si>
  <si>
    <t>Study:_x000D_
Abdominal radiography: three images dated September 1, 2024_x000D_
_x000D_
Findings:_x000D_
On the lateral views, there are few indistinct wispy soft tissue opacities superimposed with bowel in the caudoventral abdomen. The stomach contains a small volume of gas with the pylorus appropriately gas-filled on the left lateral image. The thickness of the gastric wall and rugae is within normal limits for the degree of gastric distention. The small intestines are gas and fluid-filled and normal in size and course. The colon contains a small volume of gas with a normal diameter. The liver and spleen are normal in size and margin. The renal silhouettes are normal in size and contour. The urinary bladder is normal in size and opacity. The included thorax is normal. The osseous structures are unremarkable.</t>
  </si>
  <si>
    <t>Trace nonspecific peritoneal effusion is suspected. A cause is not radiographically evident. The abdomen is otherwise unremarkable. There is no radiographic evidence of gastrointestinal foreign material or small intestinal mechanical obstruction. Abdominal sonography and cPLI testing can be considered for further evaluation if clinical signs persist or worsen in spite of medical management.</t>
  </si>
  <si>
    <t>Study:_x000D_
Thoracic radiography: three images dated September 2, 2024_x000D_
_x000D_
Findings:_x000D_
The cardiac silhouette is normal in size and shape. The pulmonary vasculature is normal in size. There is a mild generalized bronchointerstitial pulmonary pattern. The pleural space is normal. There is no intrathoracic lymphadenopathy. On the right lateral view, there is a broad-based soft tissue opaque band superimposed with the cervical trachea lumen representing other redundant dorsal tracheal membrane or superimposition of the esophagus. The trachea is normal in diameter. There is no lobar bronchi narrowing. The stomach contains heterogeneous soft tissue material presumed to be ingesta. The small intestines are normal in size, course and content. The colon contains formed fecal material. The liver extends mildly beyond the costal arch with smooth margins. The spleen is normal in size and margin. The renal silhouettes are normal in size and contour. At least two mineral opaque calculi are present in the urinary bladder. There is mild T 11-T 12 and T 12-T 13 spondylosis deformans. The T 13 vertebra is transitional with bilateral hypoplastic ribs. There is moderate bilateral elbow periarticular bone formation. The patient is of overweight body condition.</t>
  </si>
  <si>
    <t>1. The mild diffuse bronchointerstitial pulmonary pattern is a nonspecific finding. This could be a benign age-related change or may indicate allergic, inflammatory, infectious, inhaled irritant or parasitic bronchitis. Airway sampling plus/minus heartworm testing and Baermann fecal flotation be considered to further evaluate for lower airway disease._x000D_
2. There is no radiographic evidence of heart disease._x000D_
3. The generalized hepatomegaly is nonspecific. Rule out metabolic/vacuolar hepatopathy, hyperplasia, hepatitis or infiltrative neoplasia. Sonography can be considered for further evaluation._x000D_
4. Cystolithiasis. Recommend urinalysis for further evaluation._x000D_
5. Moderate bilateral elbow osteoarthrosis.</t>
  </si>
  <si>
    <t>Study:_x000D_
Abdominal radiography: right lateral and orthogonal views (two images) dated September 2, 2024_x000D_
_x000D_
Findings:_x000D_
The stomach contains a small volume of gas. The small intestines are normal in size, course and content. The colon contains gas and a small amount of poorly formed fecal material. The liver and spleen are normal in size and margin. There is moderate bilateral renomegaly. The urinary bladder is normal in size and opacity. The uterus is not visualized. The included thorax is normal. There is in situ mineralization of the T 12-T 13 intervertebral disc.</t>
  </si>
  <si>
    <t>1. Moderate bilateral renomegaly. Rule out nephritis, hydronephrosis, cystic renal disease or renal neoplasia. Abdominal sonography should be considered for further evaluation._x000D_
2. There is no radiographically evident uterine dilation. This does not exclude the possibility of open pyometra._x000D_
3. T 12-T 13 in situ degenerative disc disease.</t>
  </si>
  <si>
    <t xml:space="preserve">
1.The liver is at the lower limits of normal for size to slightly small._x000D_
2.Splenic size, shape and margin are normal._x000D_
3.Serosal detail is normal._x000D_
4.The gastric rugae are mildly prominent._x000D_
5.The small bowel contains fluid and gas and is normal in diameter._x000D_
6.A portion of the colon is gas filled and has a rigid appearance.</t>
  </si>
  <si>
    <t>Consideration should be given to an acute gastritis and colitis such as from dietary indiscretion, bacterial, viral, or parasitic disease, if GI signs are present. Liver size at the lower limits of normal to slightly small. DDx: normal variant vs. microvascular dysplasia vs. less suspected, congenital portosystemic shunt or cirrhosis. This finding should be correlated to blood work.</t>
  </si>
  <si>
    <t xml:space="preserve">
Virtual Radiologist Case Difficulty: MODERATE_x000D_
Virtual Radiologist Confidence: MODERATE_x000D_
Further diagnostics based on clinical signs and blood work results._x000D_
If vomiting, anorexia and/or abnormal liver values are present, abdominal ultrasound should be considered.</t>
  </si>
  <si>
    <t>THORAX and ABDOMEN, three images dated September 02, 2024._x000D_
_x000D_
 The cardiovascular structures and pulmonary parenchyma are within normal limits. The pleural and mediastinal spaces are within normal limits. No intrathoracic lymphadenopathy is seen. There is a small amount of gas in the stomach. The intestines are a combination of gas-filled and fluid-filled/collapsed, and all are within normal limits in diameter. The liver is slightly small. No renal abnormality is noted. The urinary bladder is of appropriate size. The remainder of the abdomen is unremarkable. No osseous abnormalities are noted.</t>
  </si>
  <si>
    <t>Normal thorax._x000D_
_x000D_
 Potential microhepatia could just be positioning/normal patient variation though causes such as microvascular dysplasia and portosystemic shunting cannot be ruled out.</t>
  </si>
  <si>
    <t>Given the history, consider abdominal ultrasound for further workup.</t>
  </si>
  <si>
    <t>Study:_x000D_
Thoracic/abdominal radiography: four images images dated September 2, 2024_x000D_
_x000D_
One of the lateral views is timestamped approximately two hours after the initial three projections._x000D_
_x000D_
Findings:_x000D_
The cardiac silhouette and pulmonary vasculature are normal in size. The pulmonary parenchyma is unremarkable. The pleural space is normal. There is no intrathoracic lymphadenopathy. The trachea is normal in diameter and course. The larynx is unremarkable. There is no esophageal dilation. The abdominal serosal detail is age appropriate. In the initial images, the stomach contains a small amount of heterogeneous soft tissue material. There is a small amount of granular soft tissue and granular mineral material in the small intestines. The small intestines are normal in size and course. The colon contains formed fecal material with interspersed granular mineral. In the later image, the stomach is empty. The small intestines are normal in size, course and content. The colon contains formed fecal material with a normal diameter. The liver and spleen are normal in size and margin. The renal silhouettes are poorly visualized due to visceral crowding but appear normal in size and contour. The urinary bladder is normal in size and opacity. The osseous structures are unremarkable/age appropriate.</t>
  </si>
  <si>
    <t>1. The heterogeneous soft tissue material in the stomach and granular soft tissue material in the small intestines in the initial images likely represents ingesta. The granular mineral in the small intestines in the initial images and an the colon in at both time points may indicate dietary indiscretion or may be an incidental finding depending on the contents of the patient=ZZ91=s normal diet. There is no evidence of small intestinal mechanical obstruction._x000D_
2. Normal thorax. There is no evidence of pneumonia.</t>
  </si>
  <si>
    <t>Abdominal sonography can be considered for further evaluation if the clinical signs persist or worsen in spite of medical management.</t>
  </si>
  <si>
    <t xml:space="preserve">
1.The colon is gas filled in corrugated._x000D_
2.The liver is enlarged with rounded borders._x000D_
3.The spleen is within normal limits._x000D_
4.There is decreased detail in the cranial abdomen._x000D_
5.The small intestinal track is mostly fluid filled uniform in diameter._x000D_
6.The stomach is partially distended with food material and fluid.</t>
  </si>
  <si>
    <t>Study:_x000D_
Thoracic, cervical and abdominal radiography: seven images dated September 2, 2024_x000D_
_x000D_
Findings:_x000D_
The cardiac silhouette is normal in size and shape. The pulmonary vasculature is normal in size. The pulmonary parenchyma is unremarkable. No pulmonary nodules or masses are present. The pleural space is normal. There is no intrathoracic lymphadenopathy. The larynx is unremarkable. The reported cervical mass is not appreciated radiographically. The trachea is normal in diameter. The abdominal serosal detail is normal. The stomach contains heterogeneous soft tissue material presumed to be ingesta. The small intestines are normal in size, course and content. The colon contains formed fecal materia with a small amount of interspersed granular mineral l. The liver and spleen are normal in size and margin. The kidneys are normal in size and contour. The urinary bladder is normal in size and opacity. Suture material is present in the mid-ventral abdominal body wall. There is mild multifocal thoracolumbar and severe lumbosacral spondylosis deformans. The patient is of overweight body condition.</t>
  </si>
  <si>
    <t>1. Normal thorax. There is no radiographic evidence of pulmonary metastatic disease._x000D_
2. Postprandial stomach=ZZ90= otherwise, unremarkable abdomen._x000D_
3. The reported cervical mass is not appreciated radiographically. Consider computed tomography of the head and neck for further evaluation/surgical planning.</t>
  </si>
  <si>
    <t>ABDOMEN (5 images):
Images are dated September 2, 2024.
Prior images dated January 14 2024 and previous are available.  
Liver: The liver is slightly small with cranial displacement of the gastric axis.  
Spleen: The spleen is normal in size with smooth margins and homogeneous soft tissue.
Kidneys: The left kidney is normal.  The right kidney is partially obscured without obvious enlargement or mineral.
Retroperitoneum: Retroperitoneal detail is adequate.
Urinary bladder/Urethra: The urinary bladder is normal in size, homogeneous soft tissue, and smoothly marginated.
Peritoneum: Peritoneal detail is adequate.
Gastrointestinal tract: The stomach contains a mild volume of gas. Gas is suspected in the pylorus in the left lateral image.  The stomach is within normal limits for size.
In the mid- to caudal and ventral abdomen, small intestinal segments are subjectively small and closely associated.  Segments of small intestine in the mid and cranial abdomen contain mild gas, minimal fluid or are empty. 
The colon contains minimal heterogeneous soft tissue material and gas.  The colon is within normal limits for size.  
Musculoskeletal: The included musculoskeletal structures are normal.</t>
  </si>
  <si>
    <t xml:space="preserve">1. Suspicious for two populations of small intestine, especially given reported history, but this is not definitive for small intestinal mechanical ileus.
2. Mild microhepatia versus artifact from positioning/technique or individual variation of normal.
- If present, consider occult portosystemic shunting vessel or unlikely other.
</t>
  </si>
  <si>
    <t>Consider compression radiographs over the caudal abdominal intestinal segments and/or abdominal ultrasonography for further evaluation of suspicious small intestinal segments.  Alternatively, empirical therapy/supportive care and repeat abdominal radiographs in 8-12 hours to monitor for progression/resolution of these finding.  If mechanical ileus is confirmed, consider celiotomy fo decompression and retrieval of small intestinal material.  Routine blood work, bile acid testing and fecal analysis mat be contributory.  Empirical therapy and supportive care in the interim as needed for dietary indiscretion and gastroenteritis.  Monitoring as directed, or sooner if clinical signs acutely change, fail to improve or worsen.</t>
  </si>
  <si>
    <t xml:space="preserve">
1.The stomach is partially distended with gas, some fluid and some soft tissue opaque debris._x000D_
2.The small intestine is normal in diameter. No obvious signs of obstruction._x000D_
3.No abnormal AI findings reported._x000D_
4.No abnormal AI findings reported._x000D_
5.The liver and spleen are within normal limits for size, with smooth margins.</t>
  </si>
  <si>
    <t>THORAX (3 images) and ABDOMEN (2 images):
Images are dated September 2, 2024.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slightly small with cranial gastric axis displacement in the lateral image but normal in size in the ventrodorsal image.
Spleen: The spleen is normal in size with smooth margins and homogeneous soft tissue.
Kidneys: The left kidney has mildly rounded or undulant, well-defined margins.  The right kidney is partially obscured without obvious enlargement or mineral.
Retroperitoneum: Retroperitoneal detail is adequate.
Urinary bladder/Urethra: The urinary bladder is normal in size, homogeneous soft tissue, and smoothly marginated.
Peritoneum: Peritoneal detail is adequate.
Reproductive:  No obvious uterine enlargement is identified.  
Gastrointestinal tract: The stomach contains a mild volume of gas.  Gastric rugal folds are mildly prominent. The stomach is within normal limits for size.
The small intestine contains minimal gas, mild fluid or is empty with a subjectively uniform population for size. 
The colon contains mild to moderate well-defined soft tissue material and gas.  The colon is within normal limits for size.  
Musculoskeletal: Prominent nipples are present, consistent with intact status of this patient.  The remaining included musculoskeletal structures are normal.</t>
  </si>
  <si>
    <t>1. Minimal-mild diffuse bronchial pulmonary pattern such as from fibrosis from prior disease, age-related changes, or unlikely infectious/immune-mediated lower airway disease or other.
2. Prominent gastric rugal folds due to non-specific gastritis versus variation of normal.
3. Mild microhepatia versus artifact from positioning or variation of normal.
  - If present, consider occult portosystemic shunting vessel or unlikely other.
4. Left renal changes such as from chronic renal disease or unlikely other.</t>
  </si>
  <si>
    <t>Etiology of reported event is not identified in this examination.  Syncope is suspected given seizure activity is considered unlikely. 
 This examination does not rule out arrhythmia/dysrhythmia contributing to signs, such as from sick sinus syndrome or other.  Consider echocardiography, eCG and blood pressure, with/without Holter-monitoring for further evaluation.  Routine blood work if not recently performed. Empirical therapy and supportive care in the interim as needed.  Monitoring as directed, or sooner if clinical signs acutely change, fail to improve or worsen.</t>
  </si>
  <si>
    <t>Study:_x000D_
Abdominal radiography: three images dated September 1, 2024_x000D_
_x000D_
Findings:_x000D_
The stomach contains a small volume of gas with the pylorus appropriately gas-filled on the left lateral image. The small intestines are normal in size, course and content. The colon contains formed fecal material with a normal diameter. The liver and spleen are normal in size and margin. The kidneys are normal in size and contour. The urinary bladder is normal in size and opacity. No mineral opaque calculi are present in the bladder or region the urethra. The included thorax is unremarkable. The T 13 vertebra is transitional with bilateral hypoplastic ribs. There is a healed fracture of the proximal aspect of the right 13th rib.</t>
  </si>
  <si>
    <t>Unremarkable abdomen. Test negative for urocystolithiasis. Consider urine culture plus/minus abdominal sonography for further evaluation of the reported hematuria.</t>
  </si>
  <si>
    <t>Eight survey radiographs of the vertebral column, pelvis and pelvic limbs dated 1st September 2024 are available for review. There are no previous radiographs available for comparison. _x000D_
_x000D_
Vertebral column: The thoracic and lumbar vertebral column are normal. The cervical vertebral column is obliqued, however no clear abnormalities are seen._x000D_
_x000D_
Pelvis: There is bilateral mild cranial acetabular sclerosis, with some enthesiophytic modelling. There is widening of both coxofemoral joint spaces. The femoral head is normal. There is minimal osteophyte formation of both femoral necks. Both limbs are abducted and externally rotated. The patella are in an anatomic position considering limb position._x000D_
_x000D_
Joints and long bones: There is mild enthesiophytic modelling of the left patella. Minimal soft tissue attenuation of the left stifle joint space is present. Minimal soft tissue opacification of the right stifle joint is also present. The position of the tibia relative to the femoral condyles is normal. Both included tarsi are normal._x000D_
_x000D_
Abdomen: The hepatic silhouette is normal in size with smooth borders. The spleen is normal in shape, size and position. The kidneys are partially obscured by gastrointestinal contents, but the visible aspect are normal. The stomach contains some gas and a moderate amount of heterogenous food material. The gastric axis is normal..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Soft tissues: The caudal thigh musculature is symmetric.</t>
  </si>
  <si>
    <t>1. Normal vertebral column. Occult intervertebral disease such as intervertebral disk protrusion or other spinal cord pathology including embolic (FCE), high velocity disk, inflammatory or neoplastic disease or degenerative myelopathy is not excluded . _x000D_
2. Bilateral mild coxofemoral osteoarthritis. This is unlikely to be causing the clinical signs. The widening of the joint space is most likely positional._x000D_
3. Mild left stifle osteoarthritis this may be primary, or secondary to intermittent patellar luxation, or intra-articular soft tissue pathology such as a partial cranial cruciate ligament tear._x000D_
4. Unremarkable abdomen.</t>
  </si>
  <si>
    <t>Full neurologic examination if not already performed. If no proprioceptive deficits or patients back pain is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can be considered. _x000D_
Full blood work to eliminate any metabolic abnormalities or GI problems. Consider an abdominal ultrasound.</t>
  </si>
  <si>
    <t xml:space="preserve">
1.The liver and spleen are normal in size and shape._x000D_
2.Serosal detail within the peritoneal space is normal._x000D_
3.The stomach contains a small volume of fluid opaque material and gas. The gastric rugae appear prominent._x000D_
4.The small bowel contains gas and fluid and is normal in diameter._x000D_
5.The colon contains scant fecal material and gas._x000D_
6.No abnormal AI findings reported.</t>
  </si>
  <si>
    <t>Three orthogonal thoracic radiographs dated 1st September 2024 are available for review. There are no previous radiographs available for comparison. _x000D_
_x000D_
Airway findings: The cervical and thoracic trachea have a normal size, outline and position. The carina, tracheal bifurcation and mainstem bronchi are normal. There is interstitial opacification of the dorsal aspect of the right middle lung lobe in the region of the rib 5. There is no evidence for pneumothorax._x000D_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There is a segmental rib fracture of the right fifth rib. Subcutaneous gas loculations are present along the right thoracic wall. There is swelling of the dorsal aspect of the neck region. No gas loculations are seen. No gas is visible within the fascial planes of the neck. The body wall is normal._x000D_
_x000D_
Included abdomen: There is no evidence for abdominal effusion.</t>
  </si>
  <si>
    <t>1. Right fifth rib segmental fracture with pulmonary contusion. There is no evidence of pulmonary haemorrhage or pneumothorax. Potential neck contusion, without evidence of penetrating wounds.</t>
  </si>
  <si>
    <t>Empiric management with monitoring for any respiratory distress, and oxygen therapy and repeat radiographs when clinically indicated.</t>
  </si>
  <si>
    <t xml:space="preserve">
1.There is a moderate quantity of normal appearing soft tissue dense ingesta in the stomach. The small bowel is gas and fluid-containing. No obvious obstruction._x000D_
2.No abnormal AI findings reported._x000D_
3.No abnormal AI findings reported._x000D_
4.No abnormal AI findings reported.</t>
  </si>
  <si>
    <t>Orthogonal views of the abdomen are provided:_x000D_
_x000D_
Abdomen:_x000D_
_x000D_
The stomach is filled with food and tiny mineral particles also seen in the small intestines. A metallic foreign body or particles are not observed._x000D_
Small intestines are mildly gas and fluid filled, not overtly distended. No signs of mechanical ileus._x000D_
Serosal detail is preserved._x000D_
Liver and spleen are within normal limits of size and smoothly marginated._x000D_
Kidneys and urinary bladder WNL.</t>
  </si>
  <si>
    <t>1) GI foreign mineral material. A metallic foreign body is not observed.</t>
  </si>
  <si>
    <t xml:space="preserve">
1.The descending colon contains mainly fluid opaque material._x000D_
2.Abdominal detail is normal._x000D_
3.The hepatic silhouette is normal._x000D_
4.The small intestines are homogenously fluid-filled, and mildly dilated._x000D_
5.The colon is gas-filled._x000D_
6.The stomach has a normal axis._x000D_
7.There is a moderate amount of fluid and gas within the stomach._x000D_
8.The spleen is normal for size, shape and margin.</t>
  </si>
  <si>
    <t>Study:_x000D_
Abdominal radiography: three images dated August 31, 2024_x000D_
_x000D_
Findings:_x000D_
The serosal detail is normal. The stomach and small intestines contain unstructured heterogeneous/granular soft tissue material. The small intestines are normal in size and course. The colon contains gas with a normal diameter. The liver and spleen are normal in size and margin. The kidneys are normal in size and contour. The urinary bladder is normal in size and opacity. The included thorax is normal. The osseous structures are unremarkable.</t>
  </si>
  <si>
    <t>Gastrointestinal contents likely represent ingesta. Foreign material cannot be completely excluded. There is no evidence of small intestinal mechanical obstruction.</t>
  </si>
  <si>
    <t xml:space="preserve">
1.Liver size, shape and margin are normal._x000D_
2.The stomach contains small volume gas and scant amorphous soft tissue density material. The small bowel is normal._x000D_
3.Splenic size, shape and margin are normal._x000D_
4.Abdominal detail is normal.</t>
  </si>
  <si>
    <t>Study:_x000D_
Abdominal radiography: three images dated August 31, 2024_x000D_
_x000D_
Findings:_x000D_
The stomach contains a large amount of unstructured heterogeneous/granular soft tissue material presumed to be ingesta. The small intestines are normal in size, course and content. The colon contains formed fecal material with a normal diameter. The rectum is mildly dilated with a fecal ball. The liver and spleen are normal in size and margin. The renal silhouettes are normal in size and contour. The urinary bladder is normal in size and opacity. The included thorax is normal with no evidence of cardiomegaly. There is narrowing of the L4-L5 intervertebral disc space with sclerotic endplates and severe spondylosis deformans.</t>
  </si>
  <si>
    <t>1. The mild rectal dilation with the large fecal ball may indicate constipation which should be correlated with patient=ZZ91=s recent defecation history._x000D_
2. The remainder the abdomen is unremarkable. Abdominal sonography and cPLI testing can be considered to further evaluate for sources of intra-abdominal pain._x000D_
3. Chronic L4-L5 intervertebral disc disease. Given this finding, spinal pain should be considered as a potential cause of the patient=ZZ91=s clinical signs. Neurology consultation and MRI can be considered for further evaluation if clinical signs persist or worsen in spite of activity restriction and pain management.</t>
  </si>
  <si>
    <t xml:space="preserve">
1.Resource: https://platform.v2.vetology.net/doc/cushings_1_x000D_
2.Pickwickian syndrome resource: https://platform.v2.vetology.net/doc/pickwickian_syndrome_x000D_
3.The stomach is displaced caudally by the hepatomegaly. The small bowel is diffusely gas- and fluid-filled without segmental small bowel dilation._x000D_
4.The abdomen is pendulous secondary to intra-abdominal fat deposition and hepatomegaly._x000D_
5.Abdominal detail is normal._x000D_
6.Splenic size, shape and margin are normal._x000D_
7.The liver is enlarged but retains a smooth margin.</t>
  </si>
  <si>
    <t>The AI result for this case is most compelling for: Hepatomegaly. This finding can be nonspecific, and is often due to fat deposition, steroid hepatopathy, or metabolic hepatopathy (Cushing's disease). Other less likely differential diagnosis considerations include hepatitis or infiltrative neoplasia. A component of Pickwickian syndrome, pulmonary hypoinflation secondary to abdominal distention, may be present.</t>
  </si>
  <si>
    <t xml:space="preserve">
Virtual Radiologist Case Difficulty: MODERATE_x000D_
Virtual Radiologist Confidence: MODERATE_x000D_
Routine blood work and abdominal ultrasound are recommended for further evaluation.</t>
  </si>
  <si>
    <t>Study:_x000D_
Abdominal radiography: four images dated August 3, 2024_x000D_
_x000D_
Findings:_x000D_
The serosal detail is normal. The stomach contains a small volume of gas with the pylorus probably gas-filled on the left lateral image. The small intestines are normal in size, course and content. The colon contains formed fecal material with a normal diameter. The liver is small with associated cranial rotation of the gastric axis. The spleen is normal in size and margin. The renal silhouettes are normal in size and contour. The urinary bladder is normal in size and opacity. The included thorax is normal. The osseous structures are unremarkable. There is no intervertebral disc space or foraminal narrowing.</t>
  </si>
  <si>
    <t>1. Microhepatia. Rule out normal variant, vascular anomaly or chronic hepatitis/cirrhosis. Correlate with any liver enzyme abnormalities. Abdominal sonography and bile acid testing can be considered for further evaluation if clinically relevant._x000D_
2. The abdomen is otherwise unremarkable. Abdominal sonography and cPLI testing can be considered to further evaluate for sources of intra-abdominal pain._x000D_
3. The lack of any apparent intervertebral disc space narrowing does not exclude the possibility of intervertebral disc disease/referred spinal pain.</t>
  </si>
  <si>
    <t xml:space="preserve">
1.Abdominal detail is normal._x000D_
2.Liver size, shape and margin are normal._x000D_
3.Splenic size, shape and margin are normal._x000D_
4.The stomach is normal. The small bowel is diffusely gas- and fluid-filled without segmental small bowel dilation.</t>
  </si>
  <si>
    <t>Study:_x000D_
Abdominal radiography: four images dated August 3, 2024_x000D_
_x000D_
Compared to prior study dated July 28, 2024_x000D_
_x000D_
Findings:_x000D_
The stomach and some small intestinal segments contain unstructured heterogeneous/granular soft tissue material presumed to be ingesta. The small intestines are normal in size and course. The colon contains formed fecal material. The liver is normal in size and margin. There is persistent/static mild to moderate generalized splenomegaly. The renal silhouettes are normal in size and contour. The urinary bladder is normal in size and opacity. As noted in the previous exam, there is a mild bronchial pattern in the included lung fields. No skeletal abnormalities are present.</t>
  </si>
  <si>
    <t>1. Static generalized splenomegaly. Rule out extramedullary hematopoiesis, lymphoid hyperplasia, splenitis, congestion, individual normal variant or infiltrative neoplasia. Abdominal sonography can be considered for further evaluation. The remainder the abdomen is unremarkable._x000D_
2. Static mild bronchial pulmonary pattern. Rule out benign age-related change versus nonspecific bronchitis.</t>
  </si>
  <si>
    <t>Study:_x000D_
The study contains seven images of the thorax and cervical region as JPEG photos_x000D_
_x000D_
Findings:_x000D_
The non-DICOM nature of the images limits evaluation. The cardiac silhouette and pulmonary vasculature are normal in size. The pulmonary parenchyma is unremarkable. The pleural space is normal. The width of the claim is synonymous within normal limits. There is no intrathoracic lymphadenopathy. There is gas dilation and retraction of the larynx. The trachea is normal in diameter and course. There is indistinct increased soft tissue opacity caudoventral to the hyoid apparatus. The included abdomen is unremarkable. There is narrowing of the T 12-T 13 intervertebral disc space.</t>
  </si>
  <si>
    <t>1. The gas dilation and retraction of the larynx is a nonspecific finding. This can be secondary to laryngeal dysfunction, dynamic airway disease, chronic lower airway disease or nasal disease._x000D_
2. The indistinct increased opacity caudal ventral to the carina could represent a mass (e.g. thyroid or ectopic thyroid mass, granuloma, abscess, lymphadenopathy). Computed tomography of the neck can be considered for further evaluation._x000D_
3. Normal thorax. There is no radiographic evidence of cardiopulmonary disease. There is no evidence of a cranial mediastinal mass._x000D_
4. T 12-T 13 intervertebral disc disease.</t>
  </si>
  <si>
    <t xml:space="preserve">
1.The liver and spleen appear within normal limits for size and contour._x000D_
2.Small intestines are moderately fluid filled._x000D_
3.The stomach contains small-volume fluid and gas._x000D_
4.No abnormal AI findings reported._x000D_
5.No abnormal AI findings reported.</t>
  </si>
  <si>
    <t>Study:_x000D_
Abdominal radiography: four images dated August 31, 2024_x000D_
_x000D_
Findings:_x000D_
The stomach contains a small volume of gas with the pylorus appropriately gas-filled on the left lateral image. The small intestines are normal in size, course and content. The colon contains gas and poorly formed fecal material. The liver extends mildly beyond the costal arch with smooth margins. The spleen is normal in size and margin. The renal silhouettes are normal in size and contour. The urinary bladder is normal in size and opacity. There is no prostatomegaly. There is variable mild to severe multifocal thoracolumbar spondylosis deformans. There is mild bilateral stifle periarticular bone formation. The included thorax is normal.</t>
  </si>
  <si>
    <t>1.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2. The generalized hepatomegaly is nonspecific. Rule out metabolic/vacuolar hepatopathy, hyperplasia, hepatitis or infiltrative neoplasia. Correlate with any liver enzyme abnormalities. Sonography can be considered for further evaluation if clinically relevant._x000D_
3. Mild bilateral stifle osteoarthrosis. Consider underlying cranial cruciate and/or meniscal injury.</t>
  </si>
  <si>
    <t xml:space="preserve">
1.The spleen is enlarged with potential for a splenic mass._x000D_
2.The liver is moderately enlarged with potential for a hepatic mass._x000D_
3.Abdominal detail is diffusely decreased and the abdomen is pendulous._x000D_
4.Moderate volume gas fills the stomach._x000D_
5.Small intestines are mildly fluid-filled._x000D_
6.Segments of the colon have a rigid appearance.</t>
  </si>
  <si>
    <t>WHOLE-BODY (3 total radiographs for review). _x000D_
_x000D_
- Peritoneal serosal detail is normal._x000D_
- The stomach contains moderate gas-stippled soft-tissue opaque material_x000D_
- The small intestine contains mild multifocal gas and soft-tissue opaque material_x000D_
- The colon contains gas, soft-tissue/fluid and mild formed fecal material._x000D_
- The liver, spleen, region of the kidneys and urinary bladder are normal._x000D_
- There is mild left-sided cardiomegaly with overt left atrial enlargement characterized by a rounding along the caudal dorsal aspect of the cardiac silhouette._x000D_
-The pulmonary vasculature, parenchyma, pleural space, trachea, mediastinum and remaining included intrathoracic structures are normal._x000D_
- L4-5 intervertebral disc space narrowing with endplate sclerosis and spondylosis deformans.</t>
  </si>
  <si>
    <t>1.  A discrete radiographic cause for the reported decreased appetite is not clearly identified.  The abdomen has a relatively unremarkable postprandial appearance.  For further evaluation, abdominal ultrasonography may be considered._x000D_
_x000D_
2. Mild left-sided cardiomegaly, with overt left atrial enlargement and without pulmonary vasculature congestion or congestive heart failure. Most likely compatible with degeneration of the mitral valve. Consider veterinary cardiologist consultation regarding echocardiography/ECG for further assessment._x000D_
_x000D_
3. L4-5 intervertebral disc disease.</t>
  </si>
  <si>
    <t>3 views of the thorax are provided for review.  The trachea is dorsally deviated, indicating left ventricular enlargement.  A bulge is present in the region of the left atrium.  Interstitial to alveolar opacity is present in the caudal lung lobes near the hilus.  Thin pleural fissure lines are present.  The mediastinal structures are normal.  Cranial abdominal detail is adequate.</t>
  </si>
  <si>
    <t>Left-sided cardiomegaly.  Interstitial to alveolar pulmonary pattern consistent with cardiogenic pulmonary edema.  Mild pleural effusion.</t>
  </si>
  <si>
    <t>Consider repeat radiographs following lowing diuretic therapy.  Echocardiography may be helpful in further evaluation.</t>
  </si>
  <si>
    <t xml:space="preserve">
1.The spleen is unremarkable._x000D_
2.The serosal detail is normal._x000D_
3.The gastrointestinal tract is also unremarkable._x000D_
4.There is mild hepatomegaly with smooth margins. No hepatic mass is identified.</t>
  </si>
  <si>
    <t>Abdomen: There is a mild diffuse bronchointerstitial pattern.  There is mild left-sided cardiomegaly.  There is no evidence of cardiogenic pulmonary edema.  There is no evidence of pleural effusion.  The pulmonary vasculature is unremarkable.  There are no abnormalities involving the trachea.</t>
  </si>
  <si>
    <t>Mild left-sided cardiomegaly without evidence of decompensation._x000D_
_x000D_
Mild diffuse bronchointerstitial pattern which may represent age-related changes or bronchitis.</t>
  </si>
  <si>
    <t>A three view study of the thorax and orthogonal abdomen views are provided._x000D_
_x000D_
Moderate to severe heart enlargement is identified. The shape of the heart is consistent with left sided chamber distention. The pulmonary vessels and parenchyma are within normal limits._x000D_
_x000D_
The liver is mildly enlarged overall. In the lateral thorax views, there is irregular margination of a shadow at the caudal aspect of the liver suspected to represent the spleen. However, in the lateral abdomen view this is not visible. There are wispy strands of soft tissue opacity in the ventral abdomen and around the spleen suspicious for slight peritoneal effusion. The other abdominal organs are within normal limits._x000D_
_x000D_
There is severe spondylosis and mild focal lordosis of the spine at the lumbosacral junction. The disc space is narrowed. Mild narrowing is also present at L6-L7. No destructive bone lesions are seen.</t>
  </si>
  <si>
    <t>There is moderate to severe left cardiomegaly. Considering the low intensity of the heart murmur relative to the size of the heart, Dilated Cardiomyopathy would be a primary differential for this patient._x000D_
No evidence of left sided heart failure is seen. Early right heart failure could be considered as a possible explanation for the suspicion of mild peritoneal effusion and possibly the hepatomegaly._x000D_
_x000D_
Neoplasia is also a concern, because the spleen shadow has a nodular appearance in the lateral thorax views and the liver is enlarged. Serosal detail around the spleen is slightly reduced._x000D_
Is also possible the spleen changes are due to benign scarring or regenerative nodules in the hepatomegaly is due to hyperadrenocorticism as a cause of the polyphagia and polydipsia.</t>
  </si>
  <si>
    <t>Pimobendan therapy is indicated due to the severity of cardiomegaly._x000D_
Echocardiography is recommended._x000D_
_x000D_
Follow up imaging of the abdomen with ultrasound or CT is also recommended due to the abnormal appearance of the liver and spleen and the slightly reduced peritoneal detail.</t>
  </si>
  <si>
    <t>A ventral dorsal and both lateral radiographs of the thorax/abdomen are provided. The cardiac silhouette is normal size and shape, with no chamber enlargement. There are a few faint peripheral bronchial markings. On the right lateral view there is a poorly delineated ovoid 0.9 x 0.4 cm overlying the cardiac apex. This is not seen on the other views. There is no pleural effusion. Linear increased opacity overlying the right thorax on the VD projection is superimposed skinfold. Adequate tracheal diameter. No esophageal dilation. In the abdomen peritoneal and retroperitoneal detail is adequate. Formed feces fills the colon. The stomach and small bowel are minimally filled. The liver, spleen, and left kidney are normal size. The right kidney is obscured. The urinary bladder is minimally filled and soft tissue opaque. Osseous structures are unremarkable.</t>
  </si>
  <si>
    <t>1. Faint bronchial markings. Airway inflammation due to inhaled irritant/allergens is suspected. Infectious airway disease is given lesser consideration with the history provided._x000D_
2. The small increased opacity overlying the ventral left lung is most likely superimposed extrathoracic tissue. Focal early/mild aspiration pneumonia is given secondary consideration in the absence of pyrexia, lethargy, or hyporexia. A discrete pulmonary nodule is felt to be highly unlikely with the size of the contour and age of this patient._x000D_
3. Normal abdomen.</t>
  </si>
  <si>
    <t>Recommend symptomatic treatment for the cough. If the patient becomes febrile or hyporexia, there would be increased concern for pneumonia at that time, and antibiotics would be recommended.</t>
  </si>
  <si>
    <t xml:space="preserve">ABDOMEN (3 images):
Images are dated August 30, 2024.
Liver: The liver is small in size with cranial displacement of the gastric axis in the left lateral image.
Spleen: The spleen is normal in size with smooth margins and homogeneous soft tissue.
Kidneys: The left kidney is normal.  the right kidney is obscured without obvious enlargement or mineral.
Retroperitoneum: Retroperitoneal detail is adequate.
Urinary bladder/Urethra: The urinary bladder is normal in size, homogeneous soft tissue, and smoothly marginated.
Peritoneum: Peritoneal detail is adequate.
Gastrointestinal tract: The stomach contains a mild volume of gas and soft tissue.  Gas is in the pylorus in the left lateral image.   Gastric rugal folds are mildly prominent.  The stomach is within normal limits for size.
The small intestine contains minimal gas and mild fluid or is empty with a subjectively uniform population for size. 
The colon contains mild heterogeneous soft tissue material and gas.  The colon is within normal limits for size.  
Musculoskeletal: The included musculoskeletal structures are normal.
</t>
  </si>
  <si>
    <t>1. Prominent gastric rugal folds such as from non-specific gastritis versus variation of normal.
2. Non-specific small intestinal and colon appearance such as from enteritis/colitis, or less likely variation of normal/recent bowel movement.
- Differential diagnoses for enteritis/colitis include dietary indiscretion, toxin ingestion, diet/antibiotic responsive disease, inflammatory bowel disease, parasitism/primary infectious disease, or pancreatitis or occult systemic disease.
- There is no current evidence of gastrointestinal mechanical ileus.
3. Microhepatia versus variation of normal.
- If present, consider occult portosystemic shunt or unlikely other.</t>
  </si>
  <si>
    <t>Consider GI panel, fecal analysis/deworming, and routine blood work for further evaluation.  Bile acid testing may be contributory.  Empirical therapy and supportive care in the interim as needed.  Abdominal ultrasonography for further evaluation of the gastrointestinal tract if signs fail to improve or worsen.  Monitoring as directed or sooner if clinical signs acutely change, fail to improve or worsen.</t>
  </si>
  <si>
    <t xml:space="preserve">
1.Splenic size, shape and margin are normal._x000D_
2.Abdominal detail is normal._x000D_
3.The stomach contains small volume gas and scant amorphous soft tissue density material. The small bowel is normal._x000D_
4.Liver size, shape and margin are normal.</t>
  </si>
  <si>
    <t>Orthogonal views of the abdomen are provided:_x000D_
_x000D_
Abdomen:_x000D_
_x000D_
The stomach is filled with small volumes of soft tissue material. Caudal to the pyloric antrum and dorsal to the ventral extremity of the spleen there is an end on bowel loop with heterogeneous material difficult to distinguish from the transverse colon (subjectively too ventral to represent the colon). Rest of the small intestines are mildly gas and fluid filled, not overtly distended. _x000D_
A small curvilinear mineral foreign body is seen mixed with the feces._x000D_
Serosal detail is preserved._x000D_
Liver and spleen are within normal limits of size and smoothly marginated._x000D_
Kidneys and urinary bladder WNL.</t>
  </si>
  <si>
    <t>1) Gastric contents compatible with foreign material such as socks vs food._x000D_
2) Rule out small intestinal foreign material yet without signs of mechanical ileus.</t>
  </si>
  <si>
    <t>Consider abdominal US to further evaluate the gastric an suspected small intestinal material with fastened follow up radiographs in 12-24 hours to evaluate progression/defecation of the gastric material evaluating its presence on follow up radiographs, evaluating the need of an endoscopy or exploratory laparotomy.</t>
  </si>
  <si>
    <t xml:space="preserve">
1.No abnormal AI findings reported._x000D_
2.The liver and spleen are normal._x000D_
3.There is a focal loss of serosal detail in the cranial abdomen on the lateral projection._x000D_
4.On the lateral projection, the gastric lumen contains a mild amount of soft tissue and gas opacity. The small intestine is diffusely gas-filled and segments have a rigid appearance. No mechanical ileus is visualized._x000D_
5.The gastric rugae are prominent._x000D_
6.The colon contains a mild amount of gas caudally and ill-formed heterogenous fecal material cranially.</t>
  </si>
  <si>
    <t>Opposite lateral and VD views that include the neck, thorax, and abdomen are provided._x000D_
_x000D_
The heart is at the upper end of normal size range. No chamber distention is evident. Pulmonary vessels are normal. There is a mild unstructured interstitial pattern. No tracheal or laryngeal abnormalities are identified._x000D_
The abdominal organs are within normal limits. No mass effect or loss of detail are seen in the abdomen.</t>
  </si>
  <si>
    <t>Heart size is borderline at the upper end of normal range. No specific treatment is indicated at this time._x000D_
_x000D_
The mild interstitial pattern is within the limits of what might be expected as a combination of age related change and hypoinflation artifact._x000D_
_x000D_
No abdominal abnormalities are identified.</t>
  </si>
  <si>
    <t>Recheck thoracic radiographs are recommended in 6 to 12 months.</t>
  </si>
  <si>
    <t xml:space="preserve">
1.The serosal detail is adequate._x000D_
2.The stomach contains a mild amount of gas and soft tissue material._x000D_
3.No small intestinal segmental dilation is noted._x000D_
4.Splenic size, shape and margin are normal._x000D_
5.The liver size is at the lower limits of normal to slightly small.</t>
  </si>
  <si>
    <t>SPINE (4 images):
Images are dated August 30, 2024.
Prior images dated May 8, 2024 and prior are available.  
Bones/Joints:
T4-5, T5-6 and T8-9 spondylosis deformans is present.  T13 is transitional with hypoplastic ribs.  Only six lumbar vertebrae without ribs are present.  T12-13 intervertebral disc space narrowing is suspected in the ventrodorsal image.
A dens is present.  There is no evidence of atlantoaxial joint subluxation.
There is no evidence of intervertebral disc space narrowing, or mineral over the intervertebral foramina.  There is no evidence of intervertebral dorsal articulation osteoarthrosis.
Bilateral moderate coxofemoral joint osteoarthrosis is present.
There is no evidence of medullary sclerosis, osteolysis, endosteal scalloping, or periosteal proliferation.
Soft tissues:  The included soft tissues are normal.</t>
  </si>
  <si>
    <t>1. T12-13 intervertebral disc space narrowing/disc disease is suspected.
2. Transitional T13 with hypoplastic ribs, and six lumbar vertebrae without ribs.
3. Bilateral moderate coxofemoral joint osteoarthrosis.</t>
  </si>
  <si>
    <t>Consider neurologist consultation and MRI.  Thoracic imaging and routine blood work to screen for occult systemic disease if not recently performed.  Empirical therapy and supportive care as needed in the interim. Monitoring as directed or sooner if clinical signs acutely change, fail to improve or worsen.</t>
  </si>
  <si>
    <t xml:space="preserve">
1.The liver is moderately, symmetrically enlarged, with normal shape and smooth margins._x000D_
2.Splenic size, shape and margin are normal._x000D_
3.Cranial abdominal detail is mildly decreased. This may be due to superimposition of the hepatomegaly or regional inflammation._x000D_
4.The stomach contains gas and soft tissue opaque maetrial. No segmental dilation of the small intestine is identified.</t>
  </si>
  <si>
    <t>The appearance to the intestine could represent a component of enteritis however no obstructive intestinal pattern is identified. If labored breathing is present, this could be a result of abdominal  distention, abdominal pain if active pancreatitis is  present and panting from Cushing's disease however, PTE secondary to Cushing's disease cannot be entirely ruled out. Pancreatitis should still be ruled out if clinically indicated. There is moderate hepatomegaly. This would be compatible with many types of diffuse hepatopathy, including endocrine associate hepatopathies, such as Cushing's disease, infectious/inflammatory hepatitis, or hepatic lymphoma.</t>
  </si>
  <si>
    <t xml:space="preserve">
CBC, serum chemistry profile including pancreatic specific lipase, and urinalysis is recommended._x000D_
Supportive care and symptomatic therapy for gastroenteritis/pancreatitis is recommended._x000D_
If clinical signs do not improve with medical management or significant laboratory abnormalities suggest imaging would be helpful, ultrasound may be indicated._x000D_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</si>
  <si>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t>
  </si>
  <si>
    <t>1) Unremarkable thorax without signs of cardiomegaly (this does not exclude a cardiac disease), pulmonary metastases nor signs of thoracic lymphadenopathy. _x000D_
2) Unremarkable abdomen.</t>
  </si>
  <si>
    <t>Given the lack of cardiomegaly but audible murmur, consider a cardiology consultation with ECG and echocardiogram followed by an abdominal US with bile acids prior to an MRI of the brain with CSF tap.</t>
  </si>
  <si>
    <t xml:space="preserve">Three images are provided.
Images are dated August 30, 2024.
Bones/Joints:
There is no evidence of consistent intervertebral disc space narrowing, or mineral over the intervertebral foramina.  There is no evidence of intervertebral dorsal articulation osteoarthrosis.
There is no evidence of medullary sclerosis, osteolysis, endosteal scalloping, or periosteal proliferation.
Soft tissues:  The included soft tissues are normal.
</t>
  </si>
  <si>
    <t>1. No evidence of intervertebral disc disease  or vertebral fracture/luxation.</t>
  </si>
  <si>
    <t xml:space="preserve">Etiology of reported acute onset paraplegia is not definitively identified.  This does not rule out non-mineralized intervertebral disc extrusion and compression versus other myelopathy/myelitis.  Consider routine blood work and thoracic imaging to screen for occult systemic disease.  Consider neurologist consultation and MRI for further evaluation.  Empirical therapy in the interim while awaiting additional diagnostics.  </t>
  </si>
  <si>
    <t>Opposite lateral and VD views of the thorax and abdomen are provided._x000D_
_x000D_
Rugal folds in the stomach are moderately prominent. No foreign bodies are identified. The stomach is not dilated or malpositioned. Small intestinal gas is mildly increased. No dilation or plication the intestine is seen. The other organs are within normal limits. Serosal detail is normal._x000D_
_x000D_
The cardiovascular structures are within normal limits. No pulmonary infiltrates are seen. No tracheal or esophageal abnormalities are identified._x000D_
_x000D_
No spinal abnormalities are identified.</t>
  </si>
  <si>
    <t>The appearance of the abdomen is compatible with gastroenteritis. No foreign bodies or obstructive pattern are identified._x000D_
_x000D_
No thoracic abnormalities are identified.</t>
  </si>
  <si>
    <t>Symptomatic therapy and supportive care for gastroenteritis/pancreatitis is recommended.</t>
  </si>
  <si>
    <t xml:space="preserve">
1.On the lateral projection, the liver is mildly enlarged but retains smooth margins._x000D_
2.The spleen is normal size._x000D_
3.Abdominal detail is normal._x000D_
4.The pylorus is caudally displaced by the mild hepatomegaly. The GI tract is otherwise unremarkable.</t>
  </si>
  <si>
    <t>3 views of the thorax are provided for review.  The trachea is dorsally deviated, indicating left ventricular enlargement.  A bulge is present in the region of the left atrium.  Cardiac size is progressive from previous images dated 1/9/2024.  Interstitial to alveolar opacity is present in the caudal lung lobes near the hilus.  The mediastinal and pleural structures are normal.  Cranial abdominal detail is adequate.</t>
  </si>
  <si>
    <t>Progressive left-sided cardiomegaly.  Interstitial to alveolar pulmonary pattern consistent with cardiogenic pulmonary edema.</t>
  </si>
  <si>
    <t>Consider repeat radiographs following diuretic therapy.  Echocardiography may be helpful in further evaluation.</t>
  </si>
  <si>
    <t>6 images of the thorax and abdomen are provided for review.  The trachea is dorsally deviated, indicating left ventricular enlargement.  A bulge is present in the region of the left atrium.  No pulmonary infiltrates are seen.  The pulmonary vasculature is normal in size.  The mediastinal and pleural structures are normal.  Abdominal serosal detail is adequate in all quadrants.  The liver margins are rounded and extend beyond the costal arch, causing caudal displacement of the gastric axis.  The stomach contains a moderate amount of soft tissue material.  The small intestines are normal in size.  Gas and feces are present in the colon.  The urinary bladder contains multiple irregular mineral structures.  Mineral is present in the renal diverticula and the kidneys are slightly small.  The remaining abdominal organs are normal.  Spinal alignment is normal with no consistently narrowed intervertebral disc spaces.  No fractures or aggressive osseous lesions are seen.</t>
  </si>
  <si>
    <t>Material within the stomach may represent residual ingesta or foreign material.  Consider repeat radiographs following strict fasting to determine if gastric contents persist.  Hepatomegaly=ZZ90= this is a nonspecific finding that may be seen with congestion, vacuolar hepatopathy, inflammation, neoplasia, etc.  Abdominal ultrasound may be helpful in further evaluation if biochemically indicated.  Cystic calculi.  Chronic renal changes.  Left-sided cardiomegaly without current evidence of cardiogenic pulmonary edema.  Echocardiography may be helpful in further evaluation.</t>
  </si>
  <si>
    <t xml:space="preserve">
1.There is smoothly margined hepatomegaly. On the VD projection, the hepatomegaly is mildly asymmetric._x000D_
2.The spleen is normal._x000D_
3.There is a decrease in abdominal detail. This may be attributed to superimposition of soft tissue structures secondary to the caudal extension of the liver however a component of mesenteric inflammation and/or small volume of fluid cannot be excluded._x000D_
4.The ventral abdominal line is mildly pendulous._x000D_
5.The stomach is slightly caudally positioned due to the hepatomegaly and has a normal to slightly caudally displaced gastric axis secondary to the hepatomegaly._x000D_
6.The intestines are displaced caudally into the mid- and caudal abdomen by the cranial abdominal organomegaly. The intestines are gas- and fluid-filled with the bowel being distended suggestive of a functional ileus or potentially a mechanical obstruction.</t>
  </si>
  <si>
    <t>Hepatomegaly: This is a radiographic nonspecific finding, and has endocrine (diabetes mellitus, Cushings), fat deposition, infectious-inflammatory (hepatitis-viral-parasitic), hemodynamic (right heart failure), and infiltrative origins (nodular hyperplasia-round cell infiltration-lymphoma-adenoma-adenocarcinoma). Decreased abdominal detail. This is attributed to caudal extension of the liver over regional mesenteric inflammation. Evidence  of Pickwickian syndrome (abdominal distention secondary to fat deposition and hepatomegaly and decreased thoracic volume). Appearance to the intestines is concerning for gastroenterocolitis or potentially, peritonitis secondary to concurrent abdominal disease or an evolving mechanical obstruction.</t>
  </si>
  <si>
    <t xml:space="preserve">
Virtual Radiologist Case Difficulty: LOW_x000D_
Virtual Radiologist Confidence: HIGH_x000D_
Further evaluation of the liver including ruling out metabolic causes for the hepatomegaly such as Cushing's disease. Abdominal ultrasound is recommended to assess the liver, adrenal glands, GI tract and for the presence of abdominal fluid._x000D_
Full blood work if not recently performed._x000D_
For more information on Pickwickian syndrome, go to https://platform.v2.vetology.net/doc/pickwickian_syndrome</t>
  </si>
  <si>
    <t>Orthogonal views of the abdomen are provided:_x000D_
_x000D_
Abdomen:_x000D_
_x000D_
The stomach is filled with small volume of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_x000D_
Multifocal signs of chronic IVDD._x000D_
Unremarkable pelvis.</t>
  </si>
  <si>
    <t>Consider abdominal US to further evaluate the liver and entire abdomen.
(amended on 08/30/2024 11:03)
Three views of the thorax with +/- laryngeal exam under sedation.</t>
  </si>
  <si>
    <t xml:space="preserve">
1.The spleen is caudally displaced by the hepatomegaly. The spleen is at the upper limits of normal for size._x000D_
2.The abdomen is pendulous._x000D_
3.There is adequate serosal margin detail._x000D_
4.The stomach contains a moderate amount of mottled soft tissue material mixed with gas. The gastric axis is caudally displaced by the hepatomegaly._x000D_
5.The liver is moderately, generally enlarged with a convex ventral margin. On the VD projection, the liver margin extends caudally to the level of the spleen._x000D_
6.Resource: https://platform.v2.vetology.net/doc/liver_disease_x000D_
7.Small intestinal bowel loops are normal in size and distribution and have a mixed pattern with mottled content._x000D_
8.The colon contains feces and gas.</t>
  </si>
  <si>
    <t>3 images of the abdomen are presented for review.  Serosal detail is adequate in all quadrants.  The stomach contains a large amount of gas and fluid.  The duodenum is dilated with gas and mottled soft tissue material.  This is above normal limits for size and larger than other segments.  Gas is present in the colon.  The urinary bladder is small.  The remaining abdominal organs are normal.</t>
  </si>
  <si>
    <t>Gastroduodenal dilation consistent with mechanical obstruction.  Intraluminal contents suggest foreign material.</t>
  </si>
  <si>
    <t xml:space="preserve">
1.The gastric rugae are prominent._x000D_
2.A segment of the colon is gas filled and has a rigid appearance._x000D_
3.The small bowel is diffusely gas- and fluid-filled but without segmental small bowel dilation._x000D_
4.There is increased soft tissue opacity in the mid-abdomen concerning for splenomegaly, splenic mass or soft tissue mass of another origin but residing in the region of the spleen._x000D_
5.Abdominal detail on the lateral projection is decreased. DDx: organ crowding vs. mesenteric inflammation and/or abdominal fluid._x000D_
6.The liver is enlarged with concern for asymmetric enlargement or a liver mass on the lateral projection(s).</t>
  </si>
  <si>
    <t>Hepatomegaly. In addition, there appears to be splenomegaly or a mass in the mid abdomen. This could also represent a pedunculated liver mass or lymphadenopathy. Neoplastic and granulomatous etiologies could be considered. Abdominal ultrasound is indicated to further evaluate. Decreased mid-abdominal detail. DDx: organ crowding/secondary to a mid-abdominal soft tissue mass vs. mesenteric inflammation and/or small volume of abdominal fluid. No definitive G.I. changes are noted at this time.</t>
  </si>
  <si>
    <t xml:space="preserve">
Virtual Radiologist Case Difficulty: MODERATE_x000D_
Virtual Radiologist Confidence: MODERATE_x000D_
Abdominal ultrasound with additional diagnostics such as abdominocentesis and/or tissue sampling as warranted by the ultrasound findings. Coagulation profile, platelet count and PCV prior to sampling.</t>
  </si>
  <si>
    <t>Orthogonal views of the abdomen are provided:_x000D_
_x000D_
Abdomen:_x000D_
_x000D_
The stomach is filled with food, foreign mineral particles and a metallic straight foreign body. Some mineral particles are also seen mixed with the feces in the colon._x000D_
Small intestines are mildly gas and fluid filled, not overtly distended but showing irregular gas lucencies. No signs of mechanical ileus._x000D_
Serosal detail is preserved._x000D_
Liver extends beyond the costal arch with sharp margins._x000D_
Spleen is within normal limits of size and smoothly marginated._x000D_
Kidneys and urinary bladder WNL.</t>
  </si>
  <si>
    <t>1) Gastric foreign material and signs of enteritis. An early or partialmechanical ileus can not be excluded._x000D_
2) Hepatomegaly: Metabolic vs Vacuolar infiltration vs Hepatic nodular hyperplasia vs Inflammatory vs Toxic vs Neoplastic or a combination of these differentials.</t>
  </si>
  <si>
    <t>Consider abdominal US to further evaluate cause of pica, the entire GI tract and the liver.</t>
  </si>
  <si>
    <t>Orthogonal views of the abdomen are provided:_x000D_
_x000D_
Abdomen:_x000D_
_x000D_
The stomach is distended with food._x000D_
Small intestines are mildly gas and fluid filled, not overtly distended. No signs of mechanical ileus._x000D_
Unformed feces in the colon._x000D_
Serosal detail is preserved._x000D_
Liver shows rounded margins._x000D_
Spleen is within normal limits of size and smoothly marginated._x000D_
Kidneys and urinary bladder WNL.</t>
  </si>
  <si>
    <t>1) Hepatomegaly: Metabolic vs Vacuolar infiltration vs Hepatic nodular hyperplasia vs Inflammatory vs Toxic vs Neoplastic or a combination of these differentials._x000D_
2) Unformed feces in the colon. Rule out IBD vs colitis of allergic/inflammatory/idiopathic origin vs subjacent/ocult GI neoplasm not excluded.</t>
  </si>
  <si>
    <t>Consider abdominal US to further evaluate the liver (with +/- Us guided FNAs) and GI tract evaluating causes of diarrhea._x000D_
Consider three views of the thorax.</t>
  </si>
  <si>
    <t xml:space="preserve">
1.Formed feces in the distal colon._x000D_
2.On the lateral projection, the liver is mildly enlarged with rounded margins. Less commonly, gastric distention silhouetting with the liver can trigger this AI result._x000D_
3.Resource: https://platform.v2.vetology.net/doc/liver_disease_x000D_
4.Splenic size, shape and margin are normal._x000D_
5.Abdominal detail is satisfactory._x000D_
6.The ventral abdominal line is pendulous._x000D_
7.In most cases, the stomach and small bowel are minimally filled however in a small number of cases, gastric distention will silhouette with the liver artifactually creating the appearance of hepatomegaly.</t>
  </si>
  <si>
    <t>3 views of the entire body are presented for review.  The cardiovascular and pulmonary structures are normal.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</si>
  <si>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thorax and abdomen.  Lack of specific changes does not rule out viral or Bordetella type pneumonitis.</t>
  </si>
  <si>
    <t xml:space="preserve">
1.Small-to-moderate volume ingesta in the stomach._x000D_
2.Liver and spleen appear within normal limits._x000D_
3.No abnormal AI findings reported._x000D_
4.Peritoneal detail is normal._x000D_
5.Small intestines and colon are minimally filled without compelling evidence for obstruction.</t>
  </si>
  <si>
    <t>ABDOMEN (2 radiographs for review). _x000D_
_x000D_
- Peritoneal serosal detail is normal._x000D_
- The stomach contains mild gas and soft-tissue opaque material_x000D_
- The small intestine is overall nondistended and contains mild multifocal gas and soft-tissue opaque material_x000D_
- The cecum is distended with gas._x000D_
- The colon contains gas, soft-tissue/fluid and moderate, desiccated formed fecal material._x000D_
- The uterus is presumably visible and mildly prominent in the caudal abdomen between the descending colon and the dorsal portion of the urinary bladder.  It is not distinctly distended._x000D_
- The spleen is mildly enlarged, with rounded margins._x000D_
- The liver, region of the kidneys and urinary bladder are normal._x000D_
- The caudal thorax is normal_x000D_
- There is a congenital screw tail vertebral anomaly.</t>
  </si>
  <si>
    <t>1.  Overall, a discrete radiographic cause for the reported clinical findings of hyporexia, lethargy, crying out and disorientation is not clearly identified.  The gastrointestinal tract is relatively unremarkable (besides mild aerophagia and constipation).  The size of the uterus can be within normal limits, and is unlikely to be related to pathologic distention such as pyometra.  Metritis remains possible.  For further investigation in this patient, consider abdominal ultrasonography if clinically indicated._x000D_
_x000D_
2. Mild splenomegaly. DDx congestion from sedation, lymphoid hyperplasia, EMH, less likely neoplasia.</t>
  </si>
  <si>
    <t>As above</t>
  </si>
  <si>
    <t xml:space="preserve">
1.The liver is mildly enlarged but retains a smooth margin._x000D_
2.Splenic size, shape and margin are normal._x000D_
3.Abdominal detail is normal._x000D_
4.The small bowel is diffusely gas- and fluid-filled without segmental small bowel dilation._x000D_
5.The stomach contains a small amount of gas.</t>
  </si>
  <si>
    <t>WHOLE-BODY (6 total radiographs for review). _x000D_
_x000D_
- Large, rounded, right-sided soft tissue opaque intrathoracic mass._x000D_
- Rounded enlargement of the cranial mediastinum._x000D_
- Soft tissue opacity in the perihilar region causing compression of the carina principal bronchi._x000D_
- The cardiac silhouette, pulmonary vasculature and remaining intrathoracic structures are normal._x000D_
- Peritoneal serosal detail is normal._x000D_
- The stomach contains moderate gas-stippled soft-tissue opaque material_x000D_
- The small intestine contains mild multifocal gas and soft-tissue opaque material_x000D_
- The colon contains gas, soft-tissue/fluid and moderate formed fecal material._x000D_
- The liver, spleen, region of the kidneys and urinary bladder are normal._x000D_
- Narrowing of the L4-5 intervertebral disc space with endplate sclerosis and spondylosis deformans.</t>
  </si>
  <si>
    <t>1.  Large right-sided hemithoracic soft-tissue mass, either originating from the right cranial lung lobe or the pleural space/thoracic body wall._x000D_
_x000D_
2. Suspected cranial mediastinal and tracheobronchial lymphadenopathy._x000D_
_x000D_
The primary consideration for the above findings is multicentric and/or metastatic neoplasia. DDx would include histiocytic sarcoma, pulmonary lymphoma or atypical pulmonary carcinoma. Non-neoplastic etiologies are less likely.  The lesion in the right hemithorax is likely amenable to ultrasound-guided fine-needle aspiration.  Ultimately, consultation with a veterinary oncologist and/or thoracic/whole-body CT may be recommended in this case._x000D_
_x000D_
3. Unremarkable postprandial abdomen.  _x000D_
_x000D_
4. L4-5 intervertebral disc disease</t>
  </si>
  <si>
    <t>Six orthogonal survey radiographs of the thorax and abdomen dated 29th August 2024 are available for review. There are no previous radiographs available for comparison. _x000D_
_x000D_
Thorax: _x000D_
Airway findings: The thorax is mildly hypoinflated. The trachea has a normal position, shape and size. The carina and tracheal bifurcation are normal. There is a mild diffuse bronchial pattern, with caudal dorsal emphasis. No nodules or masses are seen._x000D_
_x000D_
Cardiovascular findings: The cardiac silhouette is normal in shape, size and margination. The cranial and caudal pulmonary vasculature is normal. The caudal vena cava is normal. The aorta and mainstem pulmonary artery have a normal outline in the vd/dv l image. _x000D_
_x000D_
Mediastinum and pleural space: No significant abnormalities are detected. _x000D_
_x000D_
Abdomen: There is moderate-severe hepatomegaly with rounded is slightly lobular borders the stomach contains kibble, and has a caudally displaced axis. There is mild widening of the pyloroduodenal angle. The small intestines are diffusely mildly distended with gas and fluid. The descending colon contains gas and poorly formed faeces. The urinary bladder is filled. The kidneys are partially obscured by gastrointestinal contents, but the visible aspect are normal. The spleen is normal._x000D_
_x000D_
Musculoskeletal findings: The patient is obese.</t>
  </si>
  <si>
    <t>1.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 In light of severe enlargement of the left lateral lobe of the liver, neoplasia needs to be excluded._x000D_
2. The fluid and gas filling of the small intestines may still be post-prandial, however a mild ileus secondary to pancreatitis is possible._x000D_
3 Diffuse mild bronchial pattern: Consideration should be given to normal ageing, allergic bronchitis, chronic bacterial /viral bronchitis +/- parasitic bronchitis. Less likely are heart worm, hyperardenocorticism, neoplasia (such a lymphoma) or idiopathic pulmonary fibrosis.</t>
  </si>
  <si>
    <t>A complete abdominal ultrasonographic examination is advised, with a view to FNA of abnormal organs, after complete blood work, and a normal coagulation panel._x000D_
_x000D_
Respiratory workup including CBC, serum chemistry, urinalysis, Baermann faecal testing, 4DX, +/- respiratory panel may be considered.</t>
  </si>
  <si>
    <t xml:space="preserve">
1.There is poor detail identified in the abdomen. DDx: secondary to hepatomegaly causing crowding of the abdominal organs and/or abdominal fluid._x000D_
2.The abdomen is mildly pendulous._x000D_
3.The stomach contains fluid and some gas._x000D_
4.The small intestine is diffusely fluid filled._x000D_
5.The liver is enlarged with rounded borders._x000D_
6.There is increased soft tissue opacity in the splenic region. DDx: secondary to caudal extension of the liver vs. loss of detail due to abdominal fluid vs. splenomegaly or a splenic mass.</t>
  </si>
  <si>
    <t>Orthogonal views of the abdomen are provided:_x000D_
_x000D_
Abdomen:_x000D_
_x000D_
The stomach is filled with food._x000D_
Small intestines are mildly gas and fluid filled, not overtly distended. No signs of mechanical ileus._x000D_
Unformed feces in the colon._x000D_
Serosal detail is preserved._x000D_
Liver extends beyond the costal arch in the right side with irregular  margins._x000D_
Spleen is within normal limits of size and smoothly marginated._x000D_
Kidneys and urinary bladder WNL._x000D_
_x000D_
Unremarkable visible thorax.</t>
  </si>
  <si>
    <t>1) Hepatomegaly: Neoplastic/metastatic is the main differential. Other concomitant differentials such as Hepatic nodular hyperplasia vs hepatic abscess vs hepatic granulomata vs Metabolic vs Vacuolar infiltration vs Inflammatory vs Toxic or hepatopathies are not excluded._x000D_
2) Unformed feces in the colon. Rule out colitis of allergic/inflammatory/idiopathic origin vs IBD flare up vs colitis secondary to dietary indiscretion/diet change.</t>
  </si>
  <si>
    <t>Consider abdominal US to further evaluate the liver with +/- US guided FNAs and causes of diarrhea. Three views of the thorax.</t>
  </si>
  <si>
    <t>WHOLE-BODY (3 total radiographs for review). _x000D_
_x000D_
- Peritoneal serosal detail is mildly reduced._x000D_
- The liver is moderately to markedly enlarged, extending caudal to the costal arch with rounded margins._x000D_
- The stomach contains moderate gas and gas-stippled soft-tissue opaque material_x000D_
- The small intestine contains mild multifocal gas and soft-tissue opaque material_x000D_
- The colon contains gas, soft-tissue/fluid and moderate formed fecal material._x000D_
- The liver, spleen, region of the kidneys and urinary bladder are of limited assessment however no discrete abnormalities are noted._x000D_
- There is a mild, diffuse, mixed bronchial and unstructured interstitial pulmonary pattern._x000D_
- There is the impression of mild left-sided cardiomegaly, with straightening of the caudal cardiac margin and dorsal displacement of the caudal aspect of the thoracic trachea._x000D_
- The trachea, esophagus and mediastinum are normal._x000D_
- The pleural space, diaphragm and ribs are normal._x000D_
- The remaining intrathoracic structures are normal._x000D_
- No musculoskeletal abnormalities are noted.</t>
  </si>
  <si>
    <t>1.  A discrete radiographic cause for the reported straining to defecate is not clearly identified.  There is some minimal constipation, however no obvious colonic or rectal mass or other lesion to explain the clinical signs is identified.  If clinical signs persist/worsen and further diagnostic imaging is warranted, abdominal ultrasonography and/or whole-body CT may provide clarification._x000D_
_x000D_
2.  Moderate to marked hepatomegaly. Most likely vacuolar (metabolic) hepatopathy associated with the reported diabetes. Hepatic congestion, hepatitis or neoplasia are less likely, but possible._x000D_
_x000D_
3.  Aerophagia and recent meal._x000D_
_x000D_
4. Mild left-sided cardiomegaly, without pulmonary vasculature congestion or congestive heart failure. Most likely compatible with degeneration of the mitral valve. Consider careful cardiac auscultation and echocardiography/ECG for further assessment._x000D_
_x000D_
5.  Mild diffuse broncho-interstitial pattern. Most likely representing age-related lower airway changes, however a component of chronic bronchitis is possible, especially if there is a history of abnormal respiratory sounds, wheezing and/or coughing.</t>
  </si>
  <si>
    <t xml:space="preserve">
1.The small intestine is diffusely fluid filled._x000D_
2.The abdomen is mildly pendulous._x000D_
3.The stomach contains fluid and some gas._x000D_
4.The liver is enlarged with rounded borders._x000D_
5.There is increased soft tissue opacity in the splenic region. DDx: secondary to caudal extension of the liver vs. loss of detail due to abdominal fluid vs. splenomegaly or a splenic mass._x000D_
6.There is poor detail identified in the abdomen. DDx: secondary to hepatomegaly causing crowding of the abdominal organs and/or abdominal fluid.</t>
  </si>
  <si>
    <t>Three orthogonal thoracic radiographs dated 29th August 2024 are available for review. There are no previous radiographs available for comparison. _x000D_
_x000D_
Airway findings: The larynx is caudally displaced. There is near complete obstruction of the cervical and cranial thoracic trachea. The thoracic trachea is mildly elevated. There is widening of the tracheal bifurcation. The thorax is hypoinflated. A mild bronchial pattern is present._x000D_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There is increased cranial mediastinal fat._x000D_
_x000D_
Musculoskeletal findings: No significant abnormalities are detected._x000D_
_x000D_
Included abdomen: There is mild smoothly marginated hepatomegaly.</t>
  </si>
  <si>
    <t>1. The dorsal attenuation of the trachea is consistent with tracheomalacia, and/or redundant trachealis membrane. The extent of attenuation would be expected to cause coughing, or in severe case like this, partial respiratory obstruction. The caudal displacement of the larynx is consistent with the near complete respiratory obstruction and increased respiratory effort._x000D_
2. Diffuse mild bronchial pattern: Primary consideration should be given to normal ageing/fibrosis from previous disease. Allergic bronchitis, chronic bacterial /viral bronchitis +/- parasitic bronchitis should also be considered. Less likely are hyperardenocorticism, neoplasia (such a lymphoma) or idiopathic pulmonary fibrosis.</t>
  </si>
  <si>
    <t>Management of tracheal collapse either medically or surgically is advised.  _x000D_
 Respiratory workup including CBC, serum chemistry, urinalysis, Baermann faecal testing, 4DX, +/- respiratory panel as indicated may be considered.</t>
  </si>
  <si>
    <t xml:space="preserve">
1.Liver size, shape and margin are normal._x000D_
2.There is decreased detail in the cranial abdomen._x000D_
3.The spleen is within normal limits._x000D_
4.The stomach is partially distended with food material and fluid._x000D_
5.The small intestinal track is mostly fluid filled uniform in diameter._x000D_
6.The colon is gas filled in corrugated.</t>
  </si>
  <si>
    <t>Study:_x000D_
Thoracic and abdominal radiography: six images dated August 28,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The small intestines are normal in size, course and content. The colon contains formed fecal material with a normal diameter. The liver and spleen are normal in size and margin. The renal silhouettes are normal in size and shape. The urinary bladder is normal in size and opacity. There is a metallic ballistics in the subcutaneous or superficial soft tissues dorsal to the sacrum. The T 11-T 12 intervertebral disc space appears mildly narrowed on all lateral projections.</t>
  </si>
  <si>
    <t>1. Normal thorax. There is no radiographic evidence of cardiopulmonary disease._x000D_
2. Unremarkable abdomen._x000D_
3. Suspected T 11-T 12 intervertebral disc disease. Correlate with any liver enzyme abnormalities and/or neurologic deficits.</t>
  </si>
  <si>
    <t>Abdominal sonography can be certain to further evaluate for any changes suggestive of kidney disease.</t>
  </si>
  <si>
    <t>Study:_x000D_
Thoracic/abdominal radiography: three images dated August 29, 2024_x000D_
_x000D_
Findings:_x000D_
The cardiac silhouette is normal in size and shape. The pulmonary vasculature is normal in size. There is a mild generalized bronchial pulmonary pattern. The pleural space is normal. There is no intrathoracic lymphadenopathy. There is slight narrowing of the trachea lumen at the thoracic inlet. There is dilation and retraction of the larynx. The stomach contains a small amount of heterogeneous soft tissue material presumed to be ingesta. The small intestines are normal in size, course and content. The colon contains formed fecal material. The liver extends mildly beyond the costal arch with smooth margins. The kidneys are normal in size and contour. The urinary bladder is normal in size and opacity. There is narrowing of the L1-L2 intervertebral disc space with mild spondylosis deformans. The patient is of overweight body condition.</t>
  </si>
  <si>
    <t>1. The mild generalized bronchial pulmonary pattern may indicate allergic, inflammatory, infectious, parasitic or irritant bronchitis. Airway sampling, heartworm testing and Baermann fecal flotation can be considered for further evaluation._x000D_
2. There is no radiographic evidence of heart disease. Consider echocardiography for further evaluation of the reported heart murmur._x000D_
3. Suspect chondromalacia and dynamic airway disease/tracheal collapse. Fluoroscopy can be considered for further evaluation._x000D_
4. The generalized hepatomegaly is nonspecific. Rule out metabolic/vacuolar hepatopathy, hyperplasia, hepatitis or infiltrative neoplasia. Sonography can be considered for further evaluation._x000D_
5. L1-L2 intervertebral disc disease.</t>
  </si>
  <si>
    <t xml:space="preserve">
1.The spleen is normal in size and margin._x000D_
2.The liver extends moderately beyond the costal arch with a smooth margin._x000D_
3.Abdominal detail is normal._x000D_
4.The abdomen is pendulous._x000D_
5.The small intestines are normal in size, course and content._x000D_
6.The colon contains partially formed fecal material._x000D_
7.The stomach contains a small volume of gas.</t>
  </si>
  <si>
    <t>Study:_x000D_
Four images that include the caudal thoracic/lumbosacral spine, pelvis and pelvic limbs dated August 29, 2024_x000D_
_x000D_
Findings:_x000D_
The imaged spine is unremarkable with no intervertebral disc space or foraminal narrowing. There is good coverage of the femoral head by the acetabulum bilaterally. The patella is in the correct anatomic location bilaterally. There is a mild increase in soft tissue opacity within the cranial and caudal aspect of the left stifle joint space in comparison to the right stifle. No degenerative change is present in either stifle. Mild periarticular information is present along the dorsal aspect of the centrodistal joint bilaterally. The pelvic limb musculature is bilaterally symmetric.</t>
  </si>
  <si>
    <t>1. The mild left stifle joint effusion/capsular thickening is suggestive of intracapsular injury. Rule out cranial cruciate and/or meniscal injury._x000D_
2. Mild bilateral tarsocrural osteoarthrosis._x000D_
3. Unremarkable lumbosacral spine.</t>
  </si>
  <si>
    <t>Orthopedic consultation plus/minus stifle surgical stabilization can be considered if the lameness persists in spite of activity restriction and pain management.</t>
  </si>
  <si>
    <t>Study:_x000D_
Abdominal radiography: three images dated August 29, 2024_x000D_
_x000D_
Findings:_x000D_
The abdominal serosal detail is normal. The stomach and some small intestinal segments contain unstructured heterogeneous/granular soft tissue material. The small intestines are normal in size and course. The colon contains gas and poorly formed fecal material. The liver is normal in size and margin. On the left lateral projection, there is an indistinct round soft tissue opaque bulge from the cranial margin of the tail the spleen. The renal silhouettes are normal in size and contour. The urinary bladder is normal in size and opacity. There is no prostatomegaly. The included thorax is normal. No skeletal abnormalities are present. The patient is of overweight body condition.</t>
  </si>
  <si>
    <t>1. Gastrointestinal contents likely represent ingesta. Foreign material cannot be completely excluded. There is no evidence of small intestinal mechanical obstruction. Repeat fasted radiography can be considered to ensure gastrointestinal emptying if clinical relevant based on recent dietary history. Alternatively, sonography can be considered if clinical signs persist or worsen in spite of medical management._x000D_
2. A splenic nodule is suspected. Rule out extramedullary hematopoiesis, lymphoid hyperplasia, neoplasia or hematoma. Abdominal sonography can be considered for further evaluation.</t>
  </si>
  <si>
    <t xml:space="preserve">PELVIS/PELVIC LIMBS (5 images):
Images are dated August 29, 2024.
Mild overexposure partially limits soft tissue evaluation.
Bones/Joints:
The coxofemoral joints have no obvious osteoarthrosis.  There is adequate coverage of the femoral heads by the acetabulums.
The left stifle has no evidence of osteoarthrosis. 
The right stifle has no evidence of osteoarthrosis.  
L6-7 is possibly narrowed in the ventrodorsal image.  This is not well-defined in the oblique lateral image.  
There is no evidence of medullary sclerosis, osteolysis, endosteal scalloping, or periosteal proliferation.
Soft tissues:  Small mineral focus caudal to the presumed left mid-crus in the lateral image.  The remaining included soft tissues are normal.
</t>
  </si>
  <si>
    <t xml:space="preserve">1. Possible L6-7 intervertebral disc space narrowing/disc disease versus artifact/positioning.
2. Mineral over presumed left caudal crus due to external debris/artifact or less likely dystrophic mineralization, osteoma, granuloma or other.
3. No obvious coxofemoral joint osteoarthrosis.
4. No obvious left stifle osteoarthrosis.
5. No obvious right stifle osteoarthrosis.  </t>
  </si>
  <si>
    <t>Etiology of reported progressive paraparesis in this young patient is not definitively identified.  Consider occult multisystemic axonopathy/neuropathy or unlikely intervertebral disc disease given the breed/age of patient.  Consider neurologic examination and MRI for further evaluation of reported clinical signs.  Routine blood work and thoracic imaging to screen for occult systemic disease prior to advanced imaging.  Empirical therapy and supportive care in the interim as needed.  Monitoring as directed or sooner if clinical signs acutely change, fail to improve or worsen.</t>
  </si>
  <si>
    <t>Eight radiographs are provided, with images of the abdomen, pelvis, and pelvic limbs. On the edge of the abdominal image, the diaphragm is intact and there is no pleural fluid or gas. Peritoneal detail is adequate. The stomach and small bowel are minimally filled. Formed feces fills the distal colon. The urinary bladder is minimally filled. Normal-sized liver and spleen. The kidneys are obscured. No lumbar spinal abnormalities. There are several sharply marginated pelvic fractures, to include the mid-caudal aspect of the right acetabulum, right pubis, left ischium just to the left of midline. The left hemipelvis is 1.6 cm cranially displaced with respect to the sacrum. Normal left coxofemoral joint. Pelvic limb musculature is symmetric. Other than the right acetabular fracture, no pelvic limb abnormalities are appreciated, although soft tissue evaluation is limited by high technique.</t>
  </si>
  <si>
    <t>1. Left sacroiliac subluxation._x000D_
2. Multiple pelvic fractures, to include the right acetabulum. No other pelvic limb abnormalities._x000D_
3. Normal abdomen.</t>
  </si>
  <si>
    <t>Surgical stabilization of the right acetabulum and left sacroiliac joint is recommended.</t>
  </si>
  <si>
    <t>THORAX (3 images) and ABDOMEN (3 images):
Images are dated August 29, 2024.
The left lateral abdominal image is under/overexposed severely, and non-diagnostic.
Pulmonary parenchyma: A minimal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mildly small with cranial dispalcement of the gastric axis.
Spleen: The spleen is normal in size with smooth margins and homogeneous soft tissue.
Kidneys:  Multiple small mineral foci superimpose over the kidneys.
Retroperitoneum: Retroperitoneal detail is adequate.
Urinary bladder/Urethra: The urinary bladder is normal in size, homogeneous soft tissue, and smoothly marginated.
Peritoneum: Peritoneal detail is adequate.
Gastrointestinal tract: The stomach contains minimal gas or is empty.   The stomach is within normal limits for size.
The small intestine contains mild gas with a subjectively uniform population for size. 
The colon contains mild gas.  The colon wall is mild to moderately spastic.  The colon is within normal limits for size.  
Musculoskeletal: T5-6 spondylosis deformans is present.  Bilateral femoral trochlear hypoplasia is present.  The remaining included musculoskeletal structures are normal.</t>
  </si>
  <si>
    <t xml:space="preserve">1. Non-specific gastrointestinal tract appearance such as from enteritis/colitis or given repotd history, less likely normal variation/recent bowel movement.
- There is no current evidence of gastrointestinal mechanical ileus.
- Differential diagnoses include dietary indiscretion, toxin ingestion, diet/antibiotic responsive disease, inflammatory bowel disease, pancreatitis, occult systemic disease or unlikely other.
2. Mild microhepatia versus artifact from positioning/technique or patient body confirmation.
- If present, consider occult portosystemic shunting vessel or unlikely chronic hepatitis/cirrhosis.
3. Bilateral nephroliths and chronic renal disease is suspected.
4. Minimal diffuse bronchial pulmonary pattern such as from fibrosis from prior disease, age-related changes, or unlikely infectious/immune-mediated lower airway disease or other.
</t>
  </si>
  <si>
    <t xml:space="preserve">Consider GI panel, bile acid testing, fecal analysis/deworming, and routine blood work for further evaluation.   Abdominal ultrasonography for further evaluation of the liver, kidneys and gastrointestinal tract. This examination does not rule out orthopedic/neurologic etiology contributing to clinical signs. Empirical therapy and supportive care in the interim as needed.  Monitoring as directed or sooner if clinical signs acutely change, fail to improve or worsen.  </t>
  </si>
  <si>
    <t>The AI result for this case is most compelling for: Normal visualized abdomen.</t>
  </si>
  <si>
    <t>A two view thoracoabdominal study is provided for interpretation._x000D_
_x000D_
In the lateral view, there is a discrete round mixed opacity shadow that is highly suspicious for a foreign body in the range of 1.5 cm such as a nut/pit, ball type toy, or button. This is not definitively corroborated in the VD view, but there is a more subtle similar shadow just right of the 13th vertebra in the gastric antrum area. The stomach is not dilated. There is a normal volume of small intestinal gas, and no intestinal dilation or plication is seen. Abdominal serosal detail is normal. The other organs are unremarkable._x000D_
_x000D_
There is a subtle increase in opacity in the area of the caudal esophagus that is suspicious for gastroesophageal reflux. No pulmonary infiltrates or pleural effusion are seen. The cardiovascular structures are within normal limits.</t>
  </si>
  <si>
    <t>There is high suspicion of a small gastric foreign body. No obstructive pattern is seen.</t>
  </si>
  <si>
    <t>Endoscopy is recommended if available._x000D_
_x000D_
The size of the foreign body is questionable as to whether it could possibly pass depending on its composition. Removal is likely to be indicated._x000D_
_x000D_
If endoscopy is not an option and gastrotomy is being considered, follow up imaging such as a contrast gastrogram (positive or negative) is recommended to verify persistence of the suspected foreign material._x000D_
_x000D_
If the patient=ZZ91=s clinical condition worsens, movement of the suspected foreign body into the intestinal tract and subsequent obstruction should be ruled out with follow up imaging. This may include ultrasound or barium study depending on the appearance of follow up survey radiographs.</t>
  </si>
  <si>
    <t xml:space="preserve">
1.Large-volume soft tissue opacity fills the stomach._x000D_
2.Scant formed feces is present in the distal colon._x000D_
3.No abnormal AI findings reported._x000D_
4.The spleen is normal size._x000D_
5.No abnormal AI findings reported._x000D_
6.Small intestines are diffusely mildly filled with a mixture of fluid and gas. No evidence of obstruction.</t>
  </si>
  <si>
    <t>Seven radiographs are provided, with images of the thorax, abdomen, pelvis, proximal pelvic limbs. There is prominence of the left atrium on the left lateral and VD views. Cardiac to thoracic ratio and pulmonary vessel size is normal. There are mild age-related changes in the lungs. No soft tissue pulmonary nodules or pleural effusion. Normal tracheal diameter._x000D_
_x000D_
In the abdomen there is no effusion. The gastrointestinal tract is moderately filled. No radiopaque urolithiasis. Small ovoid soft tissue density ventral to L5 is end-on deep circumflex iliac vessel. Normal size liver, spleen, kidneys. No lumbar spinal abnormalities. There is mild thickened left femoral neck. Pelvic limb musculature is reduced on the left. There is moderate volume fluid in the cranial aspect of the left stifle joint, with mild periarticular osseous remodeling. No right stifle joint abnormalities.</t>
  </si>
  <si>
    <t>1. Moderate left stifle effusion most consistent with cranial cruciate ligament tear/rupture. This is the cause for lameness. Normal right stifle._x000D_
2. Mild left coxofemoral osteoarthritis. This could be contributing to discomfort. Normal right coxofemoral joint._x000D_
3. Prominent left atrium consistent with mitral valve regurgitation. In this particular breed this may be due to chronic valvular disease or early dilated cardiomyopathy. There is no evidence of pulmonary venous congestion or heart failure at this time. This is of doubtful clinical significance today. Otherwise normal thorax and abdomen.</t>
  </si>
  <si>
    <t>Surgical stabilization of the left stifle is recommended.</t>
  </si>
  <si>
    <t>Study:_x000D_
Thoracic, abdominal and cervical/skull radiography: six images dated August 29, 2024_x000D_
_x000D_
Findings:_x000D_
The cardiac silhouette is normal in size and shape. There is a mild to moderate alveolar pattern in the ventral aspects of the left cranial lung lobe (both segments) and left caudal lung lobe. On the right lateral projection, there is a small gas lucency in the cranial ventral lung field. A larger gas lucency with an indistinct soft tissue opaque rim overlies the cardiac silhouette on the right lateral view. There is no intrathoracic lymphadenopathy. The trachea is normal in diameter. There is a mild amount of peritoneal effusion. The stomach contains unstructured heterogeneous soft tissue material presumed to be ingesta. The small intestines are normal in size, course and content. The colon contains formed fecal material. The liver and spleen are normal in size and margin. The renal silhouettes are normal in size and contour. The urinary bladder is small poorly visualized cranial to the pelvic inlet on both lateral projections. The 13th ribs are hypoplastic. There are no other evident osseous abnormalities. There are no apparent fractures or luxations.</t>
  </si>
  <si>
    <t>1. The alveolar pattern in the ventral aspect of the left lung lobes likely indicates pulmonic contusions secondary to recent trauma. Repeat radiography in 48 to 72 hours can be considered to monitor these findings._x000D_
2. The small gas lucency seen in the cranioventral lung field on the right lateral projection may indicate a small volume traumatic pneumothorax. Superimposition of subcutaneous emphysema is also possible. This finding should also be monitored on the recheck study._x000D_
3. The larger gas lucency overlying the cardiac silhouette on the right lateral projection may also indicate gas within the pleural space, a traumatic pneumatocele or pulmonary bulla._x000D_
4. Mild nonspecific peritoneal effusion. Consider traumatic hemoabdomen or uroabdomen. Recommend point-of-care abdominal sonography and abdominocentesis with fluid analysis for further evaluation.</t>
  </si>
  <si>
    <t xml:space="preserve">
1.The liver is borderline small, likely normal variant._x000D_
2.Spleen within normal limits._x000D_
3.Serosal detail is adequate._x000D_
4.The stomach contains stippled soft tissue opacity and gas._x000D_
5.Formed feces is present in the colon._x000D_
6.The stomach is normal. The small bowel is diffusely gas- and fluid-filled without segmental small bowel dilation.</t>
  </si>
  <si>
    <t>The liver is borderline small, likely a normal variant, versus less likely chronic inflammation, or congenital vascular abnormality. The appearance of the stomach is likely related to normal ingesta in the ABSENCE of GI symptoms. However, if GI symptoms are PRESENT, gastroenteritis secondary to dietary indiscretion or infectious etiology could be considered.</t>
  </si>
  <si>
    <t>Study:_x000D_
Abdominal radiography: three images dated August 29, 2024_x000D_
_x000D_
Findings:_x000D_
The abdominal serosal detail is normal. The stomach is empty. Some small intestinal segments contain a small amount of granular soft tissue material presumed to be ingesta. The small intestines are normal in size and course. The colon contains formed fecal material. The liver and spleen are normal in size and margin. The renal silhouettes are normal in size and contour. The urinary bladder is normal in size and opacity. There is no uterine dilation. The included thorax is normal. There is in situ mineralization of the T 13-L1 intervertebral disc. The T 11-T 12 through L1-L2 intervertebral disc spaces appear mildly narrowed. This finding could be overestimated by patient positioning and beam distortion.</t>
  </si>
  <si>
    <t>1. Unremarkable abdomen. Abdominal sonography and cPLI testing can be considered to further evaluate for sources of intra-abdominal pain._x000D_
2. T 13-L1 in situ degenerative disc disease. Questionable T 11-T 12 intervertebral disc disease versus beam distortion artifact. Correlate with any spinal pain and/or neurologic deficits. Neurology consultation plus/minus MRI can be considered for further evaluation if the pain localizes to the spine rather than the abdomen.</t>
  </si>
  <si>
    <t xml:space="preserve">
1.Abdominal detail is normal._x000D_
2.The stomach contains small volume gas and scant amorphous soft tissue density material. The small bowel is normal._x000D_
3.Liver size, shape and margin are normal._x000D_
4.Splenic size, shape and margin are normal.</t>
  </si>
  <si>
    <t>Four orthogonal thoracic radiographs dated 29th August 2024 are available for review. There are no previous radiographs available for comparison. _x000D_
_x000D_
Airway findings: The intrathoracic trachea is elevated. The tracheal bifurcation is ventrally oriented. A diffuse interstitial opacification is present, most severe in the right caudal dorsal lung fields._x000D_
_x000D_
Cardiovascular findings: The cardiac silhouette is globoid and enlarged in all images. The outline is very distinct. The pulmonary vasculature is normal. The mainstem vessels are poorly visible._x000D_
_x000D_
Mediastinum and pleural space: In the ventral thorax there is well delineated soft tissue opacification which extends along the costochondral margins caudally to the diaphragmatic reflections. The ventral aspect of the diaphragm is poorly visible._x000D_
_x000D_
Musculoskeletal findings: No significant abnormalities are detected._x000D_
_x000D_
Included abdomen: No significant abnormalities are detected.</t>
  </si>
  <si>
    <t>1. Generalized cardiomegaly with pulmonary venous distension and cardiogenic pulmonary edema consistent with left sided congestive heart failure. Ddx: myxomatous degeneration of the mitral and tricuspid valves with post-capillary pulmonary hypertension vs systolic dysfunction (DCM). Considering the very globoid nature, pericardial effusion (haemopericardium, septic pericarditis, haemangiosarcoma) should be considered. A congenital cardiac abnormality is unlikely, but cannot be excluded._x000D_
2. The interstitial opacification is most likely due to cardiogenic pulmonary oedema. Lower airway infectious/inflammatory disease is less likely. The ventral opacification is most likely pleural effusion secondary to cardiac insufficiency, however the smooth slight outline is mildly atypical. A ventral diaphragmatic hernia is considered highly unlikely.</t>
  </si>
  <si>
    <t>Complete bloodwork if not already performed. Management for left sided congestive heart failure including diuretic therapy with oxygen support as needed. ECG and systemic blood pressure monitoring. Recommend repeat thoracic radiographs after 24-48 hours of therapy, sooner if clinically indicated. Continued monitoring of renal values and urinalysis._x000D_
_x000D_
Once stabilized, an echocardiogram is indicated.</t>
  </si>
  <si>
    <t>The AI result for this case is most compelling for: Normal visualized liver, spleen, GI tract and abdominal detail.</t>
  </si>
  <si>
    <t>Orthogonal views of the thorax are provided:_x000D_
_x000D_
Thorax:_x000D_
_x000D_
No abnormalities seen in the trachea._x000D_
Cardiac silhouette has a normal shape and size. VHS in the non rotated LL view is 9.6._x000D_
Pulmonary vessels are within normal limits of size and shape._x000D_
Pulmonary parenchyma is within normal limits. No evidence of pulmonary nodules/masses._x000D_
Pleural space, mediastinum, diaphragm and thoracic wall within normal limits.</t>
  </si>
  <si>
    <t>1) Unremarkable thorax without signs of cardiomegaly (this does not exclude a cardiac disease), pulmonary metastases nor signs of thoracic lymphadenopathy. _x000D_
2) Unremarkable lungs do not exclude a bronchitis of allergic origin vs inflammatory/infectious or parasitic origin.</t>
  </si>
  <si>
    <t>Given the lack of cardiomegaly but audible murmur, consider a cardiology consultation with ECG and echocardiogram prior to an empirical treatment for chronic bronchitis evaluating response to treatment. If clinical signs persist, consider a bronchoscopy with BAL, culture, cytology, Baermann test and deworming.</t>
  </si>
  <si>
    <t>Study:_x000D_
Abdominal radiography: three images dated August 29, 2024_x000D_
_x000D_
Findings:_x000D_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 uterus is gravid containing five well-mineralized fetuses. There is no radiographic evidence fetal death. The fetal size relative to the pelvic inlet is within normal limits. The included thorax is normal. No skeletal abnormalities are present.</t>
  </si>
  <si>
    <t>Gravid uterus containing five radiographically viable fetuses.</t>
  </si>
  <si>
    <t xml:space="preserve">
1.Abdominal detail is decreased, particularly in the cranial abdomen. DDx: soft tissue mass only vs. mass and mesenteric inflammation and/or regional abdominal fluid._x000D_
2.The abdomen is mildly pendulous._x000D_
3.A soft tissue mass is identified in the cranial abdomen. The liver is enlarged and mass-like, with caudal displacement of the gastric axis._x000D_
4.A soft tissue mass in the splenic region has been identified. This could represent confluence of a single cranial abdominal mass vs. two separate masses affecting the liver and spleen._x000D_
5.The stomach is displaced by the cranial abdominal mass or infrequently, the cranial abdominal mass could represent a severely distended stomach._x000D_
6.The intestinal tract is displaced by the cranial abdominal mass. The displaced bowel is diffusely gas- and fluid-filled but no segmental bowel dilation is noted.</t>
  </si>
  <si>
    <t>Mass-like liver and potential additional abdominal mass that may arise from the spleen. If masses involve the liver and spleen, hemangiosarcoma is a primary consideration. This AI result is most compelling for a cranial abdominal mass or severe organomegaly along with decreased cranial abdominal detail. Decreased abdominal detail. DDx: soft tissue mass or severe organomegaly only vs. the former and mesenteric inflammation and/or abdominal fluid.</t>
  </si>
  <si>
    <t xml:space="preserve">
Abdominal ultrasound. Blood work if not already performed._x000D_
Coagulation profile, platelet count and PCV prior to tissue sampling._x000D_
Three view thoracic radiographs if an abdominal mass is identified._x000D_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</si>
  <si>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Opposite lateral and ventrodorsal abdominal radiographs (3 images) dated August 29, 2024._x000D_
_x000D_
_x000D_
The liver and spleen are unremarkable in size and shape. Both kidneys are normal in size and shape. The urinary bladder is small and fluid opaque. The stomach is dilated with a large amount of homogeneous soft tissue/fluid content and a smaller volume of gas. This material is mobile between views, and the pyloric antrum and a portion of the gastric body are gas-filled on the left lateral view. The duodenum is visible and appears empty or minimally distended with fluid. The remaining small bowel is similar in appearance, appearing soft tissue opaque and either empty or minimally distended with fluid. The course of the small bowel is unremarkable. The colon contains a small amount of poorly formed stool. Retroperitoneal and peritoneal detail are normal. No regional lymphadenopathy is evident._x000D_
The included osseous structures and thorax are unremarkable.</t>
  </si>
  <si>
    <t>1. Gastric dilatation with mobile soft tissue/fluid is most suggestive of a functional gastric stasis/severe gastritis. Pancreatitis remains possible. The gastric material most likely were represents fluid vs. less likely a mixture of fluid and foreign material._x000D_
2. A pyloric outflow obstruction or small intestinal mechanical obstruction is not identified in this study._x000D_
3. The colonic content is consistent with the reported loose stool/diarrhea.</t>
  </si>
  <si>
    <t>Hospitalized supportive care with fluid rehydration, antiemetics, gastroprotectants/omeprazole, and bland diet.  General health profile (CBC, chemistry, UA, fecal) +/- spec cPL and baseline cortisol to screen for underlying causes. Abdominal ultrasound to be considered to further scrutinize the gastric content=ZZ90= if no concerning foreign material is detected, a prokinetic can be used.</t>
  </si>
  <si>
    <t xml:space="preserve">
1.The spleen is prominent, with a smooth border._x000D_
2.The stomach has a normal axis._x000D_
3.The small intestines are evenly filled with a mixture of fluid and gas._x000D_
4.The ascending, transverse and descending colon contain a moderate amount of gas, and well formed faeces._x000D_
5.The liver is normal._x000D_
6.The peritoneal serosal detail is mildly reduced but this is attributed to underexposure.</t>
  </si>
  <si>
    <t>Mild generalized splenomegaly: This is a nonspecific finding and could be positional. It can be induced by sedation. Alternatively, hemodynamic (congestion), regenerative (extra medullary hematopoiesis, benign lymphoid hyperplasia), inflammatory-infectious, or infiltrative (lymphoma or other round cell neoplasia) could be considered.</t>
  </si>
  <si>
    <t xml:space="preserve">
Virtual Radiologist Case Difficulty: MODERATE_x000D_
Virtual Radiologist Confidence: MODERATE_x000D_
Dependent on clinical signs and blood work, consider abdominal ultrasonography._x000D_
Full blood work, if not already performed.</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</si>
  <si>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soft tissue material.  The small intestines are normal in size.  Gas and feces are present in the colon.  The urinary bladder is small.  The remaining abdominal organs are normal.  The coxofemoral joints are congruent.  No fractures or osseous lesions are seen.</t>
  </si>
  <si>
    <t>Material within the stomach may represent residual ingesta or foreign material.  Radiographically normal pelvis.  Radiographically normal thorax for patient of this age.</t>
  </si>
  <si>
    <t>Study:_x000D_
Spinal radiography (including the thorax and abdomen) dated August 29, 2024_x000D_
_x000D_
Findings:_x000D_
There is narrowing of the L1-L2 through L5-L6 intervertebral disc spaces with variable mild to severe spondylosis deformans. The L3-L4 through L5-L6 intervertebral space endplates are sclerotic. The included appendicular skeletal structures are unremarkable.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with a normal diameter. The liver and spleen are normal in size and margin. The kidneys are normal in size and contour. The urinary bladder is normal in size and opacity.</t>
  </si>
  <si>
    <t>1. L1-L2 through L5-L6 intervertebral disc disease._x000D_
2. Normal thorax._x000D_
3. Unremarkable abdomen.</t>
  </si>
  <si>
    <t>Neurology consultation and MRI can be considered for further evaluation if the clinical signs persist or worsen in spite of strict activity restriction and pain management.</t>
  </si>
  <si>
    <t xml:space="preserve">
1.The liver, spleen, and abdominal serosal detail are all within normal limits._x000D_
2.No abnormal AI findings reported._x000D_
3.No abnormal AI findings reported._x000D_
4.The small intestines are otherwise a combination of gas-filled and fluid-filled/collapsed, and all are within normal limits for diameter.</t>
  </si>
  <si>
    <t>Orthogonal radiographs of the thorax/abdomen are provided. The cardiac silhouette and pulmonary vessels are normal size and shape. There are no abnormalities in the pulmonary parenchyma or pleural space. No rib fractures. The diaphragm is intact. Normal proximal thoracic limbs. In the abdomen serosal detail is normal. The gastrointestinal tract and urinary bladder are minimally filled. No organomegaly. Vertebral alignment is normal. The L2-3 intervertebral foramen is slightly more opaque than those on either side. No other spinal abnormalities.</t>
  </si>
  <si>
    <t>The appearance of L2-3 is suggestive of a protruding/extruded intervertebral disc. Such a lesion at this or another site is the most likely cause for discomfort. Otherwise normal abdomen and thorax.</t>
  </si>
  <si>
    <t>This patient may benefit from anti-inflammatories and strict rest.</t>
  </si>
  <si>
    <t>Three radiographs of the abdomen are provided. Serosal detail is markedly poor consistent with moderate effusion. The stomach contains a large amount of ovoid kibble-like soft tissue density. Small bowel are poorly delineated but appear to be diffusely mildly filled with gas and fluid. The colon is obscured. Normal-sized liver and splenic head. The splenic tail is obscured. No osseous abnormalities. Normal caudal thorax.</t>
  </si>
  <si>
    <t>Moderate peritoneal effusion, consider enterocolitis, pancreatitis, metabolic abnormality, or neoplasia. There is no evidence of an obstructive process.</t>
  </si>
  <si>
    <t xml:space="preserve">
1.Formed feces fills the colon._x000D_
2.Small intestines are mildly filled._x000D_
3.The liver is normal size._x000D_
4.There is a mid-ventral abdominal soft tissue mass._x000D_
5.Mid abdominal peritoneal detail is decreased._x000D_
6.The stomach contains a moderate amount of soft tissue opacity._x000D_
7.This mass causes deviation of bowel loops.</t>
  </si>
  <si>
    <t>Please see report from more recent follow-up study (08/29/24), ID: 2746643</t>
  </si>
  <si>
    <t>ABDOMEN (3 radiographs are available for review). Compared to an examination from the day prior._x000D_
_x000D_
- In the mid-abdomen, there remains a segment of what is most likely small intestine that is focally distended with irregular soft-tissue opaque material._x000D_
- There is mild, progressive  small intestinal distention noted._x000D_
- The stomach contains moderate gas-stippled soft-tissue opaque material._x000D_
- The colon contains gas and mild formed fecal material._x000D_
- The liver, spleen, kidneys and urinary bladder are normal._x000D_
- The caudal thorax is normal._x000D_
- There is mild to moderate multifocal spondylosis deformans along the vertebral column, with multiple sites having mineralized material superimposed over the spinal canal in the lumbar regions._x000D_
- Broad-based lipomatous mass along the right sided abdominal body wall.</t>
  </si>
  <si>
    <t>1. There remains irregular soft-tissue material distending a small intestinal segment in the ventral abdomen, and there is a mildly progressive segmental dilation pattern identified. Although it may be partial, I have concerns for small intestinal mechanical obstruction. If ultrasound is readily available, it could be useful to confirm the radiographic suspicion. An additional set of abdominal radiographs with fasting (8-12 h or sooner if clinically indicated) may also be useful to evaluate for progressive or resolving small intestinal distention. Ultimately,  exploratory laparotomy may become necessary in this patient, and can be considered at this time._x000D_
_x000D_
2. Multiple prior/chronic lumbar intervertebral disc extrusions, with spondylosis deformans._x000D_
_x000D_
3. Right sided abdominal body wall lipoma.</t>
  </si>
  <si>
    <t>Three radiographs of the thorax and three views of the abdomen are provided. Images dated 3/14/17 are available for comparison. The cardiac silhouette is normal size and shape. The lungs are clear. There is no pleural effusion and the trachea is normal diameter. Mild soft tissue thickening with a few punctate gas lucencies dorsal to the scapulae is likely recent subcutaneous fluid injection site._x000D_
_x000D_
In the abdomen there is moderate volume of formed feces in the colon. Small intestines are mildly fluid-filled. Small volume soft tissue density in the stomach. There are a few punctate mineral densities in the stomach and distal colon, likely incidental. No severe intestinal distention. Normal size kidneys, spleen, liver. No radiopaque cystic calculi. L2-3 intervertebral foramen is slightly reduced in size. No other lumbar spinal abnormalities. The coxofemoral joints are congruent and patella position is normal.</t>
  </si>
  <si>
    <t>The appearance of L2-3 is suggestive of a protruding/extruded intervertebral disc. Such a lesion at this or another site could be responsible for the discomfort. Gastric contents appears to be normal ingesta. Foreign material is felt to be unlikely in the absence of vomiting. Otherwise normal postprandial abdomen and thorax.</t>
  </si>
  <si>
    <t>Recommend a CBC, blood chemistry profile, and palpation paraspinal discomfort. If there is no spinal pain with palpation, fasted abdominal ultrasound should be considered.</t>
  </si>
  <si>
    <t xml:space="preserve">
1.Abdominal detail is normal._x000D_
2.Gas containing stomach with segmental gas distension involving bowel loops._x000D_
3.Liver size, shape and margin are normal._x000D_
4.Splenic size, shape and margin are normal.</t>
  </si>
  <si>
    <t>8 images of the thorax, abdomen, pelvis, and pelvic limbs are provided for review.  The cardiovascular structures are normal.  There is a moderate bronchial pattern in all lung lobes.  The mediastinal and pleural structures are normal.  The trachea is mildly narrowed in the cervical region.  Abdominal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small.  The remaining abdominal organs are normal.  The coxofemoral joints are congruent.  The patellae are medially located.  No fractures or aggressive osseous lesions are seen.  Osteophytes are seen at the dorsal aspects of the distal intertarsal and tarsometatarsal joints bilaterally.</t>
  </si>
  <si>
    <t>Hepatomegaly=ZZ90= this is a nonspecific finding that may be seen with congestion, vacuolar hepatopathy, inflammation, neoplasia, etc.  Abdominal ultrasound may be helpful in further evaluation if biochemically indicated.  Moderate bronchial pulmonary pattern=ZZ90= consider bronchitis, response to inhaled irritants, response to circulating parasites, eosinophilic bronchopneumopathy.  Airway sampling may be helpful in further evaluation.  Tracheal narrowing suggestive of tracheal collapse.  Bilateral medial patellar luxation.  Bilateral tarsal DJD.</t>
  </si>
  <si>
    <t xml:space="preserve">
1.No abnormal AI findings reported._x000D_
2.There is a small quantity of soft tissue dense ingesta in the stomach._x000D_
3.The intestines are gas and fluid filled, without signs of dilation or obstruction._x000D_
4.No abnormal AI findings reported._x000D_
5.The liver is moderately enlarged._x000D_
6.The shape of the liver is normal, and the margins are smooth.</t>
  </si>
  <si>
    <t>Study:_x000D_
Abdominal radiography: survey radiographs and upper G.I. series: 15 images dated August 29, 2024_x000D_
_x000D_
Findings:_x000D_
In the survey radiographs, the stomach contains a small volume of gas. The small intestines are normal in size, course and content. The colon contains formed fecal material. Evaluation of the upper G.I. series is limited by the lack of orthogonal views. There no filling defects within the stomach are small intestines on the upper G.I. series. There is no small intestinal dilation of the upper G.I. series. Throughout the course of the upper G.I. series, there is progressive gastric emptying and progressive small intestinal filling. The gastric transit time appears within normal limits. The contrast medium has not reached the colon by the end of the examination. The liver is mildly enlarged with smooth margins. The spleen is normal in size and margin. The renal silhouettes are normal in size and contour. There is multifocal vessel wall mineralization in the retro-peritoneal space. There is a punctate mineral opacity in the urinary bladder on all lateral projections. The prostate is mildly enlarged with smooth margins. The included thorax is normal. The T 13 vertebra is transitional with bilateral hypoplastic ribs. The L7 vertebra is also transitional. There is moderate L6-L7 spondylosis deformans. There is mild right stifle periarticular bone formation.</t>
  </si>
  <si>
    <t>1. The gastrointestinal tract is unremarkable.There is no radiographic evidence of gastrointestinal foreign material or small intestinal mechanical obstruction. Abdominal sonography can be considered for further evaluation if clinical signs persist or worsen in spite of medical management._x000D_
2. The retroperitoneal vessel wall mineralization is suggestive of metastatic calcification. Correlate with any hypercalcemia._x000D_
3. The generalized hepatomegaly is nonspecific. Rule out metabolic/vacuolar hepatopathy, hyperplasia, hepatitis or infiltrative neoplasia. Sonography can be considered for further evaluation._x000D_
4. Cystolith. Recommend urinalysis for further evaluation._x000D_
5. Mild prostatomegaly. Rule out intact normal variant, benign prostatic hyperplasia and/or prostatitis._x000D_
6. Mild right stifle osteoarthrosis.</t>
  </si>
  <si>
    <t xml:space="preserve">
1.The spleen is normal._x000D_
2.Cranial abdominal detail is mildly decreased._x000D_
3.The liver is moderately enlarged._x000D_
4.Small intestinal bowel loops are normal in size and distribution and have mainly a soft tissue pattern._x000D_
5.The stomach contains a moderate amount of mixed gas and fluid._x000D_
6.The colon contains gas and fluid.</t>
  </si>
  <si>
    <t>Thorax: There is mild left-sided cardiomegaly.  The pulmonary vasculature and pulmonary parenchyma are unremarkable.  There is no evidence of lymphadenopathy or pleural effusion._x000D_
_x000D_
Abdomen: The liver and spleen are unremarkable.  There are no abnormalities involving the visible portions of the gastrointestinal tract or urinary tract.  Serosal detail is normal._x000D_
_x000D_
Spine: It is difficult to assess the cervical portion of the spine on the lateral view due to obliquity however on the ventrodorsal view there is possible narrowing of intervertebral disc spaces C5-6 and C6-7 there are no abnormalities involving the thoracolumbar spine.  There are no abnormalities involving the pelvis.</t>
  </si>
  <si>
    <t>Left-sided cardiomegaly without evidence of decompensation._x000D_
_x000D_
Possible narrowing of intervertebral disc spaces C5-6 and C6-7.</t>
  </si>
  <si>
    <t>THORAX (2 radiographs available for review)._x000D_
_x000D_
- Moderate to marked left-sided cardiomegaly, characterized by straightening of the caudal cardiac margin and dorsal displacement of the caudal aspect of the thoracic trachea. There are bulges in the region of the left atrium and the left auricle._x000D_
- Right-sided mediastinal shift._x000D_
- Generalized unstructured interstitial pattern throughout the right lung lobes._x000D_
- Pulmonary vasculature remains normal._x000D_
 -Generalized diffuse bronchial pattern._x000D_
- Soft-tissue opaque band dorsally overlying the trachea at the level of the thoracic inlet._x000D_
- Severely enlarged, liver, with rounded margins._x000D_
- Multiple small mineral opacities within the kidneys, bilaterally, with bilaterally irregular renal margins._x000D_
- The stomach has an appearance of aerophagia._x000D_
- Mild multifocal vertebral spondylosis deformans._x000D_
- Bilateral cubital osteoarthritis.</t>
  </si>
  <si>
    <t>1. Moderate to marked left-sided cardiomegaly with overt left atrial and left auricular enlargement, likely compatible with degeneration of the mitral valve. Consider echocardiography, ECG and cardiologist consultation for further assessment._x000D_
_x000D_
2. Right-sided unstructured interstitial pattern with associated rightward mediastinal shift is most likely compatible with pulmonary atelectasis. Atypical cardiogenic pulmonary edema or pneumonia are less likely._x000D_
_x000D_
3. The appearance of the trachea at the level of the thoracic inlet is compatible with tracheal collapse, secondary to chondromalacia._x000D_
_x000D_
4. Diffuse bronchial pattern. Chronic age-related airway degeneration or chronic bronchitis._x000D_
_x000D_
5. Marked hepatomegaly - DDx vacuolar (metabolic) hepatopathy, less likely hepatitis or neoplasia._x000D_
_x000D_
6. Bilateral nephrolithiasis and chronic degenerative renal disease_x000D_
_x000D_
7. Bilateral cubital osteoarthritis and vertebral spondylosis deformans.</t>
  </si>
  <si>
    <t xml:space="preserve">
1.Abdominal detail is normal._x000D_
2.The stomach and intestinal tract are normal._x000D_
3.The liver is mildly enlarged but with a normal shape and smooth margins. No hepatic mass has been identified._x000D_
4.Splenic size, shape and margin are normal.</t>
  </si>
  <si>
    <t>Opposite lateral and VD views of the abdomen are provided._x000D_
_x000D_
The stomach appears empty and contracted. No foreign bodies are seen. Rugal folds are slightly prominent. There is persistent gas in the proximal duodenum, but no obstructive pattern is seen. No intestinal foreign bodies are identified. The rest of the intestine is within normal limits. Serosal detail in the abdomen is normal. The organs are within normal size and shape limits.</t>
  </si>
  <si>
    <t>No foreign bodies or obstructive pattern are identified. Gastroenteritis is suspected. Pancreatitis or toxin ingestion should also be ruled out.</t>
  </si>
  <si>
    <t>Symptomatic therapy and supportive care is recommended._x000D_
CBC and serum chemistry including pancreatic specific lipase is recommended.</t>
  </si>
  <si>
    <t>Six orthogonal survey radiographs of the thorax and abdomen dated 28th August 2024 are available for review. There are no previous radiographs available for comparison. _x000D_
_x000D_
Thorax:_x000D_
Airway findings: The trachea is elevated within the thorax. There is narrowing of the mainstem bronchi. There is widening of the tracheal bifurcation. There is a mild interstitial opacification in the region of the tracheal bifurcation. No nodules or masses are seen._x000D_
_x000D_
Cardiovascular findings: There is a moderate sized smoothly marginated soft tissue opacity contiguous with the caudal dorsal border of the cardiac silhouette. A smoothly marginated soft tissue opacity is superimposed on the caudal cardiac silhouette in the dorsoventral image. The overall cardiac silhouette is enlarged.  The cardiac silhouette occupies 80% of the width of the thoracic volume. The cranial and caudal pulmonary vasculature are normal. The caudal vena cava is enlarged._x000D_
_x000D_
Mediastinum and pleural space: There is mild ventral soft tissue attenuation consistent with mild pleural effusion._x000D_
: _x000D_
Abdomen: The abdomen is severely enlarged. The hepatic silhouette is enlarged, with a lobular appearance. There is near complete loss of serosal detail in the abdomen, with the falciform fat more lucent. The spleen is poorly visible. The kidneys are poorly visible. The intestines are poorly visible, however no segmental dilation is noted. The urinary bladder is poorly visible._x000D_
_x000D_
Musculoskeletal findings: The patient is overweight.</t>
  </si>
  <si>
    <t>1.Mainly left sided cardiomegaly most likely due to mitral valve insufficiency, or a mitral and tricuspid valve insufficiency. The evidence for cardiac insufficiency is equivocal, the interstitial opacification may be due to superimposition of tissues, or due to early cardiogenic pulmonary oedema._x000D_
2. Likely tracheomalacia, dynamic bronchial compression due to the cardiomegaly. This may cause the coughing. Early cardiogenic pulmonary oedema may also cause coughing._x000D_
3. Loss of serosal detail may be due to ascites secondary to right heart failure. Paraneoplastic transudate is possible._x000D_
4. The hepatomegaly may be due to congestion secondary to cardiac insufficiency, however considering size, hepatic neoplasia needs to be excluded. A splenic neoplasm is also possible.</t>
  </si>
  <si>
    <t>Management for left sided congestive heart failure including diuretic therapy with oxygen support as needed. ECG and systemic blood pressure monitoring. Recommend repeat thoracic radiographs after 24-48 hours of therapy, sooner if clinically indicated. Continued monitoring of renal values and urinalysis._x000D_
_x000D_
Once stabilized, an echocardiogram is recommended, as well as an abdominal ultrasound with abdominocentesis of any free fluid, and FNA of any abnormal organs, after normal blood work and coagulation testing.</t>
  </si>
  <si>
    <t xml:space="preserve">
1.Abdominal detail is decreased. DDx: abdominal fluid vs. confluence of soft tissue structures._x000D_
2.Formed feces in the distal colon._x000D_
3.The stomach and small bowel are minimally filled. Multiple small bowel loops are gas filled and have a rigid appearance._x000D_
4.On the lateral projection, the liver is mildly enlarged with rounded margins. The ventral abdominal line is pendulous._x000D_
5.Resource: https://platform.v2.vetology.net/doc/cushings_1_x000D_
6.An increase in soft tissue opacity is noted in the region of the spleen. DDx: superimposition of the spleen and other soft tissue/fluid vs. caudal displacement of the stomach by the hepatomegaly vs. other mass in this region.</t>
  </si>
  <si>
    <t>Hepatomegaly with a pendulous abdomen. Steroid hepatopathy is the top differential if no abdominal fluid is present. If abdominal fluid is present, an inflammatory or neoplastic process are higher on the differential list. This should be correlated with clinical signs and blood work. Increase in soft tissue opacity in the splenic region/mid abdomen. DDx: superimposition of the spleen and fluid vs. mass in this region. Rigid appearing bowel loops suggestive of enteritis and functional ileus.</t>
  </si>
  <si>
    <t>Orthogonal views of the thorax and abdomen and a lateral neck view are provided._x000D_
_x000D_
The heart is within normal size and shape limits. The pulmonary vessels and parenchyma are within normal limits for patient age._x000D_
The spleen is mildly enlarged. The margins are smooth. The other abdominal organs are within normal limits._x000D_
_x000D_
There is irregularity of the endplate contour at the thoracolumbar junction, with a concave shape seen involving the caudal endplate of T13. All the disc spaces from T12 to L3 are narrowed. Marked narrowing is also seen at C3-C4 and C6-C7. L4-L5 is moderately narrowed Moderate spondylosis is present in the caudal cervical and thoracolumbar spine.</t>
  </si>
  <si>
    <t>1) The endplate changes at T13-L1 are concerning for discospondylitis. This appears chronic._x000D_
_x000D_
2) Disc space narrowing at multiple locations in the cervical and thoracolumbar spine is also present consistent with disc degeneration. Clinical relevance would depend on results of neurologic exam._x000D_
_x000D_
3) The cardiovascular structures are within normal limits. No findings concerning for significant cardiac chamber dilation or heart failure are identified. Chronic valve disease is most likely responsible for the murmur._x000D_
_x000D_
4) There is mild splenomegaly. This is suspected to be a reactive change, possibly in response to suspected discospondylitis. Lymphoreticular neoplasia can also result in splenomegaly but is not likely in the absence of more apparent systemic illness.</t>
  </si>
  <si>
    <t>CBC, serum chemistry, urinalysis, and urine culture is recommended. Blood culture should also be considered due to the suspicion of discospondylitis._x000D_
Cross sectional imaging or nuclear scintigraphy would be ideal to help determine if the appearance of endplate destruction is due to active for previous disease.</t>
  </si>
  <si>
    <t xml:space="preserve">
1.No abnormal AI findings reported._x000D_
2.The hepatic serosal margins are mildly rounded and the liver is mildly enlarged._x000D_
3.Equivocal splenomegaly is present._x000D_
4.The stomach contains a small volume of fluid and gas._x000D_
5.The colon is normal._x000D_
6.The small bowel contains fluid and gas. No segmental small bowel dilation is noted.</t>
  </si>
  <si>
    <t>Mild hepatomegaly. Fat deposition, vacuolar hepatopathy or hepatitis are primary considerations. Infiltrative neoplasia, such as lymphoma, is a lesser consideration but not ruled out in an older patient. Equivocal splenomegaly. Consideration would be given to lymphoid hyperplasia secondary to abdominal disease vs. sedation vs. extramedullary hematopoiesis vs. less suspected, tick borne disease or infiltrative neoplasia.</t>
  </si>
  <si>
    <t xml:space="preserve">
Virtual Radiologist Case Difficulty: MODERATE_x000D_
Virtual Radiologist Confidence: MODERATE_x000D_
Abdominal ultrasound could be considered for further evaluation of the mild hepatomegaly and equivocal splenomegaly.</t>
  </si>
  <si>
    <t>Study:_x000D_
Abdominal radiography: right lateral and VD views (two images dated August 28, 2024_x000D_
_x000D_
Findings:_x000D_
The abdominal serosal detail is normal. The stomach contains a small volume of gas. The small intestines are normal in size, course and content. The colon contains gas and poorly formed fecal material with a normal diameter. The liver and spleen are normal in size and margin. The kidneys are normal in size and contour. The urinary bladder is normal in size and opacity. There is no uterine dilation. The included thorax is normal. The osseous structures are unremarkable. There is subcutaneous soft tissue swelling and emphysema along the dorsal thorax presumably from subcutaneous fluid administration.</t>
  </si>
  <si>
    <t xml:space="preserve">
1.The stomach is mildly gas and fluid dilated._x000D_
2.Abdominal detail is normal._x000D_
3.There is gas and mild fluid dilation noted within the descending duodenum._x000D_
4.The liver and spleen are normal for size._x000D_
5.The small bowel contains gas and fluid but is largely normal in diameter throughout._x000D_
6.There is also gas and fluid distention of the cecum and the entire length of the colon._x000D_
7.View GI resource: https://platform.v2.vetology.net/doc/GI_x000D_
8.No abnormal AI findings reported.</t>
  </si>
  <si>
    <t>The gas and fluid distention of the stomach and colon with minimal gas and fluid dilation of the small bowel suggests a paralytic or functional ileus such as from an acute gastroenteritis/colitis from dietary indiscretion, bacterial, viral, or parasitic disease. Pancreatitis or metabolic derangement from non-GI disease could also be considered. There is no evidence of mechanical obstruction of the gastrointestinal tract.</t>
  </si>
  <si>
    <t xml:space="preserve">
Virtual Radiologist Case Difficulty: MODERATE_x000D_
Virtual Radiologist Confidence: MODERATE_x000D_
A fecal examination would be beneficial if a sample can be obtained._x000D_
Medical therapy including an antiemetics and supportive care is considered appropriate in the short-term._x000D_
If the symptoms persist, complete lab work including a CBC, biochemistry profile, urinalysis, and an abdominal ultrasound could be considered.</t>
  </si>
  <si>
    <t>A three view study of the thorax that includes most of the abdomen is provided for interpretation._x000D_
A previous study made 6-19-24 by ELC Veterinary Clinic is also provided for comparison._x000D_
_x000D_
The previous study shows a moderate bronchointerstitial pulmonary pattern. No alveolar infiltrates are seen. There is also borderline liver size, at the upper end of normal range, with moderate rounding of the caudal liver margin._x000D_
_x000D_
The current study shows a similar diffuse moderate bronchointerstitial pattern. No new abnormalities are seen in the thorax=ZZ90= the appearance is unchanged. The cardiovascular structures are within normal limits. No tracheal or laryngeal abnormalities are identified._x000D_
The liver is at the upper end of normal size range, with moderate rounding of the caudal ventral margin similar to the previous radiographs. The other abdominal organs are unremarkable.</t>
  </si>
  <si>
    <t>There is a moderate diffuse bronchointerstitial pattern. The appearance is consistent with bronchitis, most likely chronic bronchitis of and idiopathic or allergic nature. There is a possibility of secondary viral or bacterial infection, but no alveolar infiltrates that would specifically be indicative of infectious causes or pneumonia are identified. No evidence of tracheal collapse or cardiac disease is identified._x000D_
_x000D_
The liver changes are minor, and would be compatible with hyperplastic change. This does not rule out neoplasia. The rest of the abdomen is unremarkable.</t>
  </si>
  <si>
    <t>Considering the difficult control of the cough, bronchoscopy should be considered to assist definitive diagnosis of the pulmonary disease.</t>
  </si>
  <si>
    <t>Six images are provided.  
Images are dated August 26, 2024.
One image is non-diagnostic and contains only noise.
Pulmonary parenchyma: A minimal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A soft tissue band superimposes over the dorsal aspect of the mid-cervical trachea.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mild to moderate volume of soft tissue admixed with gas.   The stomach is within normal limits for size.
The small intestine contains mild gas and fluid or is empty with a subjectively uniform population for size. 
The colon contains mild well-defined soft tissue material and gas.  The colon is within normal limits for size.  
Musculoskeletal: The included musculoskeletal structures are normal.</t>
  </si>
  <si>
    <t xml:space="preserve">1. Minimal diffuse bronchial pulmonary pattern such as from fibrosis from prior disease, age-related changes, infectious/immune-mediated lower airway disease, or unlikely other.
2. Dorsal redundant tracheal membrane with/without underlying dynamic airway disease, or less likely superimposed normal structures.
3. Mild gastric material due to recent meal and/or gastritis/delayed gastric emptying, or unlikely other.  
4. Non-specific small intestinal appearance due to normal variation or non-specific enteritis.
- There is no current evidence of gastrointestinal mechanical ileus.
- Differential diagnoses include dietary indiscretion, toxin ingestion, diet/antibiotic responsive disease, inflammatory bowel disease, pancreatitis, occult systemic disease or unlikely other.
</t>
  </si>
  <si>
    <t>Consider airway sampling, respiratory PCR panel, tracheoscopy/bronchoscopy/fluoroscopy for further evaluation of dynamic airway disease.  Consider routine blood work, GI panel, empirical deworming/fecal analysis  for further evaluation of reported gastrointestinal clinical signs. Abdominal ultrasonography may be contributory.  Monitoring as directed or sooner if clinical signs acutely change, fail to improve or worsen.</t>
  </si>
  <si>
    <t xml:space="preserve">
1.There is a mildly reduced cranial abdominal serosal detail._x000D_
2.The stomach has a normal axis, with subjectively thickened mucosal folding._x000D_
3.The small intestines are mildly dilated with a mixture of gas and fluid, and have a mild turgid appearance._x000D_
4.The ascending, transverse and descending colon contain gradually more formed faeces._x000D_
5.The liver is normal in shape, size and opacity._x000D_
6.The spleen is visible and within normal limits.</t>
  </si>
  <si>
    <t>Study:_x000D_
Abdominal radiography: four images dated August 28, 2024_x000D_
_x000D_
Findings:_x000D_
The serosal detail is normal. The stomach contains a small volume of gas with the pylorus abruptly gas-filled on the left lateral image. The small intestines are gas and fluid-filled and normal in size and course the colon contains gas and a small amount of poorly formed fecal material. The liver extends mildly beyond the costal arch with smooth margins. The spleen is normal in size and margin. The renal silhouettes are normal in size and contour. The urinary bladder is normal in size and opacity. The included thorax is normal. The osseous structures are unremarkable. The patient is of obese body condition.</t>
  </si>
  <si>
    <t>1. The gastrointestinal tract is unremarkable. A cause of the reported hematochezia is not evident. There is no radiographic evidence of gastrointestinal foreign material or small intestinal mechanical obstruction. Abdominal sonography and cPLI testing can be considered for further evaluation if clinical signs persist or worsen in spite of medical management._x000D_
2. The generalized hepatomegaly is nonspecific and should be correlated with any liver enzyme abnormalities. Rule out metabolic/vacuolar hepatopathy, hyperplasia, hepatitis or infiltrative neoplasia. Sonography can be considered for further evaluation if clinically relevant.</t>
  </si>
  <si>
    <t xml:space="preserve">
1.Splenic size, shape and margin are normal._x000D_
2.Abdominal detail is normal._x000D_
3.The liver is mildly enlarged but with a normal shape and smooth margins. No hepatic mass has been identified._x000D_
4.The stomach and intestinal tract are normal.</t>
  </si>
  <si>
    <t>Study:_x000D_
Abdominal radiography: five images dated August 28, 2024_x000D_
_x000D_
Findings:_x000D_
The VD view timestamped 3:54 PM is mislabeled. The serosal detail is adequate. On all three VD projections, gas outlines the lateral margin of an indistinct ovoid soft tissue opacity in the fundic portion of the stomach. The pylorus is probably gas-filled on the left lateral image. The small intestines are gas and fluid-filled and normal in size and course. The colon contains gas and formed fecal material. The liver and spleen are normal in size and margin. The renal silhouettes are normal in size and contour. The urinary bladder is normal in size and opacity. The included thorax is unremarkable. No skeletal abnormalities are present.</t>
  </si>
  <si>
    <t>The ovoid soft tissue opacity in the stomach may represent food, foreign material or and intraluminal mass. The abdomen is otherwise unremarkable. There is no evidence of small intestinal mechanical obstruction.</t>
  </si>
  <si>
    <t>Repeat facet radiography can be considered to monitor for persistence or resolution of the soft tissue material in the stomach. Alternatively, sonography can be considered for further evaluation if clinical signs persist or worsen in spite of medical management.</t>
  </si>
  <si>
    <t xml:space="preserve">
1.The gastric rugae are prominent._x000D_
2.The small intestine is of uniform population size and is diffusely of soft tissue opacity with minimal gas opacity._x000D_
3.No mechanical ileus is visualized._x000D_
4.The colon contains a mild amount of gas caudally and ill-formed heterogenous fecal material cranially._x000D_
5.The gastric lumen contains a mild amount of soft tissue and gas opacity._x000D_
6.The liver and spleen are normal._x000D_
7.No abnormal AI findings reported._x000D_
8.The pyloroduodenal is widened and the proximal duodenum contains a mild amount of air._x000D_
9.There is a focal loss of serosal detail in the cranial abdomen on the VD projection.</t>
  </si>
  <si>
    <t>Nine orthogonal survey radiographs of the thorax and abdomen dated 28th August 2024 are available for review. There are no previous radiographs available for comparison. _x000D_
_x000D_
Thorax: _x000D_
Airway findings: The thorax is well inflated in the images. The trachea has a normal position, shape and size. The carina and tracheal bifurcation are normal. There is a mild diffuse bronchial pattern, with caudal dorsal emphasis. No nodules or masses are seen._x000D_
_x000D_
Cardiovascular findings: The cardiac silhouette is normal in shape, size and margination. The cranial and caudal pulmonary vasculature is normal. The caudal vena cava is normal. The aorta and mainstem pulmonary artery have a normal outline in the vd/dv l image. _x000D_
_x000D_
Mediastinum and pleural space: No significant abnormalities are detected. _x000D_
_x000D_
Musculoskeletal findings:  No significant abnormalities are detected. _x000D_
_x000D_
Abdomen: The hepatic silhouette is normal in size with smooth borders. The spleen is normal in shape, size and position. The kidneys are partially obscured by gastrointestinal contents, but the visible aspect are normal. The stomach contains some gas with some swelling soft tissue opaque material. There is appropriate gas in the pyloric region on the left lateral image. The small intestines are distributed evenly and are within normal limits for shape, size and contents. The ascending, transverse and descending colon have a normal position and contain an increased amount of formed faeces. The urinary bladder is filled. The serosal detail is normal.</t>
  </si>
  <si>
    <t>1.Diffuse mild bronchial pattern: Primary consideration should be given to normal ageing/fibrosis from previous disease. Allergic bronchitis, chronic bacterial /viral bronchitis +/- parasitic bronchitis should also be considered._x000D_
2. The amount of faeces in the colon is still within upper normal limits. A diet, and activity may play a role. It may be secondary to a mild diffuse enteritis, pancreatitis, or other abdominal inflammatory disease.</t>
  </si>
  <si>
    <t>Repeat 3-view post fasting radiographs depending on clinical progression or consider an abdominal ultrasound. Consider empiric management of mild constipation. Consider CPL testing.</t>
  </si>
  <si>
    <t>Eight orthogonal survey radiographs of the thorax and abdomen dated 28 August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enlarged, with rounded ventral borders. The head of the spleen is normal. The tail of the spleen is poorly visible. There is loss of serosal detail in the cranial dorsal aspect of the abdomen. The stomach contains some gas and a mild amount of soft tissue opaque material. The small intestines are at cranially and to the right displaced. They contain a mixture of gas, fluid and soft tissue opaque material. The size and shape is within normal limits. The descending colon contains gas and some formed faeces. The urinary bladder is severely enlarged, causing a mass effect within the abdomen.</t>
  </si>
  <si>
    <t>1. Severely distended urinary bladder: This may be a voluntary retention. Alternatively non-radiopaque cystolithiasis, peripheral neuropathy should be considered._x000D_
2.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 Considering the mildly lobular aspect, neoplasia needs to be excluded._x000D_
3. Loss of serosal detail and potential mass effect in the cranial dorsal abdomen: This may be due to a splenic mass, crowding of the intestines, a localised inflammatory response such as from pancreatitis, hepatitis.</t>
  </si>
  <si>
    <t>Discriminate between neurologic bladder and voluntary retention, and obstruction. Urinalysis and culture is advised._x000D_
A complete abdominal ultrasonographic examination is advised, with a view to FNA of abnormal organs, after complete blood work, and a normal coagulation panel.</t>
  </si>
  <si>
    <t xml:space="preserve">
1.Splenic size, shape and margin are normal._x000D_
2.Abdominal detail is normal._x000D_
3.The liver is mild to moderately enlarged._x000D_
4.The stomach contains small volume gas and scant soft tissue density. The small bowel is diffusely gas- and fluid-filled without segmental small bowel dilation.</t>
  </si>
  <si>
    <t>Study:_x000D_
Thoracic and abdominal radiography: seven images dated August 28, 2024_x000D_
_x000D_
Findings:_x000D_
The cardiac silhouette is normal in size and shape. There is a severe alveolar pattern in the right middle lung lobe and a mild alveolar pattern in the ventral aspect of the right cranial lung lobe and caudal segment of the left cranial lung lobe. The pleural space is normal. There is no apparent intrathoracic lymphadenopathy. The trachea is normal in diameter. There is a small amount of ingested the gastrointestinal tract. The small intestines are normal in size and course. The colon contains formed fecal material. The liver extends mildly beyond the costal arch with smooth margins. The spleen is normal in size and margin. The renal silhouettes are normal in size and contour. The urinary bladder is normal in size and opacity. The osseous structures are unremarkable.</t>
  </si>
  <si>
    <t>1. The multifocal alveolar pattern likely indicates pneumonia. Recommend empiric antibiotic therapy with repeat radiography in 10 to 14 days to monitor for response to treatment._x000D_
2. Postprandial gastrointestinal tract=ZZ90= otherwise, unremarkable abdomen.</t>
  </si>
  <si>
    <t>Study:_x000D_
Abdominal radiography: four images dated August 28, 2024_x000D_
_x000D_
Findings:_x000D_
There mild indistinct wispy soft tissue opacities superimposed with the bowel of the mid-ventral abdomen. The stomach contains a small volume of gas with the pylorus probably gas-filled on the left lateral image. There is heterogeneous soft tissue material with interspersed mineral foci in a small intestinal segment in the mid-ventral abdomen. On the left lateral view, there is an approximately 6 cm ovoid soft tissue opaque structure containing three small gas lucencies in the caudoventral abdomen. This finding is not visible on the right lateral orthogonal views. The colon contains formed fecal material with a normal diameter. The liver and spleen are normal in size and margin. The renal silhouettes are normal in size and contour. The urinary bladder is normal in size and opacity. There is no prostatomegaly. The included thorax is normal. No skeletal abnormalities are present.</t>
  </si>
  <si>
    <t>1. There is concern for a caudal abdominal mass on the right lateral projection. The gas lucencies within the lesion would suggest an intestinal origin. Consider round cell neoplasia, carcinoma or smooth muscle tumor. _x000D_
2. Mild nonspecific peritoneal effusion._x000D_
3. The heterogeneous soft tissue material seen in the small intestinal segment in the mid-ventral abdomen may represent food and/or foreign material.</t>
  </si>
  <si>
    <t>Recommend abdominal sonography plus/minus abdominocentesis and a three view thoracic met check for further evaluation.</t>
  </si>
  <si>
    <t xml:space="preserve">
1.Adequate serosal detail is noted in the peritoneal space._x000D_
2.No overtly dilated loops of bowel are noted._x000D_
3.The colon appears to contain a small amount of formed stool and a mild but variable amount of gas._x000D_
4.The stomach contains a moderate amount of food-like material and a mild amount of gas._x000D_
5.Several small bowel loops also are mildly gas filled._x000D_
6.The spleen and liver appear within normal limits._x000D_
7.No abnormal AI findings reported.</t>
  </si>
  <si>
    <t>The appearance of the GI tract is very nonspecific and consistent with dietary indiscretion, gastroenteritis, dysbiosis, or possibly electrolyte abnormalities. GI appearance could also be a normal post prandial GI tract if no GI signs are present. I do not see definitive radiographic evidence of small intestinal obstruction.</t>
  </si>
  <si>
    <t xml:space="preserve">
Virtual Radiologist Case Difficulty: LOW_x000D_
Virtual Radiologist Confidence: HIGH_x000D_
If GI signs are present. Conservative/ symptomatically medical management appears to be appropriate._x000D_
If clinical signs persist, an abdominal ultrasound could be considered.</t>
  </si>
  <si>
    <t>Three lateral survey radiographs of the vertebral column are available for review. The patient identity is not recorded._x000D_
_x000D_
Vertebral column: The vertebral body alignment is normal. No mineral opaque material is seen within, or dorsal to the intervertebral disc spaces. The intervertebral disc width is within normal limits. The size of the lateral foramina is within normal limits. The thoracic and lumbar vertebral column is normal. No lytic or expansile bony lesions are seen.</t>
  </si>
  <si>
    <t>Normal vertebral column: Occult intervertebral disease such as intervertebral disk protrusion or other spinal cord pathology including embolic (FCE), high velocity disk, inflammatory or neoplastic disease or degenerative myelopathy is not excluded .</t>
  </si>
  <si>
    <t>Full neurologic examination if not already performed. Considering severe proprioceptive deficits and general condition, referral to a neurologist for discussion regarding feasibility of MRI vs. CT of the spine can be considered. Alternatively, consider treating for intervertebral disk disease/arthritis (exercise restriction, NSAIDs with supportive bloodwork, +/- multimodal analgesia).</t>
  </si>
  <si>
    <t>Study:_x000D_
Thoracic/abdominal radiography: three images dated August 28,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The liver extends mildly beyond the costal arch with smooth and sharp margins. The spleen is moderately to severely enlarged coursing along the ventral abdomen with smooth margins. The renal silhouettes are normal in size and contour. The urinary bladder is normal in size and opacity. There is mild right elbow periarticular bone formation. There is narrowing of the T 11-T 12 intervertebral disc space. The patient is of overweight body condition.</t>
  </si>
  <si>
    <t>1. The generalized hepatomegaly is nonspecific. Rule out metabolic/vacuolar hepatopathy, hyperplasia, hepatitis or infiltrative neoplasia. Sonography can be considered for further evaluation._x000D_
2.  The generalized splenomegaly is also nonspecific. Rule out extramedullary hematopoiesis, lymphoid hyperplasia, splenitis, congestion (of higher priority if sedated for radiographs) or infiltrative neoplasia. Sonography can be considered for further evaluation._x000D_
3. Normal thorax. There is no radiographic evidence of cardiopulmonary disease._x000D_
4. Suspect T 11-T 12 intervertebral disc disease._x000D_
4. Mild right elbow osteoarthrosis.</t>
  </si>
  <si>
    <t xml:space="preserve">
1.The liver is moderately enlarged with smooth margins._x000D_
2.The spleen and visualized kidneys are normal size._x000D_
3.Serosal detail is normal._x000D_
4.Small-volume gas is present within the stomach._x000D_
5.Small intestines are diffusely moderately fluid and gas filled._x000D_
6.Formed feces is present in the distal colon.</t>
  </si>
  <si>
    <t>Spine: There is collapse of the intervertebral disc space at L2-3.  The endplates appear sclerotic.  Spondylosis deformans is noted at this level.  Spondylosis deformans is noted at C6-7.  The remainder of the visible portions of the spine are unremarkable._x000D_
_x000D_
Pelvis: There are no abnormalities identified._x000D_
_x000D_
Thorax: The pulmonary parenchyma, cardiac silhouette, and pulmonary vasculature are unremarkable.  There is no evidence of pleural effusion or lymphadenopathy._x000D_
_x000D_
Abdomen: The liver and spleen are unremarkable.  There are no abnormalities involving the visible portions of the gastrointestinal tract or urinary tract.  Serosal detail is normal.</t>
  </si>
  <si>
    <t>Intervertebral disc disease at L2-3._x000D_
_x000D_
Spondylosis deformans at C6-7 and L2-3.</t>
  </si>
  <si>
    <t xml:space="preserve">
1.The liver and spleen are normal size and shape._x000D_
2.Abdominal detail is normal._x000D_
3.The stomach contains small volume gas and equivocal scant soft tissue density._x000D_
4.Small intestines are minimally distended. No evidence of obstruction._x000D_
5.No abnormal AI findings reported.</t>
  </si>
  <si>
    <t>Three orthogonal radiographs of the abdomen dated 28th August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contains some gas, with subjective prominent rugal folds. There is some gas in the duodenum in the ventrodorsal image.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Extra-abdominal findings: No significant abnormalities are detected._x000D_
_x000D_
Included thorax: No significant abnormalities are detected.</t>
  </si>
  <si>
    <t>Normal post-prandial abdomen. The mildly prominent rugal folds may be indicative of a mild gastritis. A (partial) obstructing non-radiopaque gastric foreign body can be present.</t>
  </si>
  <si>
    <t>Observational management is advised. Consider repeat radiographs, abdominal ultrasound, or an upper GI contrast study depending on clinical progression. Empiric management of a mild gastritis may be considered.</t>
  </si>
  <si>
    <t>8 views of the thoracic limbs, throax, abdomen, and pelvis are submitted for review.  No definitive abnormalities are noted in either shoulder.  Moderate to severe periarticular osteophytosis and enthesiopathy is seen associated with both elbow joints.  The distal thoracic limbs and front feet are radiographically unremarkable on both sides._x000D_
There is mild straightening of the caudal cardiac waist, consistent with mild to moderate left atrial enlargement.  The pulmonary vasculature is not enlarged.  Mild bronchointerstitial markings are noted in the lung fields.  No pleural or mediastinal abnormalities are noted._x000D_
In the abdomen, the liver is mildly prominent with rounded serosal margins.  The tail of the spleen is within normal limits.  The renal silhouettes appear normal.  The urinary bladder is moderately distended.  A small mineral opacity calculus is noted at the gravity-dependent portion of the bladder on the lateral view.  The stomach contains a moderate amount of food-like material.  The small bowel and colon are within normal limits.  Serosal detail is adequate._x000D_
Moderate to severe degenerative joint disease in subluxation is seen associated with both coxofemoral joints, worse on the left side.  There is mild medial displacement of the left, and possibly the right patella.  Mild periarticular osteophytosis and enthesiopathy is seen at the distal femur and proximal tibia on both sides.</t>
  </si>
  <si>
    <t>1.  Moderate to severe degenerative joint disease in the bilateral elbows.  This appears to be consistent with the presenting clinical signs._x000D_
2.  Moderate bilateral coxofemoral DJD._x000D_
3.  Mild bilateral stifle DJD and suspected bilateral medial patellar luxation._x000D_
4.  Suspect mild to moderate left-sided cardiomegaly, consistent with stage B2 myxomatous mitral valve disease._x000D_
5.  Mild to moderate hepatomegaly.  Differentials include vacuolar hepatopathy, neoplasia, venous congestion, or inflammation._x000D_
6.  Small cystic calculus.</t>
  </si>
  <si>
    <t>Symptomatic/supportive medical management for generalized osteoarthritis appears appropriate.  Correlation with urinalysis is also recommended.  An echocardiogram and abdominal ultrasound also appear indicated.</t>
  </si>
  <si>
    <t xml:space="preserve">THORAX (3 images) and ABDOMEN (3 images):
Images are dated August 28, 2024.
Prior images dated April 9, 2021 are available.
Pulmonary parenchyma: A minimal to mild diffuse bronchial pattern is present, similar to prior.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equivocally small and occupies the width of approximately 2 intercostal spaces.
Spleen: The spleen is equivocally enlarged in the ventrodorsal image, and positioned in the right cranial abdomen, with smooth, well-defined margins.
Kidneys: The kidneys are partially obscured without obvious enlargement or mineral.  
Retroperitoneum: Retroperitoneal detail is adequate.
Urinary bladder/Urethra: The urinary bladder is not well identified without obvious enlargement or mineral.
Peritoneum: Peritoneal detail is adequate.
Gastrointestinal tract: The stomach contains a moderate to mild gas.  Gastric rugal folds are mildly prominent.  Gas is in the pylorus in the left lateral image.   The stomach is within normal limits for size.
The small intestine contains mild fluid or is empty with a subjectively uniform population for size. 
The colon contains mild fluid and gas or is empty.  The colon is within normal limits for size.  
Musculoskeletal: The nipples are diffusely prominent.  These superimpose over the right and left mid and caudal thorax in the ventrodorsal images.  The multifocal thoracic and caudal vertebral anomalies are unchanged, and consistent with patient breed.  The remaining included musculoskeletal structures are normal.
</t>
  </si>
  <si>
    <t>1. Minimal-mild diffuse bronchial pulmonary pattern, similar to prior.
- Differential diagnoses include infectious/immune-mediated lower airway disease (such as from mycoplasma spp., bordetella spp., parasitism, or inhaled allergen/irritant), fibrosis from prior disease, age-related changes, or unlikely other.
2. Non-specific gastrointestinal tract appearance due to gastritis/enteritis/colitis or unlikely given reported history variation of normal and/or recent bowel movement.
- There is no current evidence of gastrointestinal mechanical ileus.
- Differential diagnoses include dietary indiscretion, toxin ingestion, diet/antibiotic responsive disease, inflammatory bowel disease, pancreatitis, occult systemic disease or unlikely other.
3. Equivocal microhepatia versus artifact from positioning or variation of normal.
- If present, differential diagnoses include portosystemic shunting vessel or unlikely chronic hepatitis/cirrhosis.
4. Equivocal splenomegaly versus artifact from positioning.
- If present, differential diagnoses include extramedullary hematopoiesis, lymphoid hyperplasia, passive congestion from concurrent sedation (if administered), or unlikely other.
5. Prominent nipples progressive from prior are atypical given signalment is reported as "female/spayed".
6. Unchanged thoracic and caudal vertebral anomalies consistent with patient breed.</t>
  </si>
  <si>
    <t>Consider fecal analysis/empirical deworming for further evaluation.  Abdominal ultrasonography may be contributory for further evaluation of the ovarian pedicle/uterine pedicle regions, liver and spleen as well as the gastrointestinal tract.  Computed tomography may also be beneficial for further evaluation of the abdomen.  Empirical therapy and supportive care as needed in the interim.  Monitoring as directed or sooner if clinical signs acutely change, fail to improve or worsen.</t>
  </si>
  <si>
    <t xml:space="preserve">
1.Slight decrease in abdominal detail._x000D_
2.The stomach is minimally distended with fluid and gas._x000D_
3.The small intestine is gas and fluid filled with regions of moderate distension._x000D_
4.The liver and spleen are within normal limits._x000D_
5.No abnormal AI findings reported.</t>
  </si>
  <si>
    <t>The GI tract is most consistent with enteritis/enterocolitis of dietary of inflammatory/infectious etiology. Findings can also be see with functional ileus (such as from acute gastritis or pancreatitis).</t>
  </si>
  <si>
    <t>Two lateral thoracic radiographs dated 28th August 2024 are are available for review. There are no previous radiographs available for comparison. _x000D_
_x000D_
Airway findings: The cervical and thoracic trachea have a normal size, outline and position. The carina, tracheal bifurcation and mainstem bronchi are normal. There is focal alveolar opacification in the cranial left aspect of the pulmonary parenchyma. Some increased bronchial markings and bronchointerstitial opacification is also present in the cranial right aspect of the thorax._x000D_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There is gas in the thoracic oesophagus._x000D_
_x000D_
Musculoskeletal findings: Congenital vertebral abnormalities are present consistent with breed._x000D_
_x000D_
Included abdomen: Cystoliths are removed. The spleen is prominent, likely secondary to sedation.</t>
  </si>
  <si>
    <t>1. Likely mild aspiration pneumonia in the cranioventral lungs. The gas in the thoracic oesophagus may be due to sedation/anaesthesia, or due to reflux oesophagitis.</t>
  </si>
  <si>
    <t>Treat for aspiration ammonia, and repeat radiographs prior to end of therapy. A ventrodorsal image is required for correlation. Monitor for oesophagitis/regurgitation.</t>
  </si>
  <si>
    <t>Six orthogonal radiographs of the abdomen dated 28th August 2024 are available for review. There are no previous radiographs available for comparison. _x000D_
_x000D_
Intra-abdominal findings: There is fine mineralisation in the region of the gallbladder. The hepatic silhouette is normal. The spleen is normal.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small. The serosal detail is normal. An incidental metal wire is present in the caudal ventral aspect of the abdomen._x000D_
_x000D_
Extra-abdominal findings: No significant abnormalities are detected._x000D_
_x000D_
Included thorax: No significant abnormalities are detected.</t>
  </si>
  <si>
    <t>Mineralisation of gallbladder sludge. This may be incidental or indicative of a cholecystitis._x000D_
No evidence of mineral cystoliths. Non radiopaque (urate, cysteine), cystoliths may be present. Alternatively, cystitis (stress induced, polypoid, infectious), urinary bladder neoplasia (transitional cell carcinoma, squamous cell carcinoma) may be considered as alternate differentials.</t>
  </si>
  <si>
    <t>A compression radiograph of the caudal abdomen (wooden spoon), single, or double contrast cystography, abdominal ultrasound, or if indicated, a CT excretory urogram may be considered to further evaluate the urinary bladder. Urinalysis, if not already performed can also be considered.</t>
  </si>
  <si>
    <t xml:space="preserve">
1.The stomach is normal. The small bowel contains gas and fluid but no segmental small bowel dilation is noted._x000D_
2.The liver is mildly enlarged but with smooth margins. No liver mass is noted._x000D_
3.Abdominal detail is normal however the abdomen is mildly pendulous._x000D_
4.Splenic size, shape and margin are normal.</t>
  </si>
  <si>
    <t>Abdomen: The stomach is distended with a moderate amount of heterogeneous soft tissue opacity.  On the ventrodorsal view there is an increase in soft tissue opacity in a mild decrease in serosal detail within the right cranial abdomen.  The liver and spleen are unremarkable.  There are no abnormalities involving the small intestines.  There are no abnormalities involving the visible portions of the urinary tract.</t>
  </si>
  <si>
    <t>The material within the gastric lumen most likely represents normal ingesta however foreign material cannot be ruled out._x000D_
_x000D_
The increase in soft tissue opacity and mild decrease in serosal detail within the right cranial abdomen may be incidental however other pathology such as pancreatitis cannot be ruled out.</t>
  </si>
  <si>
    <t xml:space="preserve">
1.No abnormal AI findings reported._x000D_
2.Soft tissue opacity extending caudoventral to the stomach may represent enlarged liver or splenic tail._x000D_
3.Cranial abdominal detail is decreased. This may be secondary to a confluence of soft tissues and/or regional inflammation or abdominal fluid._x000D_
4.The gastric axis is caudally displaced.</t>
  </si>
  <si>
    <t>Opposite lateral and ventrodorsal abdominal radiographs (3 images) dated August 28, 2024._x000D_
_x000D_
The liver and spleen are unremarkable in size and shape. Both kidneys are normal in size and shape. The urinary bladder is small and fluid opaque. The stomach contains a scant amount of gas. The small intestine is diffusely and mildly distended with gas and has broad ropelike turns in its course to give it a subjectively turgid appearance. The colon the cecum contained gas. Retroperitoneal and peritoneal detail are normal. No regional lymphadenopathy is evident. The T11-T12 has in situ disc mineralization. The included thorax is unremarkable.</t>
  </si>
  <si>
    <t>Non-obstructive gastroenteritis and colitis.  Rule out dietary indiscretion or toxin vs. food allergy/intolerance vs. GI infection vs. flareup of a chronic enteropathy (ex: IBD) vs. less likely systemic/extra GI causes (liver or kidney injury/disease, pancreatitis, endocrine disorder, systemic infection).</t>
  </si>
  <si>
    <t>Supportive care with fluid rehydration, antiemetics, gastroprotectants/omeprazole, antidiarrheal with probiotic, and bland diet.  General health profile (CBC, chemistry, UA, fecal) +/- spec cPL to screen for underlying causes.  Repeat fasted abdominal radiographs or ideally abdominal ultrasound if the patient fails medical management. I</t>
  </si>
  <si>
    <t xml:space="preserve">
1.The stomach contains small-volume amorphous soft tissue opacity and gas. Small intestines are diffusely mildly filled with fluid._x000D_
2.No abnormal AI findings reported._x000D_
3.Serosal detail is normal._x000D_
4.The spleen and liver silhouettes are within normal limits.</t>
  </si>
  <si>
    <t>Study:_x000D_
Thoracic radiography: three images dated August 28, 2024_x000D_
_x000D_
Compared to prior studies dated August 16, 2024 and February 2, 2024_x000D_
_x000D_
Findings:_x000D_
The cardiac silhouette is normal in size/shape and unchanged appearance from the prior examinations. There is a mild generalized bronchointerstitial pulmonary pattern. The left lateral views or expiratory and the lungs are hypoinflated on this image. This leads to a generalized increase in opacity of the pulmonary parenchyma on this image relative to the right lateral and orthogonal views. No alveolar disease is present. There no pulmonary nodules or masses are present. The pleural space is normal. There is widening of the cranial mediastinum without tracheal deviation on the lateral projections likely secondary to breed associated fat deposition. The tracheal diameter is normal. There is no lobar bronchi narrowing. The stomach contains heterogeneous soft tissue material presumed to be ingesta. The included and was otherwise unremarkable. The patient has multiple, breed associated, congenitally normal thoracic vertebrae. There is mild multifocal thoracic and severe lumbosacral spondylosis deformans. There is severe bilateral elbow periarticular bone formation.</t>
  </si>
  <si>
    <t>1. There is no radiographic evidence of pneumonia or heart disease/congestive heart failure._x000D_
2. The diffuse bronchointerstitial pulmonary pattern is a nonspecific finding. This finding could be of no clinical significance secondary to breed normal variation and benign age-related change or may indicate allergic, inflammatory, infectious, inhaled irritant or parasitic bronchitis. Airway sampling plus/minus heartworm testing and Baermann fecal flotation can be considered to further evaluate for lower disease._x000D_
3. Severe bilateral elbow osteoarthrosis.</t>
  </si>
  <si>
    <t xml:space="preserve">
1.The liver is enlarged with suspicion of asymmetric hepatomegaly or a liver mass._x000D_
2.The spleen is mildly enlarged with a focal bulge in the splenic capsular margin._x000D_
3.There is reduced abdominal serosal detail._x000D_
4.The gastrointestinal tract is within normal limits except in a small number of cases where severe gastric distention mimics the finding of hepatomegaly or a liver mass.</t>
  </si>
  <si>
    <t>Four radiographs of the abdomen are provided. Peritoneal and retroperitoneal detail is adequate. The stomach contains small volume gas. Undulating soft tissue density overlying the fundus on the VD views appears to be normal rugal folds. Small intestines are minimally filled. There is scant formed feces in the ascending colon, with gas in the remainder of the colon. No intestinal bunching or plication. Normal-sized kidneys, spleen, liver. The urinary bladder is mildly filled and soft tissue opaque. The prostate is not identified.</t>
  </si>
  <si>
    <t>Normal abdomen. Gastroenteritis secondary to dietary indiscretion is most likely. Small radiolucent gastric foreign material is not definitively ruled out.</t>
  </si>
  <si>
    <t>With the severity of clinical signs, gastroscopy should be considered. If gastroscopy is unavailable and the patient is painful, markedly lethargic, or has hematemesis, exploratory surgery would be appropriate.</t>
  </si>
  <si>
    <t xml:space="preserve">
1.Small intestines are mild to moderately filled with a mixture of fluid and gas._x000D_
2.Small volume gas is present within the stomach._x000D_
3.Serosal detail is normal._x000D_
4.The liver and spleen are normal size._x000D_
5.No abnormal AI findings reported.</t>
  </si>
  <si>
    <t>Suggestion of a small intestinal ileus. This is nonspecific and can be due to sedation, stress, or metabolic abnormality. No obvious complete obstruction is noted. The AI result for this case is most compelling for: ingesta within the stomach. The appearance of the stomach is likely related to normal ingesta in the ABSENCE of GI symptoms. However, if GI symptoms are PRESENT, gastroenteritis secondary to dietary indiscretion or infectious etiology could be considered.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</si>
  <si>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pneumonia._x000D_
Pleural space, mediastinum, diaphragm and thoracic wall within normal limits._x000D_
_x000D_
Abdomen:_x000D_
_x000D_
The stomach is filled with some food._x000D_
Small intestines show  heterogeneous foreign material in the left hemiabdomen medial to the descending colon. Associated there is segmental dilation of the small intestines with one small intestinal bowel loop being abnormally gas distended in the right cranial abdomen with a reversed C shape in the right cranial abdomen. The rest of the abdomen shows abnormal shaped gas lucencies in some of the small intestinal bowel loops abnormally gathered._x000D_
Serosal detail is decreased._x000D_
Liver and spleen are within normal limits of size and smoothly marginated._x000D_
Kidneys and urinary bladder WNL.</t>
  </si>
  <si>
    <t>1) Unremarkable thorax._x000D_
2) Findings consistent with small intestinal mechanical ileus secondary to a solid foreign body/material in the jejunum and likely linear foreign body in som other small intestinal bowel loops. Can not exclude foreign linear material lodge in the pyloric antrum extending into the duodenum._x000D_
3) Decreased serosal detail compatible with scant effusion: rule out exudate vs modified transudate.</t>
  </si>
  <si>
    <t>Abdominal US to confirm this suspicion prior to exploratory laparotomy.</t>
  </si>
  <si>
    <t xml:space="preserve">ABDOMEN (3 images):
Images are dated August 27, 2024.
Additional images dated the same day case 2745051 and previous are available.
Liver: The liver is equivocal small with slight cranial displacement of the gastric axis, and occupies just over 2 intercostal spaces width.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mild volume of gas.   The stomach is within normal limits for size.
The small intestine contains mild gas or is empty with a subjectively uniform population for size. 
The colon contains moderate gas and mild fluid or is empty.  The colon is within normal limits for size.  
Musculoskeletal: Gas and fluid striations are present in enlarged dorsal extra-thoracic soft tissues.  The remaining included musculoskeletal structures are normal.
</t>
  </si>
  <si>
    <t>1. Non-specific gastrointestinal tract appearance such as from enteritis, colitis, or less likely variation of normal given reported history.
- Differential diagnoses for enteritis/colitis include dietary indiscretion, toxin ingestion, diet/antibiotic responsive disease, inflammatory bowel disease, parasitism/primary infectious disease, or pancreatitis or occult systemic disease.
- There is no current evidence of gastrointestinal mechanical ileus.
2. Dorsal extra-thoracic fluid/gas and enlarged soft tissues from recent medication/fluid administration or unlikely occult trauma/cellulitis.
3. Equivocal microhepatia due to occult portosystemic shunt versus variation of normal or unlikely other.</t>
  </si>
  <si>
    <t>Etiology of reported clinical signs and suspected large bowel diarrhea are not definitively identified.  Consider GI panel, fecal analysis/deworming, and routine blood work with bile acid testing for further evaluation.  Empirical therapy and supportive care in the interim as needed.  Consider abdominal ultrasonography for further evaluation if signs fail to improve or worsen.</t>
  </si>
  <si>
    <t xml:space="preserve">Seven images are provided.
Images are dates August 27, 2024.
Prior images dated October 17, 2023 are available.
Bones/Joints:
There is no evidence of intervertebral disc space narrowing, or mineral over the intervertebral foramina.  There is no evidence of intervertebral dorsal articulation osteoarthrosis.
Mildly progressive osteophytes are at the  cranial aspect of the right distal radius, progressive from prior.
Changes for previously suspected right 5th metacarpophalangeal joint osteoarthrosis are not identified in this examination.
The right elbow is normal.  
The right shoulder is normal.
The left elbow is normal.  
Possible ill-defined mineral is superimposed over the left greater tubercle in the lateral image. 
Minimal osteophyte is suspected cranial to the left distal radius.
Unchanged pin-point mineral is axial to the left 5th metacarpophalangeal joint.
There is no evidence of medullary sclerosis, osteolysis, endosteal scalloping, or periosteal proliferation.
Soft tissues:  The included soft tissues are normal.
</t>
  </si>
  <si>
    <t>1. Mild-moderate, progressive right antebrachiocarpal joint osteoarthrosis is suspected.
2. Mild left antebrachiocarpal joint osteoarthrosis is suspected.
3. Possible mineral of the left intertubercular groove due to supraspinatus/infraspinatus enthesopathy or biceps brachii changes, or superimposed normal structures/artifact.
4. Unchanged left 5th metacarpophalangeal joint mineral/osteophyte or unlikely superimposed external mineral or other.
5. No obvious evidence of intervertebral disc disease.</t>
  </si>
  <si>
    <t>Consider orthopedist consultation and empirical therapy/supportive care in the interim as needed.  Monitoring as directed or sooner if clinical signs acutely change, fail to improve or worsen.</t>
  </si>
  <si>
    <t xml:space="preserve">
1.The liver is mildly enlarged, and retains a smooth margin._x000D_
2.Splenic size, shape and margin are normal._x000D_
3.The stomach is normal. The small bowel is diffusely gas- and fluid-filled without segmental small bowel dilation._x000D_
4.Abdominal detail is normal.</t>
  </si>
  <si>
    <t>Seven orthogonal vertebral column radiographs of 27th August 2024 are available for review. There are no previous radiographs available for comparison. _x000D_
_x000D_
Vertebral column: The cervical vertebral body alignment is normal. No mineral opaque material is seen within, or dorsal to the intervertebral disc spaces. The intervertebral disc width is within normal limits. The size of the lateral foramina is within normal limits. Multiple mild congenital vertebral abnormalities consistent with breed are present in the thoracic vertebral column. T4-T7 are either a wedge or butterfly shaped. The intervertebral disc spaces of T3-T4 and T6-T7 and T7-T8 are narrowed, with smooth vertebral endplates._x000D_
There is mineralisation of the nucleus pulposus of T13-L1. This does not protrude beyond the dorsal borders. The lumbar vertebral column is normal. The lumbosacral junction is normal. Both sacroiliac joints are normal. There is mild bilateral osteophyte formation of the cranial acetabular rim. There is good coverage of the femoral head by the acetabuli. The coxofemoral joint spaces are subjectively mildly wide. The patella are in an anatomical position.</t>
  </si>
  <si>
    <t>1. T13-L1 nucleus pulposus mineralisation: This is most like incidental. Occult intervertebral disease such as intervertebral disk protrusion or other spinal cord pathology including embolic (FCE), high velocity disk, inflammatory or neoplastic disease or degenerative myelopathy is not excluded . _x000D_
2. T3-T7 congenital vertebral abnormalities with intervertebral disc narrowing: Considering breed, these are still mild-moderate. Extradural compression from the site cannot be ascertained, but is unlikely._x000D_
3. Mild bilateral coxofemoral osteoarthritis with potential laxity. This is unlikely to be causing the clinical signs.</t>
  </si>
  <si>
    <t>Full neurologic examination if not already performed. If no proprioceptive deficits or patients clinical signs are mild, consider treating for intervertebral disk disease/arthritis (exercise restriction, NSAIDs with supportive bloodwork, +/- multimodal analgesia). If no response to therapy, patient has clear proprioceptive deficits or is worsening in general, referral to a neurologist for discussion regarding feasibility of MRI vs. CT of the spine is advised.</t>
  </si>
  <si>
    <t>SPINE and ABDOMEN (3 total radiographs for review)._x000D_
_x000D_
- The patient has a mildly thin body condition._x000D_
- There is multifocal intervertebral disc space narrowing in the cranial lumbar region along with spondylosis deformans. _x000D_
- L1-2 and T12-13 vertebral body endplates there are poorly-defined regions of stippled lysis._x000D_
- Sacroiliac joints, pelvic bones, coxofemoral joints normal._x000D_
- Included portions of the proximal aspect of the pelvic limbs unremarkable._x000D_
- Peritoneal serosal detail is normal._x000D_
- The stomach is mostly nondistended/empty_x000D_
- The small intestine contains mild multifocal gas and soft-tissue opaque material_x000D_
- The colon contains gas and minimal formed fecal material._x000D_
- The liver, spleen, region of the kidneys and urinary bladder are normal._x000D_
- The caudal thorax is normal</t>
  </si>
  <si>
    <t>1.  I have the impression of active but early or mild discospondylitis (and intervertebral disc degeneration) affecting the cranial lumbar/thoracolumbar region (most obviously L1-2 and T12-13).  Workup for discospondylitis (e.g. blood/urine cultures, antibiotic therapy) may be considered. Consultation with a veterinary neurologist and spinal CT and/or MRI can allow for further characterization.</t>
  </si>
  <si>
    <t xml:space="preserve">THORAX (2 images):
Images are dated August 27, 2024.
N.B. patient age is listed as "0 years, 1 month"
Pulmonary parenchyma: A minimal to mild diffuse bronchial pattern is present.
Pulmonary vasculature: The pulmonary vasculature is subjectively normal in size and tapers in the periphery of the lungs.
Cardiac silhouette: The cardiac silhouette  has a flattened caudodorsal margin in the lateral image.  Rounded increased soft tissue is in the region of the left atrium in the ventrodorsal image.
Mediastinum: The cranial mediastinum is normal.
Trachea: A slight soft tissue band is superimposed over the dorsal trachea in the lateral image.  
Esophagus: The esophagus is not well-identified.
Pleural space: A thin pleural fissure line is present between the left cranial/caudal lung in the ventrodorsal image.
Musculoskeletal: The included musculoskeletal structures are normal.
</t>
  </si>
  <si>
    <t xml:space="preserve">1. Mild left-sided cardiomegaly such as from congenital etiology given patient age versus acquired cardiac disease such as myxomatous mitral valvular disease and insufficiency.
- No current evidence of left-sided congestive heart failure.  
2. Minimal diffuse bronchial pulmonary pattern due to fibrosis from prior disease, age-related changes, or less likely infectious/immune-mediated lower airway disease, or unlikely other.
3. Thin pleural fissure line due to tangential beam artifact/patient positioning or pleural thickening/folding or unlikely scant pleural fluid.
4. Dorsal redundant tracheal membrane with/without underlying dynamic airway disease, versus superimposed normal structures.  </t>
  </si>
  <si>
    <t>Consider echocardiography, ECG and blood pressure for further evaluation.  Routine blood work if not recently performed.  Respiratory PCR panel, airway sampling, and fecal analysis/deworming for further evaluation of the reported coughing may be contributory. Empirical therapy and supportive care in the interim as needed. Monitoring as directed or sooner if clinical signs acutely change, fail to improve or worsen.</t>
  </si>
  <si>
    <t>Orthogonal views of the abdomen are provided:_x000D_
_x000D_
Abdomen:_x000D_
_x000D_
The stomach is empty._x000D_
Small intestines are mildly gas and fluid filled, not overtly distended. No signs of mechanical ileus._x000D_
Serosal detail is preserved._x000D_
Liver and spleen are within normal limits of size and smoothly marginated._x000D_
Kidneys show questionable renoliths vs GI tract mineral particles. _x000D_
Urinary bladder WNL. No signs of cystic/urethral calculi._x000D_
_x000D_
The prostate gland is enlarged protruding in the caudal abdomen pushing the bladder cranially and dorsally displacing the descending colon and mildly compressing its lumen.</t>
  </si>
  <si>
    <t>1) Rule out bilateral renoliths vs GI tract mineral particles. _x000D_
2) Prostatomegaly compatible with BPH. Prostatitis less likely. Prostatic neoplasia unlikely.</t>
  </si>
  <si>
    <t>Consider abdominal US to further evaluate the prostate gland and rest of the urinary tract with renal function test, urinalysis, UPC and urine culture.</t>
  </si>
  <si>
    <t xml:space="preserve">
1.The stomach is gas filled but not pathologically distended. The gastric rugae are prominent or the gastric lumen contains soft tissue material that has the appearance of prominent gastric rugae on the VD projection._x000D_
2.No small intestinal dilation is seen._x000D_
3.No abnormal AI findings reported._x000D_
4.Liver and splenic size, shape and margin are unremarkable._x000D_
5.Serosal detail is mildly decreased on the lateral projection.</t>
  </si>
  <si>
    <t>Gastric contents which may represent residual ingesta or foreign material vs. evidence of low grade gastritis. Decreased abdominal detail on the lateral projection. DDx: juvenile patient vs. underexposure vs. lack of intra-abdominal fat are considered more likely than mesenteric inflammation and/or pathologic abdominal fluid.</t>
  </si>
  <si>
    <t xml:space="preserve">
Virtual Radiologist Case Difficulty: MODERATE_x000D_
Virtual Radiologist Confidence: MODERATE_x000D_
Supportive care and symptomatic therapy is recommended.</t>
  </si>
  <si>
    <t>Orthogonal views of the thorax and abdomen are provided:_x000D_
_x000D_
Thorax:_x000D_
_x000D_
Cardiac silhouette shows a mild enlargement of the left atrium dorsally displacing the carina._x000D_
Pulmonary vessels are within normal limits of size and shape._x000D_
Pulmonary parenchyma shows an ill defined alveolo-interstitial patch caudodorsally located in the right caudal lung lobe.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show bilateral retnoliths._x000D_
Urinary bladder shows questionably tiny cystic calculus.</t>
  </si>
  <si>
    <t>1) Left atrial enlargement with ill defined alveolo-interstitial patch caudodorsally located in the right caudal lung lobe consistent with persistent cariogenic pulmonary edema._x000D_
2) Bilateral renoliths along with questionably tiny cystic calculus.</t>
  </si>
  <si>
    <t>Consider a cardiology consultation with ECG and echocardiogram to help rule in/out an early LSCHF with +/- oxygen supplementation, pro bnp, BP and lasix trial (prior evaluation of the renal function) with recheck radiographs in 12 hours (or sooner if clinically indicated) to re-evaluate and to monitor the response to treatment._x000D_
Consider abdominal US to further evaluate the urinary tract with renal function test, urinalysis, UPC and urine culture.</t>
  </si>
  <si>
    <t xml:space="preserve">
1.There is gas and mild fluid dilation noted within the descending duodenum._x000D_
2.The small bowel contains gas and fluid but is largely normal in diameter throughout._x000D_
3.There is also gas and fluid distention of the cecum and the entire length of the colon._x000D_
4.View GI resource: https://platform.v2.vetology.net/doc/GI_x000D_
5.No abnormal AI findings reported._x000D_
6.The stomach is mildly gas and fluid dilated._x000D_
7.The liver and spleen are normal for size._x000D_
8.Abdominal detail is normal.</t>
  </si>
  <si>
    <t xml:space="preserve">ABDOMEN (4 images):
Images are dated August 27, 2024.
Liver: The liver is subjectively normal in size.
Spleen: The spleen is normal in size with smooth margins and homogeneous soft tissue.
Kidneys: The kidneys are obscured without obvious enlargement or mineral
Retroperitoneum: Retroperitoneal detail is adequate.
Urinary bladder/Urethra: The urinary bladder is obscured without obvious enlargement or mineral
Peritoneum:   Possible fluid striations adjacent to enlarged miod-ventral small intestinal segments in the lateral images.
Gastrointestinal tract: The stomach contains a moderate to large volume of well and ill-defined soft tissue material with gas.  Some of this material is well-defined and tubular in the right lateral image.  Soft tissue material and gas are in the pylorus in the left lateral image.  The presumed descending duodenum contains mild gas. The stomach is within normal limits for size.
Multiple segments of small intestine contains moderate gas, moderate heterogeneous soft tissue material admixed with gas, or fluid in the mid-abdomen. Ill-defined granular mineral is admixed with this material.  Other small intestinal segments in the caudal abdomen contains mild gas and are significantly smaller than the enlarged segments.  In the ventrodorsal image, atypical round soft tissue opacities with a thin rim of gas are present presumed in small intestine at the level of L4.
The colon contains mild heterogeneous soft tissue material and gas.  Minimal; granular mineral is admixed with colon content.  The colon is within normal limits for size.  
Musculoskeletal:  Ill-defined ventral extra-abdominal mineral is presumed to superimpose over the ventral abdomen in the lateral images.  Multifocal thoracolumbar and lumbosacral spondylosis deformans.  Multifocal breed-related thoracic and caudal vertebral anomalies. The remaining included musculoskeletal structures are normal.
</t>
  </si>
  <si>
    <t xml:space="preserve">1. Two populations of small intestine and atypical intestinal content is most suspicious for mechanical ileus.
2. Gastric material is suspicious for foreign material with partial/intermittent outflow tract obstruction, gastritis/delayed emptying, or unlikely recent meal or combination of these.
3. Possible peritoneal fluid versus artifact.
- If present, enteritis and suspected mechanical ileus are the primary differential diagnosis.
4. Extra-abdominal soft tissue mineral from superimposed debris or unlikely calcinosis cutis, systemic calcium:phosphorus imbalance, or other.  </t>
  </si>
  <si>
    <t>Consider abdominal ultrasonography for confirmation of small intestinal mechanical ileus and further evaluation of peritoneal fluid.  Exploratory celiotomy for decompression of small intestine/retrieval of foreign material.  Routine blood work if not recently performed. Empirical therapy and supportive care in the interim as needed.  Monitoring as directed or sooner if clinical signs acutely change, fail to improve or worsen.</t>
  </si>
  <si>
    <t xml:space="preserve">
1.Serosal detail is adequate._x000D_
2.Splenic size, shape and margin are normal._x000D_
3.The small intestines have a diffuse fragmented gas pattern._x000D_
4.Liver size, shape and margin are normal.</t>
  </si>
  <si>
    <t xml:space="preserve">
Virtual Radiologist Case Difficulty: MODERATE_x000D_
Virtual Radiologist Confidence: MODERATE_x000D_
If GI signs are present, withhold food for 12-15 hours followed by repeat abdominal radiographs to assess for retention of the gastric contents. If the gastric contents persist after withholding food or if there is non-productive vomiting, the concern for gastric foreign material increases.</t>
  </si>
  <si>
    <t>Study:_x000D_
Thoracic/abdominal radiography: four images dated August 27, 2024_x000D_
_x000D_
Findings:_x000D_
The T 13 vertebra is transitional with a hypoplastic rib on the right an absent rib on the left. There is no intervertebral disc space or foraminal narrowing. There is no evidence of discospondylitis. There is mild bilateral coxofemoral incongruency. This finding may be overestimated by patient positioning. The cardiac silhouette and pulmonary vasculature are normal in size. The pulmonary parenchyma is unremarkable. The pleural space is normal. There is no intrathoracic lymphadenopathy. The trachea is normal in diameter and course. The stomach and some small intestinal segments contain unstructured heterogeneous/granular soft tissue material presumed to be ingesta. The colon contains formed fecal material. The liver and spleen are normal in size and margin. The kidneys are normal in size and contour. The urinary bladder is normal in size and opacity. No mineral opaque calculi are present in the bladder or region the urethra. There is no prostatomegaly. The patient has a small umbilical hernia containing fat.</t>
  </si>
  <si>
    <t>1. Mild bilateral hip laxity is suspected. This finding is considered unlikely to be a significant source of pain._x000D_
2. The spine is unremarkable. The lack of any apparent intervertebral disc space narrowing does not exclude the possibility of intervertebral disc disease. Neurology consultation and MRI can be considered for further evaluation of the lumbar pain persists or worsens in spite of activity research and pain management._x000D_
3. Normal thorax._x000D_
4. Postprandial gastrointestinal tract=ZZ90= otherwise, unremarkable abdomen.</t>
  </si>
  <si>
    <t>7 images of the abdomen and thoracic limbs are provided for review and compared with the study dated 12/15/2023. Abdominal serosal detail is adequate. The stomach contains a small amount of ingesta. The small intestines are normal in size. Gas and feces are present in the colon. The urinary bladder is small. The left kidney has an irregular lateral border. No mineral is seen in the urinary tract. The remaining abdominal organs are normal. The joint surfaces are smooth and regular. No fractures or aggressive osseous lesions are seen. Mild irregularity is present at the lateral aspect of the right carpus. Mild soft tissue swelling surrounds the right carpus.</t>
  </si>
  <si>
    <t>Mild change of the left kidney consistent with early degenerative changes. Mild right carpal DJD. Mild right carpal effusion may indicate acute soft tissue injury.</t>
  </si>
  <si>
    <t>Correlation with serum biochemistry, SDMA, and urinalysis may be helpful. Consider supportive therapy for presumed soft tissue injury and early osteoarthritis.</t>
  </si>
  <si>
    <t xml:space="preserve">
1.There is a mildly reduced cranial abdominal serosal detail._x000D_
2.The stomach has a normal axis, with subjectively thickened mucosal folding._x000D_
3.The ascending, transverse and descending colon contain gradually more formed faeces._x000D_
4.The liver is normal in shape, size and opacity._x000D_
5.The spleen is visible and within normal limits._x000D_
6.The small intestines are mildly dilated with a mixture of gas and fluid, and have a mild turgid appearance.</t>
  </si>
  <si>
    <t>Orthogonal views of the thorax are provided:_x000D_
_x000D_
Thorax:_x000D_
_x000D_
No signs of tracheal collapse._x000D_
Cardiac silhouette has a normal shape and size._x000D_
Pulmonary vessels are within normal limits of size and shape._x000D_
Pulmonary parenchyma is within normal limits. No evidence of pneumonia nor signs of pulmonary nodules/masses._x000D_
Pleural space, mediastinum, diaphragm and thoracic wall within normal limits._x000D_
_x000D_
Liver extends beyond the costal arch with sharp margins.</t>
  </si>
  <si>
    <t>1) Unremarkable lungs do not exclude a bronchitis of allergic vs inflammatory/infectious or parasitic origin. No signs of pulmonary metastases nor signs of thoracic lymphadenopathy. _x000D_
2) Hepatomegaly: Metabolic vs Vacuolar infiltration vs Hepatic nodular hyperplasia vs Inflammatory vs Toxic vs Neoplastic or a combination of these differentials.</t>
  </si>
  <si>
    <t>Consider empirical treatment for allergic bronchitis evaluating response to treatment._x000D_
Consider abdominal US to further evaluate the liver.</t>
  </si>
  <si>
    <t>Pelvis: There are no abnormalities involving the pelvis or coxofemoral joints.  There are no abnormalities involving the lumbar vertebral column._x000D_
_x000D_
Left stifle: There appears to be mild increase in soft tissue opacity involving the cranial aspect of the stifle joint however this may be augmented by obliquity._x000D_
_x000D_
Right stifle: There is a subtle increase in soft tissue opacity involving the cranial aspect of the stifle joint.</t>
  </si>
  <si>
    <t>Unremarkable pelvis._x000D_
_x000D_
Mild increase in soft tissue opacity involving the cranial aspects of both stifle joints.  This may reflect mild effusion and/or capsular thickening.  Within the left stifle joint this may be artifactual or augmented by obliquity.</t>
  </si>
  <si>
    <t xml:space="preserve">
1.The caudoventral margin of the liver is enlarged and rounded._x000D_
2.The spleen has a slightly rounded, well-defined margin, and is normal in overall size._x000D_
3.The overall peritoneal serosal detail is normal._x000D_
4.The small bowel is diffusely gas- and fluid-filled without segmental small bowel dilation._x000D_
5.The stomach contains granular food material, with a moderately caudally displaced axis.</t>
  </si>
  <si>
    <t>The AI result for this case is most compelling for: hepatomegaly. Fat deposition or steroid induction to the liver are primary considerations. Hepatomegaly due to fat deposition/vacuolar change, metabolic hepatopathy such as Cushing's disease, hepatic venous congestion or hepatitis. In an older patient, infiltrative neoplasia is a consideration. Equivocal splenic changes due to evolving nodular change (extramedullary hematopoiesis, lymphoid hyperplasia or sedation).</t>
  </si>
  <si>
    <t>Study:_x000D_
Abdominal radiography: three images dated August 27, 2024_x000D_
_x000D_
Findings:_x000D_
The abdominal serosal detail is normal. The stomach contains a small volume of gas with the pylorus appropriately gas-filled on the left lateral image. The thickness of the gastric wall rugae is within normal limits for the degree of gastric distention. The small intestines are normal in size, course and content. The colon contains gas and formed fecal material with a normal diameter. The liver and spleen are normal in size and margin. The kidneys are normal in size and contour. On the left lateral view, there multiple indistinct punctate mineral opacities in the left kidney. The urinary bladder is normal in size and opacity. The included thorax is normal. The T 13 vertebra is transitional with bilateral hypoplastic ribs. The L7 vertebra is also transitional. There is narrowing of the L7-S1 intervertebral disc space with moderate spondylosis deformans.</t>
  </si>
  <si>
    <t>1.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2. Left nephrocalcinosis versus nephrolithiasis._x000D_
3. Lumbosacral intervertebral disc disease.</t>
  </si>
  <si>
    <t>Abdomen: There is a moderate amount of heterogeneous soft tissue opacity within the gastric lumen.  There is a moderate amount of fecal material throughout the colon.  The remainder of the abdominal viscera is unremarkable</t>
  </si>
  <si>
    <t>In light of history of anorexia, the heterogeneous soft tissue opacity within the gastric lumen may represent foreign material, trichobezoar, or atony.</t>
  </si>
  <si>
    <t>Abdominal ultrasound may be beneficial for further imaging.</t>
  </si>
  <si>
    <t>Three radiographs of the thorax and three views of the abdomen are provided. There is large volume pleural fluid. The cardiac silhouette is partially visible and does not appear enlarged. Lung opacity is diffusely increased due to poor lung aeration. No mediastinal shift. No rib lesions. Tracheal diameter and position is adequate._x000D_
_x000D_
In the abdomen there is no peritoneal or retroperitoneal effusion. The liver is mildly enlarged. There is a smoothly marginated round 3.4 cm soft tissue opacity lateral to the left kidney on the VD projection, seen in the mid ventral abdomen on the 2nd lateral view. The gastrointestinal tract is mildly filled. No radiopaque urolithiasis. Nondistended uterus is questionably visible on the lateral views. Normal osseous structures. Large fat opaque lipomatous mass measuring at least 10.3 cm in the caudoventral extra-abdominal tissues, incidental.</t>
  </si>
  <si>
    <t>1. Severe pleural effusion. With the chronicity and lack of cardiac enlargement, of neoplasia is of concern. An inflammatory process or metabolic abnormality is next on the differential list._x000D_
2. Ventral left abdominal mass, most likely neoplasia originating from the spleen such as hemangiosarcoma. Lymphoid hyperplasia is given secondary consideration._x000D_
3. Mild hepatomegaly, a nonspecific finding that may be steroid or other hepatopathy, inflammation, or neoplasia.</t>
  </si>
  <si>
    <t>Abdominal ultrasound, pleural fluid evaluation, CBC and blood chemistry profile are recommended. The thorax could also be evaluated with ultrasound prior to pleurocentesis to rule in/out intrathoracic neoplasia.</t>
  </si>
  <si>
    <t xml:space="preserve">
1.The liver is enlarged with suspicion of asymmetric hepatomegaly or a liver mass._x000D_
2.The gastrointestinal tract is within normal limits except in a small number of cases where severe gastric distention mimics the finding of hepatomegaly or a liver mass._x000D_
3.The spleen is mildly enlarged with a focal bulge in the splenic capsular margin._x000D_
4.There is reduced abdominal serosal detail.</t>
  </si>
  <si>
    <t>Study:_x000D_
Abdominal radiography: three images dated August 27, 2024_x000D_
_x000D_
Findings:_x000D_
The abdominal serosal detail is normal. The stomach contains gas with the pylorus probably gas-filled on the left lateral image. The thickness of the gastric wall and rugae is within normal limits for the degree of gastric distention. The small intestines are normal in size, course and content. The colon contains formed fecal material. The liver and spleen are normal in size and margin. The kidneys are normal in size and contour. The urinary bladder is normal in size and opacity. Suture material is present in the mid-ventral abdominal body wall. The included thorax is normal. There is mild L6-L7 spondylosis deformans._x000D_
_x000D_
Human digits are present just outside the primary beam on all three images.</t>
  </si>
  <si>
    <t>Unremarkable abdomen. A cause of abdominal pain is not evident. There is no radiographic evidence of gastrointestinal foreign material or small intestinal mechanical obstruction. Abdominal sonography and cPLI testing can be considered for further evaluation if clinical signs persist or worsen.</t>
  </si>
  <si>
    <t xml:space="preserve">
1.The stomach is mildly gas and fluid filled with dense material. The small bowel is gas and fluid-containing._x000D_
2.The liver and spleen are normal in size with smooth margins._x000D_
3.No abnormal AI findings reported._x000D_
4.Serosal detail is adequate._x000D_
5.There is no evidence of a gastrointestinal obstruction.</t>
  </si>
  <si>
    <t xml:space="preserve">THORAX (4 images) and ABDOMEN (4 images):
Images are dated August 27, 2024.
Cranial abdomen excluded in the ventrodorsal images.  One ventrodorsal image contains "L" labels on both sides of the patient.  
N.B. Patient signalment is listed as "M/intact"
Pulmonary parenchyma: A minimal to mild diffuse bronchial pattern is present.  Motion artifact is present in some images.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enlarged with a partially ill-defined, rounded caudoventral margin, and caudal/dorsal displacement of the gastric axis.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minimally decreased in the cranioventral abdomen with few fluid opaque striations.  
Gastrointestinal tract: The stomach contains a moderate heterogeneous soft tissue admixed with gas.  The stomach is within normal limits for size.
The small intestine contains mild fluid, gas and soft tissue material, or is empty with a subjectively uniform population for size. 
The colon contains mild heterogeneous admixed soft tissue material and gas.  The colon is within normal limits for size.  
Musculoskeletal: Moderate bilateral coxofemoral joint osteoarthrosis is present. Metal vascular clips are in the inguinal soft tissues.  L1-2 spondylosis deformans is present.  The remaining included musculoskeletal structures are normal.
</t>
  </si>
  <si>
    <t>1. Moderate diffuse hepatomegaly due to evolving neoplasia (primary hepatocellular carcinoma versus other), or hepatitis/cholangiohepatitis, or unlikely vacuolar change such as from hyperadrenocorticism, or a combination of these.
2. Minimal peritoneal effusion such as from hepatic malignancy/hepatitis or less likely other.
3. Minimal-mild diffuse bronchial pulmonary pattern due to fibrosis from prior disease, age-related changes, infectious/immune-mediated lower airway disease, or unlikely other.
4.  Moderate bilateral coxofemoral joint osteoarthrosis.</t>
  </si>
  <si>
    <t>Consider coagulation testing and abdominal ultrasonography versus computed tomography for further evaluation of the liver/peritoneum.  Consider abdominocentesis with fluid analysis/cytology and hepatic tissue sampling depending on results. Empirical therapy and supportive care in the interim as needed.  Monitoring as directed or sooner if clinical signs acutely change, fail to improve or worsen.</t>
  </si>
  <si>
    <t>ABDOMEN (3 images):
Images are dated August 27, 2024.
Liver: The liver is subjectively normal in size.
Spleen: The spleen is normal in size with smooth margins and homogeneous soft tissue.
Kidneys: The right kidney is obscured without obvious enlargement or mineral.  The left kidney is normal.  
Retroperitoneum: Retroperitoneal detail is adequate.
Urinary bladder/Urethra: The urinary bladder is normal in size, homogeneous soft tissue, and smoothly marginated.
Peritoneum: Peritoneal detail is adequate.
Gastrointestinal tract: The stomach contains a moderate volume of gas and mild fluid.  Gas is in the pylorus in the left lateral image.  The stomach is within normal limits for size.
The small intestine contains minimal gas, mild fluid or is empty with a subjectively uniform population for size. 
The colon contains minimal soft tissue material and gas or is empty.  The colon is within normal limits for size.  
Musculoskeletal: Breed-specific caudal vertebral anomalies (screw tail).  The remaining included musculoskeletal structures are normal.
(amended on 08/27/2024 14:18)
The T13 vertebra is transitional with a hypoplastic right rib.  Mild bilateral coxofemoral joint osteoarthrosis is suspected with a rim of osteophytes at the junction of the femoral heads/necks.</t>
  </si>
  <si>
    <t>1. Non-specific gastrointestinal tract appearance such as from gastritis, enteritis, colitis, or given reported history unlikely variation of normal.
- Differential diagnoses for gastritis/enteritis/colitis include dietary indiscretion, toxin ingestion, diet/antibiotic responsive disease, inflammatory bowel disease, parasitism/primary infectious disease, or pancreatitis or occult systemic disease.
- There is no current evidence of small intestinal mechanical ileus.</t>
  </si>
  <si>
    <t>Empirical therapy and supportive care in the interim as needed.  Given reported history fo prior foreign material ingestion, consider recheck radiographs after 8-12g hours of empirical therapy/fasting versus ultrasonography, especially if signs fail to improve or worsen with empirical therapy.  Consider routine blood work, GI panel and fecal analysis/deworming if not recently performed, especially if additional imaging is inconclusive.</t>
  </si>
  <si>
    <t xml:space="preserve">
1.The liver and spleen appear within normal limits._x000D_
2.Serosal detail is normal._x000D_
3.Small intestines are diffusely mild to moderately filled with fluid and gas. No convincing obstruction._x000D_
4.The stomach contains small volume fluid and gas._x000D_
5.No abnormal AI findings reported.</t>
  </si>
  <si>
    <t>The AI result for this case is most compelling for: Gastroenteritis or pancreatitis secondary to dietary indiscretion, or infection/inflammatory process. There is no evidence of an obstructive process.</t>
  </si>
  <si>
    <t xml:space="preserve">
Virtual Radiologist Case Difficulty: LOW_x000D_
Virtual Radiologist Confidence: HIGH_x000D_
In a vomiting or anorexic patient, supportive care and therapy for gastroenteritis/pancretitis are recommended. If the symptoms persist, repeat abdominal radiographs following fasting (access to water or IV fluid therapy is recommended). If material persists in the stomach, concern for gastric foreign material increases and an abdominal ultrasound, positive contrast gastrogram, or endoscopy could be considered to assess for gastric foreign material.</t>
  </si>
  <si>
    <t>Four images are provided.
Images are dated August 27, 2024.
Prior images dated May 13, 2024 (2657522) and January 1, 2021 are available.
N.B. Patient signalment is listed as "FS", contradictory to reported history.
Pulmonary parenchyma:  Motion artifact is present.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Small tubular structures are suspected over the urinary bladder and between the colon/urinary bladder in the lateral image.
Peritoneum: Peritoneal detail is adequate.
Gastrointestinal tract: The stomach contains a moderate to large volume of gas.   The stomach is within normal limits for size.
The small intestine contains mild to moderate fluid, mild gas, or is empty with a subjectively uniform population for size. 
The colon contains moderate soft tissue material and gas. Minimal granular mineral is admixed with colon content. The colon is within normal limits for size.  
Musculoskeletal: Unchanged caudal vertebral anomalies due to breed.  The remaining included musculoskeletal structures are normal.</t>
  </si>
  <si>
    <t>1. Suspected small uterine horns versus superimposed small intestine in the caudal abdomen.
- If open pyometra is present, uterine enlargement in radiographs does not always manifest.
2. Non-specific gastrointestinal tract appearance such as from gastritis, enteritis, colitis, or variation of normal.
- There is no current evidence of gastrointestinal mechanical ileus.
- Differential diagnoses include dietary indiscretion (such as from passing granular colonic mineral), toxin ingestion, diet/antibiotic responsive disease, inflammatory bowel disease, pancreatitis, occult systemic disease or unlikely other.
3. Similar mild diffuse bronchial pulmonary pattern due to fibrosis from prior disease, age-related changes, infectious/immune-mediated lower airway disease (such as from mycoplasma spp., bordetella spp., parasitism, or inhaled allergen/irritant), or unlikely other.</t>
  </si>
  <si>
    <t>Consider abdominal ultrasonography for further evaluation of the uterus, versus celiotomy and ovariohysterectomy given signs consistent with chronic open pyometra.  Consider fecal analysis/empirical deworming and routine blood work for further evaluation.  Empirical therapy and supportive care as needed in the interim.  Monitoring with repeat radiographs if signs fail to improve or worsen, or if clinical signs manifest.</t>
  </si>
  <si>
    <t xml:space="preserve">
1.Abdominal detail is normal._x000D_
2.Mild microhepatia is present with cranial positioning to the gastric axis._x000D_
3.Resouce: https://platform.v2.vetology.net/doc/liver_disease_x000D_
4.The stomach contains a mild to moderate volume of gas and soft tissue material. The gastric axis is cranially positioned due to the microhepatia._x000D_
5.The small bowel is diffusely gas- and fluid-filled without segmental small bowel dilation._x000D_
6.The colon contains mild to moderate heterogeneous soft tissue material and gas._x000D_
7.Splenic size, shape and margin are normal.</t>
  </si>
  <si>
    <t>Five orthogonal radiographs of the thoracal lumbar vertebral column dated 27th August 2024 are available for review. There are no previous radiographs available for comparison. _x000D_
_x000D_
Vertebral column: The cervical vertebral column is obliqued on all images limiting interpretation. There are multiple mild thoracic vertebral abnormalities from T4-T12 including some wedge vertebrae, butterfly vertebrae. The intervertebral disc spaces are within normal limits are mildly narrowed, with smooth vertebral endplates. There is mild dorsal narrowing of the intervertebral disc space at T12-T13, however obliquity is present in the image. The T13-L1 intervertebral disc space is minimally narrowed, with some irregularity of the caudal vertebral and plate of T13, however obliquity is present.</t>
  </si>
  <si>
    <t>1. Thoracolumbar mild intervertebral disc disease: This is unlikely associated with extradural compression. Occult intervertebral disease such as intervertebral disk protrusion or other spinal cord pathology including embolic (FCE), high velocity disk, inflammatory or neoplastic disease or degenerative myelopathy is not excluded ._x000D_
2. Mid thoracic mild congenital vertebral abnormalities consistent with breed. This is unlikely to be causing the clinical signs.</t>
  </si>
  <si>
    <t xml:space="preserve">
1.The liver and spleen are normal in size._x000D_
2.No abnormal AI findings reported._x000D_
3.No abnormal AI findings reported._x000D_
4.The stomach is minimally distended with minimal heterogeneous material._x000D_
5.The small intestine is both fluid and gas filled and mildly distended, but no obstructive lesion is identified._x000D_
6.There is gas and some fecal material within the colon.</t>
  </si>
  <si>
    <t>The AI result for this case is most compelling for: no significant abdominal abnormalities.</t>
  </si>
  <si>
    <t>Study:_x000D_
Thoracic and abdominal radiography: six images dated August 27, 2024_x000D_
_x000D_
Findings:_x000D_
The cardiac silhouette is normal in size and shape. The pulmonary parenchyma is unremarkable. No nodules or masses are present. There is a thin pleural fissure line in the left fifth intercostal space on the VD view. There is no intrathoracic lymphadenopathy. The trachea is normal in diameter. There is a large (at least 10 cm) soft tissue opaque mass in the mid-ventral abdomen, confluent with the spleen. There is moderate peritoneal effusion. The stomach contains a small volume of gas. The small intestines are normal in size and content. The colon contains poorly formed fecal material. The liver is normal in size and margin. The renal silhouettes are normal in size and contour. The urinary bladder is normal in size and opacity. The osseous structures are unremarkable.</t>
  </si>
  <si>
    <t>1. There is no radiographic evidence of pulmonary metastatic disease._x000D_
2. The thin pleural fissure line is seen on the VD view may indicate incidental tangential visualization, pleural thickening or, less likely, trace nonspecific pleural effusion._x000D_
3. Splenic mass with moderate peritoneal effusion, concerning for a hemoabdomen. Rule out neoplasia, hyperplasia or hematoma.</t>
  </si>
  <si>
    <t>If not already performed, abdominal sonography can be considered for further staging prior to splenectomy.</t>
  </si>
  <si>
    <t xml:space="preserve">
1.The liver is at the upper end of normal size range with smooth margins._x000D_
2.There is ill-defined mass effect involving the ventral mid-abdomen._x000D_
3.Serosal detail around the mass effect is mildly reduced._x000D_
4.No segmental small bowel dilation is noted.</t>
  </si>
  <si>
    <t>Abdomen: There is a segment of bowel within the right cranial abdomen that has a mild heterogeneous soft tissue opacity within its lumen.  There is no evidence of dilation of the small intestines.  There is no evidence of a gastric foreign body or obstruction.  The remainder of the abdomen is unremarkable.</t>
  </si>
  <si>
    <t>The segment of bowel within the right cranial abdomen with heterogeneous soft tissue opacity within his lumen most likely represents the colon however a jejunal origin cannot be ruled out.</t>
  </si>
  <si>
    <t>If clinical signs persist, consider further diagnostic imaging such as an upper GI series or abdominal ultrasound.</t>
  </si>
  <si>
    <t xml:space="preserve">
1.There is a moderate amount of fluid and gas within the stomach._x000D_
2.The hepatic silhouette is normal._x000D_
3.The spleen is normal for size, shape and margin._x000D_
4.Abdominal detail is normal._x000D_
5.The stomach has a normal axis._x000D_
6.The small intestines are homogenously fluid-filled, and mildly dilated._x000D_
7.The colon is gas-filled._x000D_
8.The descending colon contains mainly fluid opaque material.</t>
  </si>
  <si>
    <t>Thorax: There is a mild bronchial pattern.  The remainder of the pulmonary parenchyma is unremarkable.  The cardiac silhouette and pulmonary vasculature are unremarkable.  There is no evidence of pleural effusion or lymphadenopathy._x000D_
_x000D_
Abdomen: There is a moderate amount of heterogeneous soft tissue opacity within the gastric lumen consistent with normal ingesta.  The remainder of the gastrointestinal tract is unremarkable.  The liver and spleen are unremarkable.  The urinary tract is unremarkable.  Serosal detail is normal.  There are regions of punctate mineralization of within the intervertebral disc bases at T13-L1, L5-6, and L6-7.</t>
  </si>
  <si>
    <t>Mild bronchial pattern which may be age-related or bronchitis._x000D_
_x000D_
Suspect small regions of intervertebral disc mineralization at T13-L1, L5-6, L6-7.</t>
  </si>
  <si>
    <t xml:space="preserve">
1.In the abdomen there is no effusion._x000D_
2.No gastrointestinal abnormalities are appreciated. No signs of obstruction._x000D_
3.The liver and spleen are normal size with smooth margins._x000D_
4.No abnormal AI findings reported.</t>
  </si>
  <si>
    <t>Three radiographs of the abdomen are provided. Images dated 8/18/22 are available for comparison. Peritoneal and retroperitoneal serosal detail is normal. There is small volume gas in the stomach and small bowel. Scant formed feces in the distal colon. No radiopaque foreign material, severe intestinal distention, or intestinal bunching is present. The kidneys, liver, and spleen are normal size and shape. No significant osseous abnormalities. Normal caudal thorax.</t>
  </si>
  <si>
    <t>Normal abdomen. Gastroenteritis secondary to dietary indiscretion is most likely. There is no evidence of an obstructive process.</t>
  </si>
  <si>
    <t>If the patient does not improve with supportive care, options include strictly fasting abdominal ultrasound or an upper GI series.</t>
  </si>
  <si>
    <t xml:space="preserve">
1.Abdominal detail is normal._x000D_
2.Liver size, shape and margin are normal._x000D_
3.Splenic size, shape and margin are normal._x000D_
4.The stomach contains gas and a minimal amount of fluid/soft tissue material. The stomach is minimally distended._x000D_
5.The small bowel contains small volumes of gas and fluid. No segmental small bowel dilation is noted._x000D_
6.There is gas within the colon.</t>
  </si>
  <si>
    <t>Orthogonal views of the thorax are provided:_x000D_
_x000D_
Thorax:_x000D_
_x000D_
There is cervical tracheal collapse more marked at the thoracic inlet._x000D_
Cardiac silhouette shows a mild enlargement of the left atrium dorsally displacing the carina._x000D_
Pulmonary vessels are within normal limits of size and shape._x000D_
Pulmonary parenchyma shows an equivocal alveolar patch in the caudal segment of the left cranial lung lobe._x000D_
Pleural space, mediastinum, diaphragm and thoracic wall within normal limits.</t>
  </si>
  <si>
    <t>1) Findings consistent with cervical tracheal collapse._x000D_
2) Left atrial enlargement secondary to chronic mitral endocardiosis without signs of CHF._x000D_
3) Equivocal alveolar patch in the caudal segment of the left cranial lung lobe. Rule out aspiration pneumonia vs position lung atelectasis.</t>
  </si>
  <si>
    <t>Consider a cardiology consultation with ECG and echocardiogram followed by empirical treatment for pneumonia with follow up radiographs every 48/72 hours to evaluate response to treatment. _x000D_
Consider also an abdominal Us to further evaluate causes for weight loss and lethargy.</t>
  </si>
  <si>
    <t xml:space="preserve">
1.The liver is mildly enlarged._x000D_
2.The spleen is normal._x000D_
3.Cranial abdominal detail is mildly decreased._x000D_
4.Resource: https://platform.v2.vetology.net/doc/pancreatitis_x000D_
5.The stomach contains a moderate amount of mixed gas and fluid._x000D_
6.Small intestinal bowel loops are normal in size and distribution and have mainly a soft tissue pattern._x000D_
7.The colon contains gas and fluid._x000D_
8.Resource: https://platform.v2.vetology.net/doc/gi_protectants_1</t>
  </si>
  <si>
    <t xml:space="preserve">ABDOMEN (5 images):
Images are dated August 27, 2024.
Liver: The liver is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The prostate gland is enlarged, homogeneous soft tissue and smoothly marginated.
Peritoneum: Peritoneal detail is adequate.
Gastrointestinal tract: The stomach contains a moderate volume of gas.  Gas is in the pylorus in the left lateral image.  The stomach is within normal limits for size.  The descending duodenum is normal in size and contains mild gas.
The small intestine contains mild fluid and minimal gas or is empty with a subjectively uniform population for size. 
The colon contains moderate admixed soft tissue material and gas.  The colon is within normal limits for size.  
The suspected cecum is prominent in the right mid abdomen and contains moderate fluid and gas.  
Musculoskeletal: The included musculoskeletal structures are normal.
</t>
  </si>
  <si>
    <t>1. Non-specific gastrointestinal tract appearance such as from enteritis, colitis, or given reported clinical signs, unlikely individual variation of normal.
- Differential diagnoses include dietary indiscretion, toxin ingestion, diet/antibiotic responsive disease, inflammatory bowel disease, pancreatitis, occult systemic disease or unlikely other.
2. Presumed prominent cecum such as from artifact/variation of normal and/or typhlitis, or less likely other.</t>
  </si>
  <si>
    <t xml:space="preserve">Consider GI panel, fecal analysis/deworming, and routine blood work for further evaluation.  Abdominal ultrasonography may be contributory for further evluation of the cecum/colon and small intestine, especially if clinical signs fail to improve, change or worsen with empirical therapy/supportive care in the interim as needed.  Monitoring as directed, or sooner if clinical signs fail to improve or worsen in the face of empirical therapy.  </t>
  </si>
  <si>
    <t xml:space="preserve">
1.The spleen is smoothly marginated and prominent to mildly enlarged._x000D_
2.Serosal detail is normal._x000D_
3.The stomach contains gas, fluid, and a small amount of amorphous soft tissue opaque material._x000D_
4.The small intestines contain gas and fluid and are normal in diameter. No findings to indicate obstruction._x000D_
5.The liver is normal in size with smooth serosal margins.</t>
  </si>
  <si>
    <t>The appearance of the stomach is likely related to normal ingesta in the absence of GI symptoms. However, if GI symptoms are present, gastroenteritis secondary to dietary indiscretion or infectious etiology could be considered. Mild splenomegaly. This may represent a common normal variation or can be associated with sedation and general anesthesia. Less likely etiologies include lymphoid hyperplasia, extramedullary hematopoiesis, or infiltrative neoplasia in an older patient.</t>
  </si>
  <si>
    <t xml:space="preserve">
Virtual Radiologist Case Difficulty: LOW_x000D_
Virtual Radiologist Confidence: HIGH_x000D_
Depending on clinical signs and blood work, further evaluation of the spleen with abdominal ultrasound may be warranted._x000D_
If GI signs are present, supportive and symptomatic therapy for gastroenteritis can be considered. In the absence of improvement, repeat radiographs to assess for passage of gastric contents or obstruction, and abdominal ultrasound could be performed for further evaluation.</t>
  </si>
  <si>
    <t xml:space="preserve">ABDOMEN (2 images):
Images are dated August 27, 2024.
Prior images of the thorax dated February 24, 2024 are available.  
Liver: The liver is subjectively normal in size.
Spleen: The spleen is normal in size with smooth margins and homogeneous soft tissue.
Kidneys: The kidneys are partially obscured without obvious enlargement or mineral.
Retroperitoneum: Retroperitoneal detail is adequate.
Urinary bladder/Urethra: The urinary bladder is normal in size, homogeneous soft tissue, and smoothly marginated.
Peritoneum: Peritoneal detail is adequate.
Gastrointestinal tract: The stomach contains a mild to moderate volume of gas.   Gastric rugal folds are minimal to mildly prominent.  The stomach is within normal limits for size.
The small intestine contains moderate gas and mild admixed soft tissue material, with a subjectively uniform population for size. 
The colon contains mild heterogeneous soft tissue material and gas.  The colon is within normal limits for size.  
Musculoskeletal: The included musculoskeletal structures are normal.
</t>
  </si>
  <si>
    <t>1. Non-specific small intestinal and colon appearance such as from enteritis, colitis, or given reported history, unlikely variation of normal.
- Differential diagnoses for enteritis/colitis include dietary indiscretion (especially given reported history), toxin ingestion, diet/antibiotic responsive disease, inflammatory bowel disease, parasitism/primary infectious disease, or pancreatitis or occult systemic disease.
- There is no current evidence of gastrointestinal mechanical ileus.
2. Minimal to mild prominent gastric rugal folds such as from non-specific gastritis versus normal variation.</t>
  </si>
  <si>
    <t>Consider GI panel, fecal analysis/deworming, and routine blood work for further evaluation.  Empirical therapy and supportive care in the interim as needed.  Monitoring as directed or sooner if clinical signs acutely change, fail to improve or worsen.</t>
  </si>
  <si>
    <t>ABDOMEN (3 radiographs for review). _x000D_
_x000D_
- Multiple open physes are present, which is consistent with the patient age._x000D_
- Peritoneal serosal detail is mildly reduced which can be normal for the patient clinical age, _x000D_
- The stomach contains mild gas and gas-stippled soft-tissue opaque material_x000D_
- The small intestine is mildly to moderately multifocally distended with a mixture of gas and heterogeneous soft tissue opaque material_x000D_
- The cecum is distended with gas._x000D_
- The colon contains gas, soft-tissue/fluid and poor be formed fecal material._x000D_
- The liver, spleen, region of the kidneys and urinary bladder are of limited assessment due to border effacement, however no distinct abnormalities are noted._x000D_
- The caudal thorax is normal_x000D_
- No musculoskeletal abnormalities are noted.</t>
  </si>
  <si>
    <t>1.  There is no distinct radiographic evidence of gastrointestinal mechanical obstruction.  Although there are no obvious gastrointestinal rock foreign bodies, the material throughout the gastrointestinal tract is nonspecific (thus can be due to dietary indiscretion) and the appearance of the stomach, small intestine and colon can be compatible with a non-specific generalized functional ileus (e.g. gastroenterocolitis). _x000D_
_x000D_
Consider recheck abdominal radiographs after continuation of medical management and/or abdominal ultrasonography for further evaluation, if clinically indicated.</t>
  </si>
  <si>
    <t xml:space="preserve">
1.No abnormal AI findings reported._x000D_
2.Small intestines are diffusely mildly filled with gas and fluid._x000D_
3.There is small-volume gas and soft tissue density present within the stomach._x000D_
4.Serosal detail is normal._x000D_
5.The liver and spleen appear within normal limits for size._x000D_
6.Formed feces is present in the descending colon.</t>
  </si>
  <si>
    <t>Three radiographs of the abdomen are provided. The stomach contains a small volume gas and a few small metal opaque fragments measuring up to 0.6 cm. On the VD projection there is a triangular 3.4 x 1.9 cm soft tissue opacity within the stomach. There are a few loops of minimally filled small intestine, and several loops that are moderately dilated with a mixture of fluid and gas. There is a 4.5 x 2.0 cm J-shaped mineral opacity in a loop of small bowel in the caudoventral abdomen. Formed feces is seen in the distal colon. Mid abdominal detail is reduced. Normal-sized liver, spleen. The kidneys are obscured. No radiopaque urolithiasis. Normal caudal thorax.</t>
  </si>
  <si>
    <t>Small intestinal foreign object, of a size that may not be able to pass successfully. There is segmental small intestinal ileus with both minimal and moderate dilation consistent with partial obstruction. Probable scant peritoneal effusion, likely inflammatory. The angular mineral density in the stomach on the VD projection is likely contributing to clinical signs. Metal debris in the stomach may be administered medications, and is of uncertain significance.</t>
  </si>
  <si>
    <t>With the chronicity of clinical signs, size of the foreign material, and intestinal distention, surgical intervention is recommended.</t>
  </si>
  <si>
    <t xml:space="preserve">
1.The liver and spleen are normal size and contour._x000D_
2.The stomach contains a moderate amount of gas and scant amorphous soft tissue density._x000D_
3.There are a few loops of minimally distended small bowel, and several loops that are dilated with gas, fluid, and stippled soft tissue density._x000D_
4.No abnormal AI findings reported._x000D_
5.No abnormal AI findings reported.</t>
  </si>
  <si>
    <t>The appearance of the stomach and GI tract is likely related to normal ingesta in the absence of GI symptoms. However, if GI symptoms are present, gastroenteritis secondary to dietary indiscretion or infectious etiology could be considered. In addition, findings can be seen with segmental small intestinal ileus consistent or partial obstruction in the correct clinical setting.</t>
  </si>
  <si>
    <t xml:space="preserve">
Virtual Radiologist Case Difficulty: MODERATE_x000D_
Virtual Radiologist Confidence: MODERATE_x000D_
In a vomiting or anorexic patient, supportive care and therapy for gastroenteritis are recommended. If the symptoms persist, repeat abdominal radiographs following fasting, access to water or IV fluid therapy is recommended. If material persists in the stomach, concern for gastric foreign material increases and an abdominal ultrasound, positive contrast gastrogram, or endoscopy could be considered to assess for gastric foreign material.</t>
  </si>
  <si>
    <t>ABDOMEN (8 images):
Images are dated August 27, 2024.
Liver: The liver is normal in size and shape.
Spleen: The spleen is mildly enlarged in the mid-ventral abdomen in the left lateral image.  The spleen has smooth, well-defined margins.  
Kidneys: The right kidney is obscured without obvious enlargement or mineral.  The left kidney is normal.  
Retroperitoneum: Retroperitoneal detail is adequate.
Urinary bladder/Urethra: The urinary bladder is small in size, homogeneous soft tissue, and smoothly marginated.
Peritoneum: Peritoneal detail is adequate.
Gastrointestinal tract: The stomach contains moderate gas and fluid.   The stomach is within normal limits for size.
In the right lateral images, a segment of small intestine in the mid-caudal abdomen contains a rectangular opacity with central lucent region.  In the left lateral images, segments of small intestine in the mid-caudal abdomen are moderately distended with gas.  In the right lateral image, an atypical tubular soft tissue to mineral opacity is suspected in small intestine in the caudoventral abdomen.  Some small intestinal segments are small and contains mild gas or fluid.
The colon contains minimal soft tissue material and gas, or is empty.  The colon is within normal limits for size.  
Musculoskeletal: L6-7 spondylosis deformans is present.  The remaining included musculoskeletal structures are normal.</t>
  </si>
  <si>
    <t>1. Suspicious for small intestinal foreign material and mechanical ileus, or unlikely enteritis/functional ileus from dietary indiscretion and passing foreign material.
2. Mild splenomegaly due to breed (german shepherd dog) and/or passive congestion from sedation (if administered), extramedullary hematopoiesis, lymphoid hyperplasia, or unlikely splenitis or other.</t>
  </si>
  <si>
    <t>Consider exploratory celiotomy and retrieval of small intestinal material. Alternatively, consider empirical therapy/supportive care and repeat radiographs/abdominal ultrasonography to monitor for passage of this material - and celiotomy if persistent or worsening findings are identified.  Empirical therapy and supportive care in the interim as needed.  Monitoring as directed, or sooner if clinical signs acutely change, fail to improve or worsen.</t>
  </si>
  <si>
    <t xml:space="preserve">
1.Splenic size is at the upper limits of normal to mildly enlarged._x000D_
2.There are multiple loops of mildly gas distended small intestine._x000D_
3.The stomach appears empty._x000D_
4.Cranial abdominal detail is mildly decreased however this is attributed to superimposed soft tissue structures. Regional inflammation is a secondary consideration._x000D_
5.Liver size, shape and margin are normal._x000D_
6.The colon contains gas and portions of the colon have a rigid appearance.</t>
  </si>
  <si>
    <t>6 images of the entire body are presented for review.  The cardiovascular and pulmonary structures are normal.  No esophageal dilation or foreign material is seen.  The trachea is normal in diameter.  The laryngeal and pharyngeal structures included are normal.  The pleural and mediastinal structures are normal.  Abdominal serosal detail is adequate in all quadrants.  The stomach contains a moderate amount of amorphous soft tissue.  The small intestines are normal in size.  Gas and feces are present in the colon.  The urinary bladder is small.  The remaining abdominal organs are normal.</t>
  </si>
  <si>
    <t>Radiographically normal thorax.  Material within the stomach may represent residual ingesta or foreign material.</t>
  </si>
  <si>
    <t>Orthogonal views of the torso are submitted for review.  The heart is generally markedly enlarged with severe left atrial enlargement.  The intrathoracic trachea is dorsally deviated.  The pulmonary vasculature is not overtly distended.  Mild to moderate bronchointerstitial markings are noted throughout the lung fields.  No pleural effusion or intrathoracic lymphadenopathy is noted.  There is compression of the mainstem bronchi on the lateral view.  Linear soft tissue opacity summates of the dorsal aspect of the cervical trachea._x000D_
In the abdomen, the stomach contains a moderate amount of ingesta.  The small bowel is normal in uniform diameter.  The liver is moderately enlarged with smooth margins.  The spleen, unobscured margins of the renal silhouettes, and urinary bladder are normal.  Serosal detail is adequate._x000D_
No aggressive bony changes are noted.</t>
  </si>
  <si>
    <t>The appearance of the heart is consistent with advanced myxomatous mitral and likely tricuspid valve endocardiosis.  No evidence of cardiogenic pulmonary edema is noted.  The appearance of the lung field is most consistent with chronic inflammatory airway disease and/or incidental age-related change.  There does appear to be mainstem bronchial compression associated with severe left atrial enlargement.  The appearance of the trachea could be consistent with dynamic tracheal collapse, redundant dorsal trachealis muscle, or superimposition artifact._x000D_
Moderate hepatomegaly.  Differentials include vacuolar hepatopathy, venous congestion, or less likely inflammation or neoplasia.</t>
  </si>
  <si>
    <t>Medical management with Pimobendan and potentially a diuretic may be indicated.  A repeat echocardiogram could be considered.  Correlation of the findings in the liver with blood work and an abdominal ultrasound may be indicated.</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</si>
  <si>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Unformed feces in the colon._x000D_
Serosal detail is decreased with mottling._x000D_
Liver and spleen are within normal limits of size and smoothly marginated._x000D_
Kidneys and urinary bladder WNL.</t>
  </si>
  <si>
    <t>1) Unremarkable thorax._x000D_
2) Suspected free fluid. Along with the reported leukocytosis, main rule out is peritonitis vs dehydration with more severe hypoalbuminemia (lower than 1.5) leading to pure transudate.</t>
  </si>
  <si>
    <t>Abdominal US for further evaluation.</t>
  </si>
  <si>
    <t>10 images of the abdomen, cervical spine, pelvis, pelvic limbs, and thoracic limbs are presented for review.  Serosal detail is adequate in all quadrants.  The stomach contains a moderate amount of ingesta.  The small intestines are normal in size.  Gas and feces are present in the colon.  The urinary bladder is small.  The remaining abdominal organs are normal.  Open physes are present.  The temporomandibular joints are normally aligned.  The nasal cavities are filled with normal turbinates.  The tympanic bullae are thin-walled and air-filled.  Spinal alignment is normal with no consistently narrowed intervertebral disc spaces.  The coxofemoral joints are congruent.  No fractures or aggressive osseous lesions are seen.  The joint surfaces are smooth and regular.  No pseudo physeal lines are seen.  Corticomedullary distinction is adequate.  No stifle effusion is seen.  The cubital joints are congruent.  Normal cutback zones are seen at the caudal aspects of the distal ulnar metaphyses bilaterally.</t>
  </si>
  <si>
    <t>Radiographically normal abdomen.  Radiographically normal osseous structures.  A cause for the reported clinical signs is not identified.  This does not rule out early panosteitis or hypertrophic osteodystrophy prior to development of radiographic signs.</t>
  </si>
  <si>
    <t>If clinical signs persist/worsen, repeat radiographs could be considered.</t>
  </si>
  <si>
    <t xml:space="preserve">
1.Splenic size, shape and margin are normal._x000D_
2.Abdominal detail is normal._x000D_
3.The stomach is normal. The small bowel is diffusely gas- and fluid-filled without segmental small bowel dilation._x000D_
4.The liver is mildly enlarged.</t>
  </si>
  <si>
    <t>Three radiographs of the thorax and of the abdomen are provided. The cardiac silhouette is normal size on the lateral views. A halo of fat encircles the heart and extends into the cranial mediastinum on the VD projection. There are no abnormalities in the pulmonary parenchyma. Small round increased opacities adjacent to the heart is caused by end-on pulmonary vessels. Normal tracheal diameter._x000D_
_x000D_
In the abdomen the liver is mildly enlarged with smooth margins. The spleen and kidneys are normal size. The gastrointestinal tract is moderately filled. No radiopaque urolithiasis. Osseous structures are unremarkable.</t>
  </si>
  <si>
    <t>Mild hepatomegaly. With the history, steroid hepatopathy is suspected. Acute inflammation or neoplasia are next on the differential list. Otherwise normal postprandial abdomen and thorax.</t>
  </si>
  <si>
    <t>A CBC and blood chemistry profile are recommended. Strictly fasted abdominal ultrasound could be considered to further evaluate the liver, adrenal glands, and gastrointestinal tract.</t>
  </si>
  <si>
    <t xml:space="preserve">
1.There is a mid-ventral abdominal soft tissue mass._x000D_
2.The liver is normal size._x000D_
3.Mid abdominal peritoneal detail is decreased._x000D_
4.The stomach contains a moderate amount of soft tissue opacity._x000D_
5.This mass causes deviation of bowel loops._x000D_
6.Formed feces fills the colon._x000D_
7.Small intestines are mildly filled.</t>
  </si>
  <si>
    <t>Four images are provided.
Images are dated August 27, 2024.
Ungloved human digits primary beam. Caudal abdomen excluded.
Pulmonary parenchyma: A minimal to mild diffuse interstitial pattern is present, exacerbated by hypoinflation in the lateral images.  
Pulmonary vasculature: The pulmonary vasculature is subjectively normal in size and tapers in the periphery of the lungs.  Lobar bronchi are not well-identified in one left lateral image compared to the alternate.
Cardiac silhouette: The cardiac silhouette is equivocal tall in the lateral images, and subjectively normal in the ventrodorsal images.
Mediastinum: The cranial mediastinum is mildly symmetrically widened without obvious increased soft tissue.
Trachea: The trachea is narrowed in a dorsoventral dimension with an undulant, well-defined wall.  In the lateral images, soft tissue band(s) superimpose over the dorsal or dorsal and mid-portions of the tracheal lumen, likely exacerbated by patient obliquity.  
Esophagus: The esophagus is not well-identified.
Pleural space: The pleural space is normal.
Liver: The liver is subjectively normal in size.
Spleen: The spleen is normal in size with smooth margins and homogeneous soft tissue.
Kidneys: The right kidney is not well-identified without obvious mineral or enlargement.  The left kidney is normal.
Retroperitoneum: Retroperitoneal detail is adequate.
Urinary bladder/Urethra: The urinary bladder is excluded.
Peritoneum: Peritoneal detail is adequate.
Gastrointestinal tract: The stomach contains a moderate gas, soft tissue material, and fluid.   The stomach is within normal limits for size.
The duodenum contains mild gas in the ventrodorsal image.
The small intestine contains mild gas with a subjectively uniform population for size. 
The colon contains mild heterogeneous soft tissue material and gas.  The colon is within normal limits for size.  
Musculoskeletal: The included musculoskeletal structures are normal.</t>
  </si>
  <si>
    <t>1. Tracheal narrowing with redundant dorsal tracheal membrane, and suspected lobar bronchial narrowing/dynamic airway disease.
- Underlying chondromalacia is suspected.
2. Minimal-mild diffuse interstitial pulmonary pattern due to hypoinflation, fibrosis from prior disease, age-related changes, infectious/immune-mediated lower airway disease or unlikely other.
3. Equivocal left ventricular enlargement versus artifact from phase of the cardiopulmonary cycle/patient confirmation.
- If present, consider myxomatous mitral valvular disease or unlikely other.
- No current evidence of left-sided congestive heart failure.
4. Mild cranial mediastinal widening due to fat deposition or unlikely occult lymphadenomegaly or other.
5. Gastric material from recent meal or unlikely gastritis/delayed emptying or other given reported history.
6. Non-specific gastrointestinal tract changes such as from variation of normal or unlikely given reported history gastritis/enteritis.</t>
  </si>
  <si>
    <t>Consider tracheoscopy/bronchoscopy/fluoroscopy for further evaluation of dynamic airway disease.  Tracheal stenting versus surgical intervention and internist consultation may be contributory.  Consider airway sampling, respiratory PCR panel for further evaluation of lower airway disease contributing to clinical signs. Echocardiography if a murmur is later identified.  Routine blood work and fecal analysis may be contributory.  Empirical therapy and supportive care as needed in the interim. Monitoring as directed or sooner if clinical signs acutely change, fail to improve or worsen.</t>
  </si>
  <si>
    <t>Study:_x000D_
Thoracic and abdominal radiography: six images dated August 26,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with the pylorus probably gas-filled on the left lateral image. The small intestines are normal in size, course and content. The colon contains formed fecal material with a normal diameter. The liver and spleen are normal in size and margin. The kidneys are normal in size and contour. The urinary bladder is normal in size and opacity. The T 13 vertebra is transitional with bilateral hypoplastic ribs. There is mild bilateral stifle periarticular bone formation.</t>
  </si>
  <si>
    <t>1. Normal thorax. There is no radiographic evidence of cardiopulmonary disease or intrathoracic neoplasia._x000D_
2. Unremarkable abdomen._x000D_
3. Mild bilateral stifle osteoarthrosis.</t>
  </si>
  <si>
    <t>Neurology consultation and MRI can be considered for further evaluation of the reported possible seizure.</t>
  </si>
  <si>
    <t xml:space="preserve">
1.The liver is mildly to moderately enlarged._x000D_
2.Hepatic margins are smooth._x000D_
3.The spleen is normal._x000D_
4.Cranial abdominal detail is minimally decreased. This is attributed to superimposition of the liver secondary to the hepatomegaly._x000D_
5.The pylorus is caudally displaced by the hepatomegaly. The gastrointestinal tract is minimally filled. A portion of the colon is gas filled.</t>
  </si>
  <si>
    <t xml:space="preserve">ABDOMEN (5 images):
Images are dated August 27, 2024.
Prior images dated August 26, 2024 are available.
Liver: The liver is slightly small with cranial displacement of the gastric axis.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No obvious intestinal displacement/malposition is identified.  The stomach contains a moderate volume of gas.   The pylorus contains gas in the left lateral image.  The stomach is within normal limits for size.
The small intestine contains minimal gas, mild fluid or is empty with a subjectively uniform population for size. 
The colon contains mild heterogeneous soft tissue material and gas.   Presumed normal colon and small intestine in the right cranial abdomen. An ovoid metal focus is admixed with colon content.  
The colon is within normal limits for size.  
Musculoskeletal: The included musculoskeletal structures are normal.
</t>
  </si>
  <si>
    <t xml:space="preserve">1.  Small metal colonic foreign body (previously identified in the stomach).
2.  Non-specific gastrointestinal tract appearance such as from enteritis, colitis, or unlikely individual variation of normal given reported history.
- There is no current evidence of gastrointestinal mechanical ileus.
- Differential diagnoses include dietary indiscretion (passage of metal material is most likely), or less likely toxin ingestion, diet/antibiotic responsive disease, inflammatory bowel disease, pancreatitis, occult systemic disease or unlikely other.
3. Mild microhepatia versus artifact/individual variation of normal.
- If present, consider occult portosystemic shunt or unlikely other.
4. No evidence of colonic torsion.  </t>
  </si>
  <si>
    <t>Consider GI panel, fecal analysis/deworming, and routine blood work for further evaluation.  Diet elimination trial and internist consultation may be contributory.  Abdominal ultrasonography for further evaluation of the gastrointestinal tract.  
Intestinal adhesions are considered an unlikely etiology of diarrhea, especially in the absence of vomiting.  Empirical therapy and supportive care in the interim as needed.  Monitoring as directed or sooner if clinical signs acutely change, fail to improve or worsen.</t>
  </si>
  <si>
    <t>Opposite lateral and ventrodorsal abdominal radiographs (3 images) dated August 27, 2024 and compared to a follow-up fasted opposite lateral abdominal radiographs from August 28, 2024._x000D_
_x000D_
_x000D_
Initially the stomach contains a large amount of heterogeneous soft tissue content, some of which is organized into kibble. More striated soft tissue content is present in the pyloric antrum. The small intestine was initially moderately distended with gas and slightly heterogeneous ingesta with no evidence of segment of bowel relation. The colon contains a large amount of formed stool and gas._x000D_
In the follow-up fasted study, the stomach is significantly less distended and contains a small amount of gas as well as small lot heterogeneous soft tissue content is best visualized on the left lateral view, where resides in the pyloric antrum and body. The small intestine is more empty/collapsed compared to the prior study. The cecum contains gas. The colon contains formed stool. The liver, spleen, kidneys, and small urinary bladder are unremarkable. Retroperitoneal and peritoneal detail are normal in both studies. No regional lymphadenopathy is evident.</t>
  </si>
  <si>
    <t>1. Both studies are negative for a small intestinal mechanical obstruction._x000D_
2. Relative gastric emptying between studies, although there is still some soft tissue content in the stomach on the follow-up study, and this may represent normal ingesta vs. foreign material.</t>
  </si>
  <si>
    <t>If the patient was fasted over 8 hours, further evaluation of this gastric soft tissue content is recommended, either by ultrasound vs. upper GI barium study (5 ml/kg PO or via NG tube). Attempted emesis and repeat radiographs (if successful) can also be performed.</t>
  </si>
  <si>
    <t>Study:_x000D_
Abdominal radiography: seven images dated August 26, 2024_x000D_
_x000D_
Findings:_x000D_
The serosal detail is adequate. The stomach contains unstructured heterogeneous soft tissue material presumed to be ingesta. The small intestines are gas-filled and normal in size and course. The colon and rectum are mildly dilated with formed fecal material. The course of the rectum appears within normal limits. The liver and spleen are normal in size and margin. The renal silhouettes are normal in size and contour. The urinary bladder is normal in size and opacity. The prostate is mildly enlarged with smooth margins. The included thorax is normal. No skeletal abnormalities are present.</t>
  </si>
  <si>
    <t>Constipation. A mechanical cause is not evident and the reported abnormality noted on rectal exam is not appreciated radiographically.</t>
  </si>
  <si>
    <t>The reported pocket on rectal examination may indicate of perineal hernia or perianal fistula. Sonography of the perineal region or a barium enema can be considered for further evaluation if the clinical signs persist in spite of medical management.</t>
  </si>
  <si>
    <t xml:space="preserve">
1.Liver size, shape and margin are normal._x000D_
2.Splenic size, shape and margin are normal._x000D_
3.Abdominal detail is normal._x000D_
4.The stomach contains gas and soft tissue dense material. There is diffuse gas dilation of the small bowel without evidence of obstruction.</t>
  </si>
  <si>
    <t>Thorax: There is a mild bronchointerstitial pattern.  There is mild left-sided cardiomegaly.  There is no evidence of cardiogenic pulmonary edema or pleural effusion.  The pulmonary vasculature is unremarkable.  There is no evidence of lymphadenopathy.  On the lateral view there is moderate osteoarthrosis involving a elbow (lateral of the uncertain)._x000D_
_x000D_
Abdomen: There is moderate amount of heterogeneous soft tissue opacity within the gastric lumen.  There is no evidence of a small intestinal foreign body or obstruction.  The liver and spleen are unremarkable.  There are no abnormalities involving the visible portions of the urinary tract.  Serosal detail is normal.</t>
  </si>
  <si>
    <t>Mild left-sided cardiomegaly without evidence of decompensation._x000D_
_x000D_
Diffuse bronchointerstitial pattern which may be age-related or bronchitis._x000D_
_x000D_
Elbow osteoarthrosis._x000D_
_x000D_
The soft tissue opacity within the gastric lumen most likely represents normal ingesta.</t>
  </si>
  <si>
    <t xml:space="preserve">
1.Abdominal detail is satisfactory._x000D_
2.On the lateral projection, the liver is mildly enlarged with rounded margins. Less commonly, gastric distention silhouetting with the liver can trigger this AI result._x000D_
3.In most cases, the stomach and small bowel are minimally filled however in a small number of cases, gastric distention will silhouette with the liver artifactually creating the appearance of hepatomegaly._x000D_
4.Formed feces in the distal colon._x000D_
5.The ventral abdominal line is pendulous._x000D_
6.Resource: https://platform.v2.vetology.net/doc/liver_disease_x000D_
7.Splenic size, shape and margin are normal.</t>
  </si>
  <si>
    <t>Thorax: There is a mild parabronchial pattern.  The cardiac silhouette and pulmonary vasculature are unremarkable.  There is no evidence of pleural effusion or lymphadenopathy.  There are no abnormalities involving the lumbar vertebral column._x000D_
_x000D_
Abdomen: The liver and spleen are unremarkable.  There are no abnormalities involving the visible portions of the urinary tract or gastrointestinal tract.  Serosal detail is normal.  There are regions of lumbar spondylosis deformans.</t>
  </si>
  <si>
    <t>Mild bronchial pattern which may be age-related or bronchitis.</t>
  </si>
  <si>
    <t>Abdomen: There is a large mineral opacity (rock) within a segment of bowel within the caudal ventral left abdomen.  There is no evidence of dilation of the small intestines.  There is no evidence of a gastric foreign body.  The liver and spleen are unremarkable.  The visible portions of the urinary tract are unremarkable.  Serosal detail is normal.</t>
  </si>
  <si>
    <t>Foreign body (rock) within a segment of bowel.  This is believed to be located within the jejunum.</t>
  </si>
  <si>
    <t>Although the foreign body is believed to be of jejunal origin, a pneumocolon may be considered for confirmation.</t>
  </si>
  <si>
    <t>ABDOMEN (3 radiographs for review). _x000D_
_x000D_
- The patient has a thin body condition._x000D_
- The stomach is moderately to markedly distended with gas and contains mild gas stippled soft-tissue opaque material._x000D_
- the majority of the small intestine is mildly diffusely distended with homogenous soft tissue/fluid and a few loops contain mild gas._x000D_
- The colon contains mild formed fecal material and gas._x000D_
- There are numerous mineralized foci superimposed over the kidneys bilaterally.  The renal margins are moderately irregular._x000D_
- The spleen and urinary bladder are of limited distinction but otherwise unremarkable._x000D_
- There is multifocal intervertebral disc space narrowing and degeneration in the cranial lumbar region with endplate sclerosis and spondylosis deformans.</t>
  </si>
  <si>
    <t>1.  A discrete radiographic cause for the reported difficulty defecating is not clearly identified.  There is no obvious rectal or pelvic canal mass or hernia observed, however radiographic sensitivity for subtle lesions can be limited and if clinically indicated you may consider abdominal ultrasonography and/or contrast-enhanced abdominal CT (which would allow for improved assessment of the pelvic canal/rectal region) for further evaluation._x000D_
_x000D_
2.  Otherwise, the appearance of the gastrointestinal tract can be compatible with a combination of aerophagia and nonspecific functional ileus (e.g. gastroenterocolitis). _x000D_
_x000D_
3.  Bilateral chronic degenerative renal disease with multiple nephroliths._x000D_
_x000D_
4.  Chronic intervertebral disc disease in the cranial lumbar region.  Considering the patient has a history of ataxia, consultation with a veterinary neurologist regarding advanced imaging of the spine such as CT or MRI might be pursued._x000D_
_x000D_
5.  Thin body condition.</t>
  </si>
  <si>
    <t>ABDOMEN (3 images):
Images are dated August 26,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minimal soft tissue material.  Gas is in the pylorus in the left lateral image. Gastric rugal folds are mildly prominent in the ventrodorsal image. The stomach is within normal limits for size.
The small intestine contains mild gas and minimal fluid, or is empty with a subjectively uniform population for size. 
The colon contains minimal heterogeneous soft tissue material and gas.  The colon is within normal limits for size.  
Musculoskeletal: The included musculoskeletal structures are normal.</t>
  </si>
  <si>
    <t xml:space="preserve">1. Prominent gastric rugal folds such as from non-specific gastritis versus variation of normal.
2. Non-specific small intestinal and colonic appearance due to enteritis/colitis or given reported history, less likely variation of normal/recent bowel movement.
- There is no current evidence of gastrointestinal mechanical ileus.
- Differential diagnoses include dietary indiscretion (given reported history), or less likely toxin ingestion, diet/antibiotic responsive disease, inflammatory bowel disease, pancreatitis, occult systemic disease or unlikely other.
</t>
  </si>
  <si>
    <t>Empirical therapy for gastroenterocolitis in the interim as needed. Consider GI panel, fecal analysis/deworming, and routine blood work for further evaluation.  Abdominal ultrasonography may be beneficial for further evaluation.  Monitoring as directed or sooner if clinical signs acutely change, fail to improve or worsen.</t>
  </si>
  <si>
    <t>6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moderate amount of gas.  The small bowel is normal and uniform in diameter and contains a mild amount of gas.  A moderate amount of gas and stool is noted in the colon.  The liver, spleen, renal silhouettes, and urinary bladder appear within normal limits.  Serosal detail is normal._x000D_
No osseous abnormalities are seen.</t>
  </si>
  <si>
    <t>The appearance of the GI tract is most consistent with mild functional ileus as with gastroenteritis, pancreatitis, or possibly extra alimentary disease.  No evidence of mechanical obstruction is seen._x000D_
Radiographically normal thorax.</t>
  </si>
  <si>
    <t>Correlation with pending blood work may be helpful.  An abdominal ultrasound may be indicated as well.</t>
  </si>
  <si>
    <t xml:space="preserve">
1.The liver and spleen are normal for size._x000D_
2.Abdominal detail is normal._x000D_
3.There is gas and mild fluid dilation noted within the descending duodenum._x000D_
4.There is also gas and fluid distention of the cecum and the entire length of the colon._x000D_
5.View GI resource: https://platform.v2.vetology.net/doc/GI_x000D_
6.The stomach is mildly gas and fluid dilated._x000D_
7.The small bowel contains gas and fluid but is largely normal in diameter throughout._x000D_
8.No abnormal AI findings reported.</t>
  </si>
  <si>
    <t>Three orthogonal thoracic radiographs dated 26th August 2024 are available for review. There are no previous radiographs available for comparison. _x000D_
_x000D_
Airway findings: A smoothly marginated soft tissue opacity is variably present overlying the dorsal aspect of the trachea at the thoracic inlet. This opacity reduces approximately 60% of the dorsoventral diameter of the trachea. The intrathoracic trachea is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The patient is severely obese._x000D_
_x000D_
Included abdomen: There is smoothly marginated hepatomegaly.</t>
  </si>
  <si>
    <t>1. The dorsal attenuation of the trachea is consistent with redundant trachealis membrane or overlying musculature. Concurrent tracheomalacia is likely._x000D_
2. The hepatomegaly is most likely due to vacuolar hepatopathy, or underlying endocrine disease.</t>
  </si>
  <si>
    <t>Consider evaluation for airway collapse (fluoroscopy vs. right lateral inspiratory and expiratory radiographs vs. CT with virtual bronchoscopy). _x000D_
Obesity predisposes for airway collapse, and reduction of thoracic volume (pickwickian syndrome), reducing pulmonary clearance, therefore weight management is indicated.</t>
  </si>
  <si>
    <t xml:space="preserve">
1.The liver is enlarged and a liver mass cannot be ruled out._x000D_
2.The spleen is diffusely enlarged and a splenic mass remains a consideration._x000D_
3.Abdominal serosal detail is diffusely poor and there is a wispy appearance throughout the peritoneal cavity consistent with ascites._x000D_
4.No discrete mass is seen, however a mass effect is suspected in the mid-abdomen as  a few small intestinal segments are displaced.</t>
  </si>
  <si>
    <t xml:space="preserve">
Full blood work if not already performed._x000D_
Confirm patients PCV and sample abdominal fluid via ultrasound guidance if a fluid pocket can be identified and safely sampled._x000D_
Abdominal ultrasound and three view thoracic radiographs._x000D_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</si>
  <si>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3 images of the abdomen are provided for review.  Serosal detail is adequate in all quadrants.  The stomach contains a small amount of gas and the rugal folds are prominent.  The small intestines are normal in size.  Gas is present in the colon and cecum.  The urinary bladder is small.  The remaining abdominal organs are normal.  The thoracic structures included are normal.  A femoral head and neck ostectomy has been performed on the left.</t>
  </si>
  <si>
    <t>Prominent rugal folds suggestive of gastritis.  This does not rule out underlying pancreatitis or infiltrative neoplasia.  Previous left femoral head and neck ostectomy.</t>
  </si>
  <si>
    <t>5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and small bowel and a mild amount of gas and ingested.  Formed stool is noted in the colon.  The liver is slightly prominent extending beyond the costal arch.  The spleen is normal in size and shape.  The renal silhouettes are subjectively normal in size and shape.  The urinary bladder is moderately distended.  There is suspected faint punctate mineral opacities at the gravity-dependent portion of the bladder on the lateral view.  Serosal detail is adequate._x000D_
Narrowing of the intervertebral disc space with ventral spondylosis deformans is noted at T13-L1.</t>
  </si>
  <si>
    <t>Radiographically normal thorax.  Mild myxomatous mitral valve disease is not ruled out.  No evidence of congestive heart failure seen.  Upper respiratory infection is not excluded as a cause of the current clinical signs._x000D_
Equivocal hepatomegaly.  Differentials include normal variation possibly mild vacuolar change.  The clinical significance is unknown._x000D_
Possible small bladder stones._x000D_
Chronic intervertebral disc disease at T13-L1.</t>
  </si>
  <si>
    <t>Empirical medical management for upper respiratory infection may be helpful._x000D_
An abdominal ultrasound could also be considered for further evaluation of the findings in the abdomen.</t>
  </si>
  <si>
    <t xml:space="preserve">
1.Abdominal detail is normal._x000D_
2.Splenic size, shape and margin are normal._x000D_
3.Liver size, shape and margin are normal._x000D_
4.The stomach contains gas and ingesta or prominent rugae, suggestive of gastritis. The small bowel is diffusely fluid filled but without segmental small bowel dilation.</t>
  </si>
  <si>
    <t>Orthogonal radiographs of the abdomen, VD pelvis, and lateral view of each stifle are provided. There is no peritoneal or retroperitoneal effusion. Small volume gas in the stomach. Small intestines are diffusely mildly gas-filled. A few loops of small bowel appear thickened, however this must be interpreted with caution, as fluid-gas interface can mimic wall thickening. Small volume of formed feces in the colon. Normal-sized liver, left kidney, spleen. The right kidney is incompletely visible. The L1-2 intervertebral disc space and foramen are slightly smaller than those on either side. The coxofemoral joints are congruent. Pelvic limb musculature is symmetric. Small volume hazy soft tissue density in the cranial aspect of the right stifle joint, with no degenerative change. Well delineated soft tissue density in the left stifle joint is normal meniscal/synovial tissue. No popliteal lymphadenomegaly. The viewable tarsi are unremarkable.</t>
  </si>
  <si>
    <t>1. Scant right stifle effusion most consistent with partial cranial cruciate ligament tear. This is the most likely cause for discomfort. Normal left stifle and both coxofemoral joints._x000D_
2. The appearance of L1-2 may represent a protruding/extruded intervertebral disc which could be contributing to discomfort._x000D_
3. Normal abdomen.</t>
  </si>
  <si>
    <t>Recommend anti-inflammatories as needed. If the patient develops significant right pelvic limb lameness and there is palpable stifle instability, surgical stabilization would be recommended at that time.</t>
  </si>
  <si>
    <t>Three orthogonal thoracic radiographs dated 26th August 2024 are available for review. There are no previous radiographs available for comparison. The images are mildly underexposed and grainy._x000D_
_x000D_
Airway findings: The cervical and thoracic trachea have a normal size, outline and position. The carina, tracheal bifurcation and mainstem bronchi are normal. Throughout the lung parenchyma there is a mild bronchial pattern._x000D_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There is mild thoracolumbar spondylosis deformans._x000D_
_x000D_
Included abdomen: The liver is moderately enlarged with rounded borders.</t>
  </si>
  <si>
    <t>1.Diffuse mild bronchial pattern: Primary consideration should be given to normal ageing/fibrosis from previous disease. Allergic bronchitis, chronic bacterial /viral bronchitis +/- parasitic bronchitis should also be considered. Less likely are hyperardenocorticism, neoplasia (such a lymphoma) or idiopathic pulmonary fibrosis.   _x000D_
2. The murmur reported is most likely a physiologic murmur, or a compensated valvular disease such as myxoid degeneration of the mitral valve. _x000D_
3.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</si>
  <si>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Correlate with palpation testing for upper respiratory disease. Respiratory workup including CBC, serum chemistry, urinalysis, Baermann faecal testing, 4DX, +/- respiratory panel as indicated may be considered.  _x000D_
In absence of clinical signs indicative of cardiac disease, conservative management may be considered, alternatively with an acute onset murmur, and signs of exercise intolerance, echocardiography may be considered.</t>
  </si>
  <si>
    <t xml:space="preserve">
1.The liver is asymmetrically enlarged with potential for a liver mass._x000D_
2.The spleen is enlarged but a splenic or mid-abdominal mass is NOT identified._x000D_
3.Abdominal detail is decreased, partially due to the hepatosplenomegaly._x000D_
4.No GI obstruction is noted.</t>
  </si>
  <si>
    <t>Asymmetric hepatomegaly or hepatic mass. Splenomegaly but no mid-abdominal mass noted. Decreased abdominal detail.</t>
  </si>
  <si>
    <t xml:space="preserve">
Abdominal ultrasound. Tissue sampling after assessing coagulation profile if a mass is identified. Three view thoracic radiographs if a mass is identified. Full blood work if not already performed._x000D_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</si>
  <si>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Abdominal radiography: six images dated August 26, 2024_x000D_
_x000D_
Findings:_x000D_
The stomach contains unstructured heterogeneous/granular soft tissue material presumed to be ingesta.. The small intestines are normal in size, course and content. The colon contains formed fecal material. The liver extends mildly beyond the costal arch but has smooth and sharp margins and does not displace the gastric axis. The spleen is normal and size and margin. The kidneys are normal in size and contour. The urinary bladder is normal in size and opacity. The serosal detail is normal with no peritoneal effusion present. The included thorax is normal. No skeletal abnormalities are present.</t>
  </si>
  <si>
    <t>1. The appearance of the liver is equivocal for mild nonspecific hepatomegaly and should be correlated with any liver enzyme abnormalities. Rule out individual normal variant, metabolic/vacuolar hepatopathy, hepatitis, hyperplasia or infiltrative neoplasia._x000D_
2. The remainder the abdomen is unremarkable. A cause of the right caudal abdominal pain is not evident. Abdominal sonography can be considered for further evaluation if clinical signs persist or worsen.</t>
  </si>
  <si>
    <t>Radiographically normal liver, spleen, GI tract and abdominal detail. Note: Current AI limitations do not pick up radiopaque gastrointestinal foreign material. However, no small intestinal obstruction or abdominal fluid is identified.</t>
  </si>
  <si>
    <t>Five orthogonal radiographs of the abdomen dated 26th August 2024 are available for review. There are no previous radiographs available for comparison. _x000D_
_x000D_
Intra-abdominal findings: The stomach contains a moderate amount of kibble and has a normal axis. The small intestines are mainly empty, containing some gas, fluid and soft tissue opaque material. In the cranial dorsal right abdomen there are tightly wound loops of intestinal dilated with gas, which are most likely ascending/transverse colon potentially with the caecum. The descending colon is gas dilated. The hepatic silhouette is normal in size with smooth borders. The spleen is normal in shape, size and position. The kidneys are partially obscured by gastrointestinal contents, but the visible aspect are normal. A metal opaque oval foreign body seen superimposed in the pyloric region on the lateral images, however not in the ventrodorsal._x000D_
_x000D_
Extra-abdominal findings: No significant abnormalities are detected._x000D_
_x000D_
Included thorax: No significant abnormalities are detected.</t>
  </si>
  <si>
    <t>1. The findings are consistent with the reported severe colitis. The bunched gas dilated loops are suspicious of a partial colonic torsion. Small intestinal dilation is considered unlikely. The colitis may be due to infectious-inflammatory origin or secondary to dietary indiscretion. The metal opaque foreign body is considered unlikely of clinical significance.</t>
  </si>
  <si>
    <t>Supportive management including rehydration, gastroprotectants,  full blood work, faecal analysis if clinically indicated is advised, if not already performed. Repeat post fasting radiographs to evaluate the continued presence of dilated transverse colon. If present, consider a GI contrast study or abdominal ultrasonography. If not available at that stage, an explorative laparotomy may be considered accepting the risk that a nonsurgical lesion may be found.</t>
  </si>
  <si>
    <t xml:space="preserve">
1.The small bowel is diffusely fluid distended with a mild disparity in small bowel diameter._x000D_
2.Portions of the colon are gas filled and have a rigid appearance._x000D_
3.The liver and spleen are normal._x000D_
4.There is a focal loss of serosal detail in the cranial abdomen on the VD projection._x000D_
5.The pyloroduodenal is widened and the proximal duodenum contains a mild amount of air._x000D_
6.The gastric lumen contains a mild amount of soft tissue and gas opacity._x000D_
7.The gastric rugae are prominent._x000D_
8.No abnormal AI findings reported.</t>
  </si>
  <si>
    <t>Three orthogonal thoracic radiographs dated 26th August 2024 are available for review. There are no previous radiographs available for comparison. _x000D_
_x000D_
Airway findings: The cervical and thoracic trachea have a normal size, outline and position. The carina, tracheal bifurcation and mainstem bronchi are normal. In the caudal dorsal lung parenchyma there is a very mild bronchointerstitial opacification. No intensive interstitial or alveolar opacification is visible._x000D_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No significant abnormalities are detected._x000D_
_x000D_
Included abdomen: There is some foamy material within the stomach combined with some gas.</t>
  </si>
  <si>
    <t>1. The very mild bronchointerstitial opacification may be associated with some minimal pulmonary oedema. This is unlikely cardiogenic. Non-cardiogenic pulmonary oedema is possible. Early microaspiration, mixed tracheobronchitis is unlikely._x000D_
2. The foamy material in the stomach may be mucous secondary to the repeated water vomiting. A gastritis secondary to dietary indiscretion is possible.</t>
  </si>
  <si>
    <t>Radiographic signs often lag clinical signs, therefore close monitoring, and repeat radiographs if respiratory signs continue or deteriorate is indicated. Observational supportive management in the meantime. Emperic preventative management may be considered._x000D_
Monitor for any developing signs of enteritis/enterocolitis. Consider full abdominal radiographs if so.</t>
  </si>
  <si>
    <t xml:space="preserve">
1.Splenic size, shape and margin are normal._x000D_
2.Abdominal detail is normal._x000D_
3.The stomach is mildly gas and fluid filled with some soft tissue density material. The small bowel is gas and fluid-containing. No obvious obstruction._x000D_
4.Liver size, shape and margin are normal.</t>
  </si>
  <si>
    <t>Three radiographs of the thorax and four views of the abdomen are provided. Images dated 11/19/22 are available for comparison. The cardiac silhouette is normal size and shape for this breed. There are mild age-related changes throughout the lungs. Fat deposition noted in the cranial mediastinum. Tracheal diameter is adequate._x000D_
_x000D_
In the abdomen the spleen, liver, and left kidney are normal size. The right kidney is obscured by superimposed bowel loops. The gastrointestinal tract is mildly filled. No radiopaque cystic calculi. The T12-13 and L2-3 intervertebral foramina are smaller than those on either side. Moderate degenerative change and subluxation in both coxofemoral joints as before. No other proximal pelvic limb abnormalities.</t>
  </si>
  <si>
    <t>1. The appearance of T12-13 and L2-3 are both suggestive of intervertebral disc disease. This is the most likely cause for the clinical signs._x000D_
2. Bilateral hip dysplasia with osteoarthritis and subluxation as before, likely contributing to mobility difficulties._x000D_
3. Normal abdomen and thorax.</t>
  </si>
  <si>
    <t>Current treatment is appropriate.</t>
  </si>
  <si>
    <t xml:space="preserve">
1.The stomach has a normal axis, with subjectively thickened mucosal folding._x000D_
2.The small intestines are mildly dilated with a mixture of gas and fluid, and have a mild turgid appearance._x000D_
3.The ascending, transverse and descending colon contain gradually more formed faeces._x000D_
4.The liver is normal in shape, size and opacity._x000D_
5.There is a mildly reduced cranial abdominal serosal detail._x000D_
6.The spleen is visible and within normal limits.</t>
  </si>
  <si>
    <t xml:space="preserve">Four images are provided.
Images are dated August 26, 2024.
Pulmonary parenchyma: A minimal to mild diffuse bronchial pattern is present.  a minimal to mild diffuse interstitial pattern is present and the lungs are minimally or mildly hypoinflated.  
Pulmonary vasculature: The pulmonary vasculature is subjectively normal in size and tapers in the periphery of the lungs.
Cardiac silhouette: The cardiac silhouette is has a prominent contour at the 1-2 o'clock position (main pulmonary artery) in the ventrodorsal image.
Mediastinum: The cranial mediastinum is normal.
Trachea: A slight soft tissue band partially superimposes over the  id-cervical trachea in the right lateral image.
Esophagus: The esophagus is not well-identified.
Pleural space: The pleural space is normal.
Musculoskeletal: The included musculoskeletal structures are normal.
</t>
  </si>
  <si>
    <t>1. Mild diffuse bronchial and interstitial pulmonary patterns with minimal hypoinflation.
- Differential diagnoses include infectious/immune-mediated lower airway disease such as from mycoplasma spp., bordetella spp., parasitism, or inhaled allergen/irritant, versus fibrosis from prior disease, age-related changes, a combination of these, or unlikely other.
2.  Presumed artifact from phase of the cardiopulmonary cycle or patient positioning or given reported history unlikely main pulmonary artery enlargement.
- If present, differential diagnoses include heartworm disease, pulmonary hypertension, or unlikely other.
3. Slight dorsal redundant tracheal membrane with/without underlying dynamic airway disease, versus superimposed normal structures.</t>
  </si>
  <si>
    <t>Consider fecal analysis/empirical deworming, respiratory panel PCR, and/or airway sampling for further evaluation if clinically indicated.  consider tracheoscopy/bronchoscopy/fluoroscopy for further evaluation of dynamic airway disease if clinically indicated.  Empirical therapy and supportive care in the interim as needed.   This examination does not rule out laryngitis/pharyngitis contributing to reported clinical signs.   Monitoring as directed or sooner if clinical signs acutely change, fail to improve or worsen.</t>
  </si>
  <si>
    <t xml:space="preserve">
1.On the lateral projection, the hepatic serosal margins are mildly rounded in the liver is mildly enlarged._x000D_
2.No abnormal AI findings reported._x000D_
3.Equivocal splenomegaly is present._x000D_
4.The small bowel contains fluid and gas diffusely. No segmental small bowel dilation is noted._x000D_
5.The stomach contains a small volume of fluid and gas._x000D_
6.The colon is largely empty with only scant gas.</t>
  </si>
  <si>
    <t>A lateral radiograph of the thorax, and a lateral view of the abdomen are provided. The cardiac silhouette is normal size and shape. Pulmonary vessels are normal size. There are no abnormalities in the pulmonary parenchyma. The caudal sternum is severely dorsally angled and overlies the mid aspect of the heart, incidental. There is no pleural effusion or intrathoracic lymphadenomegaly. Adequate tracheal diameter. In the abdomen serosal detail is poor. The patient is thin. There is a hazy round 7.8 cm soft tissue opacity in the cranioventral peritoneal space. The gastric axis is in normal position. Small volume gas in the stomach and intestines. No radiopaque urolithiasis. Vertebral alignment is normal. No definitive narrowed intervertebral disc spaces or foramina. There is mild ventral spondylosis deformans in the mid thoracic spine and at T13-L1. No endplate lysis.</t>
  </si>
  <si>
    <t>1. Cranioventral abdominal mass-effect with probable mild effusion. Neoplasia originating from the spleen such as hemangiosarcoma is of concern. Incidental appearance of the splenic tail, due to patient rotation is next on the differential list._x000D_
2. No definitive spinal abnormalities are appreciated. With the described discomfort, intervertebral disc protrusion/extrusion is suspected._x000D_
3. Normal thorax.</t>
  </si>
  <si>
    <t>Abdominal ultrasound is recommended. If the patient has neurologic deficits, consultation with a neurologist and advanced spinal imaging with CT/MRI should also be considered.</t>
  </si>
  <si>
    <t xml:space="preserve">
1.The stomach is partially distended with food material and fluid._x000D_
2.The liver is enlarged with rounded borders._x000D_
3.The spleen is within normal limits._x000D_
4.The small intestinal track is mostly fluid filled uniform in diameter._x000D_
5.The colon is gas filled in corrugated._x000D_
6.There is decreased detail in the cranial abdomen.</t>
  </si>
  <si>
    <t>Orthogonal radiographs of the abdomen are provided. Serosal detail is adequate. There is small volume gas and scant amorphous soft tissue density in the stomach. Small intestines are diffusely mildly gas-filled. There is gas and small-volume semi-formed feces in the colon. The liver and spleen are normal size. The kidneys are obscured. A mild bronchial pattern is present in the caudal lungs.</t>
  </si>
  <si>
    <t>Scant soft tissue density in the stomach may be residual ingesta. In light of the history, foreign material causing gastritis and pyloric outflow obstruction is not definitively ruled out. Bronchial pattern suggestive of chronic airway inflammation. In the absence of coughing, significance is doubtful.</t>
  </si>
  <si>
    <t>Consider a positive contrast gastrogram to rule out gastric foreign material. Abdominal ultrasound is another option, as long as the patient has been strictly fasted and there is minimal gas in the stomach at the time of imaging.</t>
  </si>
  <si>
    <t>Three radiographs of the thorax and three views of the abdomen are provided. Images dated May 21, 2024 and earlier are available for comparison. Prominent left atrium as before. Pulmonary vessels are normal size. There is a severe interstitial pattern in the cranial lungs bilaterally that was not present before. There is the appearance of a well delineated curved 2.8 cm soft tissue opacity cranioventral to the heart on the left lateral view. This blends with the cranial heart waist on this projection, but is not seen on the other two views. There is a curved fat opaque lipomatous 3.4 cm mass ventral to the mid sternum on the right lateral view, present previously and of doubtful significance. Normal tracheal diameter._x000D_
_x000D_
In the abdomen there is new development of moderate peritoneal effusion. No organomegaly. The gastrointestinal tract is moderately filled. The urinary bladder is mildly filled and soft tissue opaque. No radiopaque cystic calculi. Punctate nephroliths as before, of doubtful significance.</t>
  </si>
  <si>
    <t>1. Moderate peritoneal effusion, a new development that is of uncertain etiology. An inflammatory process or metabolic abnormality should be considered. Neoplasia is not ruled out. No other abdominal abnormalities._x000D_
2. Severe cranial interstitial pattern, most likely aspiration pneumonia. Atelectasis could also cause this appearance and would be suspected if patient were sedated or recumbent prior to imaging. The soft tissue opacity cranial to the heart on the left lateral view is most likely summating extrathoracic lesion and/or fat. I would expect an opacity of this size to be readily visible on both lateral views if there was a true intrathoracic mass lesion._x000D_
3. Prominent left atrium as before consistent with acquired mitral valve disease. There is no evidence of heart failure.</t>
  </si>
  <si>
    <t>Recommend a CBC, blood chemistry profile, antibiotics for suspected pneumonia, and abdominal ultrasound.</t>
  </si>
  <si>
    <t xml:space="preserve">
1.The liver extends moderately beyond the costal arch with a smooth margin._x000D_
2.The small intestines are normal in size, course and content._x000D_
3.The colon contains partially formed fecal material._x000D_
4.The stomach contains a small volume of gas._x000D_
5.The abdomen is pendulous._x000D_
6.The spleen is normal in size and margin._x000D_
7.Abdominal detail is normal.</t>
  </si>
  <si>
    <t>Orthogonal views of the thorax and abdomen are provided:_x000D_
_x000D_
Thorax:_x000D_
_x000D_
The soft palate is abnormally thickened and elongated obstructing the pharyngeal lumen._x000D_
No abnormalities are seen in the trachea._x000D_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Liver extends beyond the costal arch with sharp margins, reaching the mid abdomen and contributing to the abdominal distension._x000D_
The stomach is filled with food with a tiny mineral particle._x000D_
Small intestines are mildly gas and fluid filled, not overtly distended. No signs of mechanical ileus._x000D_
Serosal detail is preserved._x000D_
Spleen shows irregular margins in the VD view._x000D_
Kidneys and urinary bladder WNL._x000D_
_x000D_
The prostate gland is enlarged protruding in the caudal abdomen pushing the bladder cranially</t>
  </si>
  <si>
    <t>1) Thickened and elongated soft palate: part of BOAS._x000D_
2) Unremarkable thorax without signs of cardiomegaly, pulmonary metastases nor signs of thoracic lymphadenopathy._x000D_
3) Hepatomegaly: Metabolic (Cushings) vs Vacuolar infiltration vs Hepatic nodular hyperplasia vs Inflammatory vs Toxic vs Neoplastic or a combination of these differentials._x000D_
4) Irregular spleen: lymphoid hyperplasia vs EMh vs salenitis vs neoplasia less likely._x000D_
5) Prostatomegaly compatible with BPH. Prostatitis less likely. Prostatic neoplasia unlikely.</t>
  </si>
  <si>
    <t>BOAS exam under sedation evaluating the soft palate and larynx with +/- CT of this region. Abdominal US if necessary with evaluation of the liver and the urinary tract with renal function test, urinalysis, UPC and urine culture.</t>
  </si>
  <si>
    <t xml:space="preserve">
1.The liver is upper limits of normal for size to mildly enlarged but retains smooth margins._x000D_
2.Pendulous abdomen secondary to organomegaly._x000D_
3.Abdominal detail is diffusely decreased diffusely but with the most severe decrease in abdominal detail caudal to the stomach._x000D_
4.Small volume ingesta is present within the stomach._x000D_
5.Small intestines are displaced into the mid and caudal abdomen but the bowel diameter is normal._x000D_
6.Formed feces is present in the colon._x000D_
7.A soft tissue mass effect is present in the mid-abdomen causing bowel displacement from this region.</t>
  </si>
  <si>
    <t>ABDOMEN (3 radiographs for review). _x000D_
_x000D_
- Peritoneal serosal detail is normal._x000D_
- The stomach contains mild gas and gas-stippled soft-tissue opaque material_x000D_
- The small intestine contains mild multifocal gas and soft-tissue opaque material_x000D_
- The colon contains gas, soft-tissue/fluid and moderate formed formed fecal material._x000D_
- The liver, spleen, region of the kidneys and urinary bladder are normal._x000D_
- The caudal thorax is nor is mal_x000D_
- No musculoskeletal abnormalities are noted.</t>
  </si>
  <si>
    <t>1. The appearance of the stomach, small intestine and colon can be compatible with a non-specific generalized functional ileus (e.g. gastroenterocolitis). There is no evidence of small intestinal foreign material or mechanical obstruction. If clinically indicated (such as if the patient does not improve or worsens despite medical management), abdominal ultrasonography might be considered.</t>
  </si>
  <si>
    <t xml:space="preserve">ABDOMEN (4 images):
Images are dated August 26, 2024.
Liver: The liver is subjectively normal in size.
Spleen: The spleen is normal in size with smooth margins and homogeneous soft tissue.
Kidneys: The kidneys are normal in size and shape without obvious mineral.  Presumed nipple superimposed over the left kidney in the ventrodorsal image is not over the kidney in the lateral image.  
Retroperitoneum: Retroperitoneal detail is adequate.
Urinary bladder/Urethra: The urinary bladder is normal in size, homogeneous soft tissue, and smoothly marginated.
Peritoneum: Peritoneal detail is adequate.
Gastrointestinal tract: The stomach contains a moderate volume of fluid and gas.  Gas is in the pylorus in the left lateral image.   The stomach is within normal limits for size.
The small intestine contains mild fluid or is empty with a subjectively uniform population for size. 
The colon contains minimal heterogeneous soft tissue material and gas.  The colon is within normal limits for size.  
Musculoskeletal: The included musculoskeletal structures are normal.
</t>
  </si>
  <si>
    <t>1. Non-specific gastrointestinal tract appearance such as from enteritis, colitis, or given reported history, unlikely individual variation of normal.
- Differential diagnoses for enteritis/colitis include dietary indiscretion, toxin ingestion, diet/antibiotic responsive disease, inflammatory bowel disease, parasitism/primary infectious disease, pancreatitis or occult systemic disease.
- There is no current evidence of gastrointestinal mechanical ileus.</t>
  </si>
  <si>
    <t>Passage of foreign material may be etiology of reported signs given provided history.  Consider GI panel, fecal analysis/deworming, and routine blood work for further evaluation.  Empirical therapy and supportive care in the interim as needed for gastroenterocolitis.  Consider repeat abdominal radiographs versus ultrasonography, especially if clinical signs fail to improve or worsen in the face of empirical therapy.</t>
  </si>
  <si>
    <t xml:space="preserve">
1.No abnormal AI findings reported._x000D_
2.Formed feces is present in the descending colon._x000D_
3.The liver and spleen appear within normal limits for size._x000D_
4.Serosal detail is normal._x000D_
5.There is small-volume gas and soft tissue density present within the stomach._x000D_
6.Small intestines are diffusely mildly filled with gas and fluid.</t>
  </si>
  <si>
    <t>3 views of the abdomen are provided for review.  Serosal detail is adequate in all quadrants.  The stomach contains a small amount of gas and the rugal folds are prominent.  The small intestines are normal in size.  Gas and feces are present in the colon.  The urinary bladder is small.  The remaining abdominal organs are normal.</t>
  </si>
  <si>
    <t xml:space="preserve">
1.Peritoneal serosal detail is adequate._x000D_
2.The liver is subjectively mildly small. The gastric axis is in a normal to slightly cranially deviated position._x000D_
3.The small intestine is normal in size._x000D_
4.The colon contains mild gas and heterogeneous soft tissue material._x000D_
5.The stomach contains minimal gas and is normal in size._x000D_
6.The small intestine contains mild soft tissue, fluid, or is empty._x000D_
7.Resource: https://platform.v2.vetology.net/doc/liver_disease_x000D_
8.The spleen is normal in size.</t>
  </si>
  <si>
    <t>Equivocal microhepatia due to individual variation of normal, or microvascular dysplasia, portosystemic shunting vessel, or chronic hepatitis/cirrhosis.</t>
  </si>
  <si>
    <t xml:space="preserve">
Consider CBC, serum biochemistry and coagulation testing with/without buccal mucosal bleeding time to screen for occult coagulopathy._x000D_
Bile acid testing may be contributory._x000D_
Consider abdominal ultrasonography._x000D_
Empirical therapy and supportive care in the interim._x000D_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</si>
  <si>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11 total images of the thorax, abdomen, and pelvis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and the rugal folds are prominent.  The small intestines are normal in size.  Gas and feces are present in the colon.  The amount of feces are reduced following enema.  Mineral foreign bodies are seen.  The urinary bladder is small.  The remaining abdominal organs are normal.  Osteophytes present on the femoral necks bilaterally and on the left femoral neck.  Coverage of the left femoral head by the acetabulum is reduced.</t>
  </si>
  <si>
    <t>Prominent rugal folds suggestive of gastritis.  This may be secondary to dietary indiscretion based on the history provided.  Concurrent pancreatitis, infiltrative neoplasia, etc. cannot be excluded.  If clinical signs persist with supportive therapy, abdominal ultrasound may be helpful.  Radiographically normal thorax for patient of this age on the view provided.  Moderate left coxofemoral DJD with subluxation.  Mild right coxofemoral DJD.</t>
  </si>
  <si>
    <t xml:space="preserve">
1.Splenomegaly._x000D_
2.Decreased mid-abdominal and diffuse detail._x000D_
3.Hepatomegaly._x000D_
4.The stomach contains gas and soft tissue density material. The small bowel is diffusely gas- and fluid-filled without segmental small bowel dilation.</t>
  </si>
  <si>
    <t>Either lateral OR VD images were auto-identified and underwent AI evaluation for this case. Please see below image(s) to know which image(s) were evaluated. There are several potential etiologies for the AI findings for this case. The most likely is hepatomegaly +/- splenomegaly occupying the mid abdomen and causing organ displacement into the caudal abdomen, resulting in overall loss of serosal margins. This appearance could also be due to severe hepatomegaly +/- hepatic mass causing organ displacement and abdominal fluid. Hepatomegaly and pancreatitis causing decreased mid-abdominal detail can also be considered. Alternative but less likely etiologies include splenomegaly +/- splenic mass causing organ displacement and abdominal fluid, or other mid-abdominal space occupying structures, such as severe gastric distension, lymphadenopathy, or pregnancy causing severe organ displacement or increased abdominal fluid.</t>
  </si>
  <si>
    <t xml:space="preserve">
Blood work and abdominal ultrasound is recommended for further evaluation._x000D_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</si>
  <si>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abdomen are provided. Peritoneal detail is adequate for the trim body condition of this patient. Normal size liver and spleen. The kidneys are obscured. The gastrointestinal tract is minimally filled. No radiopaque foreign material. The urinary bladder is distended and soft tissue opaque. No abnormalities along the plane of the urethra. Punctate mineral density along the cranial margin of the os penis is incidental separate center of ossification. Narrowed L2-3 and L4-5 intervertebral disc spaces, with mineral density overlying the L2-3 intervertebral foramen. Severe degenerative change in the coxofemoral joints. Normal caudal thorax.</t>
  </si>
  <si>
    <t>Normal abdomen. Probable intervertebral disc disease in the lumbar spine. Bilateral coxofemoral osteoarthritis.</t>
  </si>
  <si>
    <t>Ultrasound evaluation of the kidneys could be considered.</t>
  </si>
  <si>
    <t xml:space="preserve">
1.Liver size is borderline small to slightly small._x000D_
2.There is a soft tissue bulge along the margin of the spleen._x000D_
3.Abdominal detail is normal._x000D_
4.The stomach contains a small amount of gas and ingesta. The small bowel is diffusely gas- and fluid-filled without segmental small bowel dilation.</t>
  </si>
  <si>
    <t>Microhepatia. DDx: microvascular dysplasia vs. less likely, chronic hepatitis with cirrhosis. Soft tissue bulge associated with the splenic margin. DDx: true splenic nodule vs. splenic fold. Normal appearing GI tract which does not rule out underlying IBD.</t>
  </si>
  <si>
    <t xml:space="preserve">
Abdominal ultrasound. If abnormal liver values are present or there is clinical suspicion of hepatopathy, pre- and post-prandial bile acids testing should be considered. If GI signs are present, a GI panel, including pancreatic testing, is also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</si>
  <si>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 xml:space="preserve">THORAX (3 images):
Images are dated August 26, 2024.
Pulmonary parenchyma: A minimal to mild diffuse bronchial and minimal interstitial pattern is present.
Pulmonary vasculature: The pulmonary vasculature is subjectively normal in size and tapers in the periphery of the lungs.
Cardiac silhouette: The cardiac silhouette is mildly tall and occupies 2/3 the height of the thorax, with dorsal tracheal displacement.  The caudodorsal margin of the cardiac silhouette is slightly flattened.
Mediastinum: The cranial mediastinum is normal.
Trachea: A slight soft tissue band superimposes over the mid- to caudal cervical trachea.
Esophagus: The esophagus is not well-identified.
Pleural space: The pleural space is normal.
Musculoskeletal: The included musculoskeletal structures are normal.
</t>
  </si>
  <si>
    <t xml:space="preserve">1. Mild left-sided cardiomegaly such as from myxomatous mitral valvular disease and insufficiency or unlikely other.
- There is no current evidence of left-sided congestive heart failure.
2. Minimal diffuse bronchial and interstitial pulmonary patterns due to fibrosis from prior disease, age-related changes, infectious/immune-mediated lower airway disease, artifact, a combination of these, or unlikely other.
3. Slight dorsal redundant tracheal membrane with/without underlying dynamic airway disease, versus superimposed normal structures.  </t>
  </si>
  <si>
    <t>Echocardiography, ECG and blood pressure for further evaluation, especially if a murmur is identified.  Routine blood work, urinalysis, airway sampling, respiratory PCR panel and fecal analysis/empirical deworming may be contributory for further evaluation of coughing.  Monitoring as directed or sooner if clinical signs acutely change, fail to improve or worsen.</t>
  </si>
  <si>
    <t>Study:_x000D_
Abdominal radiography: right lateral and orthogonal views dated August 13, 2024_x000D_
_x000D_
Compared to prior study dated July 3, 2024_x000D_
_x000D_
Findings:_x000D_
The stomach contains unstructured heterogeneous/granular soft tissue material presumed to be ingesta. Similar material is present in some small intestinal segments. The small intestines are normal in size and course. The colon contains formed fecal material with a normal diameter. The liver is severely enlarged with smooth and sharp margins. The severity of the hepatomegaly is similar to the prior examination. On the lateral projection, there is a mild amount of indistinct mineral in the region of the gallbladder. On the right lateral projection, indistinct mineral outlines the gallbladder walls in the right liver. The spleen is normal in size and margin. The renal silhouettes are normal in size and contour. The urinary bladder is normal in size and opacity. There is no uterine dilation. The included thorax is normal. The osseous structures are unremarkable.</t>
  </si>
  <si>
    <t>1. The severe generalized hepatomegaly is nonspecific. Rule out metabolic/vacuolar hepatopathy, multicentric lymphoma, hyperplasia or hepatitis. _x000D_
2. Gallbladder mineral debris plus/minus gallbladder wall mineralization.</t>
  </si>
  <si>
    <t xml:space="preserve">
1.The splenic head is normal size with an irregularity at the ventral abdomen that likely represents summating intestinal loops and splenic tail._x000D_
2.Serosal detail is adequate._x000D_
3.Moderate volume ingesta fills the stomach._x000D_
4.Gas is present within the cecum and colon._x000D_
5.No radiopaque gastrointestinal foreign material is present._x000D_
6.The liver is mild to moderately enlarged with smooth margins.</t>
  </si>
  <si>
    <t>Possible rounded splenic tail likely represents artifact from summating intestinal loops, however, a mass lesion could also be considered. The AI result for this case is most compelling for: Mild hepatomegaly. This is likely due to diabetic or steroid hepatopathy, with other less likely considerations including acute inflammation or infiltrative neoplasia.</t>
  </si>
  <si>
    <t>Three radiographs of the thorax and three views of the abdomen are provided. Images dated 3/7/23 are available for comparison. There is mild left atrial and auricular enlargement. This is slightly larger than on the previous study. Pulmonary vessels are normal size. There are no abnormalities in the pulmonary parenchyma. No pleural effusion. Possible redundant dorsal trachealis membrane in the cervical region, of uncertain significance today. Narrowed caudal cervical intervertebral disc spaces versus normal dependent sloping/curvature of the neck._x000D_
_x000D_
In the abdomen there is gas in the cecum and proximal colon, with formed feces distally. The stomach and small bowel are minimally filled. Normal-sized liver. The left kidney is partially visible and is reduced in size. The right kidney and spleen are obscured. No radiopaque urolithiasis. Narrowed T12-13 intervertebral disc space and punctate mineral density overlying the L4-5 intervertebral foramen as before. Punctate gas lucencies dorsal to the tail base is likely recent injection site.</t>
  </si>
  <si>
    <t>1. Reduced left renal size suggestive of chronic renal disease. Otherwise normal abdomen._x000D_
2. Mild left-sided cardiomegaly, progressed since the previous study and consistent with acquired mitral valve disease. There is no evidence of heart failure. The reason for the clinical signs is not identified.</t>
  </si>
  <si>
    <t>Recommend cranial nerve assessment. Consultation with a neurologist would be recommended if there are confirmed deficits.</t>
  </si>
  <si>
    <t xml:space="preserve">
1.The liver and spleen are within normal limits for size with smooth margins._x000D_
2.No abnormal AI findings reported._x000D_
3.Abdominal detail is normal._x000D_
4.The stomach is mildly gas and fluid filled with some soft tissue density material. The small bowel is gas and fluid-containing. No overt obstruction.</t>
  </si>
  <si>
    <t>ABDOMEN (3 radiographs for review).  A recent examination from August 22, 2024 is available for comparison._x000D_
_x000D_
- Peritoneal serosal detail is normal._x000D_
- The stomach contains mild gas and gas-stippled soft-tissue opaque material_x000D_
- The small intestine contains mild multifocal gas and soft-tissue opaque material_x000D_
- The colon contains gas, soft-tissue/fluid and mild to moderate formed fecal material._x000D_
- The liver, spleen, region of the kidneys and urinary bladder are normal._x000D_
- The caudal thorax is normal_x000D_
- Mild L5-6 vertebral spondylosis deformans.</t>
  </si>
  <si>
    <t>1. The appearance of the stomach, small intestine and colon can be compatible with a non-specific generalized functional ileus (e.g. gastroenterocolitis). There is no evidence of small intestinal foreign material or mechanical obstruction. If clinically indicated (such as if the patient does not improve or worsens despite medical management), abdominal ultrasonography might be considered._x000D_
_x000D_
2. Minimal L5-6 vertebral spondylosis deformans.</t>
  </si>
  <si>
    <t>Three images are provided.
Images are dated August 26, 2024.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has a slight rounded caudoventral margin.  The gastric axis is normal.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soft tissue material and mild admixed gas.  Soft tissue with minimal gas is in the pylorus in the left lateral image.  The small intestine contains mild to moderate fluid, minimal gas, or is empty.  The small intestine has a subjectively uniform population for size. 
The colon contains mild heterogeneous admixed soft tissue material and gas.  The colon is within normal limits for size.  
Musculoskeletal: The included musculoskeletal structures are normal.</t>
  </si>
  <si>
    <t xml:space="preserve">1. Minimal-mild diffuse bronchial pulmonary pattern due to infectious/immune-mediated lower airway disease (such as from mycoplasma spp., bordetella spp., parasitism, or inhaled allergen/irritant), versus fibrosis from prior disease, age-related changes, or less likely a combination of these, or unlikely other.
2. Equivocal hepatomegaly versus artifact/variation of normal.
- If present, consider vacuolar change, nodular hyperplasia, or unlikely cholangiohepatitis/hepatitis, or other.
3. Gastric material due to recent meal, versus gastritis/delayed gastric emptying or given reported history, unlikely pyloric outflow tract obstruction.
4. Non-specific small intestinal appearance such as from variation of normal, or given reported history, unlikely enteritis or other.
</t>
  </si>
  <si>
    <t>Consider respiratory PCR panel, airway sampling, fecal analysis/empirical deworming and routine blood work for further evaluation. Empirical therapy for cough in the interim as needed for reported coughing.  Monitoring as directed, or sooner if clinical signs acutely change, fail to improve or worsen.</t>
  </si>
  <si>
    <t xml:space="preserve">
1.The liver is normal._x000D_
2.Serosal detail in the cranial abdomen is mildly decreased on the lateral projection._x000D_
3.On the VD projection, an increase in soft tissue opacity is noted in the left lateral abdomen. This is attributed to superimposition of the spleen and left kidney. The spleen appears normal on the lateral projection making splenomegaly a secondary consideration._x000D_
4.A minimal quantity of soft tissue dense ingesta is visible in the stomach and there is mild prominence to the gastric rugae._x000D_
5.The small bowel is diffusely gas- and fluid-filled but without segmental bowel dilation._x000D_
6.No intestinal plication is seen.</t>
  </si>
  <si>
    <t>Orthogonal radiographs of the thorax and of the abdomen are provided. The cardiac silhouette and pulmonary vessels are normal size. Round soft tissue density ventral to the tracheal bifurcation on the lateral view is end-on right main pulmonary artery. The lungs are clear. No pleural effusion. Fat deposition in the cranial mediastinum. Normal tracheal diameter. There is T2-3 intervertebral disc space. No thoracic spinal abnormalities. Normal proximal thoracic limbs._x000D_
_x000D_
In the abdomen there is no effusion or organomegaly. The cecum is gas dilated.=ZZ90= Feces fills the descending colon. The stomach and small bowel are minimally filled. There is no radiopaque urolithiasis. Small round soft tissue density ventral to L6 is end-on deep circumflex iliac vessels. Punctate mineral density overlies the L2-3 intervertebral foramen. Mineralized intervertebral disc material in situ at L5-6 is incidental. Normal proximal pelvic limbs.</t>
  </si>
  <si>
    <t>The appearance of T2-3 and L2-3 are both suggestive of intervertebral disc disease. Such a lesion at these or another site is the most likely cause for discomfort. Otherwise normal abdomen and thorax.</t>
  </si>
  <si>
    <t>Recommend a neurologic examination. Consultation with a neurologist and advanced spinal imaging with CT/MRI should be considered if there are confirmed deficits.</t>
  </si>
  <si>
    <t xml:space="preserve">
1.Liver size, shape and margin are normal._x000D_
2.The stomach contains a mild amount of gas and soft tissue density. Small intestines are mildly gas filled._x000D_
3.Abdominal detail is normal._x000D_
4.Splenic size, shape and margin are normal.</t>
  </si>
  <si>
    <t>The AI result for this case is most compelling for: Normal liver, spleen, GI tract and abdominal detail. Gastric contents may represent normal ingesta, however all or a portion of gastric contents may be residual foreign material causing gastritis. No evidence of an obstructive process.</t>
  </si>
  <si>
    <t xml:space="preserve">Three images are provided.
Images are dated August 26, 2024.
Bones/Joints:
The T11-12, T12-13 and suspected L3-4 intervertebral disc spaces are slightly narrow in the ventrodorsal image.
There is no evidence of mineral over the intervertebral foramina.  There is no evidence of intervertebral dorsal articulation osteoarthrosis.
There is no evidence of medullary sclerosis, osteolysis, endosteal scalloping, or periosteal proliferation.
Soft tissues:  The included soft tissues are normal.
</t>
  </si>
  <si>
    <t xml:space="preserve">1. Suspected T11-12, T12-13 and L3-4 intervertebral disc space narrowing/disc disease.
</t>
  </si>
  <si>
    <t>Consider neurologist consultation and MRI for further evaluation of the thoracolumbar spine, especially given reported decline in the face of empirical therapy/supportive care.  Routine blood work and thoracic imaging to screen for occult systemic disease prior to referral and advanced imaging if not recently performed.  Empirical therapy and supportive care in the interim.</t>
  </si>
  <si>
    <t xml:space="preserve">
1.Abdominal serosal detail is normal._x000D_
2.On the VD projection, the stomach contains a small amount of gas and has slightly prominent rugal folds or a small amount of soft tissue. Additionally, there is a round soft tissue shadow in the region of the splenic head which likely represents superimposition of the spleen and left kidney._x000D_
3.The small bowel is gas filled._x000D_
4.No segmental small bowel dilation is noted to suggest obstruction._x000D_
5.The liver is at the upper end of normal range for size._x000D_
6.No abnormal AI findings reported.</t>
  </si>
  <si>
    <t>Orthogonal radiographs of the abdomen are provided. The prostate is severely enlarged and soft tissue opaque. The urinary bladder is mildly filled and soft tissue opaque. Normal-sized spleen, kidneys, liver. Moderate volume of formed feces in the colon. The stomach and small bowel are minimally filled. No osseous abnormalities, and the caudal thorax is normal.</t>
  </si>
  <si>
    <t>Consider prostatomegaly. In a neutered patient this is significantly concerning for prostatic neoplasia. Prostatitis for recent/late neuter could also cause this appearance. No other abdominal abnormalities.</t>
  </si>
  <si>
    <t>If the patient was not neutered recently, recommend thoracic radiographs to rule out pulmonary metastatic disease, and abdominal ultrasound with focus on the prostate.</t>
  </si>
  <si>
    <t>ABDOMEN (3 images):
Images are dated August 26, 2024.
Liver: The liver is subjectively normal in size.
Spleen: The dorsal extremity of the spleen is normal in size with smooth margins and homogeneous soft tissue.
Kidneys: The right kidney is not well-identified without obvious enlargement or mineral.  The left kidney has a slightly concave cranial margin in the ventrodorsal image.
Retroperitoneum: Retroperitoneal detail is adequate.
Urinary bladder/Urethra: The urinary bladder is partially obscured without obvious enlargement or mineral.
Peritoneum: Peritoneal detail is adequate.
Gastrointestinal tract: The stomach contains a moderate volume of heterogeneous soft tissue material admixed with gas.  Soft tissue material admixed with gas is in the pylorus in the left and right lateral images.   The stomach is within normal limits for size.
The small intestine contains mild to moderate gas in the right lateral image.
In the left lateral image, a segment of small intestine in the mid-ventral abdomen is suspiciously focally rounded and contains atypical soft tissue material and has eccentric luminal gas.  A segment of intestine in the craniodorsal abdomen contains moderate gas and fluid, and is not definitively identified as colon.  
The colon contains mild to moderate gas or mild fluid, or is empty.  The colon is within normal limits for size.  
Musculoskeletal: L1 is transitional with a right rib and no left rib.  Suspected healing fractures of the left 7th, 8th and 9th ribs.  T11-12 intervertebral disc space is narrow.  T11-12, T12-13, T13-L1, L1-2, L6-7 and L7-S1 spondylosis deformans is present. The remaining included musculoskeletal structures are normal.
(amended on 08/26/2024 12:43)
Upon further evaluation, in the right lateral image, there is suspicion that a segment of small intestine is superimposed just ventral to the abdominal body wall/pre-pubic tendon.  In the left lateral image, subtle heterogeneous soft tissue and gas is suspected ventral to the body wall at this same site.</t>
  </si>
  <si>
    <t>1. Suspicious for small intestinal foreign material and evolving mechanical ileus/linear foreign body, versus enteritis/functional ileus and passing ingesta.
2. Pyloric foreign material with/without pyloric or pyloroduodenal obstruction, versus recent meal or gastritis/delayed gastric emptying.
3. Possible left renal infarct/chronic renal disease versus artifact or unlikely other.
(amended on 08/26/2024 12:43)
4. Possible caudal inguinal intestinal hernia with/without incarceration, versus artifact from positioning.</t>
  </si>
  <si>
    <t>Consider repeat abdominal radiographs with/without compression images over the suspicious mid-abdominal small intestinal segments, and/or pneumocolonogram for confirmation of the position of the transverse/ascending colon.  Consider also abdominal ultrasonography, especially if additional radiographs are inconclusive.  Alternatively, empirical therapy/supportive care and repeat radiographs after 8-12 hours to monitor for passage of gastric/intestinal content.  Urinalysis and SDAM may be contributory.
If mechanical ileus is confirmed, celiotomy for decompression. Empirical therapy and supportive care in the interim as needed.  Monitoring as directed, or sooner if clinical signs acutely change, fail to improve or worsen.
(amended on 08/26/2024 12:43)
Consider ultrasonography additional to rule out caudoventral body wall/pre-pubic tendon hernia and incarcerated small intestinal segment.</t>
  </si>
  <si>
    <t xml:space="preserve">
1.The colon is normal._x000D_
2.The small bowel contains gas and fluid and is normal in diameter._x000D_
3.The gastric rugae are prominent or contain soft tissue material mimicking prominent gastric rugae._x000D_
4.The spleen is normal in size and shape._x000D_
5.There is a minimal decrease in cranial abdominal detail._x000D_
6.The liver appears small on the lateral projection however this finding can also be artifactual and due to cropping of the cranial liver from the image.</t>
  </si>
  <si>
    <t>Evidence of gastritis or gastric contents mimicking prominent gastric rugae. DDx: normal post-prandial stomach vs. mild paralytic or functional ileus such as from acute gastritis, pancreatitis, increase of the thoracic tone such as from pain or metabolic derangement. Equivocal microhepatia vs. artifact of cropping the cranial portion of the liver from the image. Further evaluation for underlying hepatic disease if liver values and/or pre- and post-prandial bile acids are abnormal. Minimal decrease in cranial abdominal detail. DDx: confluence of soft tissue structures vs. regional inflammation.</t>
  </si>
  <si>
    <t xml:space="preserve">
Virtual Radiologist Case Difficulty: MODERATE_x000D_
Virtual Radiologist Confidence: MODERATE_x000D_
Further evaluation of the liver, stomach and pancreas as clinically and/or biochemically indicated.</t>
  </si>
  <si>
    <t>Three radiographs of the abdomen are provided. There is no peritoneal or retroperitoneal effusion. Small volume gas in the stomach. Small bowel are minimally filled. The cecum is gas dilated. Moderate volume of formed feces in the distal colon. No radiopaque gastrointestinal foreign material or intestinal bunching. The liver, spleen, and kidneys are normal size and shape. Normal caudal thorax. Osseous structures are age-appropriate.</t>
  </si>
  <si>
    <t>Normal abdomen. There is no evidence of radiopaque gastrointestinal foreign material or an obstructive process. Radiolucent foreign material is not ruled out but given lesser consideration in the absence of vomiting.</t>
  </si>
  <si>
    <t xml:space="preserve">
1.No abnormal AI findings reported._x000D_
2.No abnormal AI findings reported._x000D_
3.The liver and spleen are within normal limits for size, with smooth margins._x000D_
4.The small intestine is normal in diameter. No obvious signs of obstruction._x000D_
5.The stomach is partially distended with gas, some fluid and some soft tissue opaque debris.</t>
  </si>
  <si>
    <t>Study:_x000D_
Spinal radiography (including the thorax and abdomen): seven images dated August 26, 2024_x000D_
_x000D_
Findings:_x000D_
The atlantooccipital junction is normal. The dens is intact and well defined. The the atlantoaxial joint space is normal. There is no cervical intervertebral disc space or foraminal narrowing. There is narrowing of the T 10-T 11 intervertebral disc space and mild spondylosis deformans. There is no other apparent intervertebral disc space or foraminal narrowing. There is in situ mineralization of the L6-L7 intervertebral discs. There is no evidence of discospondylitis. The included appendicular skeletal structures are normal. The patient is of overweight body condition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t>
  </si>
  <si>
    <t>1. The intervertebral disc space narrowing at T 10-T 11 may indicate intervertebral disc disease or may be within normal limits for the variation of intervertebral disc space narrowing which can occur at the anticlinal intervertebral disc space._x000D_
2. L6-L7 in situ degenerative disc disease.</t>
  </si>
  <si>
    <t>Neurology consultation and MRI should be considered for further evaluation of the patient=ZZ91=s clinical signs persist or worsen in spite of strict activity restriction and pain management.</t>
  </si>
  <si>
    <t xml:space="preserve">
1.The stomach contains gas._x000D_
2.The small intestines are predominantly gas-filled and normal in diameter._x000D_
3.The colon contains gas and some fecal material._x000D_
4.The liver and spleen are within normal limits._x000D_
5.No abnormal AI findings reported._x000D_
6.Abdominal detail immediately caudal to the stomach is slightly decreased.</t>
  </si>
  <si>
    <t>Abdominal findings compatible with a normal post prandial GI tract and/or aerophagia. If the patient is vomiting, gastroenterocolitis and/or pancreatitis are the primary considerations. There is no evidence of small intestinal mechanical obstruction. Decreased abdominal detail caudal to the stomach. DDx: confluence of soft tissue structures vs. focal abdominal fluid or mesenteric inflammation.</t>
  </si>
  <si>
    <t xml:space="preserve">
Virtual Radiologist Case Difficulty: MODERATE_x000D_
Virtual Radiologist Confidence: MODERATE_x000D_
Blood work and supportive care, as clinically warranted._x000D_
If clinical signs persist despite supportive care, abdominal ultrasound is recommended.</t>
  </si>
  <si>
    <t>7 images of the entire body and spine are presented for review.  The cardiovascular and pulmonary structures are normal.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  There is persistent narrowing of the intervertebral disc space at T12-13.  A femoral head and neck ostectomy has been previously performed on the right.  The left coxofemoral joint is congruent.  No fractures or aggressive osseous lesions are seen.</t>
  </si>
  <si>
    <t>Radiographically normal thorax and abdomen.  Previous right FHO.  Narrowed intervertebral disc space suggestive of intervertebral disc herniation.  This does not rule out intervertebral disc herniation at another site or other causes of spinal cord compression.</t>
  </si>
  <si>
    <t>3 views of the abdomen are provided for review.  Serosal detail is adequate in all quadrants.  The stomach contains a moderate amount of mottled soft tissue material.  The small intestines are normal in size.  Gas is are present in the colon.  The urinary bladder is small.  The remaining abdominal organs are normal.</t>
  </si>
  <si>
    <t xml:space="preserve">
1.The liver is normal._x000D_
2.The spleen is at the upper limits of normal to mildly enlarged on the lateral projection._x000D_
3.There is a focal loss of serosal detail in the cranial abdomen._x000D_
4.The gastric lumen contains a mild amount of soft tissue and gas opacity._x000D_
5.The gastric rugae are prominent._x000D_
6.Portions of the small intestine are dilated with gas or soft tissue opacity._x000D_
7.There is at least one segment of rigid appearing bowel in the mid-abdomen. This segment may represent colon versus small bowel dilation.</t>
  </si>
  <si>
    <t>Loss of cranial abdominal serosal detail. Appearance to the stomach suggestive of gastritis. In the presence of GI symptoms, the appearance of the small intestine and colon is consistent with primary pancreatitis or primary severe enterocolitis, causing secondary functional ileus versus early or partial obstruction.  In a non-vomiting animal, this appearance could be due to aerophagia or heavy sedation/anesthesia. The spleen is at the upper limits of normal to mildly enlarged on the lateral projection. In the majority of cases, this finding is less pronounced on the VD projection. In a minority of cases, the VD or DV abdominal image is horizontally flipped and the spleen is not in the normal location for AI to evaluate. Splenomegaly, if present, could represent lymphoid hyperplasia secondary to abdominal inflammation.</t>
  </si>
  <si>
    <t>Study:_x000D_
Abdominal radiography: three images dated August 26, 2024_x000D_
_x000D_
Findings:_x000D_
The stomach contains gas with the pylorus appropriately gas-filled on the left lateral image. There is heterogeneous soft tissue material in a bowel segment in the mid-ventral abdomen just cranial to the urinary bladder. The remaining balance gas-filled. Some small intestinal loops are on the upper limits of normal for diameter. The descending colon is gas filled. The liver and spleen are normal in size and margin. The renal silhouettes are normal in size and contour. The urinary bladder is unremarkable. There is no prostatomegaly. The included thorax is normal. The patient has multiple, breed associated, congenitally anomalous vertebrae.</t>
  </si>
  <si>
    <t>It is difficult to discern if the heterogeneous soft tissue material seen in the bowel segment cranial to the urinary bladder represents enteric foreign material and/or ingesta versus formed fecal material within the ascending colon. Consider pneumocolonography to better evaluate the course of the colon. Additionally, in-hospital supportive care with repeat radiography in 4 to 6 hours to monitor for persistence or resolution of this finding can be considered. Alternatively, abdominal sonography can be considered for further evaluation.</t>
  </si>
  <si>
    <t xml:space="preserve">
1.The gastric lumen contains a mild amount of soft tissue and gas opacity._x000D_
2.The gastric rugae are prominent._x000D_
3.The liver is normal to small for size._x000D_
4.Portions of the small intestine are dilated with gas or soft tissue opacity._x000D_
5.There is at least one segment of rigid appearing bowel in the mid-abdomen. This segment may represent colon versus small bowel dilation._x000D_
6.The spleen is normal._x000D_
7.There is a focal loss of serosal detail in the cranial abdomen predominantly seen on the lateral projection._x000D_
8.The pyloroduodenal angle is widened on the VD projection and the descending duodenum is rigid and gas or fluid filled.</t>
  </si>
  <si>
    <t>Three radiographs of the thorax/abdomen are provided. The cardiac silhouette and pulmonary vessels are normal size and shape. No abnormalities in the pulmonary parenchyma. There is no pleural effusion or intrathoracic lymphadenomegaly. Increased opacity overlying the mid lungs on the VD projection is superimposed extrathoracic tissue. In the abdomen serosal detail is adequate. Large volume soft tissue opaque ingesta fills the stomach. Small bowel are mildly filled with stippled soft tissue density. The cecum is gas dilated. Normal-sized liver and spleen. The left kidney is normal size. The right kidney is obscured. The urinary bladder is incompletely included but appears to be minimally distended. Osseous structures are unremarkable.</t>
  </si>
  <si>
    <t>Normal thorax and postprandial abdomen. A reason for hypercalcemia is not identified.</t>
  </si>
  <si>
    <t>Recommend digital rectal examination and abdominal ultrasound. Parathyroid glands could be evaluated with ultrasound at the same time.</t>
  </si>
  <si>
    <t xml:space="preserve">
1.No abnormal AI findings reported._x000D_
2.Mineral dense material and distended viscus are present in the region of the uterine horns._x000D_
3.In cases of pregnancy, fetal mineralization indicates fetal age of &gt;45 days._x000D_
4.IMPORTANT: This AI evaluation currently DOES NOT assess for the presence of fetal mummification and/or abnormal gas within or around the fetus (fetal viability) and/or fetal number._x000D_
5.The spleen and abdominal serosal detail are within normal limits._x000D_
6.The stomach is mildly gas and fluid filled with some soft tissue density material. The small bowel is gas and fluid-containing. No obvious obstruction._x000D_
7.The liver is enlarged.</t>
  </si>
  <si>
    <t xml:space="preserve">
Virtual Radiologist Case Difficulty: MODERATE_x000D_
Virtual Radiologist Confidence: MODERATE_x000D_
If clinical signs persist despite supportive care, blood work and abdominal ultrasound could be considered._x000D_
Evaluate fetal skeletal structures on radiographs, via ultrasound or submit for radiology review if fetal number and/or evaluation of fetal viability is needed.</t>
  </si>
  <si>
    <t xml:space="preserve">Three images.
Images are dated August 26, 2024.
Bones/Joints:
The T11-12, T12-13 intervertebral disc spaces are subjectively slightly narrow.  In situ intervertebral disc mineralization is present at T11-12, T12-13, T13-L1, L3-4, L5-6, L6-7 and L7-S1.
There is no evidence of mineral over the intervertebral foramina.  There is no evidence of intervertebral dorsal articulation osteoarthrosis.
There is no evidence of medullary sclerosis, osteolysis, endosteal scalloping, or periosteal proliferation.
Soft tissues:  The included soft tissues are normal.
</t>
  </si>
  <si>
    <t>1. Suspected T11-12, and T12-13 intervertebral disc space narrowing/disc disease.
2. Multifocal in situ intervertebral disc mineralization as above.</t>
  </si>
  <si>
    <t>Consider neurologist consultation and MRI for further evaluation, especially if clinical signs fail to improve or worsen in the face of empiric therapy and supportive care.  Routine blood work and thoracic imaging prior to advanced imaging and referral if not recently performed. Monitoring as directed, or sooner if clinical signs acutely change, fail to improve or worsen.</t>
  </si>
  <si>
    <t xml:space="preserve">
1.Abdominal detail is normal._x000D_
2.Small intestines are minimally distended. No evidence of obstruction._x000D_
3.The liver and spleen are normal size and shape._x000D_
4.The stomach contains small volume gas and equivocal scant soft tissue density._x000D_
5.No abnormal AI findings reported.</t>
  </si>
  <si>
    <t xml:space="preserve">Six images are provided.
Images are dated August 26, 2024.
Bones/Joints:
A small osseous, well-defined body is dorsal to the T10 spinous process.
A dens is present.  There is no evidence of atlantoaxial joint subluxation.
There is no evidence of intervertebral disc space narrowing, or mineral over the intervertebral foramina.  There is no evidence of intervertebral dorsal articulation osteoarthrosis.
Moderate bilateral coxofemoral joint osteoarthrosis.
There is no evidence of medullary sclerosis, osteolysis, endosteal scalloping, or periosteal proliferation.
Soft tissues:  The included soft tissues are normal.
</t>
  </si>
  <si>
    <t>1. Moderate bilateral coxofemoral joint osteoarthrosis.
2. No obvious evidence of intervertebral disc disease.
3.  Mineral body dorsal to T10 due to secondary center of ossification, osteoma/chondroma, dorsal longitudinal ligament mineralization or unlikely other.
- Likely incidental to current presentation.</t>
  </si>
  <si>
    <t>Consider neurologist consultation and MRI for further evaluation of the reported clinical signs if they reoccur, progress or worsen.  Empirical therapy and supportive care in the interim as needed.  Routine blood work and thoracic imaging prior to referral and advanced imaging.  Monitoring as directed or sooner if clinical signs acutely change, fail to improve or worsen.</t>
  </si>
  <si>
    <t xml:space="preserve">
1.Small small-volume amorphous soft tissue opacity is present within the stomach. The small bowel is diffusely gas- and fluid-filled without segmental small bowel dilation._x000D_
2.Liver size, shape and margin are normal._x000D_
3.Splenic size, shape and margin are normal._x000D_
4.Abdominal detail is normal.</t>
  </si>
  <si>
    <t xml:space="preserve">ABDOMEN (3 images):
Images are dated August 26, 2024.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mild to moderate volume of gas.   Soft tissue material with minimal gas is in the pylorus in the left lateral image.  The stomach is within normal limits for size.
The small intestine contains mild to moderate fluid, mild gas and has a subjectively uniform population for size. 
The colon contains mild fluid soft tissue material and gas.  The colon is within normal limits for size.  
Musculoskeletal: The L4-5 intervertebral disc space is slightly narrowed.  The remaining included musculoskeletal structures are normal.
</t>
  </si>
  <si>
    <t>1. Non-specific gastrointestinal tract appearance such as from enteritis, colitis, or unlikely individual variation of normal given reported history.
- There is no current evidence of gastrointestinal mechanical ileus.
- Differential diagnoses include bacterial dysbiosis, dietary indiscretion, toxin ingestion, diet/antibiotic responsive disease, inflammatory bowel disease, pancreatitis, occult systemic disease or unlikely other.
2. Microhepatia versus artifact/individual variation of normal.
- If present, consider occult portosystemic shunt, microvascular dysplasia, or unlikely chronic hepatitis/cirrhosis.
(amended on 08/26/2024 12:13)
3. Gastric material due to recent meal and/or gastritis/delayed gastric emptying, versus foreign material and pyloric outflow tract obstruction.</t>
  </si>
  <si>
    <t>Consider GI panel, fecal analysis/deworming, and routine blood work for further evaluation. If not recently performed. Empirical therapy and supportive care in the interim as needed for gastroenterocolitis/hemorrhagic enterocolitis, possibly a result of recent diet change and dysbiosis.  Consider abdominal ultrasonography and internist consultation if signs fail to improve or worsen.
(amended on 08/26/2024 12:13)
Consider repeat abdominal radiographs after 8-12 hours of empirical therapy/supportive care to monitor for passage of gastric material.</t>
  </si>
  <si>
    <t>Study:_x000D_
Thoracic/abdominal radiography: three images dated August 26, 2024_x000D_
_x000D_
Findings:_x000D_
The cardiac silhouette and pulmonary vasculature are normal in size. The pulmonary parenchyma is unremarkable. The pleural space is normal. There is no intrathoracic lymphadenopathy. The trachea is normal in diameter and course. The esophagus is gas dilated. The stomach contains gas and ill-defined granular soft tissue material presumed to be ingesta. On the left lateral projection, there is a rounded soft tissue opacity the ventral aspect of the pylorus.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There is no prostatomegaly. The osseous structures are unremarkable._x000D_
_x000D_
Human digits are present in the primary beam on the VD view.</t>
  </si>
  <si>
    <t>1. The round soft tissue opacity ventral aspect of the pylorus on the left lateral projection may represent food, foreign material or and intraluminal mass._x000D_
2. The remainder of the abdomen is unremarkable. There is no evidence of small intestinal mechanical obstruction._x000D_
3. Gas dilation of the esophagus may be secondary to aerophagia. An esophageal motility disorder cannot be completely excluded. Correlate with any history of regurgitation.</t>
  </si>
  <si>
    <t>Repeat fasted radiography can be considered to monitor for persistence or resolution of the soft tissue opacity in the pylorus. Alternatively, sonography can be considered if clinical signs persist or worsen in spite of medical management.</t>
  </si>
  <si>
    <t xml:space="preserve">
1.No abnormal AI findings reported._x000D_
2.No abnormal AI findings reported._x000D_
3.The stomach is partially distended with gas, some fluid and some soft tissue opaque debris._x000D_
4.The liver and spleen are within normal limits for size, with smooth margins._x000D_
5.The small intestine is normal in diameter. No obvious signs of obstruction.</t>
  </si>
  <si>
    <t>3 views of the entire body are provided for review.  The trachea is severely narrowed.  The cardiac silhouette is widened with rounding of the right ventricular border.  No pulmonary infiltrates are seen.  The pulmonary vasculature is normal in size.  The mediastinal and pleural structures are normal.  Abdominal serosal detail is adequate in all quadrants.  The liver margins are rounded and extend beyond the costal arch, causing caudal displacement of the gastric axis.  The stomach contains a small amount of gas.  The small intestines are normal in size.  Gas and feces are present in the colon.  The urinary bladder is small.  The remaining abdominal organs are normal.  There is spondylosis deformans of the lumbar spine.</t>
  </si>
  <si>
    <t>Hepatomegaly=ZZ90= this is a nonspecific finding that may be seen with congestion, vacuolar hepatopathy, inflammation, neoplasia, etc.  Abdominal ultrasound may be helpful in further evaluation if biochemically indicated.  Severe tracheal narrowing consistent with tracheal collapse.  Right-sided cardiomegaly concerning for pulmonary hypertension.  Echocardiography may be helpful in further evaluation.</t>
  </si>
  <si>
    <t xml:space="preserve">
1.Splenic size, shape and margin are normal._x000D_
2.The liver is enlarged._x000D_
3.The cecum is gas filled._x000D_
4.The abdomen is pendulous._x000D_
5.Moderate volume ingesta fills the stomach._x000D_
6.No intestinal abnormalities are appreciated.</t>
  </si>
  <si>
    <t>Study:_x000D_
Cervical and thoracic/abdominal radiography: five images dated August 26, 2024_x000D_
_x000D_
Findings:_x000D_
The dens is intact and well defined. The atlantoaxial joint space is normal. There is variable mild to severe cervical and thoracolumbar spondylosis deformans. There is no apparent intervertebral disc space or foraminal narrowing. There is no evidence of discospondylitis. The coxofemoral joints are normal with good coverage of the femoral head by the acetabulum bilaterally. There is mild right stifle periarticular bone formation. There is mild bilateral elbow periarticular bone formation. The cardiac silhouette and pulmonary vasculature are normal in size. The pulmonary parenchyma is unremarkable. The pleural space is normal. There is no intrathoracic lymphadenopathy. The trachea is normal in diameter and course. The stomach contains unstructured heterogeneous/granular soft tissue material presumed to be ingesta. Similar material is present in some small intestinal segments. The small intestines are normal in size and course. The liver extends mildly beyond the costal arch with smooth and sharp margins. The spleen is moderately enlarged with smooth margins. The renal silhouettes are normal in size and contour. Numerous mineral opaque calculi measuring up to 0.75 cm are present in the urinary bladder. The patient is of overweight body condition. Multiple lipomatous masses distorts the subcutaneous tissues.</t>
  </si>
  <si>
    <t>1. Multifocal spondylosis deformans. The spine is otherwise unremarkable. The lack of any apparent intervertebral disc space narrowing does not exclude the possibility of intervertebral disc disease. Neurology consultation and MRI can be considered for further evaluation if the clinical signs persist in spite of ongoing pain management and strict activity restriction._x000D_
2. The generalized hepatomegaly is nonspecific. Rule out metabolic/vacuolar hepatopathy, hyperplasia, hepatitis or infiltrative neoplasia. Sonography can be considered for further evaluation._x000D_
3. The generalized splenomegaly is nonspecific. Rule out extramedullary hematopoiesis, lymphoid hyperplasia, splenitis, congestion (of higher priority if sedated for radiographs) or infiltrative neoplasia. Sonography can be considered for further evaluation._x000D_
4. Cystolithiasis. Recommend urinalysis for further evaluation._x000D_
5. Mild bilateral elbow osteoarthrosis._x000D_
6. Mild right stifle osteoarthrosis.</t>
  </si>
  <si>
    <t>Three radiographs of the thorax and of the abdomen are provided. Images dated 11/22/21 are available for comparison. There is equivocal prominence of the left atrium, not present previously. Pulmonary vessels are normal size. Mild age-related changes are present in the lungs. There is no pleural effusion. Normal tracheal diameter. Soft tissue thickening dorsal to the scapulae is consistent with subcutaneous fluid administration._x000D_
_x000D_
In the abdomen the liver is mildly enlarged as before. Caudal hepatic margins are rounded. Normal size kidneys, with punctate nephroliths as before. The spleen is normal size. Punctate cystic calculus. The gastrointestinal tract is minimally filled. There are no vertebral abnormalities. One of the patellas is likely medially displaced.</t>
  </si>
  <si>
    <t>1. The liver is mildly enlarged as before. New development, hepatic margins are rounded. Chronic hepatopathy is most likely. Acute inflammation or neoplasia are given lesser consideration. This should be correlated with blood work._x000D_
2. Punctate cystic calculus, of a size that should be able to pass the urethra._x000D_
3. Equivocal mild left atrial enlargement suggestive of acquired mitral valve disease. This is of doubtful clinical significance today. Otherwise normal thorax._x000D_
4. Probable medial patellar luxation.</t>
  </si>
  <si>
    <t>Recommend a CBC and blood chemistry profile to further workup the enlarged/rounded liver.</t>
  </si>
  <si>
    <t xml:space="preserve">
1.No abnormal AI findings reported._x000D_
2.No abnormal AI findings reported._x000D_
3.The liver and spleen are prominent, but not pathologically enlarged._x000D_
4.The stomach is mildly gas and fluid filled with some soft tissue density material. The small bowel is gas and fluid-containing. No obvious obstruction._x000D_
5.Serosal detail is adequate.</t>
  </si>
  <si>
    <t>4 images of the abdomen are provided for review.  Serosal detail is adequate in all quadrants.  The stomach contains a small amount of irregular soft tissue material.  The small intestines are normal in size.  Gas is present in the colon.  The urinary bladder is small.  The remaining abdominal organs are normal.</t>
  </si>
  <si>
    <t xml:space="preserve">
1.Serosal detail is normal._x000D_
2.Small intestines are diffusely mild to moderately filled with fluid and gas. No convincing obstruction._x000D_
3.The stomach contains small volume fluid and gas._x000D_
4.No abnormal AI findings reported._x000D_
5.The liver and spleen appear within normal limits.</t>
  </si>
  <si>
    <t>7 images of the abdomen are provided for review.  Serosal detail is adequate in all quadrants.  The stomach contains a small amount of gas and the rugal folds are prominent.  The small intestines are normal in size.  Gas is present in the colon.  The urinary bladder is small.  The remaining abdominal organs are normal.</t>
  </si>
  <si>
    <t>Prominent rugal folds suggestive of gastritis.  This does not rule out underlying pancreatitis, inflammatory bowel disease, food allergy, etc.</t>
  </si>
  <si>
    <t>Based on chronicity of clinical signs, abdominal ultrasound could be considered in further evaluation.</t>
  </si>
  <si>
    <t xml:space="preserve">
1.There is formed fecal material within the colon._x000D_
2.Liver size, shape and margin are normal._x000D_
3.Splenomegaly is present but a splenic mass is NOT detected._x000D_
4.The small intestine is uniform in diameter containing both fluid and gas. No segmental small bowel dilation is noted._x000D_
5.Cranial abdominal detail is mildly decreased.  If this is the only finding, this is more likely due to normal overlying structures or radiographic technique. If this finding is part of a larger group of findings, cranial abdominal inflammation becomes a stronger consideration._x000D_
6.The stomach is minimally distended.</t>
  </si>
  <si>
    <t>Four orthogonal thoracic radiographs dated 24th August 2024 are available for review. There are no previous radiographs available for comparison. _x000D_
_x000D_
Airway findings: There is mild elevation of the thoracic trachea. There is widening of the tracheal bifurcation. Throughout the lung parenchyma there is a moderate bronchointerstitial opacification._x000D_
_x000D_
Cardiovascular findings: There is a moderate sized smoothly marginated soft tissue opacity contiguous with the caudal dorsal border of the cardiac silhouette. A soft tissue opacity is superimposed on the caudal cardiac silhouette in the dorsoventral image.  The overall cardiac silhouette is still within normal limits. The pulmonary vessels as well as the mainstem vasculature are normal._x000D_
_x000D_
_x000D_
_x000D_
Mediastinum and pleural space: No significant abnormalities are detected._x000D_
_x000D_
Musculoskeletal findings: No significant abnormalities are detected._x000D_
_x000D_
Included abdomen: No significant abnormalities are detected.</t>
  </si>
  <si>
    <t>1.Diffuse bronchointerstitial pattern: Consideration should be given to normal ageing, allergic bronchitis, chronic bacterial /viral or environmental bronchitis +/- parasitic bronchitis. Less likely are heart worm, hyperardenocorticism, eosinophilic bronchopneumopathy, fungal bronchitis, neoplasia (such a lymphoma) or idiopathic pulmonary fibrosis._x000D_
2. Left atrial dilation with mild left-sided cardiomegaly. This is most likely due to mixoid degeneration of the mitral valve. There is no evidence for cardiac insufficiency.</t>
  </si>
  <si>
    <t>Respiratory workup including CBC, serum chemistry, urinalysis, Baermann faecal testing, 4DX, +/- respiratory panel as indicated is advised.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 Evaluate for upper airway disease as clinically indicated._x000D_
Radiography is insensitive for early cardiac insufficiency, therefore ECG, blood pressure measurements, and echocardiography may be considered for further evaluation, or baseline measurements.</t>
  </si>
  <si>
    <t>Three radiographs of the abdomen are provided. The patient is listed as spayed on this request but appears to be intact. There is a large (5.4 cm diameter) fluid dilated tubular structure in the caudal abdomen between the colon and urinary bladder on the lateral views. Tubular fluid dilated structures are seen on either side of the abdomen on the VD view. The gastrointestinal tract is minimally filled. No radiopaque urolithiasis. Possible mild medial iliac lymphadenomegaly. Normal size liver, spleen, kidneys. There is moderate coxofemoral osteoarthritis, with poor coverage of the femoral heads by the dorsal acetabular rims bilaterally.</t>
  </si>
  <si>
    <t>Severely fluid dilated uterus most consistent with pyometra. Mucometra or hydrometra are given lesser consideration. Bilateral hip dysplasia with subluxation.</t>
  </si>
  <si>
    <t>Recommend surgical intervention for pyometra, with ovariohysterectomy.</t>
  </si>
  <si>
    <t xml:space="preserve">
1.The G.I. tract is difficult to fully evaluate, in a small subset of cases, severe gastric distension may be present._x000D_
2.Pendulous abdomen._x000D_
3.There is diffusely increased soft tissue opacity and decreased abdominal detail. This is likely of splenic origin, but hepatomegaly is also considered. Abdominal distention is also present._x000D_
4.There is loss of detail in the abdomen that may represent abdominal fluid, mid-abdominal mass and/or be a component of visceral crowding.</t>
  </si>
  <si>
    <t>There are several potential etiologies for the AI findings for this case. The most likely is splenomegaly or splenic mass +/- hepatomegaly occupying the mid abdomen and causing organ displacement into the caudal abdomen, resulting in overall loss of serosal margins. This appearance could also be due to severe splenomegaly +/- splenic mass causing organ displacement and abdominal fluid, or severe abdominal fluid only obscuring organ evaluation. Alternative but less likely etiologies include severe pancreatitis causing inflammation in the mid abdomen, or other mid-abdominal space occupying structures, such as severe gastric distension, lymphadenopathy, or pregnancy causing severe organ displacement and/or increased abdominal fluid. Either lateral OR VD images were auto-identified and underwent AI evaluation for this case. Please see below image(s) to know which image(s) were evaluated.</t>
  </si>
  <si>
    <t xml:space="preserve">
Blood work and abdominal ultrasound are recommended for further evaluation._x000D_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</si>
  <si>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WHOLE-BODY (4 total radiographs for review). _x000D_
_x000D_
- Peritoneal serosal detail is reduced, particularly in the cranial abdomen_x000D_
- The liver is mildly enlarged, with rounded margins._x000D_
- The spleen is mildly to moderately enlarged, with rounded margins._x000D_
- The stomach contains mild gas and gas-stippled soft-tissue opaque material_x000D_
- The small intestine contains mild multifocal gas and soft-tissue opaque material_x000D_
- The colon contains gas, soft-tissue/fluid and moderate formed fecal material._x000D_
- The region of the kidneys and urinary bladder are normal._x000D_
- The region of the sublumbar lymph nodes is normal._x000D_
- There is a ventrally distributed, wedge-shaped alveolar pattern in the region of the caudal subsegment of the left cranial lung lobe._x000D_
- On the VD projection, there is a moderate widening of the cranial aspect of the cranial mediastinum._x000D_
- Very mild, questionable increase in soft tissue opacity in the region of the carina/tracheobronchial lymph nodes._x000D_
- Mild multifocal vertebral spondylosis deformans._x000D_
- Moderate lumbosacral spondylosis deformans._x000D_
- Bilateral stifle osteoarthritis (limited assessment).</t>
  </si>
  <si>
    <t>1.  In combination with the history of marked peripheral lymphadenopathy, there are multiple findings in this examination that raise concern for multicentric round cell neoplasia (such as lymphoma):_x000D_
_x000D_
2.  Hepatosplenomegaly can indicate neoplastic infiltration of these organs or alternatively represent benign etiologies, such as for the liver vacuolar/metabolic hepatopathy and for the spleen congestion from sedation or lymphoid hyperplasia.  I would recommend considering abdominal ultrasonography and ultrasound-guided fine-needle aspiration of the parenchyma of these organs for further evaluation._x000D_
_x000D_
3.  Widening of the cranial mediastinum raises concern for cranial mediastinal lymphadenopathy._x000D_
_x000D_
4.  Questionable, mild tracheobronchial lymphadenopathy._x000D_
_x000D_
5.  Ventrally distributed alveolar pulmonary pattern in the left cranial lung lobe radiographically would be most compatible with aspiration pneumonia, especially given there is a history of vomiting.  I would recommend considering treating this patient for pneumonia and rechecking the thoracic radiographs to reevaluate the degree of pulmonary opacification with therapy._x000D_
_x000D_
6. Lumbosacral and multifocal vertebral spondylosis deformans._x000D_
_x000D_
7. Stifle osteoarthritis (limited)</t>
  </si>
  <si>
    <t>Consultation with a veterinary oncologist may be of high clinical benefit in this case.  A whole-body CT may be useful for global staging/screening.</t>
  </si>
  <si>
    <t>Study:_x000D_
Thoracic radiography: right lateral and VD views (two images) dated August 24, 2024_x000D_
_x000D_
Abdominal radiography: left lateral projection dated August 24, 2024_x000D_
_x000D_
Findings:_x000D_
The cardiac silhouette and pulmonary vasculature are normal in size. There is a mild generalized bronchial pulmonary pattern. The pleural space is normal. There is no intrathoracic lymphadenopathy. The trachea is normal in diameter and course. Evaluation the abdomen is limited by the lack of a VD view. The abdominal serosal detail is normal. The stomach contains heterogeneous soft tissue material. The pylorus is appropriately gas-filled on the left lateral image. The small intestines are normal in size, course and content. The colon contains formed fecal material with a normal diameter. The liver is small with associated cranial rotation of the gastric axis. The spleen is normal in size and margin. The renal silhouettes are normal in size and contour. The urinary bladder is normal in size and opacity. There is no prostatomegaly. The osseous structures are unremarkable.</t>
  </si>
  <si>
    <t>1. The mild generalized bronchial pulmonary pattern may indicate allergic, inflammatory, infectious, parasitic or irritant bronchitis. Infectious respiratory disease PCR testing, airway sampling, heartworm testing and Baermann fecal flotation can be considered for further evaluation._x000D_
2. Gastric contents likely represent ingesta. Foreign material cannot be completely excluded. There is no evidence of small intestinal mechanical obstruction._x000D_
3. Microhepatia. Rule out normal variant, vascular anomaly or chronic hepatitis/cirrhosis. Correlate with any liver enzyme abnormalities. Abdominal sonography and bile acid testing can be considered for further evaluation if clinically relevant.</t>
  </si>
  <si>
    <t xml:space="preserve">
1.Splenic size, shape and margin are normal._x000D_
2.Liver size, shape and margin are normal._x000D_
3.Abdominal detail is normal._x000D_
4.Gas containing stomach with segmental gas distension involving bowel loops.</t>
  </si>
  <si>
    <t>ABDOMEN (3 radiographs are available for review). A previous study is available for comparison from 2018._x000D_
_x000D_
- Peritoneal serosal detail is normal._x000D_
- The liver is moderately enlarged, with rounded margins._x000D_
- The stomach contains mild gas and soft-tissue opaque material._x000D_
- The small intestine is non-distended and mostly homogeneously soft-tissue opaque._x000D_
- The cecum and colon contain mild gas and formed fecal material._x000D_
- The spleen, kidneys and urinary bladder are normal._x000D_
- The caudal portion of the thorax is normal._x000D_
- Transitional lumbosacral vertebral segment (partial fusion of the transverse processes of L7 to the wings of the iliums)._x000D_
- Transitional thoracolumbar vertebral segment (bilateral ill-defined hypoplastic ribs).</t>
  </si>
  <si>
    <t>1. Overall, an obvious cause for the reported vomiting and diarrhea is not clearly identified. The appearance of the stomach can reflect aerophagia, and the colon (mostly empty, with poorly formed fecal material) could support colitis, however radiographic sensitivity for these pathologies can be limited. If clinically indicated, consider abdominal ultrasonography for further assessment. _x000D_
_x000D_
2. Moderate hepatomegaly. DDx benign (vacuolar) hepatopathy, less likely hepatitis, hepatic congestion or neoplasia._x000D_
_x000D_
3. Transitional thoracolumbar and lumbosacral vertebral segments.</t>
  </si>
  <si>
    <t>Five orthogonal radiographs of the abdomen dated 24th August 2024 are available for review. There are no previous radiographs available for comparison. _x000D_
_x000D_
Intra-abdominal findings: The stomach contains a moderate amount of heterogenous soft tissue opaque material interspersed with mineral opacities. The small intestines also contain a mixture of gas, irregular soft tissue opaque material, mineral opacities, and fluid. No segmental dilation is noted. The descending colon contains poorly formed faeces.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</si>
  <si>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The overall impression is one of enteritis/colitis.  This may be due to dietary indiscretion, or infectious-inflammatory causes. The very heterogenous contents of the stomach would indicate dietary indiscretion. This needs to be correlated with time of last feeding and nature of feeding. There is no evidence of a mineral opaque foreign body, or complete mechanical obstruction.</t>
  </si>
  <si>
    <t>Supportive management including rehydration, gastroprotectants,  full blood work, faecal analysis if clinically indicated is advised, if not already performed. Repeat 3-view post fasting radiographs depending on clinical progression or consider an abdominal ultrasound.</t>
  </si>
  <si>
    <t xml:space="preserve">
1.The liver is mildly to moderately enlarged._x000D_
2.The caudal ventral liver margin is rounded._x000D_
3.There is ill defined increased opacity in the region of the body of the pancreas, although this might be an artifact caused by superimposition of right-sided liver enlargement._x000D_
4.The spleen is normal for size and shape._x000D_
5.No small bowel obstruction is identified._x000D_
6.No abnormal AI findings reported.</t>
  </si>
  <si>
    <t>The AI result for this case is most compelling for:  Hepatomegaly, which can be see with a variety of diffuse hepatopathies including metabolic/inflammatory, endocrine associated hepatopathies, intrinsic metabolic hepatopathies, or neoplasia. There is a vague increase in opacity in the region of the body of the pancreas. This may be a result of possible pancreatic mass lesion or superimposition artifact from the liver enlargement.</t>
  </si>
  <si>
    <t xml:space="preserve">
Virtual Radiologist Case Difficulty: MODERATE_x000D_
Virtual Radiologist Confidence: MODERATE_x000D_
Ultrasound evaluation of the cranial abdomen to rule out a primary tumor involving the liver or pancreas is recommended.</t>
  </si>
  <si>
    <t>Three abdominal radiographs dated August 23, 2024 are provided, with follow-up images obtained approximately 15 hours later on August 24, 2024. On the August 23 images, there is no peritoneal or retroperitoneal effusion. Scant gas in the stomach. Small intestines are predominantly minimally distended with fluid and gas. There is a loop of moderately dilated small bowel containing soft tissue density that is stippled with gas in the caudal right abdomen. The cecum is gas dilated. Formed feces is present in the colon. Normal-sized liver, spleen, kidneys. The urinary bladder is minimally distended. No prostatomegaly. Normal caudal thorax._x000D_
_x000D_
On the follow-up images obtained on August 24, 2024, there is no effusion. Small volume gas in the stomach. The appearance of scant stippled soft tissue density overlying gastric fundus only on the VD projection. Small and large bowel are diffusely minimally distended, with no evidence of the granular soft tissue density previously seen within a loop of small bowel. Normal caudal thorax.</t>
  </si>
  <si>
    <t>Small intestinal foreign material on August 23, 2024, which is no longer present on the follow-up images. Scant amorphous soft tissue density in the stomach on the follow-up images is most likely fluid/mucus and normal rugal folds. If the vomiting was persistent, I would be concerned about small radiolucent gastric foreign material causing gastritis and pyloric outflow obstruction.</t>
  </si>
  <si>
    <t>If GI signs have resolved, no further treatment is necessary. If vomiting is persistent, a positive contrast gastrogram could be considered.</t>
  </si>
  <si>
    <t xml:space="preserve">
1.The spleen is positioned along the left body wall._x000D_
2.The peritoneal serosal detail is normal._x000D_
3.The stomach is contains a mild amount of food material, and has a mildly caudally displaced axis._x000D_
4.The small intestines contain an increased amount of gas for a feline patient._x000D_
5.The transverse colon is moderately gas dilated._x000D_
6.The hepatic silhouette is mildly enlarged, with smooth margins._x000D_
7.The descending colon contained some poorly formed faeces and gas.</t>
  </si>
  <si>
    <t>Study:_x000D_
Abdominal radiography: four images dated August 24, 2024_x000D_
_x000D_
Findings:_x000D_
The serosal detail is normal. The stomach some small intestinal segments contain a small amount of granular soft tissue material presumed to be ingesta. The small intestines are otherwise gas and fluid-filled and normal in size and course the small intestines are normal in size, course and content. The colon contains formed fecal material. The liver and spleen are normal in size and margin. The kidneys are normal in size and contour. The urinary bladder is normal in size and opacity. The included thorax is unremarkable. No skeletal abnormalities are present. There is no intervertebral disc space or foraminal narrowing.</t>
  </si>
  <si>
    <t>Unremarkable abdomen. A cause of vomiting is not evident. There is no evidence of small test mechanical obstruction. Abdominal sonography can be considered if clinical signs persist or worsen in spite of medical management.</t>
  </si>
  <si>
    <t xml:space="preserve">
1.No abnormal AI findings reported._x000D_
2.The stomach appears within normal limits. The small bowel contains a mild amount of gas. No obvious signs of obstruction._x000D_
3.Serosal detail is adequate._x000D_
4.The liver is mildly enlarged with normal shape and smooth margins.</t>
  </si>
  <si>
    <t>WHOLE-BODY (2 radiographs are available for review)._x000D_
_x000D_
- Peritoneal serosal detail is normal._x000D_
- The stomach contains moderate gas and mild soft-tissue opaque material. The gastric rugal folds are prominent._x000D_
- The small intestine is mildly diffusely distended with homogeneous soft-tissue opacity and contains a small volume of gas._x000D_
- The cecum contains mild gas._x000D_
- The colon contains gas-stippled soft-tissue opaque material and gas._x000D_
- The liver appears to be small, resulting in a cranial transposition of the gastric axis._x000D_
- The spleen, kidneys and urinary bladder are unremarkable._x000D_
- There is a soft-tissue opaque band overlying the dorsal portion of the trachea in the region of the thoracic inlet._x000D_
- The cardiac silhouette, pulmonary vasculature, pleural space and remaining intrathoracic structures are normal._x000D_
- L4-5 intervertebral disc space narrowing with endplate sclerosis and spondylosis deformans._x000D_
- The remaining musculoskeletal structures are normal.</t>
  </si>
  <si>
    <t>1. The appearance of the stomach and small intestine can be compatible with a combination of aerophagia (stomach) and non-specific generalized functional ileus (e.g. gastroenteritis). There is no evidence of foreign material or mechanical obstruction. The changes could be secondary to pancreatitis, however no obvious pancreatic enlargement or cranial abdominal mass effect is/are appreciated. If clinically indicated, consider abdominal ultrasonography for further assessment._x000D_
_x000D_
2. The impression of a small liver can be a normal patient variant, or represent chronic hepatic disease (e.g. portosystemic shunt, hepatitis, hepatic fibrosis/cirrhosis)._x000D_
_x000D_
3. Fairly unremarkable thorax with soft-tissue opaque dorsal tracheal band, either representing redundancy of the trachea membrane, overlying esophagus and/or tracheal collapse._x000D_
_x000D_
4. L4-5 intervertebral disc disease.</t>
  </si>
  <si>
    <t xml:space="preserve">
1.Serosal detail within the peritoneal space is normal._x000D_
2.The stomach contains a small amount of soft tissue opaque material._x000D_
3.Mild microhepatia is present along with cranial positioning to the pylorus on the lateral projection. Splenic size, shape and margin are normal._x000D_
4.No abnormal AI findings reported._x000D_
5.Resource: https://platform.v2.vetology.net/doc/liver_enzymes_and_tests_x000D_
6.The small bowel contains gas and fluid and is normal in diameter._x000D_
7.The colon contains scant fecal material and gas.</t>
  </si>
  <si>
    <t>Study:_x000D_
Abdominal radiography: three images dated August 24, 2024_x000D_
_x000D_
Findings:_x000D_
The stomach and some small intestinal segments contain a small amount of unstructured heterogeneous/granular soft tissue material presumed to be ingesta. The small intestines are normal in size and course. The colon contains formed fecal material with a normal diameter. The liver and spleen are normal in size and margin. The renal silhouettes are normal in size and contour. The urinary bladder is unremarkable. There is no prostatomegaly. The included thorax is normal. The osseous structures are unremarkable.</t>
  </si>
  <si>
    <t>Postprandial gastrointestinal tract=ZZ90= otherwise, unremarkable abdomen. A cause of the reported weight loss, lethargy and hyporexia is not evident.</t>
  </si>
  <si>
    <t>Consider abdominal sonography and a G.I. panel for further evaluation if clinical signs persist or worsen in spite of medical management.</t>
  </si>
  <si>
    <t>Study:_x000D_
Thoracic/abdominal radiography: three images dated August 24, 2024_x000D_
_x000D_
Findings:_x000D_
The cardiac silhouette and pulmonary vasculature are normal in size. The pulmonary parenchyma is unremarkable. The pleural space is normal. There is no intrathoracic lymphadenopathy. On the right lateral view, there is a broad-based soft tissue opaque band superimposed with the dorsal aspect of the cervical trachea lumen representing either a redundant dorsal tracheal membrane or superimposition of the esophagus. The trachea is normal in diameter and course. The stomach contains a small amount of unstructured heterogeneous soft tissue material. The small intestines contain fluid and smoothly marginated fragmented gas. Some small intestinal segments also contain a small amount of granular soft tissue material. The small intestines are normal in size and course. The colon contains formed fecal material. The liver is normal in size and margin. Too numerous to count small mineral opacities are clustered in the region of the gallbladder. The spleen is normal in size and margin. The kidneys are normal in size but both have mildly irregular margination. The urinary bladder is normal in size and opacity. The osseous structures are unremarkable.</t>
  </si>
  <si>
    <t>1. The unstructured heterogeneous soft tissue material in the stomach and small amount of granular soft tissue material in the small intestines likely indicates ingesta. Foreign material cannot be completely excluded. The smoothly marginated fragmented gas pattern seen in the small intestines can be an indicator of nonspecific enteritis. There is no evidence of small intestinal mechanical obstruction. Repeat fasted radiography can be considered to ensure gastrointestinal emptying if quickly relevant based on recent dietary history. Alternatively, sonography can be considered if clinical signs persist or worsen in spite of medical management._x000D_
2. Cholelithiasis._x000D_
3. The mild irregularity the kidneys is likely secondary to the reported chronic kidney disease. Cortical infarction is also possible._x000D_
4. Normal thorax. There is no radiographic evidence of cardiopulmonary disease.</t>
  </si>
  <si>
    <t>ABDOMEN (3 radiographs are available for review)._x000D_
_x000D_
- Peritoneal serosal detail is normal._x000D_
- The stomach is moderately distended with a mixture of gas-stippled soft-tissue opaque material and gas._x000D_
- The small intestine contains mild multifocal gas and soft-tissue opaque material._x000D_
- The colon contains a relatively large volume of mineralized formed fecal material._x000D_
- The liver, spleen, kidneys and urinary bladder are normal._x000D_
- The caudal portions of the thorax is unremarkable._x000D_
- There are multiple breed-related caudal thoracic hemivertebral segments and fusion of the thoracic spinous processes._x000D_
- Mineralized L6-7 intervertebral disc in situ._x000D_
- Lumbosacral spondylosis deformans._x000D_
- The sacrum is a butterfly vertebra._x000D_
- Congenital screw-tail vertebral anomaly._x000D_
- Mild bilateral coxofemoral osteoarthritis, characterized mostly by femoral neck thickening.</t>
  </si>
  <si>
    <t>1. Overall, a discrete radiographic cause for the reported early morning vomiting is not clearly identified. The gastrointestinal tract is fairly unremarkable, besides the content in the stomach (which may be food, foreign material or a combination of both) and moderate constipation. There is no evidence of mechanical obstruction. If indicated, consider abdominal ultrasound for further evaluation._x000D_
_x000D_
2. Multiple caudal thoracic hemivertebrae, thoracolumbar spondylosis deformans, L6-7 mineralized intervertebral disc in situ, sacral butterfly vertebra, and congenital screw-tail vertebral anomaly._x000D_
_x000D_
3. Mild bilateral coxofemoral osteoarthritis.</t>
  </si>
  <si>
    <t xml:space="preserve">
1.No effusion is present._x000D_
2.The stomach and bowel are normal._x000D_
3.No abnormal AI findings reported._x000D_
4.The liver and spleen are normal.</t>
  </si>
  <si>
    <t>WHOLE-BODY (2 radiographs are available for review)._x000D_
_x000D_
- The patient has a thin body condition._x000D_
- The stomach is moderate distended with gas-stippled soft-tissue opaque material and a small volume of gas._x000D_
- The small intestine contains mild multifocal gas and soft-tissue opaque material. Several segments confer an appearance of mildly thickened walls._x000D_
- The colon contains moderate gas and poorly-formed, gas-stippled soft-tissue opaque material._x000D_
- The liver, kidneys, spleen and urinary bladder are normal._x000D_
- The cardiac silhouette, pulmonary vasculature, pleural space, trachea, mediastinum and remaining intrathoracic structures are normal._x000D_
- There are numerous intervertebral discs that are mineralized in situ in the caudal thoracic, thoracolumbar and cranial lumbar regions, as well as at the lumbosacral junction.</t>
  </si>
  <si>
    <t>1. The appearance of the gastrointestinal tract, particularly the small intestine, is compatible with a functional ileus. This could be enteritis, however given the patient=ZZ91=s chronic history and weight loss reported, infiltrative bowel disease (e.g. immune-mediated enteropathy, less likely round-cell neoplasia) is considered in this case. There is no evidence of mechanical obstruction or foreign material identified. I would recommend abdominal ultrasonography in this patient, as well as considering internal medicine consultation for continued evaluation._x000D_
_x000D_
2. Post-prandial stomach._x000D_
_x000D_
3. Normal thorax._x000D_
_x000D_
4. Numerous intervertebral discs mineralized in situ (thoracolumbar region and lumbosacral junction)._x000D_
_x000D_
5. Thin body condition.</t>
  </si>
  <si>
    <t xml:space="preserve">
1.Portions of the colon have a rigid appearance._x000D_
2.Small volume gas and fluid are present within the colon._x000D_
3.The gastric rugae are prominent._x000D_
4.The descending duodenum contains a small amount of gas and has a rigid appearance. The remainder of the small intestines are minimally distended._x000D_
5.The liver and spleen are normal size._x000D_
6.Mid abdominal detail is mildly decreased and this may be secondary to abdominal inflammation secondary to primary GI disease._x000D_
7.No abnormal AI findings reported.</t>
  </si>
  <si>
    <t>Colitis Less severe gastroenteritis suspected. These changes may be primary or potentially secondary to low grade pancreatitis. Decreased abdominal detail. Mesenteric inflammation secondary to GI +/- low grade pancreatitis suspected.</t>
  </si>
  <si>
    <t>4 views of the torso are submitted for review.  There is subjective mild narrowing of the intervertebral disc space at L1-2.  No other definitive abnormalities are seen in the cervical, thoracic, or lumbar spine.  The coxofemoral joints are within normal limits.  No abnormalities are noted in the limited views of the stifles._x000D_
In the abdomen, the same contains a mild amount of gas.  The small bowel is within normal limits.  Formed stool is noted throughout the colon.  The liver is mildly prominent extending mild the costal arch.  The spleen appears within normal limits.  The bilateral renal silhouettes are within normal limits.  The urinary bladder is unremarkable.  Serosal detail is normal._x000D_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t>
  </si>
  <si>
    <t>Intervertebral disc disease at L1-2 is suspected.  However, occult intervertebral disc disease anywhere along the thoracic or lumbar spine cannot be excluded._x000D_
Mild hepatomegaly.  Differentials include vacuolar hepatopathy or less likely inflammation, venous congestion, or neoplasia._x000D_
Radiographically normal thorax.</t>
  </si>
  <si>
    <t>Empirical medical management may be helpful in the short-term.  If clinical signs persist or if surgical remedies are contemplated, cross-sectional imaging of the thoracolumbar spine appears indicated.  Correlation of the findings in the liver with lab work and potentially abdominal ultrasound could also be considered.</t>
  </si>
  <si>
    <t>Study:_x000D_
Thoracic/abdominal radiography: left lateral and DV views (two images dated August 24, 2024_x000D_
_x000D_
Findings:_x000D_
There is severe left ventricular and left atrial enlargement. The pulmonary vasculature is normal in size. There is an unstructured interstitial pulmonary pattern in the caudodorsal lung fields, more pronounced on the right. On the DV projection, there is an interstitial to alveolar pattern in the right cranial lung lobe. This finding is not repeatable on the left lateral view. The pleural space is normal. There is no intrathoracic lymphadenopathy. The trachea is normal in diameter. There is no apparent lobar bronchi narrowing.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There is no prostatomegaly. The osseous structures are unremarkable.</t>
  </si>
  <si>
    <t>1. Severe left-sided cardiomegaly, secondary to the previously diagnosed mitral valve disease, with likely decompensated congestive heart failure/cardiogenic pulmonary edema. Recommend repeat echocardiography for further evaluation. Diuretic therapy with repeat radiography to monitor for response to treatment is recommended in the interim._x000D_
2. The interstitial to alveolar pattern in the right cranial lung lobe on the DV view may be secondary atelectasis given the lack of repeatability on the left lateral view. Pneumonia cannot be completely excluded._x000D_
3. There is no apparent main pulmonary or lobar arterial enlargement associated with the reported pulmonary hypertension._x000D_
4. Unremarkable abdomen.</t>
  </si>
  <si>
    <t xml:space="preserve">
1.Abdominal detail is decreased which may be secondary to organ crowding and/or abdominal fluid._x000D_
2.The ventral abdominal line is pendulous._x000D_
3.The colon is normal._x000D_
4.The stomach is caudally displaced by the hepatomegaly. No dilation of the stomach or small intestine is identified._x000D_
5.There is increased soft tissue opacity in the splenic region. This may be secondary to splenomegaly, a splenic mass or caudal extension of the liver into the splenic region._x000D_
6.The liver is enlarged with asymmetric enlargement on the VD projection.</t>
  </si>
  <si>
    <t>6 images of the abdomen are provided for review.  Serosal detail is adequate in all quadrants.  The stomach contains a moderate amount of amorphous soft tissue material and fluid.  The small intestines are normal in size.  Gas is present in the colon and cecum.  The urinary bladder is small.  The remaining abdominal organs are normal.  The thoracic structures included are normal.</t>
  </si>
  <si>
    <t xml:space="preserve">
1.The stomach is mildly gas and fluid filled. There are multiple small bowel loops that are mildly to moderately distended with gas._x000D_
2.No abnormal AI findings reported._x000D_
3.No abnormal AI findings reported._x000D_
4.No abnormal AI findings reported.</t>
  </si>
  <si>
    <t>Gas distention of small intestinal loops is concerning for small intestinal obstruction or ileus. Gastritis/colitis is also considered. These findings may be related to dietary indiscretion, or infectious/inflammatory etiology.</t>
  </si>
  <si>
    <t xml:space="preserve">
Virtual Radiologist Case Difficulty: MODERATE_x000D_
Virtual Radiologist Confidence: MODERATE_x000D_
There is significant potential for mechanical obstruction of the small intestine or intussusception in this patient.</t>
  </si>
  <si>
    <t xml:space="preserve">Four images are provided.
Images are dated August 24, 2024.
Prior images dated August 6, 2024 and previous are available.  
Bones/Joints:
No evidence of an aggressive sacral lesion.  Rectal gas superimposes over the sacrum in the ventrodorsal image.  Obliquity in the ventrodorsal image results in apparent widening of the right sacroiliac joint.
The T11-12 and T13-L1 intervertebral disc spaces are slightly narrowed subjectively.
There is no evidence of mineral over the intervertebral foramina.  There is no evidence of intervertebral dorsal articulation osteoarthrosis.
There is no evidence of medullary sclerosis, osteolysis, endosteal scalloping, or periosteal proliferation.
Soft tissues:  The included soft tissues are normal.
</t>
  </si>
  <si>
    <t>1. No evidence of a sacral/lumbosacral aggressive bone lesion.
2. Possible T11-12, T13-L1 intervertebral disc space narrowing/disc disease.</t>
  </si>
  <si>
    <t xml:space="preserve">Possible thoracolumbar intervertebral disc disease may be present contributing to reported clinical signs, but this does not rule out MUE flare-up or progression and evolving myelitis.  Consider routine blood work and thoracic imaging to screen for occult systemic disease.  Consider neurologist consultation and MRI for further evaluation of the head and/or thoracolumbar spine.  Continue empirical therapy and supportive care in the interim as needed. </t>
  </si>
  <si>
    <t>Study:_x000D_
Thoracic/abdominal radiography: three images dated August 23,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Some small intestinal segments contain a small amount of granular soft tissue material. The small intestines are otherwise gas filled and normal in size and course. The colon contains formed fecal material with a normal diameter. The liver and spleen are normal in size and margin. The renal silhouettes are normal in size and contour. The urinary bladder is normal in size and opacity. There is no prostatomegaly. The osseous structures are unremarkable/age appropriate.</t>
  </si>
  <si>
    <t>1. Normal thorax. There is no radiographic evidence of cardiopulmonary disease or pneumonia. A cause of coughing is not evident. Lack of a definitive bronchial pulmonary pattern does not exclude the possibility of infectious, allergic/inflammatory, inhaled irritant or parasitic bronchitis. Infectious respiratory disease PCR testing can be considered to further evaluate for possible infectious trachea bronchitis._x000D_
2. The granular soft tissue material in the small intestines likely indicates ingesta. Foreign material cannot be completely excluded. The abdomen is otherwise unremarkable. There is no evidence of small intestinal mechanical obstruction. Repeat fasted radiography can be considered to ensure gastrointestinal emptying. Alternatively, sonography can be considered for further evaluation if the reported vomiting persists or worsens in spite of medical management.</t>
  </si>
  <si>
    <t xml:space="preserve">
1.The liver and spleen are normal._x000D_
2.There is a focal loss of serosal detail in the cranial abdomen on the lateral projection._x000D_
3.On the lateral projection, the gastric lumen contains a mild amount of soft tissue and gas opacity. The small intestine is diffusely gas-filled and segments have a rigid appearance. No mechanical ileus is visualized._x000D_
4.The gastric rugae are prominent._x000D_
5.The colon contains a mild amount of gas caudally and ill-formed heterogenous fecal material cranially._x000D_
6.No abnormal AI findings reported.</t>
  </si>
  <si>
    <t>Right lateral and VD abdomen views are provided._x000D_
_x000D_
There is a teardrop shaped mineral opacity superimposed over the body of the stomach in the lateral view. It cannot be definitively localized in the VD view him a so location cannot be definitively determined. It is suspected to be in the stomach. Proximal duodenal location is less likely but cannot be entirely excluded. No dilation of the stomach or intestine is seen. Rugal folds in the stomach are slightly prominent. Serosal detail in the abdomen is normal. The other abdominal organs are within normal limits.</t>
  </si>
  <si>
    <t>There is suspicion of foreign material the stomach, which could be considered evidence of dietary indiscretion. There is no obstructive pattern._x000D_
Gastroenteritis secondary to dietary indiscretion is suspected. Toxin ingestion should also be ruled out. Proximal obstruction at the proximal duodenum with foreign material is a less likely possibility.</t>
  </si>
  <si>
    <t>Symptomatic therapy and supportive care is recommended at this time._x000D_
If clinical signs are not responding adequately to medical management over the next 24 to 48 hours, follow up imaging including recheck radiographs and an ultrasound exam or upper GI study is recommended.</t>
  </si>
  <si>
    <t xml:space="preserve">
1.The liver is mildly to moderately enlarged but retains a smooth margin. On the VD projection, asymmetric liver enlargement is present._x000D_
2.The stomach and gastric axis are caudally displaced secondary to the hepatomegaly._x000D_
3.The spleen is caudally positioned secondary to the hepatomegaly. Splenic size is normal to upper limits of normal._x000D_
4.Cranial abdominal detail is mildly decreased._x000D_
5.The abdomen is pendulous._x000D_
6.On the lateral projection, the small bowel is diffusely gas- and fluid-filled but without segmental small bowel dilation. Portions of the colon are gas filled and have a rigid appearance.</t>
  </si>
  <si>
    <t>7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No mineral is seen associated with the urinary tract.  The kidneys are small.  The remaining abdominal organs are normal.  There is spondylosis deformans of the lumbar spine.</t>
  </si>
  <si>
    <t>Small kidneys suggestive of chronic renal disease.  Degenerative change of the lumbar spine.  Radiographically normal thorax for patient of this age.</t>
  </si>
  <si>
    <t>A three view study of the abdomen made 8-23-24 is provided for comparison to the previous study dated 8-21-24.  The new radiographs were found under a different patient name and ID number (sully faitgful, ID 11111)._x000D_
_x000D_
The stomach is contracted and devoid of gas. There remains a suspicious ovoid opacity measuring 1.7 x 2.0 cm in the pyloric region in the right lateral view. A less prominent but similar shadow is seen over the body of the stomach in the left lateral view. None is seen in the VD view. The intestinal tract and the other organs are unremarkable. Serosal detail is normal.</t>
  </si>
  <si>
    <t>The suspicious opacity described in the stomach is subtle and could easily be an artifactual shadow of no significance. However, there remains potential for foreign material in the stomach, possibly of the general shape and size of a toy squeaker. There is no gas in the stomach to provide enough natural contrast to assess the stomach for foreign material in this study. A contrast study would be necessary._x000D_
The rest of the abdomen is unremarkable.</t>
  </si>
  <si>
    <t>Need for additional imaging in this case depends on persistence of clinical signs. If vomiting continues to be a problem, contrast gastrography after fasting is recommended for more definitive assessment. A positive or negative contrast study may be adequate=ZZ90= a double contrast study would be preferred._x000D_
_x000D_
If the vomiting complaint is resolved, the suspect shadow may have moved on or may have been food or artifact and no further imaging is indicated._x000D_
_x000D_
Note: The two studies compared on this patient were found under different name spellings and patient ID numbers. Consistency in entering patient information when making radiographs is critical to DICOM medical software functionality. Please pay close attention to entering matching patient information when making radiographs.</t>
  </si>
  <si>
    <t>3 views of the abdomen are presented for review.  Serosal detail is adequate in all quadrants.  The stomach contains a small amount of gas.  The poorly defined soft tissue mass is seen caudal to the stomach.  This appears to be causing caudal displacement of the splenic head on the VD view.  The liver is smoothly margined and normal in size.  The small intestines are normal in size.  Gas is present in the colon.  The urinary bladder is small.  The remaining abdominal organs are normal.  Multiple narrowed intervertebral disc spaces with spondylosis deformans are present, consistent with the history of chronic intervertebral disc herniation.</t>
  </si>
  <si>
    <t>Cranial abdominal mass.  Consider eccentric gastric wall thickening, causing the artifactual appearance of a small stomach, versus pancreatic or mesenteric origin.</t>
  </si>
  <si>
    <t>Abdominal ultrasound may be helpful.</t>
  </si>
  <si>
    <t xml:space="preserve">
1.Cranial abdominal detail is mildly decreased._x000D_
2.The stomach contains a moderate amount of mixed gas and fluid. In a small number of cases, the AI finding of hepatomegaly above may actually be due to severe gastric distention._x000D_
3.Small intestinal bowel loops are normal in size and distribution and have mainly a soft tissue pattern._x000D_
4.The colon contains gas and fluid._x000D_
5.The liver is moderately enlarged._x000D_
6.The spleen is normal.</t>
  </si>
  <si>
    <t>The AI result for this case is most compelling for: Nonspecific hepatomegaly which may be secondary to endocrine disease (i.e. Cushing's or diabetes) vs. infiltrative neoplasia, such as lymphoma, in an older dog. In a small number of cases, this AI report can be associated with severe gastric distention secondary to a gastric outflow or intestinal obstruction. Moderate hepatomegaly is a nonspecific finding that has rule outs including: Nonspecific and vacuolar hepatopathies (such as hyperadrenocorticism), hyperplasia, hepatitis,  congestion associated with right heart failure, or in an older patient, infiltrative neoplasia, Decreased cranial abdominal detail. DDx: secondary to superimposition of the hepatomegaly vs. regional inflammation or less likely, hemorrhage. Gastroenteritis, pancreatitis, or infiltrative disease cannot be excluded if the patient has a decreased appetite. Suspicion for fluid within the colon concerning for impending diarrhea.</t>
  </si>
  <si>
    <t xml:space="preserve">
Virtual Radiologist Case Difficulty: MODERATE_x000D_
Virtual Radiologist Confidence: MODERATE_x000D_
A cPLI could be performed to evaluate for pancreatitis, as clinically warranted._x000D_
Abdominal ultrasound would be beneficial to further evaluate the liver +/- gastrointestinal tract and pancreas, depending on clinical signs.</t>
  </si>
  <si>
    <t>ABDOMEN (4 images):
Images are dated August 23, 2024.
Liver: The liver has a slightly rounded caudoventral margin.  
Spleen: The spleen is normal in size with smooth margins and homogeneous soft tissue.
Kidneys: The kidneys partially obscured without obvious mineral or enlargement.
Retroperitoneum: Retroperitoneal detail is adequate.
Urinary bladder/Urethra: The urinary bladder is normal in size, homogeneous soft tissue, and smoothly marginated.
Reproductive:
Peritoneum: Peritoneal detail is adequate.
Gastrointestinal tract: The stomach contains a moderate volume of gas and soft tissue material.  Gastric rugal folds are mildly prominent.   The stomach is within normal limits for size.
The small intestine contains mild fluid or is empty with a subjectively uniform population for size. 
The colon contains mild heterogeneous admixed soft tissue material and gas.  The colon is within normal limits for size.  
Musculoskeletal: Multifocal thoracolumbar spondylosis deformans is present.  The remaining included musculoskeletal structures are normal.</t>
  </si>
  <si>
    <t xml:space="preserve">1. No obvious radiopaque urocystoliths.
2. Equivocal hepatomegaly due to vacuolar change, nodular hyperplasia, hepatitis/cholangiohepatitis, or unlikely other.
3. Prominent gastric rugal folds such as from non-specific gastritis versus variation of normal.
4. Non-specific small intestinal and colon appearance due to variation of normal  or givenr epoted history unlikely enteritis/colitis or other.
- There is no current evidence of gastrointestinal mechanical ileus.
- Differential diagnoses include dietary indiscretion, toxin ingestion, diet/antibiotic responsive disease, inflammatory bowel disease, pancreatitis, occult systemic disease or unlikely other.
</t>
  </si>
  <si>
    <t>Consider urinalysis, urine culture/sensitivity testing, GI panel, fecal analysis/deworming, and routine blood work for further evaluation.   Abdominal ultrasonography and BRAF testing for further evaluation, especially if clinical signs fail to improve or worsen with therapy for suspected cystitis.   Empirical therapy and supportive care in the interim as needed.  Monitoring as directed if clinical signs fail to improve or worsen in the face of empirical therapy.</t>
  </si>
  <si>
    <t>Three radiographs of the thorax/abdomen are provided. These images are embedded within a study dated August 31, 2023, but have a label of =ZZ92=8.23.24=ZZ92= on the images. The cardiac silhouette and pulmonary vessels are normal size and shape. Angular appearance of the right heart on the VD view is due to adjacent fat deposition. There are faint bronchial markings in the lungs. No pleural effusion or soft tissue pulmonary nodules. Curved increased opacity overlying cranioventral heart on the 2nd lateral view is summating normal anatomy. The trachea is normal diameter and position. No esophageal dilation. The laryngeal region is unremarkable. In the abdomen there is no effusion or organomegaly. The gastrointestinal tract and urinary bladder are minimally filled. No radiopaque urolithiasis. Osseous structures are unremarkable.</t>
  </si>
  <si>
    <t>1. Faint bronchial markings suggestive of airway inflammation. This may be due to inhaled irritants/allergens or infectious airway disease. Otherwise normal thorax. There is no evidence of cardiovascular disease, pneumonia, or hiatal hernia. Sliding hernia is not ruled out, as it may not be imaged on a static radiographic study._x000D_
2. Normal abdomen.</t>
  </si>
  <si>
    <t>Recommend symptomatic treatment for the cough. Also consider a CBC and blood chemistry profile to rule out a metabolic abnormality as the cause for panting.</t>
  </si>
  <si>
    <t xml:space="preserve">
1.On the lateral projection, the gastric lumen contains a mild amount of soft tissue and gas opacity. The small intestine is diffusely gas-filled and segments have a rigid appearance. No mechanical ileus is visualized._x000D_
2.The gastric rugae are prominent._x000D_
3.The colon contains a mild amount of gas caudally and ill-formed heterogenous fecal material cranially._x000D_
4.The liver and spleen are normal._x000D_
5.There is a focal loss of serosal detail in the cranial abdomen on the lateral projection._x000D_
6.No abnormal AI findings reported.</t>
  </si>
  <si>
    <t>Orthogonal survey radiographs of the abdomen followed by a barium study are provided for interpretation._x000D_
_x000D_
The initial survey radiographs demonstrate a mild increase in overall small intestinal gas. No dilation of the stomach or intestine is seen. No foreign bodies are identified. Serosal detail is normal. The organs are within normal size and shape limits._x000D_
_x000D_
The initial barium images show a moderate quantity of barium and ingesta in the stomach, presumed to represent barium -soaked food._x000D_
_x000D_
Barium begins to leave the stomach within 15 minutes and transits most of the intestine within 30 minutes._x000D_
Barium is seen filling the small intestine at later time points, with a normal appearance. No filling defects suggestive of foreign body are identified. No intestinal dilation or plication is seen._x000D_
First reaches the colon at about one hour, and starts to fill the colon at two hours._x000D_
In the four hour images, the stomach is almost completely emptied of the barium soaked food and most of the barium is in the intestinal tract. There is still no evidence of a foreign object, and no pathologic dilation or plication the intestine is seen._x000D_
At the six hour mark the study is ended. There is a minimal quantity of barium retained lining the stomach, with no visible foreign body demarcations or pathologic dilation. There is still a moderate quantity of barium within the distal half of the small intestine. Approximately two thirds of the barium is in the distal small intestine and one third is in the colon. A minimal quantity of barium remains within the stomach. The rest of the abdomen is unremarkable.</t>
  </si>
  <si>
    <t>No evidence of foreign body or obstruction is identified._x000D_
_x000D_
The mildly gassy appearance of the intestine in the survey radiographs is compatible with gastroenteritis._x000D_
_x000D_
The barium study does not demonstrate any impedance to barium passage, and the time frame of the transit of barium is within normal limits considering food was administered with a contrast.</t>
  </si>
  <si>
    <t>Symptomatic therapy and supportive care for gastroenteritis is recommended._x000D_
Infectious causes should be ruled out.</t>
  </si>
  <si>
    <t xml:space="preserve">
1.The stomach is mildly filled. Small intestines are mildly gas and fluid filled. No signs of obstruction._x000D_
2.No abnormal AI findings reported._x000D_
3.No abnormal AI findings reported._x000D_
4.The liver and spleen are within normal limits for size and contour.</t>
  </si>
  <si>
    <t>ABDOMEN (3 images):
Images are dated August 23, 2024.
Liver: The liver is subjectively normal in size.
Spleen: The spleen is mildly enlarged and prominent in the mid-ventral abdomen, with smooth, well-defined margins.  The dorsal extremity of the spleen is normal.
Kidneys: The left kidney is suspiciously caudally displaced to the level of L5 in the right lateral image.  The right kidney is obscured.  
Retroperitoneum: Retroperitoneal detail is adequate.
Urinary bladder/Urethra: The urinary bladder is normal in size, homogeneous soft tissue, and smoothly marginated.
Peritoneum: Peritoneal detail is adequate.
Gastrointestinal tract: The stomach contains a mild volume of gas and soft tissue.   The stomach is within normal limits for size.
The small intestine contains mild soft tissue material admixed with gas with a subjectively uniform population for size. 
The colon contains moderate heterogeneous admixed soft tissue material and gas.  The colon is within normal limits for size.  
Musculoskeletal: The included musculoskeletal structures are normal.</t>
  </si>
  <si>
    <t xml:space="preserve">1. Mild splenomegaly due to passive congestion from sedation (if administered), extramedullary hematopoiesis, lymphoid hyperplasia, splenitis, or unlikely evolving neoplasia or other.
2. Suspicious for caudal displacement of the left kidney versus artifact.
- If present, consider occult left adrenomegaly versus congenital anomaly, left renal malposition/ectopia.
3. No radiopaque urocystoliths are identified.
4. Small intestinal appearance due to normal variation/recent meal versus enteritis.
- There is no current evidence of gastrointestinal mechanical ileus.
- Differential diagnoses include dietary indiscretion, toxin ingestion, diet/antibiotic responsive disease, inflammatory bowel disease, pancreatitis, occult systemic disease or unlikely other.
</t>
  </si>
  <si>
    <t>Routine blood work, GI panel and fecal analysis/deworming if not recently performed for further evluation.  Abdominal ultrasonography, urinalysis and urine culture/sensitivity testing for further evaluation of occult crystaluria.  Empirical therapy and supportive care in the interim as needed.  Monitoring as directed, or sooner if clinical signs acutely change, fail to improve or worsen.</t>
  </si>
  <si>
    <t>3 views of the abdomen are presented for review.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</si>
  <si>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Lack of specific changes does not rule out pancreatitis, gastroenteritis, infiltrative neoplasia, etc.</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</si>
  <si>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Coverage of the left femoral head by its acetabulum is mildly reduced.  Osteophytes are present on the left femoral neck.</t>
  </si>
  <si>
    <t>Radiographically normal abdomen.  A cause for the reported constipation is not identified.  Ultrasonography or CT of the intrapelvic structures could be considered based on the history provided.  Radiographically normal thorax for patient of this age view provided.  Moderate left coxofemoral DJD with subluxation.</t>
  </si>
  <si>
    <t xml:space="preserve">
1.Small intestines are diffusely mildly fluid-filled. No evidence to suggest obstruction._x000D_
2.The liver and spleen appear within normal limits for size and contour._x000D_
3.No abnormal AI findings reported._x000D_
4.Abdominal detail is adequate._x000D_
5.The stomach appears within normal limits.</t>
  </si>
  <si>
    <t xml:space="preserve">ABDOMEN (3 images):
Images are dated August 23, 2024
Liver: The liver is subjectively normal in size.
Spleen: The spleen is normal in size with smooth margins and homogeneous soft tissue.
Kidneys: The left kidney is normal.  The right kidney is obscured without obvious enlargement or mineral.  
Retroperitoneum: Retroperitoneal detail is adequate.
Urinary bladder/Urethra: The urinary bladder is normal in size, homogeneous soft tissue, and smoothly marginated.
Reproductive:
Peritoneum: Peritoneal detail is adequate.
Gastrointestinal tract: The stomach contains a mild volume of gas.  Gas is in the pylorus.   The stomach is within normal limits for size.  The duodenum contains mild gas.
The small intestine contains mild gas with a subjectively uniform population for size. 
The colon contains mild heterogeneous soft tissue material and gas.  The colon is within normal limits for size.    The colon wall is mildly spastic in the ventrodorsal image.
Musculoskeletal: The included musculoskeletal structures are normal.
</t>
  </si>
  <si>
    <t>1. Non-specific gastrointestinal tract appearance such as from gastritis/enteritis/colitis or given reported history, less likely variation of normal.
- Differential diagnoses for gastritis/enteritis/colitis include dietary indiscretion, toxin ingestion, diet/antibiotic responsive disease, inflammatory bowel disease, parasitism/primary infectious disease, pancreatitis or occult systemic disease.
- There is no current evidence of gastrointestinal mechanical ileus.</t>
  </si>
  <si>
    <t xml:space="preserve">
1.On the VD projection, an increase in soft tissue opacity is noted in the left lateral abdomen. This is attributed to superimposition of the spleen and left kidney. The spleen appears normal on the lateral projection making splenomegaly a secondary consideration._x000D_
2.Serosal detail in the cranial abdomen is mildly decreased on the lateral projection._x000D_
3.A minimal quantity of soft tissue dense ingesta is visible in the stomach and there is mild prominence to the gastric rugae._x000D_
4.The small bowel is diffusely gas- and fluid-filled but without segmental bowel dilation._x000D_
5.No intestinal plication is seen._x000D_
6.The liver is normal.</t>
  </si>
  <si>
    <t xml:space="preserve">ABDOMEN (3 images):
Images are dated August 23, 2024.
Liver: The liver is slightly small with cranial displacement of the gastric axis.  
Spleen: The spleen is normal in size with smooth margins and homogeneous soft tissue.
Kidneys: The kidneys are obscured without obvious enlargement or mineral.
Retroperitoneum: Retroperitoneal detail is adequate.
Urinary bladder/Urethra: The urinary bladder is normal in size, homogeneous soft tissue, and smoothly marginated.
Peritoneum: Peritoneal detail is adequate.
Gastrointestinal tract: The stomach contains a moderate gas and mild heterogeneous soft tissue material.   Soft tissue and ill-defined mineral is suspected in the pylorus.  The stomach is within normal limits for size.
The small intestine contains mild gas with a subjectively uniform population for size. 
The colon contains mild to moderate well-defined soft tissue material and gas.  The colon is within normal limits for size.  
Musculoskeletal: Severe bilateral coxofemoral joint osteoarthrosis and subluxation.  The remaining included musculoskeletal structures are normal.
</t>
  </si>
  <si>
    <t>1. Suspicious for pyloric outflow tract obstruction (partial/intermittent versus complete) versus gastritis/delayed gastric emptying and/or recent meal.
2. Non-specific small intestinal appearance such as from enteritis versus variation of normal.
- There is no current evidence of gastrointestinal mechanical ileus.
- Differential diagnoses include dietary indiscretion, toxin ingestion, diet/antibiotic responsive disease, inflammatory bowel disease, pancreatitis, occult systemic disease or unlikely other.
3. Mild microhepatia versus artifact from positioning/technique.
- If present, consider occult portosystemic shunting vessel and/or microvascular dysplasia.
4. Severe bilateral coxofemoral joint osteoarthrosis and subluxation, such as from hip dysplasia.</t>
  </si>
  <si>
    <t>Consider repeat abdominal radiographs after 8-12 hours of fasting to monitor for passage of the pyloric material. Consider abdominal ultrasonography if signs persist and gastric material passes.  If gastric material persists, consider gastroscopy for further evaluation/possible retrieval of foreign material.  Empirical therapy and supportive care in the interim as needed.  Monitoring as directed or sooner if clinical signs acutely change, fail to improve or worsen.</t>
  </si>
  <si>
    <t>6 views of the thorax and abdomen are submitted for review.  The stomach is moderately distended with gas and fluid.  A mild to moderate amount of amorphous soft tissue opacity material is noted in the pyloric region of the stomach on the lateral views.  The small intestine is subjectively normal in diameter and also contains a mild amount of gas.  A mild amount of stool is noted in the colon.  The liver is slightly prominent with smooth serosal margins.  The spleen, renal silhouettes, and urinary bladder are within normal limits.  Serosal detail is adequate._x000D_
In the thorax, the cardiac silhouette is subjectively normal in shape and subjectively slightly small in size.  The pulmonary vasculature is normal.  No pulmonary parenchymal abnormalities are seen.  No pleural effusion or intrathoracic lymphadenopathy is noted.  The trachea is normal._x000D_
No osseous abnormalities are seen.</t>
  </si>
  <si>
    <t>The material within the stomach could be consistent with food material, radiolucent foreign material, or admixture of both.  The distention of the stomach could be consistent with gastric ileus as with gastroenteritis and pancreatitis.  I cannot definitively exclude the possibility of dynamic pyloric outflow obstruction._x000D_
Equivocal hepatomegaly.  Differentials include normal variation, mild vacuolar change, inflammation, or less likely neoplasia._x000D_
The subjectively small size of the heart is thought to be most consistent with hypovolemia.  Other causes as with hypoadrenocorticism cannot be definitively excluded.</t>
  </si>
  <si>
    <t>Symptomatic/supportive medical management for pancreatitis and gastroenteritis may be helpful in the short-term.  Correlation with blood work including electrolytes may also be helpful.  An abdominal ultrasound may ultimately be indicated.</t>
  </si>
  <si>
    <t xml:space="preserve">
1.Splenic size, shape and margin are normal._x000D_
2.Abdominal detail is normal._x000D_
3.The stomach is normal. The small bowel is diffusely gas- and fluid-filled without segmental small bowel dilation._x000D_
4.The liver is mildly enlarged with smooth margins.</t>
  </si>
  <si>
    <t>Eight radiographs are provided, with images of the thorax, abdomen, pelvis, stifles. The cardiac silhouette and pulmonary vessels are normal size and shape. The lungs are clear. Normal tracheal diameter and cranial mediastinal width._x000D_
_x000D_
In the abdomen there is no effusion or organomegaly. The gastrointestinal tract is mildly filled. No radiopaque cystic calculi. No narrowed lumbar intervertebral disc spaces or foramina. The coxofemoral joints are congruent. The left patella is mildly medially displaced. There is moderate volume fluid in the cranial aspect of the right stifle joint. Small volume of fluid in the left stifle. Popliteal lymph nodes are symmetric. The viewable tarsi are unremarkable.</t>
  </si>
  <si>
    <t>1. Bilateral stifle effusion most consistent with cranial cruciate ligament tear/rupture. This is worse on the right and the most likely cause for abnormal gait._x000D_
2. Medial patellar luxation on the left, likely contributing to discomfort. Normal coxofemoral joints._x000D_
3. Normal thorax and abdomen.</t>
  </si>
  <si>
    <t>if lameness persists and there is palpable stifle instability, surgical stabilization would be recommended.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</si>
  <si>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aspiration pneumonia nor signs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t>
  </si>
  <si>
    <t>Consider abdominal US to further evaluate causes of intermittent vomition.</t>
  </si>
  <si>
    <t>Left lateral and VD views of the abdomen are provided._x000D_
_x000D_
There is a slight reduction in detail just caudal to the stomach in the general area of the pancreas. No abnormalities are seen involving the stomach or the intestinal tract. Detail elsewhere is normal. The other organs are within normal size and shape limits. No musculoskeletal abnormalities are identified.</t>
  </si>
  <si>
    <t>There is a slight reduction in detail in the pancreatic area. This is a subtle change but once consideration of pancreatitis as a possible cause of the clinical signs. Early peritonitis is not highly suspected at this time but should be ruled out if clinical signs progress. Gastroenteritis is also a primary differential. Toxin ingestion or metabolic disease should also be ruled out. No foreign bodies or obstructive pattern are identified.</t>
  </si>
  <si>
    <t>Symptomatic therapy and supportive care for pancreatitis/gastroenteritis is recommended._x000D_
_x000D_
Follow up imaging such as ultrasound should be considered if clinical signs are not responding adequately to medical management over the next 48 hours.</t>
  </si>
  <si>
    <t xml:space="preserve">
1.The liver and spleen are normal size._x000D_
2.The gastric rugae are prominent or the gastric lumen contains soft tissue opaque material mimicking the appearance of prominent gastric rugae._x000D_
3.The small intestines are distended._x000D_
4.A portion of the colon is gas filled and rigid consistent with inflammation._x000D_
5.Cranial abdominal detail is decreased however this is attributed to a confluence of soft tissues or lack of intra-abdominal fat over mesenteric inflammation and/or abdominal fluid._x000D_
6.No abnormal AI findings reported.</t>
  </si>
  <si>
    <t>A three view thoracoabdominal study is provided for interpretation._x000D_
_x000D_
In the VD view, there is a subtle but unusual soft tissue shadow in the right cranial abdomen superimposed over the cranial margin of the right kidney in the general area of the descending duodenum. Although a specific corresponding shadow cannot be identified in the lateral views, there is a subtle but ill defined increase in soft tissue opacity just caudal to the body of the stomach in both lateral views. No foreign bodies are identified in the GI tract. No dilation of the stomach or intestine is seen. The liver is moderately enlarged, with mild rounding of the margins. The other organs are within normal limits. Serosal detail in the abdomen is normal._x000D_
_x000D_
The cardiovascular structures are within normal limits. No pulmonary infiltrates or pleural effusion are identified.</t>
  </si>
  <si>
    <t>There is subtle but unusual increase soft tissue opacity in the right cranial abdominal quadrant in the general area of the pancreas and duodenum. The changes are subtle enough to possibly be artifactual, but potential anatomic lesions that should still be ruled out would include a mass or inflammatory lesion involving the pancreas or mass/infiltration involving the duodenum or right adrenal gland._x000D_
_x000D_
Liver enlargement is also present, with a nonspecific overall appearance compatible with any type of diffuse hepatopathy._x000D_
Systemic infectious disease including leptospirosis should also be ruled out, considering the labwork abnormalities.</t>
  </si>
  <si>
    <t>Serology to help rule out leptospirosis is recommended._x000D_
Ultrasound of the abdomen is recommended for more definitive evaluation._x000D_
Supportive care and symptomatic therapy is recommended. Empiric medical management for possible leptospirosis should be considered given the laboratory abnormalities.</t>
  </si>
  <si>
    <t xml:space="preserve">
1.The stomach and intestinal tract are normal._x000D_
2.The liver is mildly enlarged but with a normal shape and smooth margins. No hepatic mass has been identified._x000D_
3.Splenic size, shape and margin are normal._x000D_
4.Abdominal detail is normal.</t>
  </si>
  <si>
    <t xml:space="preserve">Five images are provided.
Images are dated August 23, 2024.
No ventrodorsal abdominal image is provided.  
Pulmonary parenchyma: A mild diffuse bronchial pattern is present.
Pulmonary vasculature: The pulmonary vasculature is subjectively normal in size and tapers in the periphery of the lungs.
Cardiac silhouette: The cardiac silhouette is normal in size and shape for the patient breed.
Mediastinum: The cranial mediastinum is mildly symmetrically widened in the ventrodorsal image without obvious increased soft tissue.
Trachea: The trachea has a slight soft tissue band over the caudodorsal trachea.
Esophagus: The esophagus is not well-identified.
Pleural space: Thin pleural fissure lines between the left cranial/caudal lung lobes in the ventrodorsal image.
Liver: The liver is slightly enlarged with a caudoventral margin extending just to the 13th rib level.
Spleen: The spleen is normal in size with smooth margins and homogeneous soft tissue.
Kidneys: The left kidney is normal.  The right kidney is obscured without obvious enlargement or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mild fluid. Gas is in the pylorus in the left lateral. The stomach is within normal limits for size. Gastric rugal folds are mildly prominent.
The small intestine contains mild gas and fluid or is empty with a subjectively uniform population for size. 
The colon contains mild to moderate heterogeneous soft tissue material and gas.  The colon is within normal limits for size.  
Musculoskeletal:   Wedge-shaped or narrowed thoracic vertebrae due to breed are at T4 through T10.  Multifocal thoracolumbar and lumbosacral spondylosis deformans is present.  Multifocal lumbar dorsal articular osteoarthrosis is suspected at L4-5, L6-7 and L7-S1.  Caudal vertebral anomalies consistent with patient breed. Coxofemoral joint osteoarthrosis is suspected.  The remaining included musculoskeletal structures are normal.
</t>
  </si>
  <si>
    <t>1. Mild diffuse bronchial pulmonary pattern such as from fibrosis from prior disease, age-related changes, or unlikely infectious/immune-mediated lower airway disease or other.
2. Mild symmetrical cranial mediastinal widening due to fat deposition/breed or unlikely evolving lymphadenomegaly or other.
3. Presumed left pleural thickening, fibrosis or unlikely other.
4. Equivocal hepatomegaly due to artifact/normal variation, vacuolar change, nodular hyperplasia, hepatitis/cholangiohepatitis, evolving neoplasia, or unlikely other.
5. Prominent gastric rugal folds such as from non-specific gastritis versus normal variation.</t>
  </si>
  <si>
    <t>Etiology of reported clinical signs is not definitively identified.  Consider neurologist consultation and MRI for further evaluation of reported seizure activity. Empirical therapy and supportive care in the interim as needed.  Monitoring as directed, or sooner if clinical signs acutely change, fail to improve or worsen.</t>
  </si>
  <si>
    <t>Three radiographs of the abdomen are provided. There is no peritoneal or retroperitoneal effusion. Small volume fluid and gas in the stomach. Thin flat 0.9 cm mineral density overlies the ventral stomach on the lateral views. Fluid in the pylorus causes the round soft tissue contour on both of the lateral projections. Small intestines are diffusely moderately filled with fluid. The descending duodenum is transiently mildly gas dilated. Moderate volume of formed feces in the colon. The liver, kidneys, and spleen are normal size and shape.</t>
  </si>
  <si>
    <t>1. Possible small gastric foreign material, could be causing gastritis and intermittent pyloric outflow obstruction. This could be incidental gastric foreign material or incidental chronic migrated foreign material located within hepatic parenchyma._x000D_
2. Small intestinal functional ileus, a nonspecific finding that may be due to enteritis, metabolic abnormality, stress/discomfort, sedation. There is no severe intestinal distention to suggest intestinal obstruction.</t>
  </si>
  <si>
    <t>Recommend a CBC and blood chemistry profile. Strictly fasting ultrasound should be considered. If not available, a positive contrast gastrogram is another option.</t>
  </si>
  <si>
    <t>6 images of the thorax and abdomen are presented for review and compared with the study dated 10/5/2023.  The cardiovascular structures are normal.  There is a diffuse interstitial pulmonary pattern that is considered appropriate for the age of the patient.  An approximately 4.1 x 4.7 cm soft tissue mass is present in the right caudal lung lobe (previously 1.7 x 2.2 cm).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</si>
  <si>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Increased size of the right caudal lung lobe mass concerning for primary pulmonary neoplasia.</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</si>
  <si>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There is spondylosis deformans of the lumbosacral spine.  Consistent narrowing of the intervertebral disc space and spondylosis deformans are present at T12-13.</t>
  </si>
  <si>
    <t>Radiographically normal abdomen.  Lack of specific changes does not rule out pancreatitis or infiltrative neoplasia.  Abdominal ultrasound could be considered based on the history provided.  Radiographically normal thorax for patient of this age.  Echocardiography could be considered in further evaluation of the reported murmur.  Changes at T12-13 suggesting chronic intervertebral disc herniation.</t>
  </si>
  <si>
    <t>Eight radiographs are provided, with images of the thorax, abdomen, stifles. The cardiac silhouette and pulmonary vessels are normal size and shape. The lungs are clear. Thin increased opacity to the right of the cranial heart on the VD projection is incidental pleural fat deposition. Normal tracheal diameter. No cervicothoracic spinal abnormalities. Proximal thoracic limbs are unremarkable._x000D_
_x000D_
In the abdomen formed feces fills the colon. The stomach and small bowel are minimally filled. Normal-sized kidneys, spleen, liver. No radiopaque cystic calculi. No lumbar spinal abnormalities. The coxofemoral joints are congruent. Patella location is normal. There is scant fluid in the cranial aspect of the right stifle joint. Well delineated soft tissue density in the left stifle is likely normal meniscal tissue.</t>
  </si>
  <si>
    <t>Scant right stifle effusion suggestive of partial cranial cruciate ligament tear. This is the only abnormality identified that could explain the discomfort. A non-mineralized intervertebral disc protrusion/extrusion remains possible. Normal left stifle, both coxofemoral joints, abdomen, thorax.</t>
  </si>
  <si>
    <t>Current diagnostics are appropriate. This patient may benefit from anti-inflammatories.</t>
  </si>
  <si>
    <t xml:space="preserve">
1.Splenic size, shape and margin are normal._x000D_
2.Abdominal detail is normal._x000D_
3.The small bowel is diffusely gas- and fluid-filled without segmental small bowel dilation._x000D_
4.The stomach contains a small amount of gas._x000D_
5.The liver is mildly enlarged but retains a smooth margin.</t>
  </si>
  <si>
    <t xml:space="preserve">ABDOMEN (4 images):
Images are dated August 23, 2024.
Liver: The liver is enlarged with a caudoventral margin extending just past the 13th ribs, and caudodorsal dispalcement of the gastric axis.
Spleen: The spleen is normal in size with smooth margins and homogeneous soft tissue.
Kidneys: Multiple small mineral foci are over the kidneys in orthogonal images.  The kidneys are subjectively normal in size.
Retroperitoneum: Retroperitoneal detail is adequate.
Urinary bladder/Urethra: The urinary bladder is normal in size, homogeneous soft tissue, and smoothly marginated.
Reproductive:
Peritoneum: Peritoneal detail is adequate.
Gastrointestinal tract: The stomach contains a moderate volume of gas and mild admixed soft tissue.  Gastric rugal folds are mildly prominent. Gas is in the pylorus in the left lateral image.   The stomach is within normal limits for size.
The small intestine contains moderate fluid and gas or is empty.  The small intestine has a subjectively uniform population for size. Minimal granular mineral is admixed with small intestinal content.  
The colon contains moderate well-defined soft tissue material and gas.  Minimal granular mineral is admixed with colon content.  The colon is within normal limits for size.  
Musculoskeletal: The included musculoskeletal structures are normal.
</t>
  </si>
  <si>
    <t>1. Moderate hepatomegaly due to vacuolar hepatopathy, nodular hyperplasia, or less likely evolving neoplasia or unlikely hepatitis/cholangiohepatits.
2. No radiopaque urocystoliths are identified.
3. Prominent gastric rugal folds such as from non-specific gastritis versus variation of normal.
4. Non-specific small intestinal appearance such as from variation of normal or given reported history, unlikely enteritis.
5. Minimal intestinal/colonic mineral material such as from dietary indiscretion.
6. Bilateral nephroliths.</t>
  </si>
  <si>
    <t>Etiology of reported urinary tract signs are not definitively identified.n Consider ultrasonography for further evaluation of the urinary bladder and liver.  Urinalysis, urine culture/sensitivity testing, routine blood work, SDMA and blood pressure may be contributory.  Empirical therapy and supportive care in the interim as needed.  Monitoring with abdominal radiographs if signs fail to improve or worsen in the face of empirical therapy.</t>
  </si>
  <si>
    <t xml:space="preserve">
1.Splenic size, shape and margin are normal._x000D_
2.Abdominal detail is normal._x000D_
3.The stomach is normal. The small bowel is diffusely gas- and fluid-filled without segmental small bowel dilation._x000D_
4.The liver is moderately enlarged.</t>
  </si>
  <si>
    <t>3 views of the thoracolumbar spine are provided for review.  No fractures, luxations, or aggressive osseous lesions are seen.  There is mild consistent narrowing of the intervertebral disc space at T12-13.  The coxofemoral joints are congruent.  The soft tissue structures included are normal.</t>
  </si>
  <si>
    <t>Narrowed intervertebral disc space suggestive of intervertebral disc herniation.  This does not rule out intervertebral disc herniation at another site or other causes of spinal cord compression.</t>
  </si>
  <si>
    <t>Soft tissue density in the cranioventral abdomen may represent hepatomegaly with a mass versus splenic shadow or infrequently represent a severely distended stomach. Decreased cranial abdominal detail. DDx: confluence of soft tissue structures vs. regional inflammation and/or abdominal fluid or lymphadenopathy.</t>
  </si>
  <si>
    <t xml:space="preserve">
Further evaluation of the liver and spleen with ultrasound._x000D_
Blood work and screening thoracic radiographs._x000D_
Coagulation profile, platelet count and PCV prior to tissue sampling._x000D_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</si>
  <si>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Thirteen radiographs are provided, with images of the thorax, abdomen, and pelvis/proximal pelvic limbs. The cardiac silhouette and pulmonary vessels are normal size. There are no abnormalities in the pulmonary parenchyma. No pleural fluid or gas. The diaphragm is intact. No rib fractures or cervicothoracic spinal abnormalities. Normal proximal thoracic limbs._x000D_
_x000D_
In the abdomen peritoneal and retroperitoneal detail is adequate. The urinary bladder is well delineated and mildly filled. Normal-sized kidney, spleen, liver. Moderate volume soft tissue opaque ingesta in the stomach. The intestines are mildly filled. Lumbar vertebral alignment is normal and there are no narrowed intervertebral disc spaces or foramina. The sacroiliac and coxofemoral joints are congruent. No pelvic fractures. Pelvic limb musculature is symmetric. No pelvic limb fractures.</t>
  </si>
  <si>
    <t>Normal thorax, abdomen, pelvis. There is no evidence of trauma on this study.</t>
  </si>
  <si>
    <t xml:space="preserve">
1.The stomach is normal. The small bowel is diffusely gas- and fluid-filled without segmental small bowel dilation._x000D_
2.The liver is at the upper normal limits for size._x000D_
3.Splenic size, shape and margin are normal._x000D_
4.Abdominal detail is normal.</t>
  </si>
  <si>
    <t>Radiographically normal, spleen, GI tract and abdominal detail. The liver is borderline enlarged, which is a nonspecific finding that may be within normal limits or due to steroid or endocrine hepatopathy. If there is clinical concern, blood work or an abdominal ultrasound could be performed.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</si>
  <si>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(except for the right 7th rib which is abnormally medially displaced leading to an extra pleural sign)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t>
  </si>
  <si>
    <t>Consider a LL view for c complete rule out of pulmonary metastases. Given the lack of cardiomegaly but audible murmur, consider a cardiology consultation with ECG and echocardiogram.</t>
  </si>
  <si>
    <t xml:space="preserve">
1.The stomach is normal. The small bowel is diffusely gas- and fluid-filled without segmental small bowel dilation._x000D_
2.No abnormal AI findings reported._x000D_
3.Mild hepatosplenomegaly is present and the ventral splenic margin is mildly undulating. A convexity extends from the caudal aspect of the liver margin._x000D_
4.Abdominal detail is normal.</t>
  </si>
  <si>
    <t>DDx: benign change such as fat deposition in the liver and extramedullary hematopoiesis affecting the spleen vs.  infiltrative neoplasia such as lymphoma affecting both the liver and spleen. Mild hepatosplenomegaly.</t>
  </si>
  <si>
    <t xml:space="preserve">
Abdominal ultrasound to further assess the liver and spleen. Tissue sampling of the liver and spleen as warranted by blood work and/or ultrasound. Coagulation profile, platelet count and PCV prior to liver and/or splenic tissue sampling._x000D_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</si>
  <si>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A three view study of the abdomen is provided for interpretation._x000D_
_x000D_
In the VD view there is one loop of intestine in the right mid abdomen that appears mildly fluid dilated, but this is not corroborated in either lateral view and is probably transient. There is a small quantity of amorphous soft tissue dense ingesta in the stomach. No dilation or malpositioning of the stomach is seen. No obstructive pattern is identified in the intestinal tract. Serosal detail is normal. The spleen is slightly prominent but felt to be within normal limits. The other organs are unremarkable.</t>
  </si>
  <si>
    <t>Supportive care as needed and symptomatic therapy for gastroenteritis/pancreatitis is recommended.</t>
  </si>
  <si>
    <t>5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moderate amount of food-like material.  The small bowel is normal and uniform in diameter.  A mild to moderate amount of stool is noted in the colon.  The liver is normal in size and shape.  An ill-defined soft tissue opacity mass effect is noted in the cranioventral abdomen, in the region of the tail of the spleen on the lateral view.  This may correspond to ill-defined soft tissue opacity shadow in the right cranial abdomen on the VD view.  The spleen is otherwise not well-defined.  The renal silhouettes are normal in size and shape.  A small mineral opacity structure is noted in the extreme caudal abdomen on the lateral view, ventral to the plane of the descending colon.  There is generalized decreased serosal detail throughout the abdomen.</t>
  </si>
  <si>
    <t>The decreased serosal detail is consistent with mild to moderate peritoneal effusion.  This could be associated with inflammation, paraneoplastic disease, or possibly hemorrhage.  A suspected mass effect in the cranioventral abdomen may be associated with a splenic mass or mass of other regional origin._x000D_
The small mineral opacity structure in the caudal abdomen, ventral to the colon is of unknown etiology and doubtful significance._x000D_
Radiographically normal thorax.</t>
  </si>
  <si>
    <t>An abdominal ultrasound is recommended for further evaluation.</t>
  </si>
  <si>
    <t>Three of the abdomen dated August 23, 2024 are provided. Three images from August 22, 2024 are also available. On the most recent images, there is no peritoneal or retroperitoneal infusion. There is scant gas remaining in the stomach. Previously there was moderate volume kibble-like soft tissue density and several thin rectangular mineral opaque bone-like objects in the stomach. These measured up to 2.7 x 0.4 cm. Today, these mineral foreign objects are located in the transverse and proximal descending colon. No gastric or small intestinal foreign material is present. There is small-volume formed feces in the colon as well. Small intestines are minimally filled. Normal-sized liver, spleen, and kidneys. No radiopaque urolithiasis. Mineral density overlying the T12-13 and L5-6 intervertebral foramina are likely incidental. Normal caudal thorax.</t>
  </si>
  <si>
    <t>Bone gastric foreign objects on the original study have successfully progressed into the colon, and will continue to pass successfully. There is no evidence of an obstructive process.</t>
  </si>
  <si>
    <t>Recommend continue supportive care as needed.</t>
  </si>
  <si>
    <t xml:space="preserve">SPINE (6 images):
Images are dated August 22, 2024.
Bones/Joints:
Ill-defined mineral is suspected superimposed over the cranioventral aspect of the L4-5 intervertebral foramina.
Minimal spondylosis deformans is at T4-5, and T6-7.
There is no evidence of intervertebral disc space narrowing.  There is no evidence of intervertebral dorsal articulation osteoarthrosis.
There is no evidence of medullary sclerosis, osteolysis, endosteal scalloping, or periosteal proliferation.
Soft tissues:  The included soft tissues are normal.
</t>
  </si>
  <si>
    <t>1. Possible mineralized disc material over the L4-5 intervertebral foramina, versus artifact or superimposition.</t>
  </si>
  <si>
    <t xml:space="preserve">Etiology of reported pain is not definitively identified, but could be due to occult intervertebral disc disease.  Consider neurologist consultation and possibly MRI for further evaluation of pain.  If pain is later localized to a specific region of interest (hips, stifles, etc) consider focused radiographs of that region for further evaluation.  Empirical therapy and supportive care in the interim as needed.  </t>
  </si>
  <si>
    <t xml:space="preserve">
1.The liver is normal._x000D_
2.The spleen is prominent, with a smooth border._x000D_
3.The ascending, transverse and descending colon contain a moderate amount of gas, and well formed faeces._x000D_
4.The small intestines are evenly filled with a mixture of fluid and gas._x000D_
5.The stomach has a normal axis._x000D_
6.The peritoneal serosal detail is mildly reduced but this is attributed to underexposure.</t>
  </si>
  <si>
    <t>ABDOMEN, three images dated August 22, 2024._x000D_
_x000D_
There is a large amount of gas in the stomach along with soft-tissue-opaque material, with gas in the pylorus in the left lateral view. No intestinal distention is seen. The prostate is visible although likely normal for a young impact dog. The remainder of the abdomen is unremarkable. There is a mixed pulmonary bronchial and interstitial pattern. There are congenital vertebral abnormalities along with spondylosis deformans. There is potential right coxofemoral subluxation though this could be a rotational appearance._x000D_
_x000D_
_x000D_
_x000D_
CONCLUSIONS: _x000D_
_x000D_
Suspect marked aerophagia though a functional ileus component is possible. There is food or foreign material in the stomach with no indication of obstruction._x000D_
_x000D_
The pulmonary repair it is common for the breed with some lower airway disease possible._x000D_
_x000D_
Possible right coxofemoral subluxation._x000D_
_x000D_
RECOMMENDATIONS:  Follow-up abdominal radiographs in ~8-12 hours following fasting, including a left lateral view to better evaluate the pylorus, can be considered to monitor for gastric emptying if the gastric contents are of clinical concern. Supportive care is otherwise recommended with potential abdominal ultrasound if signs persist.</t>
  </si>
  <si>
    <t>(amended on 08/23/2024 07:07)
Please see above for the conclusions as they are included in the bottom of the findings section.</t>
  </si>
  <si>
    <t>(amended on 08/23/2024 07:07)
Rhinoscopy is an option for further evaluation.</t>
  </si>
  <si>
    <t xml:space="preserve">
1.On the VD projection, there is increased soft tissue opacity in the splenic region. This may be due to splenomegaly or superimposition of a normal spleen and the left kidney. No splenic mass is identified._x000D_
2.Cranial abdominal detail, caudal to the stomach, is slightly decreased._x000D_
3.There is a small to moderate quantity of normal appearing soft tissue dense ingesta in the stomach._x000D_
4.On the VD projection, at least one gas filled, rigid appearing bowel segment is present._x000D_
5.Liver size, shape and margin are normal.</t>
  </si>
  <si>
    <t>The appearance of the stomach is likely related to normal ingesta in the absence of GI symptoms. However, if GI symptoms are present, gastroenterocolitis/pancreatitis secondary to dietary indiscretion or infectious etiology could be considered. No obstructive pattern identified. Slight decrease in mid-abdominal detail. DDx: confluence of normal soft tissues vs. low grade, regional mesenteric inflammation. Increased soft tissue opacity in the splenic region on the VD projection. DDx: splenomegaly, potentially secondary to abdominal inflammation vs. superimposition of a normal spleen and left kidney. No splenic mass is identified.</t>
  </si>
  <si>
    <t xml:space="preserve">
Virtual Radiologist Case Difficulty: MODERATE_x000D_
Virtual Radiologist Confidence: MODERATE_x000D_
In a vomiting or anorexic patient, supportive care and therapy for gastroenteritis/pancreatitis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material._x000D_
Tech resource on mastering contrast studies: https://platform.v2.vetology.net/doc/purchase-contrast-handbook</t>
  </si>
  <si>
    <t xml:space="preserve">ABDOMEN (3 images):
Images are dated August 22,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In the caudoventral abdomen is a tubular soft tissue structure that is subjectively larger than small intestinal segments in the mid-ventral abdomen.    These segments are suspiciously between the colon and urinary bladder in the left lateral image.  
Peritoneum: Peritoneal detail is adequate.
Gastrointestinal tract: The stomach contains a moderate volume of heterogeneous soft tissue material admixed with gas.  Gas is in the pylorus in the left lateral image.  The stomach is within normal limits for size.
The small intestine contains mild fluid or is empty with a subjectively uniform population for size. 
The colon contains mild heterogeneous soft tissue material admixed with gas.  Minimal mineral is admixed with colon contents.  The colon is within normal limits for size.  
Musculoskeletal: The included musculoskeletal structures are normal.
</t>
  </si>
  <si>
    <t>1. Suspicious for uterine horn enlargement in the caudal abdomen.
-  Given reported systemic signs, this may be due to evolving pyometra or unlikely other such as mucometra, etc.
- This does not completely exclude early pregnancy given reported history.
2. Gastric material due to recent meal versus gastritis/delayed gastric emptying.
3. Non-specific small intestinal and colon appearance such as from enteritis, colitis,
- There is no current evidence of gastrointestinal mechanical ileus.
- Differential diagnoses include dietary indiscretion (such as form passage of colonic mineral material), toxin ingestion, diet/antibiotic responsive disease, inflammatory bowel disease, pancreatitis, occult systemic disease or unlikely other.</t>
  </si>
  <si>
    <t>Consider routine blood work and abdominal ultrasonography for further evaluation of the uterus/uterine horns and gastrointestinal tract.  If signs consistent with pyometra are present or manifest in the face of empirical therapy for enteritis, consider celiotomy and ovariohysterectomy.    Empirical therapy and supportive care in the interim as needed for possible dietary indiscretion/gastroenterocolitis.  Monitoring as directed or sooner if clinical signs acutely change, fail to improve or worsen.</t>
  </si>
  <si>
    <t>Orthogonal views of the thorax and abdomen are provided:_x000D_
_x000D_
Thorax:_x000D_
_x000D_
Cardiac silhouette shows a moderate enlargement of the left atrium dorsally displacing the carina._x000D_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show bilateral renoliths._x000D_
A single large and irregular cystic calculus is seen in the lumen of the urinary bladder WNL._x000D_
_x000D_
suspected old disc extrusion at L4-L5.</t>
  </si>
  <si>
    <t>1) Left atrial enlargement secondary to chronic mitral endocardiosis without signs of CHF. Rule out concomitant tricuspid endocardiosis with pulmonary hypertension._x000D_
2) Bilateral renoliths and single large and irregular cystic calculus.</t>
  </si>
  <si>
    <t>Consider a cardiology consultation with ECG and echocardiogram._x000D_
Consider abdominal US to further evaluate the urinary tract with renal function, UPC and urinalysis.</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</si>
  <si>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_x000D_
Multifocal signs of chronic IVDD.</t>
  </si>
  <si>
    <t>Consider abdominal US to further evaluate the liver.</t>
  </si>
  <si>
    <t>Orthogonal views of the abdomen are provided:_x000D_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 No signs of cystic/urethral calculi.</t>
  </si>
  <si>
    <t>1) Unremarkable urinary tract. Rule out cystitis vs radiolucent calculi vs pyelonephritis vs urinary neoplasia.</t>
  </si>
  <si>
    <t xml:space="preserve">
1.Liver size, shape and margin are normal._x000D_
2.Splenic size, shape and margin are normal._x000D_
3.Abdominal detail is normal._x000D_
4.The stomach contains a mild amount of gas and soft tissue density. Small intestines are mildly gas filled.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</si>
  <si>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gas._x000D_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_x000D_
Multifocal signs of chronic IVDD.</t>
  </si>
  <si>
    <t>Thoracolumbar spine: There is possible narrowing of the intervertebral disc base at T13-L1.  There are thoracic hemivertebra.  The remainder of the visible portions of the thoracolumbar vertebral column are unremarkable.</t>
  </si>
  <si>
    <t>Possible narrowed intervertebral disc space at T13-L1._x000D_
_x000D_
Thoracic hemivertebra.</t>
  </si>
  <si>
    <t xml:space="preserve">
1.Abdominal detail is normal._x000D_
2.The stomach contains small volume gas and scant amorphous soft tissue density material. Diffuse, mild to moderate gas dilation of the small bowel without evidence of obstruction._x000D_
3.Splenic size, shape and margin are normal._x000D_
4.Liver size, shape and margin are normal.</t>
  </si>
  <si>
    <t>6 images of the thorax and right pelvic limb are provided for review.  Previous images are not found for comparison under the case number provided for this clinic.  The trachea is dorsally deviated, indicating left ventricular enlargement.  A bulge is present in the region of the left atrium.  No pulmonary infiltrates are seen.  The pulmonary vasculature is normal in size.  The mediastinal and pleural structures are normal.  Cranial abdominal detail is adequate.  The joint surfaces are smooth and regular.  No stifle effusion is seen.  Soft tissues swelling surrounds the entirety of the limb.  An irregular masslike structure is seen caudal to the stifle.  No fractures or aggressive osseous lesions are seen.</t>
  </si>
  <si>
    <t>Left-sided cardiomegaly without current evidence of cardiogenic pulmonary edema.  Echocardiography may be helpful in further evaluation.  Soft tissue mass caudal to the right stifle.  Consider lymphadenopathy versus muscular origin.  Aspirate may be helpful.  The remainder of the right pelvic limb soft tissue swelling is likely secondary edema.</t>
  </si>
  <si>
    <t>ABDOMEN (7 images):
Images are dated August 22,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Peritoneum: Peritoneal detail is adequate.
Gastrointestinal tract: The stomach contains a moderate volume of gas.  Few small mineral foci are admixed with gastric content.  Gastric rugal folds are mildly prominent.  Gas is in the pylorus in the right and left lateral images. The stomach is within normal limits for size.
The small intestine contains mild gas and fluid or is empty with a subjectively uniform population for size. 
The colon contains minimal  heterogeneous soft tissue material and gas or is empty.  The colon is within normal limits for size.  
Musculoskeletal: The included musculoskeletal structures are normal.</t>
  </si>
  <si>
    <t xml:space="preserve">1. Gastric mineral material due to dietary indiscretion and suspected gastritis/delayed emptying without evidence of pyloric outflow tract obstruction.
2. Prominent gastric rugal folds such as from non-specific gastritis versus individual variation of normal.
3. Non-specific small intestinal changes such as from enteritis.
- There is no current evidence of small intestinal mechanical ileus.
- Differential diagnoses include dietary indiscretion, toxin ingestion, diet/antibiotic responsive disease, inflammatory bowel disease, pancreatitis, occult systemic disease or unlikely other.
</t>
  </si>
  <si>
    <t>Consider GI panel, fecal analysis/deworming and routine blood work for further evaluation. Empirical therapy and supportive care in the interim as needed.  Monitoring as directed or sooner if clinical signs acutely change, fail to improve or worsen.</t>
  </si>
  <si>
    <t xml:space="preserve">ABDOMEN (5 images):
Images are dated August 22, 2024.
Prior images dated August 21, 2024 and previous are available.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gas and mild soft tissue.  The ovoid ill-defined material previously in the stomach is not identified in this examination.
  Minimal gas is suspected in the pylorus in the left lateral image.  The stomach is within normal limits for size.
The small intestine contains mild gas and fluid or is empty with a subjectively uniform population for size. 
The colon contains mild heterogeneous admixed soft tissue material and gas.  The colon is within normal limits for size.  
Musculoskeletal: Unchanged caudal vertebral anomalies.  The remaining included musculoskeletal structures are normal.
</t>
  </si>
  <si>
    <t>1.  Previously identified gastric material is not identified in this examination.
2. No evidence of pyloric outflow tract obstruction.
3.  There is no evidence of gastrointestinal mechanical ileus.</t>
  </si>
  <si>
    <t>Empirical therapy and supportive care in the interim as needed.  Monitoring as directed or sooner if clinical signs acutely change, fail to improve or worsen.</t>
  </si>
  <si>
    <t xml:space="preserve">
1.Abdominal detail is normal._x000D_
2.Mild microhepatia is present with cranial positioning to the gastric axis._x000D_
3.Splenic size, shape and margin are normal._x000D_
4.Resouce: https://platform.v2.vetology.net/doc/liver_disease_x000D_
5.The stomach contains a mild to moderate volume of gas and soft tissue material. The gastric axis is cranially positioned due to the microhepatia._x000D_
6.The small bowel is diffusely gas- and fluid-filled without segmental small bowel dilation._x000D_
7.The colon contains mild to moderate heterogeneous soft tissue material and gas.</t>
  </si>
  <si>
    <t>A lateral radiograph of the thorax, and three views of the abdomen are provided. A previous study dated 7/17/23 was identified under case ID number 236-3606. There is mild reduced mid abdominal serosal detail. Small volume of gas in the stomach. Equivocal scant amorphous soft tissue density in the stomach versus normal rugal folds. Small intestines are diffusely minimally distended with fluid and gas. Small volume gas and scant formed feces in the colon. There are several small smoothly marginated faintly mineral densities measuring up to 0.5 cm in the urinary bladder. No medial iliac lymphadenomegaly. Normal-sized liver, spleen, kidneys. No osseous abnormalities._x000D_
_x000D_
In the thorax the cardiac silhouette is normal size and shape. The lungs are clear. There is no pleural effusion. Normal tracheal diameter. No esophageal dilation.</t>
  </si>
  <si>
    <t>1. Scant peritoneal effusion. Gastroenteritis/pancreatitis is most likely. There is equivocal scant soft tissue density in the stomach that may represent residual ingesta and normal rugal folds. Foreign material is not definitively ruled out. There is no evidence of small bowel obstruction._x000D_
2. Several small cystic calculi, of a size that should be able to pass the urethra._x000D_
3. Normal thorax.</t>
  </si>
  <si>
    <t>Recommend supportive care for potential gastroenteritis. If the patient does not rapidly improve, fasted abdominal ultrasound would be recommended. A positive contrast gastrogram is another option if ultrasound is not available.</t>
  </si>
  <si>
    <t xml:space="preserve">
1.The liver is moderately enlarged._x000D_
2.The spleen is normal._x000D_
3.Cranial abdominal detail is mildly decreased._x000D_
4.Small intestinal bowel loops are normal in size and distribution and have mainly a soft tissue pattern._x000D_
5.The stomach contains a moderate amount of mixed gas and fluid._x000D_
6.The colon contains gas and fluid.</t>
  </si>
  <si>
    <t xml:space="preserve">Abdomen (3 images):
Images are dated August 22,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The prostate gland is mildly enlarged with a smooth, well-defined cranial margin and homogeneous soft tissue.
Peritoneum: Peritoneal detail is adequate.
Gastrointestinal tract: The stomach contains a moderate volume of gas.   Gas is in the pylorus in the left lateral image.The stomach is within normal limits for size. Gastric rugal folds are slightly prominent.  
Segments of small intestine in the caudal abdomen contains heterogeneous mineral material and gas and are mild to moderately enlarged. Other small intestine segments contains mild to moderate gas, or mild mineral material.  
The colon contains moderate mineral material admixed with soft tissue and gas, or is empty. The colon is within normal limits for size.  
Musculoskeletal: The included musculoskeletal structures are normal.
</t>
  </si>
  <si>
    <t>1. Mineral small intestinal content and functional ileus/enteritis versus evolving mechanical ileus.
2. Colonic mineral material due to dietary indiscretion and/or desiccation/dehydration.
3. Mild prostatic enlargement due to benign hyperplasia given intact status.</t>
  </si>
  <si>
    <t>Empirical therapy and supportive care in the interim as needed with repeat radiographs after 8-12 hours of fasting to monitor for passage of the small intestinal/colonic content.  If signs fail to improve or worsen, or if repeat radiographs demonstrate progressive/persistent small intestinal changes, consider celiotomy and enterotomy for suspected impacted mineral material. Monitoring as directed or sooner if clinical signs acutely change, fail to improve or worsen.</t>
  </si>
  <si>
    <t xml:space="preserve">
1.Abdominal detail is normal._x000D_
2.Liver size, shape and margin are normal._x000D_
3.Splenic size, shape and margin are normal._x000D_
4.Gas containing stomach with segmental gas distension involving bowel loops.</t>
  </si>
  <si>
    <t>Eleven radiographs of the thorax and abdomen are provided. Thoracic images dated 9/20/23, and abdominal images dated 1/17/24 were reviewed. The heart is a normal size, with no chamber enlargement. Pulmonary vessels are normal size. There are mild age-related changes in the lungs. No soft tissue pulmonary nodules or pleural effusion. Normal cranial mediastinal width._x000D_
_x000D_
In the abdomen the stomach contains moderate volume gas and small volume fluid. Normal rugal folds are visible on the lateral views. Round 8.3 cm soft tissue opacity cranial to the right kidney on the VD views in the region of the pylorus. Small intestines are diffusely mildly filled with fluid and small volume gas. There is scant peritoneal fluid. Gas and small-volume semi-formed feces in the colon. No radiopaque foreign material. The liver, spleen, and kidneys are normal size. No significant osseous abnormalities.</t>
  </si>
  <si>
    <t>There is scant peritoneal effusion that was not present before. I have two concerns with the stomach. First, the round soft tissue contour seen on the VD projection may be fluid within the pylorus. A gastric wall lesion or adjacent mass is not ruled out. Second, gastric contents may be normal ingesta and/or foreign material. Otherwise normal abdomen and thorax.</t>
  </si>
  <si>
    <t>Recommend strictly fasted abdominal ultrasound.</t>
  </si>
  <si>
    <t xml:space="preserve">
1.The stomach contains a small volume of gas._x000D_
2.The colon contains partially formed fecal material._x000D_
3.The abdomen is pendulous._x000D_
4.The small intestines are normal in size, course and content._x000D_
5.The spleen is normal in size and margin._x000D_
6.Abdominal detail is normal._x000D_
7.The liver extends moderately beyond the costal arch with a smooth margin._x000D_
8.Resource: https://platform.v2.vetology.net/doc/liver_disease</t>
  </si>
  <si>
    <t>Three images are provided.
Images are dated August 22, 2024.
Pulmonary parenchyma: A mild to moderate diffuse bronchial pattern is present.
Pulmonary vasculature: The pulmonary vasculature is subjectively normal in size and tapers in the periphery of the lungs.
Cardiac silhouette: The cardiac silhouette tall and occupies 2/3 the height of the thorax in the lateral image.  The caudodorsal margin of the cardiac silhouette is flat.  Rounded increased soft tissue is in the region of the left atrium in the ventrodorsal image.  
Mediastinum: The cranial mediastinum is normal.
Trachea: The trachea is normal.
Esophagus: The esophagus is not well-identified.
Pleural space: The pleural space is normal.
Liver: The liver is enlarged with a rounded or undulant caudoventral margin.  The gastric axis is mildly caudally displaced.  
Spleen: The spleen is suspiciously folded on itself in the left cranial abdomen in the ventrodorsal image.
Kidneys: The kidneys are normal in size and shape without obvious mineral.
Retroperitoneum: Retroperitoneal detail is adequate.
Urinary bladder/Urethra: The urinary bladder is normal in size, homogeneous soft tissue, and smoothly marginated.
Peritoneum: Peritoneal detail is slightly decreased in the cranioventral abdomen, best identified in the left lateral image.
Gastrointestinal tract: The stomach contains a moderate volume of gas. Gastric rugal folds are prominent.  The stomach is within normal limits for size.
The small intestine contains mild gas and fluid or is empty with a subjectively uniform population for size. 
The colon contains mild heterogeneous soft tissue material and gas.  The colon is within normal limits for size.  
Musculoskeletal: Unilateral shoulder osteoarthrosis is present.  The remaining included musculoskeletal structures are normal.</t>
  </si>
  <si>
    <t>1. Mild left-sided cardiomegaly.
- Differential diagnoses include myxomatous mitral valvular disease and insufficiency or less likely other.
- There is no current evidence of left-sided congestive heart failure.
2. Mild-moderate diffuse bronchial pulmonary pattern.
- Differential diagnoses include infectious/immune-mediated lower airway disease, fibrosis from prior disease, age-related changes, or unlikely other.
- No obvious pulmonary soft tissue nodules or intra-thoracic lymphadenomegaly.
3. Hepatomegaly and possible evolving mass.
- Consider evolving neoplasia (primary versus metastatic/multicentric) versus vacuolar hepatopathy, nodular hyperplasia, or a combination of these.
4. Suspected peritoneal effusion versus artifact.
- If present, consider malignant effusion from occult malignancy (possibly the liver) versus peritonitis such as from pancreatitis, or less likely other.
5. Non-specific gastric, small intestinal and colonic appearance due to gastritis/enteritis/colitis or given reported history, unlikely variation of normal/recent bowel movement.
- There is no current evidence of gastrointestinal mechanical ileus.
- Differential diagnoses include dietary indiscretion, toxin ingestion, diet/antibiotic responsive disease, inflammatory bowel disease, pancreatitis, occult systemic disease or unlikely other.
6. Unilateral shoulder osteoarthrosis.</t>
  </si>
  <si>
    <t>Consider routine blood work and abdominal ultrasonography for further evaluation of the liver, gastrointestinal tract, pancreas and peritoneum.  Echocardiography, eCG and blood pressure may be contributory, especially if a murmur is later identified.  Empirical therapy and supportive care in the interim as needed for gastroenterocolitis.  Monitoring as directed, or sooner if clinical signs acutely change, fail to improve or worsen.</t>
  </si>
  <si>
    <t xml:space="preserve">
1.As mentioned above, the stomach is caudally displaced by the mild hepatomegaly. Portions of the colon are gas filled and have a rigid appearance._x000D_
2.Splenic size, shape and margin are normal._x000D_
3.There is smoothly margined, mild hepatomegaly that is causing caudal displacement of the gastric axis._x000D_
4.Mid-abdominal detail is mildly decreased.</t>
  </si>
  <si>
    <t>Mild hepatomegaly. Hepatomegaly. Differential diagnoses include individual variation of normal, artifact and/or vacuolar hepatopathy (such as from hyperadrenocorticism or diabetes mellitus), nodular hyperplasia, hepatitis/cholangiohepatitis, or evolving neoplasia (metastatic versus primary). Evidence of colitis. This finding should be correlated to the clinical presence of dyschezia.</t>
  </si>
  <si>
    <t xml:space="preserve">
Virtual Radiologist Case Difficulty: MODERATE_x000D_
Virtual Radiologist Confidence: MODERATE_x000D_
If dyschezia or diarrhea are present, fecal evaluation and empirical therapy for colitis should be initiated. Fluid therapy is also recommended along with monitoring for fever secondary to bacterial translocation across the colonic wall._x000D_
Blood work to assess liver values. Further evaluation of the liver via ultrasound and function testing if the liver values are inconsistent with changes secondary to fat deposition.</t>
  </si>
  <si>
    <t xml:space="preserve">Five images are provided.
Images are dated August 22, 2024.  
Prior image dated August 21, 2024 is available.
Bones/Joints:
A dens is present.  There is no evidence of atlantoaxial joint subluxation.  Rightward bowing of the neck in the ventrodorsal image is consistent with reported physical exam/history.  No obvious narrowing of the cervical intervertebral disc spaces is identified.
There is no evidence of intervertebral disc space narrowing, or mineral over the intervertebral foramina.  There is no evidence of intervertebral dorsal articulation osteoarthrosis.
There is no evidence of medullary sclerosis, osteolysis, endosteal scalloping, or periosteal proliferation.
Soft tissues:  No obvious mass or mass effect in the left cervical soft tissues.  The remaining included soft tissues are normal.
</t>
  </si>
  <si>
    <t>1. No obvious evidence of cervical or thoracic intervertebral disc disease.</t>
  </si>
  <si>
    <t>If left thoracic limb truly has absent proprioception, consider occult brachial plexus or cervical spinal cord injury contributing to reported signs.  This examination does not rule out non-mineralized intervertebral disc herniation/extrusions.  Consider neurologist consultation and MRI of the cervical spine/brachial plexus region.  Routine blood work and thoracic imaging prior to referral.  Empirical therapy and supportive care in the interim as needed.  Monitoring as directed, or sooner if signs fail to improve or worsen.</t>
  </si>
  <si>
    <t>Abdomen (7 images):
Images are dated August 22, 2024.
Liver: The liver is subjectively normal in size.
Spleen: The spleen is prominent in the lateral images with smooth, well-defined margins.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to large volume of gas. In the right lateral image, suspicious soft tissue material is in the pylorus, but this is less well-identified in the left lateral image.    The stomach is within normal limits for size.
In the cranioventral abdomen and mid-abdomen, several segments of small intestine contains moderate gas.  In the caudal and ventral abdomen, small intestinal segments contains mild fluid or soft tissue material mixed with gas, or are empty. Overall there are two populations for small intestinal size.
The colon contains mild well-defined soft tissue material and gas.  The colon is within normal limits for size.  
Musculoskeletal: The included musculoskeletal structures are normal.</t>
  </si>
  <si>
    <t>1. Suspicious for pyloric soft tissue foreign material, especially given reported history.
- No current evidence of complete pyloric outflow tract obstruction in this examination, but partial/intermittent obstruction is not ruled out.
2. Suspicious for evolving small intestinal mechanical ileus given reported history and possible gastric material, or less likely functional ileus/enteritis from dietary indiscretion or other.
3. Prominent spleen is most likely due to breed (German shepherd dog).</t>
  </si>
  <si>
    <t>Given reported history and clinical signs, small intestinal changes are most suspicious for evolving mechanical ileus, and less likely functional ileus/enteritis.  Consider abdominal ultrasonography, or empirical therapy/supportive care and recheck abdominal radiographs after 8-12 hours for improvement/worsening of the intestinal changes. If mechanical ileus is confirmed, exploratory celiotomy with enterotomy/possible gastrotomy.   Empirical therapy and supportive care as needed in the interim for dietary indiscretion and gastritis/enteritis.  Monitoring as directed or sooner if clinical signs acutely change, fail to improve or worsen.</t>
  </si>
  <si>
    <t xml:space="preserve">Abdomen (3 images):
Images are dated August 22, 2024.
Liver: The liver is mildly small with cranial displacement of the gastric axis.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heterogeneous soft tissue admixed with gas.   The stomach is within normal limits for size.  Mild pyloric gas in the left lateral image.  
The small intestine contains mild fluid or is empty with a subjectively uniform population for size. 
The colon contains mild to moderate heterogeneous admixed soft tissue material and gas.  The colon is within normal limits for size.  
Musculoskeletal: The right caudolateral abdominal body wall soft tissue contains multiple, variably sized, small, ovoid or angular soft tissue to mineral opacities.  The right lateral subcutaneous fat at this site is suspiciously thickened, with increased soft tissue. The remaining included musculoskeletal structures are normal.
</t>
  </si>
  <si>
    <t>1. Gastric material due to recent meal and/or gastritis/delayed gastric emptying, or unlikely other. 
2. Non-specific small intestinal appearance due to enteritis or given reported history, less likely variation of normal.
- There is no current evidence of gastrointestinal mechanical ileus.
- Differential diagnoses include dietary indiscretion, toxin ingestion, diet/antibiotic responsive disease, inflammatory bowel disease, pancreatitis, occult systemic disease or unlikely other.
3. Mild microhepatia or unlikely variation of normal.
- If present, consider occult portosystemic shunting vessel or unlikely other.
4. Right caudolateral extra-abdominal body wall suspected thickened soft tissues and multiple granulomas or unlikely other.
- This may be due to prior/chronic injury, or unlikely evolving neoplasia or other.</t>
  </si>
  <si>
    <t>Consider repeat abdominal radiographs after 8-12 hours of fasting and empirical therapy to monitor for passage of gastric material.  Empirical therapy and supportive care in the interim as needed.  Consider bile acid testing, routine blood work and abdominal ultrasonography for further evaluation, especially if clinical signs fail to improve or worsen with empirical therapy.</t>
  </si>
  <si>
    <t>3 views of the abdomen are provided for review.  Serosal detail is adequate in all quadrants.  The stomach contains a moderate amount of gas and the rugal folds are prominent.  The small intestines are normal in size.  Gas and feces are present in the colon.  The urinary bladder is small.  The remaining abdominal organs are normal.</t>
  </si>
  <si>
    <t xml:space="preserve">
1.The liver and spleen are normal size._x000D_
2.No effusion is present._x000D_
3.Moderate volume soft tissue opacity and/or gas fills the stomach._x000D_
4.Small intestines are mildly filled with a mixture of fluid and gas._x000D_
5.No segmental small intestinal distention is present._x000D_
6.No abnormal AI findings reported.</t>
  </si>
  <si>
    <t>Three radiographs of the thorax, and two lateral views of the abdomen are provided. The cardiac silhouette and pulmonary vessels are normal size and shape. There are no abnormalities in the pulmonary parenchyma. No pleural effusion. Tracheal diameter and cranial mediastinal width are normal._x000D_
_x000D_
There is no peritoneal or retroperitoneal effusion. Formed feces fills the colon. The fecal column is upper normal size for this patient and no fecal column displacement is appreciated. The cecum contains gas. Small intestines are mildly gas-filled. The stomach is minimally distended. No evidence of medial iliac lymphadenomegaly. The urinary bladder is mildly filled and soft tissue opaque. Normal-sized kidneys, liver, spleen.</t>
  </si>
  <si>
    <t>Normal thorax and abdomen. There is no evidence of constipation on this study.</t>
  </si>
  <si>
    <t>If further evaluation of the abdomen/perianal region is desired, as well as for regional lymphadenopathy (such as sacral lymph node enlargement), cross-sectional imaging with computed tomography could be considered.</t>
  </si>
  <si>
    <t>Three radiographs of the abdomen are provided. There is no peritoneal or retroperitoneal effusion. The stomach contains small volume fluid and gas. There is wispy soft tissue opacity in the pylorus on the left lateral view and in the gastric fundus on the VD projection. Small bowel are minimally distended. Formed feces in the distal colon. The liver is upper normal size with smooth margins. Normal size spleen and kidneys. No radiopaque urolithiasis. Normal caudal thorax.</t>
  </si>
  <si>
    <t>The appearance of the stomach is concerning for foreign material causing gastritis and pyloric outflow obstruction. Normal rugal folds could also cause this appearance. The abdomen is otherwise normal. There is no evidence of small bowel obstruction.</t>
  </si>
  <si>
    <t>With the persistent vomiting despite Cerenia administration, gastroscopy should be considered. If gastroscopy is not available and vomiting persists, exploratory surgery may be necessary.</t>
  </si>
  <si>
    <t>Opposite lateral and VD views of the thorax and abdomen are provided. This study is compared to the previous dated 8-5-24._x000D_
_x000D_
In the right lateral view, a region of alveolar infiltrates tracking on the caudal aspect of the cranial lobe bronchus in the cranioventral thorax. Alveolar infiltrates are also seen ventrally just dorsal to the sternum from S2 to S4. No corresponding pattern is seen in the VD view=ZZ90= the infiltrates are suspected to be real but hidden by the spine close to midline. The other lung fields are within normal limits. No cardiovascular abnormalities are identified. There is a small quantity of gas in the esophagus. No tracheal abnormalities are identified._x000D_
_x000D_
The irregular appearance of the mid thoracic vertebral endplates is more prominent in the left lateral view than it was in the previous study, but less prominent in the right lateral view. The difference is presumed to be due to slight positional differences.</t>
  </si>
  <si>
    <t>There is a new area of alveolar infiltrates which is suspected to be involving the ventral aspect of the left cranial lung lobe around the bronchus to the cranial subsegment of this lobe. The appearance is consistent with focal pneumonia that was not seen in the previous studies._x000D_
_x000D_
There is still some concern for discospondylitis due to the irregular appearance of mid thoracic vertebral endplates.</t>
  </si>
  <si>
    <t>Pneumonia appears to have returned and a new location._x000D_
This could be due to recrudescence of pre-existing infection, or new infection secondary to aspiration of ingesta or a radiolucent foreign body such as a grass awn._x000D_
Considering the difficulty in controlling the pulmonary infiltrates in this patient over the last few months, bronchoscopy or BAL/TTW for cytology and culture should be considered to assist definitive diagnosis._x000D_
Additional antibiotic therapy is indicated._x000D_
A recheck a three view study is recommended in two weeks.</t>
  </si>
  <si>
    <t>6 images of the thorax and abdomen are presented for review and compared with the study dated 8/4/2023.  There is straightening of the caudal cardiac waist in the region of the left atrium (VHS 9=ZZ90= similar to previous).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ingesta.  The small intestines are normal in size.  Gas and feces are present in the colon.  The urinary bladder is small.  The remaining abdominal organs are normal.</t>
  </si>
  <si>
    <t>Radiographically normal abdomen.  Static mild left atrial enlargement.</t>
  </si>
  <si>
    <t>Six radiographs of the abdomen are provided. The urinary bladder is mildly filled and soft tissue opaque. There are no abnormalities in the region of the medial iliac lymph nodes. The colon contains moderate volume of formed feces. The stomach and small bowel are minimally distended. There is wispy striated soft tissue density in the stomach. Scant mineral opaque debris in the stomach and small bowel is likely incidental. Normal size liver, lean, kidneys. The T12-13 and T13-L1 intervertebral foramina are mildly reduced in size. On the 3rd lateral view, one of the femurs is located dorsal to the acetabulum. The coxofemoral joints are not included on the VD projection.</t>
  </si>
  <si>
    <t>1. Wispy striated soft tissue density in the stomach consistent with foreign material. This may be plant/grass material, and is of doubtful significance in the absence of vomiting. Otherwise normal abdomen. There is no radiopaque urolithiasis._x000D_
2. The appearance of T12-13 and T 13-L1 are both suggestive of intervertebral disc disease. This is of uncertain significance today._x000D_
3. One of the coxofemoral joint is luxated.</t>
  </si>
  <si>
    <t>Further investigation of the urinary tract with ultrasound could be considered.</t>
  </si>
  <si>
    <t xml:space="preserve">
1.The stomach is normal. The small bowel is diffusely gas- and fluid-filled without segmental small bowel dilation._x000D_
2.Abdominal detail is normal._x000D_
3.The liver is mildly enlarged, and retains a smooth margin._x000D_
4.Splenic size, shape and margin are normal.</t>
  </si>
  <si>
    <t>Three radiographs of the abdomen are provided. Images dated 7/22/24 are available for comparison. There is new development of mild peritoneal fluid. On the right lateral view, the cranial margin of the splenic tail has a rounded 2.2 cm soft tissue contour. Faint round 2.3 cm soft tissue opacity caudal lateral to the right kidney on the VD projection may also represent splenic contour. This was not present before. Overall splenic size is normal. Normal-sized liver and left kidney. The right kidney is incompletely visible. The stomach contains small volume soft tissue density stippled with gas. Small bowel are minimally filled. Small volume of gas and scant semi-formed feces in the cecum and colon. No radiopaque urolithiasis. Normal caudal thorax.</t>
  </si>
  <si>
    <t>1. Mild peritoneal effusion with suspect small splenic mass lesion. This was not present previously. Neoplasia such as hemangiosarcoma is of concern. A hematoma or hemangioma could also cause this appearance._x000D_
2. Gastric contents appears to be residual ingesta. Foreign material is not definitively ruled out. There is no evidence of intestinal obstruction.</t>
  </si>
  <si>
    <t>Recommend fasted abdominal ultrasound.</t>
  </si>
  <si>
    <t xml:space="preserve">
1.The stomach contains a small volume of gas._x000D_
2.No abnormal AI findings reported._x000D_
3.No abnormal AI findings reported._x000D_
4.The liver and spleen are within normal limits in size and shape._x000D_
5.No dilated or plicated small bowel loops are noted._x000D_
6.The colon contains scant fecal material and gas.</t>
  </si>
  <si>
    <t>The appearance of the stomach is likely related to normal ingesta in the ABSENCE of GI symptoms. However, if GI symptoms are PRESENT, gastroenteritis secondary to dietary indiscretion or infectious etiology could be considered.</t>
  </si>
  <si>
    <t>A three view study of the abdomen is provided for interpretation._x000D_
_x000D_
Metal dense foreign objects consistent with coins are identified in the stomach multiple objects are present, at least six are suspected. The stomach is not dilated or malpositioned. No abnormalities are identified involving the intestinal tract or the other abdominal organs. Serosal detail is normal. The caudal thorax is unremarkable.</t>
  </si>
  <si>
    <t>Multiple metal foreign bodies are present in the stomach, likely representing coins. No other abnormalities are identified. There is no evidence of obstruction at this time.</t>
  </si>
  <si>
    <t>Endoscopic retrieval of the foreign objects is recommended. Gastrotomy is recommended if endoscopy is not an option.</t>
  </si>
  <si>
    <t xml:space="preserve">
1.Minimal decrease in abdominal detail._x000D_
2.There is a minimal amount of mottled soft tissue density material mixed with gas within the stomach._x000D_
3.Small intestinal bowel loops are normal in size and have a mixed pattern. No obvious obstruction._x000D_
4.The spleen is normal in size._x000D_
5.The liver is normal in size.</t>
  </si>
  <si>
    <t>Study:_x000D_
Abdominal radiography: three images dated August 22, 2024_x000D_
_x000D_
Compared to prior study dated March 26, 2024_x000D_
_x000D_
Findings:_x000D_
The abdominal serosal detail is adequate.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esophagus is gas dilated on both lateral projections. There is in situ mineralization of the T 11-T 12 intervertebral disc.</t>
  </si>
  <si>
    <t>1. Unremarkable abdomen. There is no radiographic evidence of gastrointestinal foreign material or small intestinal mechanical obstruction. Abdominal sonography can be considered for further evaluation if clinical signs persist or worsen in spite of medical management._x000D_
2. The gas dilation of the esophagus may be secondary to aerophagia or may indicate an esophageal motility disorder. Correlate with any history of regurgitation. Three view thoracic radiography plus/minus an esophagogram can be considered for further evaluation._x000D_
3. T 11-T 12 in situ degenerative disc disease.</t>
  </si>
  <si>
    <t>Three radiographs of the thorax, and six views of the abdomen are provided. The heart and pulmonary vessels are normal size and shape. Small round soft tissue density overlying the caudal dorsal heart on the right lateral view is end-on pulmonary vessel. There are no soft tissue pulmonary nodules or pleural effusion. Normal cranial mediastinal width._x000D_
_x000D_
In the abdomen serosal detail is adequate. There is small volume gas in the stomach and throughout the small bowel. Small volume minimally formed feces in the cecum. The colon is gas dilated. No radiopaque gastrointestinal foreign material. Normal-sized liver, spleen, kidneys. The urinary bladder is mildly filled and soft tissue opaque.</t>
  </si>
  <si>
    <t>Normal thorax and abdomen. Gastroenteritis secondary to dietary indiscretion is most likely. There is no evidence of an obstructive process. Small radiolucent gastric foreign material is not definitively ruled out, but felt to be unlikely with only a single episode of vomiting.</t>
  </si>
  <si>
    <t>Supportive care is recommended.</t>
  </si>
  <si>
    <t>Abdomen (4 images):
Images are dated August 21, 2024.
Liver: The liver is mildly enlarged with a rounded caudoventral margin and mild caudal/dorsal displacement of the gastric axis.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heterogeneous soft tissue material admixed with gas.   The stomach is within normal limits for size.
The small intestine contains mild to moderate gas and mild fluid or is empty with a subjectively uniform population for size. 
The colon contains mild heterogeneous soft tissue material and gas.  The colon is within normal limits for size.  
Musculoskeletal:   Bilateral mild coxofemoral joint osteoarthrosis is present.  Multifocal thoracolumbar and lumbosacral spondylosis deformans is present.  The remaining included musculoskeletal structures are normal.</t>
  </si>
  <si>
    <t>1. Mild hepatomegaly due to vacuolar change (such as from evolving hyperadrenocorticism), nodular hyperplasia, hepatitis/cholangiohepatitis, or evolving neoplasia, or unlikely other.
2. Gastric material from recent meal versus gastritis/delayed gastric emptying or given reported history, unlikely pyloric outflow tract obstruction.
3. Non-specific small intestinal appearance such as from enteritis, or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4. Mild bilateral coxofemoral joint osteoarthrosis.</t>
  </si>
  <si>
    <t>Consider routine blood work, urine cortisol:creatinine ratio versus ACTH stimulation or LDDS testing, and abdominal ultrasonography for further evaluation of the left, gastrointestinal tract and adrenal glands.  Coagulation testing and hepatic tissue sampling depending on results.   Empirical therapy and supportive care in the interim as needed.  Monitoring as directed or sooner if clinical signs acutely change, fail to improve or worsen.</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</si>
  <si>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contains a suspected oval foreign body._x000D_
Small intestines are mildly gas and fluid filled, not overtly distended. _x000D_
Serosal detail is preserved._x000D_
Liver and spleen are within normal limits of size and smoothly marginated._x000D_
Kidneys and urinary bladder WNL._x000D_
_x000D_
Visible spine is unremarkable (other than congenital hemivertebrae) without signs of disc herniation, aggressive bone lesions, vertebral fractures or subluxations.</t>
  </si>
  <si>
    <t>1) Unremarkable thorax without signs of pulmonary metastases nor signs of thoracic lymphadenopathy._x000D_
2) Suspected oval gastric foreign body.</t>
  </si>
  <si>
    <t>Consider a neuro exam with MRI if necessary. Take advantage of sedation for a gastroscopy (prior abdominal US).</t>
  </si>
  <si>
    <t>Study:_x000D_
Abdominal radiography: three images dated August 21, 2024_x000D_
_x000D_
Findings:_x000D_
The stomach and some small intestinal segments contain unstructured heterogeneous/granular soft tissue material presumed to be ingesta. The colon contains formed fecal material with several small interspersed mineral opacities. The liver and spleen are normal in size and margin. The renal silhouettes are normal in size and contour. The urinary bladder is normal in size and opacity. The uterus is not visualized. The patient has multiple, breed associated, congenitally anomalous thoracic and caudal vertebrae.</t>
  </si>
  <si>
    <t>Postprandial gastrointestinal tract=ZZ90= otherwise, unremarkable abdomen. There is no radiographic evidence of uterine dilation. This does not exclude the possibility of open pyometra metritis.</t>
  </si>
  <si>
    <t>Abdominal sonography can be considered for further evaluation of the reported vulvar discharge.</t>
  </si>
  <si>
    <t>Study:_x000D_
Thoracic and abdominal radiography: six images dated August 21, 2024_x000D_
_x000D_
Findings:_x000D_
The cardiac silhouette (VHS approximately 10) and pulmonary vasculature are normal in size. The pulmonary parenchyma is unremarkable. The pleural space is normal. There is no intrathoracic lymphadenopathy. The trachea is normal in diameter and course. The abdominal serosal detail is adequate. The stomach is empty. The small intestines are normal in size, course and content. The colon contains formed fecal material with a normal diameter. The liver extends mildly beyond the costal arch with smooth and sharp margins. The spleen is normal in size and shape. The renal silhouettes are normal in size and contour. The urinary bladder is normal in size and opacity. The uterus and ovaries are not visualized. There is mild L2-L3 and L7-S1 spondylosis deformans.</t>
  </si>
  <si>
    <t>1. Normal thorax. There is no radiographic evidence of heart disease. Consider echocardiography for further evaluation of the reported heart murmur._x000D_
2. A cause of coughing is not evident. Lack of a definitive bronchial pulmonary pattern does not exclude the possibility of allergic/inflammatory, infectious, irritant or parasitic bronchitis. Consider laryngeal paralysis_x000D_
3. There is no radiographic evidence of pulmonary metastatic disease._x000D_
4. The generalized hepatomegaly is nonspecific. Rule out metabolic/vacuolar hepatopathy, hyperplasia, hepatitis or infiltrative neoplasia. Correlate with any liver enzyme abnormalities. Sonography can be considered for further evaluation if clinically relevant._x000D_
5. A definitive cause of the reported chronic weight loss, lethargy, hyporexia and hypoalbuminemia is not evident. Full diagnostic abdominal sonography, a G.I. panel and a urine protein creatinine ratio can be considered for further evaluation.</t>
  </si>
  <si>
    <t xml:space="preserve">
1.The liver is mildly enlarged._x000D_
2.No abnormal AI findings reported._x000D_
3.Visualized spleen appears within normal limits._x000D_
4.There is a small amount of food within the stomach._x000D_
5.The small bowel is normal in diameter throughout and contains gas and fluid._x000D_
6.There is a small volume of fecal material within the colon.</t>
  </si>
  <si>
    <t>Hepatomegaly may be due to infiltrative neoplasia vs. inflammatory or less likely, metabolic hepatopathy.</t>
  </si>
  <si>
    <t>Orthogonal radiographs of the thorax, and three views of the abdomen are provided. The cardiac silhouette and pulmonary vessels are normal size. Thin mineral density overlying the cranial heart on the right lateral view is likely incidental aortic annulus mineralization or lung granuloma. There is no pleural effusion or soft tissue pulmonary nodules. Normal tracheal diameter. No esophageal dilation._x000D_
_x000D_
In the abdomen there is fluid in the distal colon. Small intestines are minimally filled. Small volume gas in the stomach. Thin linear stacked soft tissue densities overlying the stomach on the right lateral view are normal rugal folds. No radiopaque foreign material. Normal-sized liver, kidneys, spleen. The urinary bladder is minimally distended.</t>
  </si>
  <si>
    <t>Liquid diarrhea. Otherwise normal abdomen. A reason for vomiting and diarrhea is not identified. Gastroenteritis is most likely. Small radiolucent gastric foreign material is not definitively ruled out. The thorax is normal.</t>
  </si>
  <si>
    <t>Abdominal ultrasound is recommended. If ultrasound is not available, an upper GI series is another option.</t>
  </si>
  <si>
    <t xml:space="preserve">
1.No mechanical ileus is visualized._x000D_
2.The colon is gas filled and has a rigid appearance._x000D_
3.There is a focal decrease in cranial abdominal serosal detail._x000D_
4.Liver size, shape and margin are normal._x000D_
5.The spleen is at the upper limits of normal to mildly enlarged but retains a smooth margin._x000D_
6.The gastric lumen contains a mild amount of soft tissue and gas opacity._x000D_
7.The gastric rugae are prominent._x000D_
8.The small intestine is of uniform population size and is diffusely of soft tissue opacity with minimal gas opacity.</t>
  </si>
  <si>
    <t>The decrease in cranial abdominal detail and the above findings are consistent with cranial abdominal inflammation secondary to pancreatitis, gastritis and/or colitis. Appearance to the stomach suggestive of gastritis. Appearance of the colon is consistent with non-specific colitis +/- concurrent enteritis. Splenic size at the upper limits of normal. Lymphoid hyperplasia secondary to abdominal disease is a primary consideration. Other considerations are normal for breed (Shepherd) vs. sedation vs. extramedullary hematopoiesis.</t>
  </si>
  <si>
    <t>Study:_x000D_
Abdominal radiography: three images dated August 21, 2024_x000D_
_x000D_
Findings:_x000D_
There is an ovoid soft tissue opacity in the pylorus on the right lateral view. The small intestines are normal in size, course and content. The colon contains formed fecal material with a normal diameter. The liver and spleen are normal in size and margin. The kidneys are normal in size and contour. The urinary bladder is mildly distended likely secondary conscious retention. The included thorax is unremarkable. No skeletal abnormalities are present.</t>
  </si>
  <si>
    <t>The ovoid soft tissue opacity seen in the pylorus on the left lateral view may represent food or foreign material. The abdomen is otherwise unremarkable. There is no evidence of small test mechanical obstruction. Repeat fasted radiography (including the left lateral projection) can be considered to monitor for persistence or resolution of this finding. Alternatively, abdominal sonography can be considered for further evaluation if clinical signs persist or worsen in spite of medical management.</t>
  </si>
  <si>
    <t>6 views of the thorax and abdomen are submitted for review.  There is increased soft tissue opacity in the cranial mediastinal region.  The cardiac silhouette also appears very prominent and rounded in shape.  There is increased perihilar soft tissue opacity at the caudal dorsal aspect of the heart causing acute ventral deviation of the carina and mainstem bronchi.  Mild bronchointerstitial pulmonary markings are noted.  No definitive pleural effusion is noted.  The trachea is normal in diameter._x000D_
In the abdomen, the liver is subjectively prominent in size with slightly rounded serosal margins.  The spleen is normal in size and shape.  The unobscured margins of the renal silhouettes and urinary bladder are normal.  A mild amount of gas is noted in the stomach and small bowel.  No overtly dilated loops of bowel are seen.  The cecum and colon are mostly empty.  Serosal detail is adequate._x000D_
Chronic degenerative changes and intervertebral disc space narrowing is noted at T13-L1.  No aggressive bony changes are seen.</t>
  </si>
  <si>
    <t>Suspect large cranial mediastinal mass and severe tracheobronchial lymphadenopathy.  This could be consistent with round cell or metastatic neoplasia.  Disseminated mycosis is also possible (as with coccidioidomycosis/valley fever).  Alternative considerations for the cranial mediastinal mass could include other neoplasia such as thymoma or ectopic thyroid carcinoma.  The appearance of the cardiac silhouette could be consistent with right-sided cardiomegaly, and pulmonary hypertension, pericardial effusion, or neoplasia associated with the right heart._x000D_
The mild prominence of the liver could be consistent with vacuolar hepatopathy, venous congestion, neoplasia, or inflammation._x000D_
Likely incidental finding of chronic intervertebral disc disease at the thoracolumbar junction.</t>
  </si>
  <si>
    <t>An ultrasound of the cranial mediastinal region and an echocardiogram are recommended.  A thoracic CT scan may ultimately be indicated.  An abdominal ultrasound could also be considered.  Fungal testing may be indicated, particularly if there is a travel history to the Southwestern United States or other endemic areas for Coccidioides.</t>
  </si>
  <si>
    <t xml:space="preserve">
1.Liver size, shape and margin are normal._x000D_
2.Abdominal detail is normal._x000D_
3.Splenic size, shape and margin are normal._x000D_
4.The stomach contains small volume gas and scant amorphous soft tissue density material. Diffuse, mild to moderate gas dilation of the small bowel without evidence of obstruction.</t>
  </si>
  <si>
    <t>Three radiographs of the thorax, and three views of the abdomen are provided. The cardiac silhouette is normal size and shape. There are no abnormalities in the pulmonary parenchyma. No pleural effusion. Normal tracheal diameter._x000D_
_x000D_
In the abdomen serosal detail is adequate. The liver is normal size. There are several smoothly irregular tubular arborizing mineral densities overlying the liver. Normal-sized spleen and left kidney. The right kidney is obscured. Small to moderate volume of amorphous soft tissue opacity in the stomach. Small intestines are diffusely mildly filled with gas and fluid. There is gas in the cecum and colon. No radiopaque foreign material or urolithiasis. Mineral density overlies the L3-4 intervertebral foramen.</t>
  </si>
  <si>
    <t>1. Mineralization overlying the liver is most likely choledocholithiasis. This is typically an incidental finding. Otherwise normal abdomen._x000D_
2. The appearance of L3-4 may represent a protruding/extruded intervertebral disc. This could be responsible for discomfort._x000D_
3. Normal thorax.</t>
  </si>
  <si>
    <t>Recommend a CBC, blood chemistry profile, palpation for spinal discomfort, and a neurologic examination. Depending on lab work results, further investigation with abdominal ultrasound may also be indicated.</t>
  </si>
  <si>
    <t xml:space="preserve">
1.Serosal detail is adequate._x000D_
2.Splenic size, shape and margin are normal._x000D_
3.Liver size, shape and margin are normal._x000D_
4.The small intestines have a diffuse fragmented gas pattern.</t>
  </si>
  <si>
    <t xml:space="preserve">Seven images are available.
Images are dated August 21, 2024.
Bones/Joints:
A dens is present.  There is no evidence of atlantoaxial joint subluxation.
There is no evidence of intervertebral disc space narrowing, or mineral over the intervertebral foramina.  There is no evidence of intervertebral dorsal articulation osteoarthrosis.
There is no evidence of medullary sclerosis, osteolysis, endosteal scalloping, or periosteal proliferation.
Soft tissues:  Soft tissues dorsal to the Cd5 vertebrae are mildly convex and enlarged.  The remaining included paraspinal soft tissues are normal.
</t>
  </si>
  <si>
    <t xml:space="preserve">1. No obvious evidence of intervertebral disc space narrowing.
2. Convex soft tissues dorsal to Cd5 vertebra due to dermatitis/cellulitis or unlikely abscess/granuloma, versus evolving neoplasia.
</t>
  </si>
  <si>
    <t xml:space="preserve">Consider routine blood work and thoracic/abdominal evaluation for further evaluation of reported clinical signs.  Digital rectal examination may be contributory.  Consider computed tomography of the thorax/abdomen and pelvic canal for further evaluation.  Empirical therapy and supportive care in the interim while awaiting additional diagnostics.  </t>
  </si>
  <si>
    <t>Orthogonal views of the thorax and abdomen are provided:_x000D_
_x000D_
Thorax:_x000D_
_x000D_
Cardiac silhouette shows a moderate enlargement of the left atrium dorsally displacing the carina._x000D_
Pulmonary vessels are within normal limits of size and shape._x000D_
Pulmonary parenchyma is unremarkable other than multiple pulmonary osteomata._x000D_
Pleural space, mediastinum, diaphragm and thoracic wall within normal limits._x000D_
_x000D_
Abdomen:_x000D_
_x000D_
There is a large rounded to oval mid to right sided abdominal mass pushing the duodenum medially. Serosal detail is preserved._x000D_
The stomach is empty. _x000D_
Small intestines are mildly gas and fluid filled, not overtly distended. _x000D_
Liver is within normal limits of size and smoothly marginated._x000D_
Kidneys and urinary bladder WNL._x000D_
Cranioventral SC lipoma.</t>
  </si>
  <si>
    <t>1) Left atrial enlargement secondary to chronic mitral endocardiosis without signs of CHF._x000D_
2) Splenic mass: rule out neoplasia (HS vs round cell neoplasia felt far less likely) vs benign such as lymphoid hyperplasia or hematoma. Other differentials for this mass are unlikely.</t>
  </si>
  <si>
    <t>Consider abdominal US to further evaluate the mass and the rest of the abdomen for abdominal metastases (such as in the liver). Consider an echocardiogram to rule out a concomitant right atrial mass. If the mass shows characteristics of an hemangiosarcoma, then a whole body contrast CT is recommmended given 25% of hemangiosarcomas lead to muscular metastases, affecting prognosis of the disease.</t>
  </si>
  <si>
    <t>Study:_x000D_
Abdominal radiography: dated August 21, 2024_x000D_
_x000D_
Findings:_x000D_
The serosal detail is adequate. The stomach is mildly to moderately distended with gas and fluid. The pylorus is a probably gas-filled on the left lateral image. Some small intestinal segments contain smoothly marginated fragmented gas. The small intestines are normal in size and course. The colon contains formed fecal material with a normal diameter. The liver and spleen are normal in size and margin. The renal silhouettes are normal in size and contour. Both kidneys contain multiple punctate mineral foci. On the left lateral projection, there is a small mineral opacity caudal to the left kidney. The urinary bladder is normal in size and opacity. The included thorax is unremarkable. There is mild narrowing of the L1-L2 intervertebral disc space in comparison to the adjacent to spaces. There is moderate to severe bilateral remodeling/thickening of the femoral head and neck and mild bilateral acetabular periarticular bone formation.</t>
  </si>
  <si>
    <t>1. The gastric dilation in the absence of a pyloric outflow obstruction may be secondary to nonspecific gastritis. A proximal, not radiographically evident small intestinal mechanical obstruction cannot be completely excluded._x000D_
2. The smoothly marginated fragmented gas pattern seen in the small intestines can be an indicator of nonspecific enteritis._x000D_
3. Bilateral nephrolithiasis and/or nephrocalcinosis._x000D_
4. Suspect L1-L2 intervertebral disc disease. Correlate with any spinal pain and/or proprioceptive deficits._x000D_
5. Moderate to severe bilateral coxofemoral osteoarthrosis.</t>
  </si>
  <si>
    <t>Consider repeat fasted radiography to monitor for persistence or resolution of the gastric dilation. Alternatively, abdominal sonography can be considered for further evaluation if clinical signs persist or worsen in spite of medical management.</t>
  </si>
  <si>
    <t>Abdomen: There is an increase in soft tissue opacity and decreased serosal detail within the right cranial abdomen.  There is mild gas distention of the mid to distal descending duodenum.  There is no evidence of a gastrointestinal foreign body or obstruction.  The liver and spleen are unremarkable.  The visible portions of the urinary tract are unremarkable.  There are numerous regions of lumbar vertebral spondylosis deformans.</t>
  </si>
  <si>
    <t>The appearance of the right cranial abdomen is suspicious for pancreatitis.</t>
  </si>
  <si>
    <t xml:space="preserve">
1.The liver is mildly enlarged._x000D_
2.Resource: https://platform.v2.vetology.net/doc/pancreatitis_x000D_
3.The stomach contains a moderate amount of mixed gas and fluid._x000D_
4.The spleen is normal._x000D_
5.Cranial abdominal detail is mildly decreased._x000D_
6.Small intestinal bowel loops are normal in size and distribution and have mainly a soft tissue pattern._x000D_
7.The colon contains gas and fluid._x000D_
8.Resource: https://platform.v2.vetology.net/doc/gi_protectants_1</t>
  </si>
  <si>
    <t>Three orthogonal radiographs of the abdomen dated 21st August 2024 are available for review. There are no previous radiographs available for comparison. _x000D_
_x000D_
Intra-abdominal findings: The stomach contains a little gas with a normal axis. The rugal folds are subjectively prominent. There is no clear gas in the region of the pylorus on the left lateral image. To small intestines are homogenously mainly empty/filled with a little fluid. The ascending, transverse and descending colon contain mainly gas and some poorly formed faeces. The hepatic silhouette is normal. The spleen is mildly prominent. The kidneys are partially obscured by gastrointestinal contents, but the visible aspect are normal. The urinary bladder is small. The serosal detail is normal._x000D_
_x000D_
Extra-abdominal findings: There is intervertebral disc collapse from T11-L1 with smooth vertebral and plates and ventral spondylosis._x000D_
_x000D_
Included thorax: No significant abnormalities are detected.</t>
  </si>
  <si>
    <t>Reasonably unremarkable abdomen: The prominent rugal folds may indicate a mild gastritis. The absence of gas in the pylorus may be incidental, or indicative of some (partial obstructing) soft issue opaque material. Pancreatitis is possible. Consider orthopaedic pain as a cause for the innapetence.</t>
  </si>
  <si>
    <t>Observational,  empiric management is advised. Consider abdominal ultrasound depending on clinical progression.</t>
  </si>
  <si>
    <t>SPINE (6 radiographs are available for review)._x000D_
_x000D_
- The cervical vertebrae and cervicothoracic junction are normal._x000D_
- There are multiple shortened vertebral bodies and a focal kyphosis in the mid- and caudal thoracic region._x000D_
- The thoracolumbar junction is normal._x000D_
- Mineralized material superimposed over the spinal canal at L3-4._x000D_
- L5-6 and L6-7 intervertebral discs are mineralized in situ_x000D_
- Mild caudal lumbar and lumbosacral spondylosis deformans._x000D_
- The sacrum appears to be a hemivertebral segment._x000D_
- The sacroiliac joints are normal._x000D_
- The pelvic bones are normal._x000D_
- There is an expected, breed-related congenital screw-tail vertebral anomaly._x000D_
- The coxofemoral joints are normal._x000D_
- The included portions of the proximal pelvic limbs are normal.</t>
  </si>
  <si>
    <t>1. A discrete radiographic cause for the reported clinical signs is not clearly identified. There is a prior/chronic disc extrusion at L3-4, and the L5-6 and L6-7 discs are mineralized in situ, which implies intervertebral disc degeneration. Radiographic sensitivity for many pathologies affecting the spine/vertebrae can be limited. There are no fractures, luxations, discospondylitis or aggressive bone lesions seen. If clinically indicated, consultation with a veterinary neurologist and/or advanced imaging of the spine (e.g. CT or MRI) might be considered._x000D_
_x000D_
2. Congenital breed-related caudal thoracic hemivertebrae (with focal kyphosis), sacral hemivertebra and screw-tail vertebral anomaly.</t>
  </si>
  <si>
    <t xml:space="preserve">
1.Splenic size, shape and margin are normal._x000D_
2.Abdominal detail is normal._x000D_
3.The stomach is normal. The small bowel is diffusely gas- and fluid-filled without segmental small bowel dilation._x000D_
4.The liver is mildly enlarged with rounded margins.</t>
  </si>
  <si>
    <t>Study:_x000D_
Abdominal radiography: four images dated August 21, 2024_x000D_
_x000D_
Findings:_x000D_
The serosal detail is adequate. The stomach contains minimal gas. The small intestines are gas and fluid-filled and normal in size and course. The colon contains formed fecal and a linear metallic opacity which is curled upon itself. The colonic diameter is normal. The liver and spleen are normal in size and margin. The renal silhouettes are normal in size and contour. The urinary bladder is normal in size and opacity. There is no prostatomegaly. The included thorax is normal. No skeletal abnormalities are present.</t>
  </si>
  <si>
    <t>The linear metallic opacity in the colon is presumably from the reported recent ingestion of a metallic bristle scrub. The abdomen/gastrointestinal tract is otherwise unremarkable. There is no evidence of small intestinal mechanical obstruction. Consider enteritis secondary recent dietary indiscretion.</t>
  </si>
  <si>
    <t>A lateral thoracoabdominal view, lateral views of the entire spine, a VD pelvis view, and orthogonal views of both hind limbs are provided._x000D_
_x000D_
No disc space narrowing or spinal subluxation is identified. No destructive or productive bone lesions are seen. The pelvis and hips are within normal limits. There is slight swelling of the right stifle joint capsule. No bony abnormalities are identified. There is persistent medial luxation of the left patella. Both tarsal joints are within normal limits._x000D_
There is an unusual area of lucency at the distal medial aspect of P1 of the third digit in both hind feet. However, the appearance is symmetrical and presumed to be a benign variant._x000D_
_x000D_
The cardiovascular structures are within normal limits. There is a mild bronchial pulmonary pattern._x000D_
There is increased gas within the intestinal tract. Many of the intestinal loops have a thickened appearance. The other abdominal organs are within normal limits. No mass lesions or loss of detail are seen.</t>
  </si>
  <si>
    <t>The left patella is luxated medially. The right appears normal. This is unlikely to be relevant to the current presentation._x000D_
_x000D_
There is slight swelling of the right stifle joint capsule. The appearance would be compatible with joint sprain. More significant intra-articular injury should be ruled out if clinically indicated. This is also not likely to be relevant to the current presentation with ataxia._x000D_
_x000D_
No spinal abnormalities that would explain the ataxia are identified._x000D_
_x000D_
There is a gassy appearance of the intestinal tract and suspicion of intestinal thickening. This can be artifactual in survey radiographs, but ultrasound should be considered for more complete evaluation. Relevance to the presenting complaint is limited._x000D_
No thoracic abnormalities are identified.</t>
  </si>
  <si>
    <t>No specific spinal abnormalities or evidence of traumatic injury are identified. Symptomatic therapy and anti-inflammatory therapy for nonspecific back injury and spinal cord compression is recommended.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</si>
  <si>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 and mineral particles (feces in the colon mixed with similar tiny mineral particles)._x000D_
Small intestines are mildly gas and fluid filled, not overtly distended. No signs of mechanical ileus._x000D_
Serosal detail is preserved._x000D_
Liver extends beyond the costal arch with sharp margins. Multiple tiny gallbladder choleliths._x000D_
Spleen is within normal limits of size and smoothly marginated._x000D_
Kidneys and urinary bladder WNL.</t>
  </si>
  <si>
    <t>1) Unremarkable thorax without signs of pulmonary metastases nor signs of thoracic lymphadenopathy._x000D_
2) Hepatomegaly: Metabolic vs Vacuolar infiltration vs Hepatic nodular hyperplasia vs Inflammatory vs Toxic vs Neoplastic or a combination of these differentials._x000D_
3) Multiple tiny gallbladder choleliths.</t>
  </si>
  <si>
    <t>Consider abdominal US to further evaluate the liver and biliary system.</t>
  </si>
  <si>
    <t>Six orthogonal survey radiographs of the thorax and abdomen dated 24th August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abdomen is mildly underexposed. The hepatic silhouette is normal in size with smooth borders. The spleen is normal in shape, size and position. The kidneys are partially obscured by gastrointestinal contents, but the visible aspect are normal. Stomach contains some granular food material, with a normal axis. The small intestines are distributed evenly and are within normal limits for shape, size and contents. There is mild gas in the duodenum and a ventrodorsal image. The ascending, transverse and descending colon have a normal position and contain gradually more formed faeces. The urinary bladder is filled. The serosal detail is normal._x000D_
_x000D_
Musculoskeletal findings: No significant abnormalities are detected.</t>
  </si>
  <si>
    <t>1. No evidence of mineral cystoliths. The images are mildly underexposed, which would limit visualisation of a very minor stones.</t>
  </si>
  <si>
    <t>Observational/empiric management is advised. Consider ultrasonographic examination, cystocentesis for urinalysis and culture if clinically indicated.</t>
  </si>
  <si>
    <t>WHOLE-BODY (3 total radiographs for review).  Multiple previous examinations are available for review, most recently from 2023._x000D_
_x000D_
- The patient again has an excessive body habitus._x000D_
- There is moderate left-sided cardiomegaly present, which is characterized by increased apicobasilar length and dorsal displacement of the caudal aspect of the thoracic trachea.  There is rounding in the region of the left atrium, and compression of the left principal bronchus._x000D_
- There is again a mild to moderate diffuse bronchial pulmonary pattern present._x000D_
- The trachea, pleural space and remaining included intrathoracic structures are normal._x000D_
- Peritoneal serosal detail is normal._x000D_
- The liver is mildly enlarged, with rounded margins._x000D_
- The renal margins are mildly irregular._x000D_
- There are a few small mineral opacities caudal to the kidneys in the retroperitoneal region seen on the lateral projections._x000D_
- A small mineral opacity is superimposed ventral to the descending colon and dorsal to the urinary bladder._x000D_
- The stomach contains mild gas and gas-stippled soft-tissue opaque material_x000D_
- The small intestine contains mild multifocal gas and soft-tissue opaque material_x000D_
- The colon contains gas, soft-tissue/fluid and mild formed fecal material._x000D_
- The spleen and urinary bladder are normal._x000D_
- The caudal thorax is normal_x000D_
- No musculoskeletal abnormalities are noted.</t>
  </si>
  <si>
    <t>1. Moderate left-sided cardiomegaly, without pulmonary vasculature congestion or congestive heart failure. Most likely compatible with degeneration of the mitral valve. Consider careful cardiac auscultation and echocardiography/ECG for further assessment. The enlarged left atrium appears to be compressing the left principal bronchus, which may be contributing to the clinical picture of coughing/gagging._x000D_
_x000D_
2. Mild-to-moderate diffuse bronchial pattern. DDx chronic bronchitis vs. expected, age-related lower airway degeneration. Treating the patient for lowe airway disease may provide clinical benefit._x000D_
_x000D_
3. Mild hepatomegaly. Most likely vacuolar (metabolic) hepatopathy. Hepatic congestion, hepatitis or neoplasia are less likely, but possible._x000D_
_x000D_
4.  Bilateral mildly irregular renal margins may support chronic degenerative renal disease._x000D_
_x000D_
5.  There are multiple tiny mineral opacities in the retroperitoneal region could be incidental foci of dystrophic mineralization (such as from the site of prior ovarian artery ligation during ovariohysterectomy) or alternatively small ureteroliths.  If clinically indicated you may consider correlate to sonographic results of the kidneys and ureters._x000D_
_x000D_
6. Small focus of mineral superimposed over and dorsal to the urinary bladder I suspected is most likely dystrophic mineralization of the uterine stump (less likely a cystolith). Sonographic assessment could provide future insight._x000D_
_x000D_
7. Excessive body habitus.</t>
  </si>
  <si>
    <t>Five orthogonal radiographs of the abdomen dated 21st August 2024 are available for review. There are no previous radiographs available for comparison. _x000D_
_x000D_
Intra-abdominal findings: The urinary bladder is mildly distended. Caudal to the urinary bladder there is a spherical soft tissue opacity consistent with an enlarged prostate. Within the urinary bladder there miliary variably sized mineral opacities. The largest measuring approximately 3 mm. No mineral opacities are seen within the course of the urethra and the lateromedial image. Some mineral opacities are seen within the perineal region in the ventrodorsal pelvic image. The hepatic silhouette is normal in size with smooth borders. The spleen is normal in shape, size and position. The kidneys are partially obscured by gastrointestinal contents, but the visible aspect are normal. The stomach is mainly empty. The small intestines are distributed evenly and are within normal limits for shape, size and contents. The ascending, transverse and descending colon have a normal position and contain gradually more formed faeces. The serosal detail is normal._x000D_
_x000D_
Extra-abdominal findings: No significant abnormalities are detected._x000D_
_x000D_
Included thorax: No significant abnormalities are detected.</t>
  </si>
  <si>
    <t>1. Miliary cystoliths. Some of the cystoliths would be of approximate size to cause urinary obstruction, however this is currently not visible. The mineral opacities in the region of the perineum could be skin contamination/faecal matter, as not confirmed in the mediolateral image._x000D_
2. Prostatomegaly: Considering the symmetric shape, lack of mineralisation, and normal sublumbar region, this is most likely due to benign prostatic hypertrophy, however prostatitis, prostatic abscessation, or prostatic adenocarcinoma cannot be excluded.</t>
  </si>
  <si>
    <t>Careful clinical management is advised. any signs of urinary obstruction should be correlated with ultrasonographic examination are repeat radiographs of the abdomen. Catheterisation is indicated in any signs of complete obstruction. Cystotomy and neutering is advised pending laboratory results.</t>
  </si>
  <si>
    <t>Orthogonal radiographs of the abdomen are provided. There is no peritoneal or retroperitoneal effusion. The liver is normal size. Round 2.6 cm area of stippled mineral density overlying the ventral right liver is incidental gallbladder debris. Formed feces fills the colon. The stomach and small bowel are minimally filled. No radiopaque cystic calculi. Punctate nephrolith on the left is incidental. The spleen and left kidney are normal size. The right kidney is obscured. No narrowed lumbar intervertebral disc spaces or foramina. Punctate mineral density overlies the L4-5 intervertebral foramen. There is thickened femoral necks and osseous remodeling on the acetabular margins. Patellar location is normal.</t>
  </si>
  <si>
    <t>1. The appearance of L4-5 may represent a protruding/extruded intervertebral disc. Such a lesion at this or another site is the most likely cause for the pelvic limb deficits._x000D_
2. Bilateral coxofemoral osteoarthritis. This may be contributing to the clinical signs._x000D_
3. Normal abdomen.</t>
  </si>
  <si>
    <t>This patient may benefit from anti-inflammatories and strict wrist. If neurologic deficits progress, consultation with a neurologist and advanced spinal imaging with CT/MRI would be recommended.</t>
  </si>
  <si>
    <t xml:space="preserve">
1.Splenic size, shape and margin are normal._x000D_
2.The stomach is normal. The small bowel contains gas and fluid but no segmental small bowel dilation is noted._x000D_
3.The liver is mildly enlarged but with smooth margins. No liver mass is noted._x000D_
4.Abdominal detail is normal however the abdomen is mildly pendulous.</t>
  </si>
  <si>
    <t>Three orthogonal radiographs of the abdomen dated 21st August 2024 are available for review. There are no previous radiographs available for comparison. _x000D_
_x000D_
Intra-abdominal findings: The stomach contains some gas with a normal axis. There is appropriate gas in the pyloric region on the left lateral image. The duodenum is mildly gas and fluid filled. The small intestines are mainly fluid filled, within upper limits for shape and size. The transverse and descending colon contain poorly formed faeces. The hepatic silhouette is normal in size with smooth borders. The spleen is normal in shape, size and position. The kidneys are partially obscured by gastrointestinal contents, but the visible aspect are normal. The urinary bladder is small. The serosal detail is normal._x000D_
_x000D_
Extra-abdominal findings: No significant abnormalities are detected._x000D_
_x000D_
Included thorax: No significant abnormalities are detected.</t>
  </si>
  <si>
    <t>The overall impression is one of mild gastroenteritis/colitis.  This may be due to dietary indiscretion, or infectious-inflammatory causes. There is no evidence of a mineral opaque foreign body, or complete mechanical obstruction.  A partial obstruction by non-mineral opaque foreign material cannot be excluded.   Pancreatitis cannot be excluded.</t>
  </si>
  <si>
    <t>Three orthogonal survey radiographs of the thorax and abdomen dated 17th August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The caudal oesophagus is dilated in all images. Mineral opaque material is seen within the caudal oesophagus. Fluid is also present. Within the stomach there is irregular wispy soft tissue opaque material with a linear swirling pattern, which can be seen also within the caudal oesophagus on the lateral images. The cranial oesophagus contains gas._x000D_
_x000D_
Abdomen: The stomach contains gas and the previously mentioned swelling soft tissue opaque material. The pylorus is gas dilated on the left lateral image. To small intestines are gas dilated._x000D_
_x000D_
Musculoskeletal findings: No significant abnormalities are detected.</t>
  </si>
  <si>
    <t>1. Likely caudal oesophageal foreign body: This may be the bone which was mentioned, however the swirling soft tissue opaque material may be associated with the bony foreign body. The gas within the stomach and small intestines is most likely due to aerophagia, and secondary gastritis/gastroenteritis. A paraesophageal hernia, sliding hiatal hernia is considered less likely.</t>
  </si>
  <si>
    <t>A thoraco abdominal CT is advised, endoscopy or abdominal ultrasound. An upper GI contrast study may be considered, taking care no aspiration occurs. Depending on outcome, a surgical consultation may be considered. There is no evidence for aspiration at this stage.</t>
  </si>
  <si>
    <t xml:space="preserve">
1.The liver and spleen are normal._x000D_
2.Serosal detail is normal._x000D_
3.The GI tract is unremarkable._x000D_
4.No abnormal AI findings reported.</t>
  </si>
  <si>
    <t>Study:_x000D_
Left thoracic limb radiography: three images dated August 21, 2024_x000D_
_x000D_
Findings:_x000D_
On the CC view, there is uniform narrowing of the left distal humeral physis in comparison to the contralateral limb. On the lateral projections, the elbow appears mildly incongruent. Moderate soft tissue swelling surrounding the left elbow. The anconeal process is probably fused. There is no apparent fragmentation of the medial coronoid process of the left ulna. The right elbow joint appears unremarkable. The bones of the carpus and manus are normal bilaterally. The stomach and some small intestinal segments contain unstructured heterogeneous/granular soft tissue material (presumed to be ingesta) with interspersed mineral opacities. The included abdomen is otherwise unremarkable. The included thorax is normal.</t>
  </si>
  <si>
    <t>1. The narrowing of the distal humeral physis is concerning for a Salter-Harris type V fracture resulting in secondary elbow incongruency. The possibility that this finding is a positional artifact cannot be completely excluded. It is also possible that the elbow incongruency is a sign of dysplasia. The elbow joint swelling may be secondary to inflammation, trauma/hemoarthrosis, ligamentous injury or, less likely, early septic arthritis. _x000D_
2. The mineral material throughout the gastrointestinal tract may indicate dietary indiscretion or may be an incidental finding depending on the contents of the patient=ZZ91=s normal diet and treats.</t>
  </si>
  <si>
    <t>Orthogonal views orthogonal views of the left elbow with comparative images of the right elbow can be considered for further evaluation. Alternatively, computed tomography can be considered for further evaluation. Arthrocentesis can also be considered for further evaluation of the joint swelling.</t>
  </si>
  <si>
    <t xml:space="preserve">ABDOMEN (2 images):
Images are dated August 21, 2024.
Liver: The liver is subjectively normal in size.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Peritoneum: Peritoneal detail is adequate.
Gastrointestinal tract: The stomach contains a moderate volume of gas and mild heterogeneous soft tissue material with fluid.   Gas is in the pylorus and descending duodenum in the left lateral image.  The descending duodenum contains moderate gas in the ventrodorsal image. The stomach is within normal limits for size. The small intestine contains minimal gas, mild fluid or is empty. 
The colon contains moderate heterogeneous soft tissue material and gas.  The colon is within normal limits for size.  
Musculoskeletal: The included musculoskeletal structures are normal.
</t>
  </si>
  <si>
    <t xml:space="preserve">1. Duodenal enlargement from duodenitis/functional ileus, or less likely mechanical ileus and occult foreign material.
2. Prominent gastric rugal folds from non-specific gastritis or variation of normal.
3. Jejunal/ileal appearance due to enteritis or given reported history, less likely variation of normal.
</t>
  </si>
  <si>
    <t xml:space="preserve">Consider empirical therapy, supportive care and repeat imaging after 8-12 hours of fasting to monitor for persistence versus improvement of duodenal enlargement.  If clinical signs and duodenal enlargement persist, consider proximal duodenal foreign material/mechanical ileus, especially if the patient is vomiting.  In the absence of vomiting, consider therapy for dietary indiscretion and duodenitis/enteritis and gastritis as needed.  Routine blood work may be contributory.  Monitoring as directed, or sooner if clinical signs acutely change, fail to improve or worsen.  </t>
  </si>
  <si>
    <t>Study:_x000D_
Abdominal radiography: two right lateral projections dated August 19, 2024_x000D_
_x000D_
Compared to prior study dated August 19, 2024_x000D_
_x000D_
Findings:_x000D_
Evaluation is limited by the lack of left lateral and orthogonal views. There is improved but it=ZZ91=s is persistent gastric dilation. There is a similar decreased cranial abdominal detail secondary to the gastric dilation and visceral crowding. The small intestines are normal in size, course and content. The colon contains formed fecal material. The liver and spleen are normal in size and margin. The renal silhouettes are normal in size and contour. The urinary bladder is normal in size and opacity. No mineral opaque calculi present in the bladder or region the urethra. As previously noted, there is a malunion fracture of one of the femurs with secondary shortening of this femur and patella alta.</t>
  </si>
  <si>
    <t>Improved but persistent gastric dilation. Rule out gastritis, pyloric outflow obstruction or not radiographically evident proximal small intestinal mechanical obstruction.</t>
  </si>
  <si>
    <t>Recommend left lateral and orthogonal views to better evaluate the pyloric outflow tract. Alternatively, abdominal sonography can be considered for further evaluation.</t>
  </si>
  <si>
    <t>Orthogonal views of the abdomen are provided:_x000D_
_x000D_
Abdomen:_x000D_
_x000D_
The stomach is filled with food._x000D_
Small intestines are mildly gas and fluid filled, not overtly distended. No signs of mechanical ileus._x000D_
Unformed feces in the colon._x000D_
Serosal detail is preserved._x000D_
Liver and spleen are within normal limits of size and smoothly marginated._x000D_
Kidneys and urinary bladder WNL.
(amended on 08/21/2024 10:17)
Minimal volume of food in the stomach.</t>
  </si>
  <si>
    <t>1) Unformed feces in the colon. Rule out colitis of allergic/inflammatory/idiopathic origin vs IBD flare up vs colitis secondary to dietary indiscretion/diet change._x000D_
2) Unremarkable urinary tract. Rule out cystitis vs behavioural.</t>
  </si>
  <si>
    <t>Consider empirical treatment for colitis followed by abdominal US, also evaluating the urinary tract with renal function test, urinalysis, UPC and urine culture.</t>
  </si>
  <si>
    <t xml:space="preserve">
1.The liver and spleen are normal size and shape._x000D_
2.No abnormal AI findings reported._x000D_
3.Abdominal detail is normal._x000D_
4.The stomach contains small volume gas and equivocal scant soft tissue density._x000D_
5.Small intestines are minimally distended. No evidence of obstruction.</t>
  </si>
  <si>
    <t>Orthogonal views of the abdomen are provided:_x000D_
_x000D_
Abdomen:_x000D_
_x000D_
The stomach is filled with small volume of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t>
  </si>
  <si>
    <t>Consider abdominal US to further evaluate the liver and causes of soft stools.</t>
  </si>
  <si>
    <t xml:space="preserve">
1.The ascending, transverse and descending colon have a normal position and gas and some poorly formed faeces._x000D_
2.The visible spleen is within normal limits._x000D_
3.Mid abdominal detail is mildly decreased._x000D_
4.The stomach is empty, and has a normal axis._x000D_
5.The small intestines are distributed evenly and are within normal limits for shape, size and contents._x000D_
6.The hepatic silhouette is mildly enlarged, with smooth borders.</t>
  </si>
  <si>
    <t>Study:_x000D_
Thoracic radiography: right lateral and orthogonal views (two images) dated August 19, 2024_x000D_
Three projections of the abdomen are also present in the study._x000D_
_x000D_
Findings:_x000D_
Evaluation of the thorax is limited by the lack of a left lateral view. The cardiac silhouette and pulmonary vasculature are normal in size. Incidental plate-like atelectasis is superimposed with the trachea lumen at the level of the second ribs on the lateral projection. Multiple punctate mineral foci consistent with incidental pulmonary osteomas are present in the ventral lung fields on the lateral projection. The pulmonary parenchyma is otherwise unremarkable. No pulmonary nodules or masses are present. The pleural space is normal. There is no intrathoracic lymphadenopathy. The trachea is normal in diameter and course. The stomach contains a small volume of gas. The small intestines are normal in size, course and content. The colon contains formed fecal material. The liver extends moderately beyond the costal arch with smooth and sharp margins. The spleen is moderately enlarged with smooth margins. The kidneys are normal in size and contour. The urinary bladder is normal in size and opacity. The prostate is not visualized. There is moderate to severe multifocal thoracolumbar and lumbosacral spondylosis deformans. The reported peri-preputial mass is seen partially imaged on the lateral projection of the abdomen and contains irregular mineral at the caudal aspect.</t>
  </si>
  <si>
    <t>1. Incidental pulmonary osseous metaplasia=ZZ90= otherwise, unremarkable thorax. There is no radiographic evidence of pulmonary metastatic disease. A left lateral projection can be considered to complete the thoracic series._x000D_
2. The generalized hepatomegaly is nonspecific. Rule out metabolic/vacuolar hepatopathy, hyperplasia, hepatitis or infiltrative neoplasia. Sonography can be considered for further evaluation._x000D_
3. The generalized splenomegaly is also nonspecific. Rule out extramedullary hematopoiesis, lymphoid hyperplasia, splenitis, congestion or infiltrative neoplasia. Sonography can be considered for further evaluation.</t>
  </si>
  <si>
    <t xml:space="preserve">
1.There is a very large mass-effect within the cranial abdomen that is displacing colon and small intestines into the caudal abdomen. The gastrointestinal tract is considered within normal limits with the exception of being displaced by the mass-effect._x000D_
2.The caudoventral hepatic serosal margins are somewhat poorly defined but appear to be rounded._x000D_
3.The stomach is normal in position but the intestine is displaced._x000D_
4.There is a marked reduction in serosal detail within the peritoneal space and the abdomen has a pendulous appearance._x000D_
5.The splenic serosal margins are also poorly defined.</t>
  </si>
  <si>
    <t>Orthogonal views of the caudal thoraco-lumbar and lumbosacral are provided:_x000D_
_x000D_
Visible spine is unremarkable without signs of disc herniation, aggressive bone lesions, vertebral fractures or subluxations._x000D_
Unremarkable pelvis and stifles.</t>
  </si>
  <si>
    <t>1) Unremarkable spine does not exclude an extradural or intramural compressive lesions nor intramedullary processes.</t>
  </si>
  <si>
    <t>Consider a neuro exam with MRI if necessary</t>
  </si>
  <si>
    <t>WHOLE-BODY (6 total radiographs for review)._x000D_
_x000D_
- Marked loss in peritoneal serosal detail, resulting in border effacement of the majority of abdominal viscera._x000D_
- The stomach contains mild gas._x000D_
- The small intestine contains mild multifocal gas and soft-tissue opaque material_x000D_
- The colon contains gas, soft-tissue/fluid and mild formed fecal material._x000D_
- There are a few very ill-defined mineral opacity superimposed over the cranioventral aspect of the liver on the lateral projections._x000D_
- The spleen, region of the kidneys and urinary bladder are of limited assessment due to border effacement however no distinct abnormalities are noted._x000D_
- The cardiac silhouette is mildly generally enlarged, with rounded margins._x000D_
- The pulmonary parenchyma is featured by numerous small mineral opacities._x000D_
- There is a mild diffuse bronchial pattern._x000D_
- Widening of the cranial aspect of the cranial mediastinum is noted on the VD image._x000D_
- The pleural space and remaining intrathoracic structures are normal._x000D_
- Widespread multifocal vertebral spondylosis deformans, most notable at the lumbosacral junction._x000D_
-At L3-4 and to a lesser degree L2-3, there appears to be lucent regions in the endplates of the adjoining vertebral bodies.</t>
  </si>
  <si>
    <t>1. Moderate to marked peritoneal effusion and/or peritonitis._x000D_
2. Suspicion for globoid cardiomegaly._x000D_
3. Widening of the cranial aspect of the cranial mediastinum._x000D_
4. Diffuse bronchial pattern and numerous incidental pulmonary osteomas. Most likely representing age-related lower airway changes, however a component of chronic bronchitis is possible, especially if there is a history of abnormal respiratory sounds, wheezing and/or coughing._x000D_
5. L3-4 and potentially L2-3 discospondylitis._x000D_
6. Widespread spondylosis deformans and degenerative lumbosacral disease._x000D_
_x000D_
I have primary concerns for neoplasia in this patient. I cannot appreciate an obvious intra-abdominal mass but the presence of one is possible. The abdominal effusion may be hemorrhage (e.g. from mass rupture), peritoneal metastasis or less likely transudative fluid._x000D_
_x000D_
The appearance of the cardiac silhouette is somewhat concerning and I would recommend T-FAST/POCUS to rule out the presence of pericardial effusion, which if present would most likely be hemorrhagic. A cardiac mass is not appreciated but is possible._x000D_
_x000D_
Widening of the cranial portion of the cranial mediastinum raises concern for mediastinal lymphadenopathy and/or a mass in this region.</t>
  </si>
  <si>
    <t>Abdominocentesis, T-FAST, A-FAST and complete abdominal ultrasonography and perhaps most superior a whole-body CT examination for global screening/staging may be considered in this case. Echocardiography would also likely be of high diagnostic utility._x000D_
_x000D_
Initiating therapy for discospondylitis may be considered.</t>
  </si>
  <si>
    <t>WHOLE-BODY (5 total radiographs for review). _x000D_
_x000D_
- Peritoneal serosal detail is normal._x000D_
- The stomach contains moderate gas-stippled soft-tissue opaque material_x000D_
- The small intestine contains mild multifocal gas and soft-tissue opaque material_x000D_
- The colon contains gas, soft-tissue/fluid and mild formed fecal material. It has a corrugated appearance on multiple projections._x000D_
- The liver, spleen, region of the kidneys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normal._x000D_
- No musculoskeletal abnormalities are noted.</t>
  </si>
  <si>
    <t>1.  Overall, a discrete radiographic cause for the reported lethargy and hyporexia is not clearly identified. The material in the stomach is non-specific, and can be undigested food and/or foreign material. Correlate to the timing of the patient=ZZ91=s most recent meal, and consider fasted recheck abdominal radiographs (8-24h) to re-evaluate the appearance of the material in the stomach over time._x000D_
_x000D_
2. The appearance of the colon (corrugation) can indicate colitis.  If clinically indicated, abdominal ultrasonography may be of further utility to evaluate the gastrointestinal tract._x000D_
_x000D_
3. Normal thorax.</t>
  </si>
  <si>
    <t xml:space="preserve">
1.There is formed fecal material within the colon._x000D_
2.Cranial abdominal detail is mildly decreased.  If this is the only finding, this is more likely due to normal overlying structures or radiographic technique. If this finding is part of a larger group of findings, cranial abdominal inflammation becomes a stronger consideration._x000D_
3.Splenomegaly is present but a splenic mass is NOT detected._x000D_
4.The stomach is minimally distended._x000D_
5.The small intestine is uniform in diameter containing both fluid and gas. No segmental small bowel dilation is noted._x000D_
6.Liver size, shape and margin are normal.</t>
  </si>
  <si>
    <t>THORAX (3 images) and ABDOMEN (3 images):
Images are dated August 20, 2024.
Pulmonary parenchyma: Diffusely throughout the lungs are numerous, well-defined, round, smoothly marginated soft tissue nodules.  These vary in size throughout the lungs, and the largest are in the left cranial and left caudal lung lobes.  A mild diffuse bronchial pattern is present.  The lungs are hypoinflated and a minimal diffuse interstitial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have rounded or undulant margins on the right and minimally undulant margins on the left.  The kidneys are normal in size.  
Retroperitoneum: In the caudodorsal portion of the abdomen is a large, lobular soft tissue to fat opaque mass(es) with ill-defined cranial margins.  This mass result in ventral displacement of the descending colon.  The intestine is cranially and ventrally displaced subjectively.  Ill-defined fluid opaque striations are suspected over the caudal retroperitoneum.  
Urinary bladder/Urethra: The urinary bladder is normal in size, homogeneous soft tissue, and smoothly marginated.
Peritoneum: Peritoneal detail is adequate.
Gastrointestinal tract: The stomach contains a moderate gas and mild soft tissue.  Gas is in the pylorus in the left lateral image.   The stomach is within normal limits for size.
The small intestine contains mild gas or is empty with a subjectively uniform population for size. 
The colon contains mild heterogeneous soft tissue material and gas.  The colon is within normal limits for size.  
Musculoskeletal: T13 is transitional with a hypoplastic left rib that is interrupted with only a mineralized middle portion suspected, best identified in the ventrodorsal image.  Multifocal thoracolumbar spondylosis deformans. The remaining included musculoskeletal structures are normal.</t>
  </si>
  <si>
    <t xml:space="preserve">1. Numerous soft tissue pulmonary nodules is most likely due to metastatic neoplasia, or unlikely granulomatous/fungal pneumonia (blastomycosis spp.), or other.
2. Caudodorsal abdominal/retroperitoneal mass.
- Tissue of origin may be sublumbar lymph nodes, cranial extension of AGASACA, or unlikely primary retroperitoneal neoplasm (hemangiosarcoma versus other).
3. Suspected retroperitoneal effusion (malignant versus hemorrhagic) versus artifact.
4. Bilateral chronic renal disease with cortical infarcts or unlikely other.  </t>
  </si>
  <si>
    <t xml:space="preserve">Consider computed tomography of the thorax/abdomen and/or abdominal ultrasonography for further evaluation.  Coagulation testing and tissue sampling for further evaluation, and oncologist consultation depending on results. Empirical therapy and supportive care in the interim as needed.  </t>
  </si>
  <si>
    <t xml:space="preserve">
1.Abdominal detail is normal._x000D_
2.Splenic size, shape and margin are normal._x000D_
3.The liver is mild to moderately enlarged._x000D_
4.The stomach contains small volume gas and scant soft tissue density. The small bowel is diffusely gas- and fluid-filled without segmental small bowel dilation.</t>
  </si>
  <si>
    <t>Seven orthogonal survey radiographs of the thorax and abdomen dated 20th August 2024 are available for review. There are no previous radiographs available for comparison. _x000D_
_x000D_
Thorax: _x000D_
Airway findings: The trachea is narrow, mildly undulating. The intrathoracic trachea is normal. Throughout the lung parenchyma there is a mild bronchial pattern._x000D_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There is a mild-moderate amount of gas in the stomach. The gastric axis is normal. There is appropriate gas in the pylorus on the left lateral image. The duodenum is mildly dilated in the ventrodorsal image. The small intestines are within upper normal limits for size, and contain a mixture of gas, fluid and soft tissue opaque material. The descending colon contains poorly formed faeces. The urinary bladder is filled. The hepatic silhouette is normal in size with smooth borders. The spleen is normal in shape, size and position. The kidneys are partially obscured by gastrointestinal contents, but the visible aspect are normal. The serosal detail is normal._x000D_
_x000D_
Musculoskeletal findings: There is bilateral moderate hip dysplasia and osteoarthritis, worse on the right side.</t>
  </si>
  <si>
    <t>1. Relatively unremarkable abdomen. The gastric gas may be due to a mild gastritis, or aerophagia. The filled duodenum may be transient filling, or indicative of duodenitis, pancreatitis. A foreign body is not seen. There is no indication for segmental obstruction._x000D_
2. Mild tracheal hypoplasia and/or tracheal collapse, consistent with breed._x000D_
3. Diffuse mild bronchial pattern: Primary consideration should be given to normal ageing/fibrosis from previous disease in absence of any respiratory signs. Allergic bronchitis, chronic bacterial /viral bronchitis +/- parasitic bronchitis should also be considered.</t>
  </si>
  <si>
    <t xml:space="preserve">
1.No abnormal AI findings reported._x000D_
2.No abnormal AI findings reported._x000D_
3.Mildly filled intestines without evidence of complete obstruction._x000D_
4.The liver and stomach are confluent, with mild displacement of the gastric axis, which may be due to hepatomegaly versus severe gastric distension._x000D_
5.Abdominal detail is diffusely decreased. The ventral abdominal line is pendulous.</t>
  </si>
  <si>
    <t>Orthogonal views of the abdomen are provided:_x000D_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t>
  </si>
  <si>
    <t>Consider abdominal US to further evaluate the liver with +/- hepatic function tests and US guided FNAs.</t>
  </si>
  <si>
    <t xml:space="preserve">
1.Splenic size, shape and margin are normal._x000D_
2.Abdominal detail is satisfactory._x000D_
3.The ventral abdominal line is pendulous._x000D_
4.On the lateral projection, the liver is mildly enlarged with rounded margins. Less commonly, gastric distention silhouetting with the liver can trigger this AI result._x000D_
5.Resource: https://platform.v2.vetology.net/doc/liver_disease_x000D_
6.In most cases, the stomach and small bowel are minimally filled however in a small number of cases, gastric distention will silhouette with the liver artifactually creating the appearance of hepatomegaly._x000D_
7.Formed feces in the distal colon.</t>
  </si>
  <si>
    <t>8 images of the thorax and abdomen dated 8/20/2024 and 3 images of the abdomen dated 8/21/2024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prominent.  This is persistent between studies.  The small intestines are normal in size.  Gas is present in the colon.  The urinary bladder is small.  The remaining abdominal organs are normal.</t>
  </si>
  <si>
    <t>Prominent rugal folds consistent with gastritis.  This is likely secondary to dietary discretion in this patient, but concurrent pancreatitis or other causes cannot be completely excluded.  Radiographically normal thorax for patient of this age.</t>
  </si>
  <si>
    <t>If clinical signs persist following supportive therapy, abdominal ultrasound may be helpful.</t>
  </si>
  <si>
    <t xml:space="preserve">
1.No abnormal AI findings reported._x000D_
2.The liver and spleen are normal._x000D_
3.Serosal detail is normal._x000D_
4.The GI tract is unremarkable.</t>
  </si>
  <si>
    <t>Study:_x000D_
Abdominal radiography: three images dated August 20, 2024_x000D_
_x000D_
Findings:_x000D_
The stomach contains a small volume of gas with the pylorus probably gas-filled on the left lateral image. The gastric rugae are prominent be considered within normal limits for the degree of gastric distention. The small intestines are normal in size, course and content. The colon contains gas and fluid with a normal diameter. The liver and spleen are normal in size and margin. The renal silhouettes are normal in size and contour. The urinary bladder is normal in size and opacity. The included thorax is normal. There is narrowing of the T 12-T 13 intervertebral disc space. There is subcutaneous soft tissue swelling and a mild amount of emphysema along the dorsal thorax presumably from subcutaneous fluid administration.</t>
  </si>
  <si>
    <t>Unremarkable abdomen. There is no radiographic evidence of gastrointestinal foreign material or small intestinal mechanical obstruction. Abdominal sonography can be considered for further evaluation if clinical signs persist or worsen in spite of medical management._x000D_
2. T 12-T 13 intervertebral disc disease.</t>
  </si>
  <si>
    <t xml:space="preserve">
1.Splenic size, shape and margin are normal._x000D_
2.Abdominal detail is normal._x000D_
3.The small intestinal tract contains normal volumes of fluid, gas and ingesta._x000D_
4.The ascending, transverse and descending colon are in a normal position and contain gradually more formed feces._x000D_
5.The stomach contains a small amount of air and either has prominent gastric rugae or contains a small amount of soft tissue material._x000D_
6.On the VD projection, the hepatic silhouette appears small however on the lateral projection, the hepatic silhouette is normal.</t>
  </si>
  <si>
    <t>Study:_x000D_
Abdominal radiography: three images dated August 20, 2024_x000D_
_x000D_
Findings:_x000D_
The serosal detail is normal.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No mineral opaque calculi are present in the bladder or region of the urethra. The included thorax is normal. There is no prostatomegaly. The L1 vertebra is transitional with a hypoplastic rib on the left.</t>
  </si>
  <si>
    <t>Unremarkable abdomen. Test negative for urocystolithiasis. Urine culture plus/minus diagnostic ultrasonography can be considered for further evaluation of the urinary signs pending urinalysis results.</t>
  </si>
  <si>
    <t xml:space="preserve">Patient Name : Ruby Janowsky, Date of study: Aug 20, 2024
3 images are provided for review
There are no previous radiographs for comparison.
Liver: The liver is subjectively normal in size.
Spleen: The spleen is normal in size with smooth margins and homogeneous soft tissue.
Kidneys: The right kidney is obscured without obvious mineral or enlargement.  The left kidney is normal with a nipple superimposed in the ventrodorsal image.
Retroperitoneum: Retroperitoneal detail is adequate.
Urinary bladder/Urethra: The urinary bladder is obscured without obvious enlargement or mineral.
Peritoneum: Peritoneal detail is adequate.
Gastrointestinal tract: The stomach contains a moderate volume of gas.  Gastric rugal folds are moderately prominent.  The stomach is within normal limits for size.
The small intestine contains mild to moderate gas and fluid or is empty with a subjectively uniform population for size. 
The colon contains mild well-defined soft tissue material and gas.  Minimal mineral or metal foci are admixed with colon contents. The colon is within normal limits for size.  
Musculoskeletal: The included musculoskeletal structures are normal.
</t>
  </si>
  <si>
    <t xml:space="preserve">1. Prominent gastric rugal folds such as from non-specific gastritis versus variation of normal.
2. Non-specific small intestinal appearance  such as from enteritis or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3. Colonic granular mineral/metal material such as from dietary indiscretion, with/without colitis.  
</t>
  </si>
  <si>
    <t>Empirical therapy for gastroenterocolitis in the interim as needed such as from dietary indiscretion.  Consider GI panel, fecal analysis/deworming and routine blood work for further evaluation.  Repeat abdominal radiographs or consider ultrasonography if signs fail to improve or worsen in the face of empirical therapy.  Monitoring was directed, or sooner if clinical signs fail to improve or worsen in the face of empirical therapy.</t>
  </si>
  <si>
    <t xml:space="preserve">Three images are provided.
Images are dated August 20, 2024.
Bones/Joints:
In situ intervertebral disc mineral is identified at L2-3 and suspected at L3-4 and L6-7.
Only in the left lateral image, ill-defined soft tissue to mineral is suspected dorsal to L3-4 over the intervertebral foramina.  The L3-4 intervertebral disc space is slightly narrow.  There is no evidence of intervertebral dorsal articulation osteoarthrosis.
There is no evidence of medullary sclerosis, osteolysis, endosteal scalloping, or periosteal proliferation.
Soft tissues:  The included soft tissues are normal.
</t>
  </si>
  <si>
    <t xml:space="preserve">1. Suspected L3-4 intervertebral disc disease and possible ventrally positioned herniated material, versus artifact.
2. Multifocal in situ intervertebral disc mineral.  </t>
  </si>
  <si>
    <t xml:space="preserve">Empirical therapy and supportive care in the interim as needed.  Consider thoracic imaging and routine blood work prior to specialist referral/MRI and possible surgical intervention, depending on response to therapy.  Monitoring as directed, or sooner if signs acutely change or worsen in the interim.  </t>
  </si>
  <si>
    <t>3 views of the thorax are provided for review.  4 included images of the abdomen are not requested to be reviewed.  The trachea is mildly dorsally deviated, indicating left ventricular enlargement.  There is straightening of the caudal cardiac waist in the region of the left atrium.  Increased bronchial markings are present in all lung lobes.  No perihilar pulmonary infiltrates are seen.  The pulmonary vasculature is normal in size.  The mediastinal and pleural structures are normal.  Cranial abdominal detail is adequate.</t>
  </si>
  <si>
    <t>Moderate bronchial pulmonary pattern=ZZ90= consider bronchitis, response to inhaled irritants, response to circulating parasites, eosinophilic bronchopneumopathy.  Airway sampling may be helpful in further evaluation.  Mild left-sided cardiomegaly without current evidence of cardiogenic pulmonary edema.  Echocardiography may be helpful in further evaluation.</t>
  </si>
  <si>
    <t>WHOLE-BODY (10 total radiographs for review)._x000D_
_x000D_
- Severe (right) and mild to moderate (left) elbow joint osteoarthrosis. On the right, there is elbow joint incongruity, with a step defect between the radial head and the ulna/humeral condyle, and lateral displacement of the radial head on the CC projections._x000D_
- Lobular soft-tissue opacity at the caudal aspect of the elbow joint, caudal to the olecranon._x000D_
- Mild multifocal right carpal joint osteophyte formation._x000D_
- The remaining left thoracic limb structures are normal._x000D_
- The vertebral column is unremarkable._x000D_
- Mild, diffuse bronchial pattern._x000D_
- Mild straightening of the caudal cardiac margin and dorsal displacement of the caudal aspect of the thoracic trachea on the lateral projection cannot be corroborated orthogonally, due to lack of a VD projection._x000D_
- Pulmonary vasculature is normal._x000D_
- The pulmonary parenchyma is normal_x000D_
- The trachea, esophagus and remainder of the mediastinum are normal._x000D_
- The pleural space and remaining intrathoracic structures are normal._x000D_
- Peritoneal serosal detail is normal._x000D_
- The liver is markedly enlarged, with rounded margins._x000D_
- The stomach contains mild gas and gas-stippled soft-tissue opaque material_x000D_
- The small intestine contains mild multifocal gas and soft-tissue opaque material_x000D_
- The colon contains gas, soft-tissue/fluid and mild formed fecal material._x000D_
- The spleen, region of the kidneys and urinary bladder are normal._x000D_
- Mid-thoracic small wire-like peritoneal foreign body._x000D_
- The patient has an excessive body habitus._x000D_
- There is a moderate increase in soft tissue opacity within the right stifle joint, the sense of cranial subluxation of the right femur relative to the distal tibia and moderate periarticular osteophyte formation.</t>
  </si>
  <si>
    <t>1. Marked (right) and mild-to-moderate (left) elbow osteoarthritis with right elbow joint incongruity, likely the cause of the reported right thoracic limb lameness. Right elbow joint pressure granuloma or hygroma._x000D_
_x000D_
2. Mild right carpal osteoarthritis._x000D_
_x000D_
3. Negative examination for evidence of thoracic metastatic neoplasia._x000D_
_x000D_
4. Mild diffuse bronchial pattern. Most likely representing age-related lower airway changes, however a component of chronic bronchitis is possible, especially if there is a history of abnormal respiratory sounds, wheezing and/or coughing._x000D_
_x000D_
5. Questionable mild left-sided cardiomegaly may be artifactual due to a normal patient variant and/or the cardiac cycle. If there is a cardiac murmur present, you may consider submission of a VD or DV image of the thorax and/or echocardiography/ECG for further evaluation._x000D_
_x000D_
6. Marked hepatomegaly. Most likely vacuolar (metabolic) hepatopathy. Hepatic congestion, hepatitis or neoplasia are less likely, but possible._x000D_
_x000D_
7. Likely incidental migrating mid-peritoneal wire-like foreign body._x000D_
_x000D_
8. The appearance of the right stifle joint can be compatible with intra-articular injury (e.g. cranial cruciate ligament +/- meniscus) resulting in stifle instability, leading to femorotibial subluxation, synovial effusion/synovitis and osteoarthritis. Consider consultation with an orthopedic specialist regarding therapeutic options (surgical stabilization vs. medical management).</t>
  </si>
  <si>
    <t xml:space="preserve">
1.There is questionable loss of cranial abdominal serosal detail._x000D_
2.The stomach contains a small amount of gas._x000D_
3.The small intestines are a combination of gas-filled and fluid-filled/collapsed, and all are within normal limits for diameter._x000D_
4.The colon contains a combination of gas and granular fecal material._x000D_
5.Splenomegaly is detected however hepatomegaly extending caudally and overlapping the splenic region can mimic splenomegaly._x000D_
6.The liver extends beyond the costal arch with a rounded caudal margin.</t>
  </si>
  <si>
    <t>WHOLE-BODY (2 total radiographs for review). _x000D_
_x000D_
- The left side of the cardiac silhouette is moderately enlarged, characterized by increased apicobasilar length, dorsal displacement of the caudal aspect of the thoracic trachea and a straightening of the caudal cardiac margin. There is overt left atrial enlargement and a bulge along the left cardiac contour in the position of the left auricle._x000D_
- The pulmonary vasculature is normal._x000D_
- The pulmonary parenchyma is normal_x000D_
- The trachea, esophagus and remainder of the mediastinum are normal._x000D_
- The pleural space and remaining intrathoracic structures are normal._x000D_
- Peritoneal serosal detail is normal._x000D_
- The stomach contains mild gas and gas-stippled soft-tissue opaque material_x000D_
- The small intestine contains mild multifocal gas and soft-tissue opaque material_x000D_
- The colon contains gas, soft-tissue/fluid and moderate formed fecal material._x000D_
- The liver, spleen, region of the kidneys and urinary bladder are normal._x000D_
- No musculoskeletal abnormalities are noted.</t>
  </si>
  <si>
    <t>1.  Moderate left-sided cardiomegaly, with overt left atrial and left auricular enlargement, without pulmonary vasculature congestion or congestive heart failure. Most likely compatible with degeneration of the mitral valve. Consider echocardiography/ECG and cardiologist consultation for further assessment._x000D_
_x000D_
2. Normal abdomen.</t>
  </si>
  <si>
    <t xml:space="preserve">
1.The liver is moderately enlarged with sharp, caudal margins._x000D_
2.No abnormal AI findings reported._x000D_
3.The gastric lumen contains a mild amount of soft tissue and gas opacity._x000D_
4.The small intestine is a uniform population size and is diffusely of soft tissue opacity with a small amount of gas throughout._x000D_
5.The colon contains a moderate amount of formed, heterogenous fecal material caudally._x000D_
6.The spleen is normal.</t>
  </si>
  <si>
    <t>Study:_x000D_
Thoracic radiography: three images dated August 20, 2024_x000D_
_x000D_
Findings:_x000D_
There is mild generalized cardiomegaly (VHS approximately 10). Patient obliquity exaggerates the right heart and gives the cardiac silhouette rounded appearance on the VD view. The pulmonary vasculature is normal in size. There is a mild generalized bronchointerstitial pulmonary pattern. The pleural space is normal. There is no intrathoracic lymphadenopathy. The trachea is normal in diameter. The stomach some small intestinal segments contain unstructured heterogeneous/granular soft tissue material presumed to be ingesta. There is a mild to moderate amount of ill-defined granular mineral the region of the gallbladder. The osseous structures are unremarkable.</t>
  </si>
  <si>
    <t>1. Mild generalized cardiomegaly without evidence of decompensation. Rule out degenerative valve disease. Echocardiography can be considered for further evaluation._x000D_
2. The mild diffuse bronchointerstitial pulmonary pattern is a nonspecific finding. This could be a benign age-related change or may indicate allergic, inflammatory, infectious or inhaled irritant bronchitis. Airway sampling can be considered to further evaluate for lower airway disease._x000D_
3. Cholelithiasis.</t>
  </si>
  <si>
    <t>Orthogonal views of the thorax and abdomen are provided:_x000D_
_x000D_
Thorax:_x000D_
_x000D_
Cardiac silhouette shows a questionable enlargement of the left atrium dorsally displacing the carina._x000D_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empty._x000D_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t>
  </si>
  <si>
    <t>1) Rule out left atrial enlargement secondary to chronic mitral endocardiosis without signs of CHF. Rule out tricuspid endocardiosis with pulmonary hypertension._x000D_
2) Hepatomegaly: Metabolic vs Vacuolar infiltration vs Hepatic nodular hyperplasia vs Inflammatory vs Toxic vs Neoplastic or a combination of these differentials.</t>
  </si>
  <si>
    <t>Consider a cardiology consultation with ECG and echocardiogram. _x000D_
Consider abdominal US to further evaluate the liver, GI tract, pancreas and the urinary tract with renal function test, urinalysis, UPC and urine culture.</t>
  </si>
  <si>
    <t xml:space="preserve">
1.The caudoventral margin of the liver is mildly enlarged._x000D_
2.The spleen has a slightly rounded, well-defined margin, and is normal in overall size._x000D_
3.Further evaluation of the liver with routine blood work and abdominal ultrasonography may be beneficial if clinically indicated_x000D_
4.The stomach is normal._x000D_
5.The small bowel is diffusely gas- and fluid-filled without segmental small bowel dilation.</t>
  </si>
  <si>
    <t>Mild hepatomegaly due to fat deposition/vacuolar change, nodular hyperplasia, or hepatitis. In an older patient, infiltrative neoplasia is a consideration. Equivocal splenic changes due to evolving nodular change (extramedullary hematopoiesis or metastatic/multicentric neoplasia) or artifact. Hepatomegaly. Differential diagnoses include individual variation of normal, artifact and/or vacuolar hepatopathy (such as from hyperadrenocorticism or diabetes mellitus), nodular hyperplasia, hepatitis/cholangiohepatitis, or evolving neoplasia (metastatic versus primary).</t>
  </si>
  <si>
    <t xml:space="preserve">
Ultrasonography for further evaluation of the liver and spleen._x000D_
CBC/serum biochemistry if not already performed, particularly to assess liver values. Adrenal function testing may also be warranted if the patient has clinical signs consistent with Cushing's disease._x000D_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</si>
  <si>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Today=ZZ91=s study is compared to a study dated 10/19/2023._x000D_
_x000D_
Thorax: There is moderate left and right-sided cardiomegaly which has increased in size compared to previous.  The pulmonary vasculature is unremarkable.  There are no abnormalities involving the pulmonary parenchyma.  There is no evidence of cardiogenic pulmonary edema or pleural effusion._x000D_
_x000D_
Abdomen: The liver is diffusely enlarged.  There are several urinary bladder calculi.  On the ventrodorsal view there is a possible mass originating from the spleen.  The remainder of the abdominal viscera is unremarkable.</t>
  </si>
  <si>
    <t>Moderate generalized cardiomegaly which has increased in size compared to previous.  There is no evidence of cardiac decompensation._x000D_
_x000D_
Diffuse hepatomegaly_x000D_
_x000D_
Urinary bladder calculi.</t>
  </si>
  <si>
    <t xml:space="preserve">
1.No abnormal AI findings reported._x000D_
2.The liver is mildly enlarged._x000D_
3.Serosal detail is within normal limits._x000D_
4.Serosal detail is normal._x000D_
5.The stomach is mildly gas and fluid filled with some soft tissue density materal. The small bowel is gas and fluid-containing. No obvious obstruction.</t>
  </si>
  <si>
    <t>The AI result for this case is most compelling for: Mild to moderate hepatomegaly. This is a nonspecific finding that may be due to steroid or endocrine hepatopathy. Less likely considerations include infiltrative neoplasia, or acute inflammation. The appearance of the stomach is likely related to normal ingesta in the absence of GI symptoms. However, if GI symptoms are present, gastroenteritis secondary to dietary indiscretion or infectious etiology could be considered.</t>
  </si>
  <si>
    <t xml:space="preserve">
Virtual Radiologist Case Difficulty: MODERATE_x000D_
Virtual Radiologist Confidence: MODERATE_x000D_
Hepatomegaly may be evaluated with blood work, and an abdominal ultrasound._x000D_
If GI signs are present, supportive and symptomatic therapy for gastroenteritis can be considered. Repeat radiographs to assess for passage of gastric contents or obstruction, and abdominal ultrasound could be performed for further evaluation.</t>
  </si>
  <si>
    <t>4 images of the abdomen are provided for review.  Serosal detail is adequate in all quadrants.  The stomach contains a moderate amount of mottled soft tissue material.  The small intestines are normal in size.  Gas and feces are present in the colon.  The urinary bladder is moderately distended.  The remaining abdominal organs are normal.  There is spondylosis deformans of the lumbar spine.</t>
  </si>
  <si>
    <t xml:space="preserve">
1.Liver size, shape and margin are normal._x000D_
2.Splenic size, shape and margin are normal._x000D_
3.Abdominal detail is normal._x000D_
4.The stomach contains a moderate amount of gas and a mild amount of soft tissue and mineral material. The gastric rugae are prominent. The small bowel is diffusely gas- and fluid-filled without segmental small bowel dilation.</t>
  </si>
  <si>
    <t>Orthogonal radiographs of the abdomen and five views of the pelvis and pelvic limbs are provided. There is formed feces filling the colon. The fecal column is subjectively upper normal size for this patient. Moderate volume soft tissue opaque ingesta in the stomach. Small intestines are mildly filled. Normal-sized liver, spleen, left kidney. The right kidney is obscured. The urinary bladder is mildly filled and soft tissue opaque. No lumbar spinal abnormalities. Spondylosis deformans at the lumbosacral junction is likely incidental. The coxofemoral joints are congruent. Pelvic limb musculature is approximately symmetric. Patella location is normal. There is moderate volume fluid in the cranial and caudal aspect of the left stifle joint. Small volume fluid in the right stifle. There is enthesophyte formation on the femoral trochlear ridges bilaterally, worse on the left. No popliteal lymphadenomegaly. The tarsi are unremarkable.</t>
  </si>
  <si>
    <t>1. Bilateral stifle effusion. This is most consistent with cranial cruciate ligament tear/rupture, and is worse on the left side. No other pelvic limb abnormalities._x000D_
2. Normal abdomen. There is no radiopaque urolithiasis.</t>
  </si>
  <si>
    <t xml:space="preserve">
1.The liver is mildly enlarged with smooth margins._x000D_
2.Splenic size, shape and margin are normal._x000D_
3.Abdominal detail is normal._x000D_
4.The stomach is normal. The small bowel is diffusely gas- and fluid-filled without segmental small bowel dilation.</t>
  </si>
  <si>
    <t>Four orthogonal radiographs of the abdomen dated 20th August 2024 are available for review. There are no previous radiographs available for comparison. _x000D_
_x000D_
Intra-abdominal findings: The stomach contains some irregularity soft tissue opaque material, containing some mineral debris. The pylorus is not gas-filled in the left lateral image. There is severe gas dilation of the small intestines. Within some of the distended loops there is mineral containing material (sand, other). Some fluid dilated loops are also present. The descending colon is empty.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</si>
  <si>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1. Likely distal small intestinal (partial) obstruction by foreign material (sand, food with high mineral content, other) causing an impaction in multiple sites. A mesenteric torsion is considered unlikely.</t>
  </si>
  <si>
    <t>Intensive supportive management with laxatives, rehydration is advised. Ultrasound may be considered to evaluate for a separate non-radiopaque foreign body. Depending on clinical condition, or progress, an explorative laparotomy may be considered to help clear impaction/exclude presence of another non-radiopaque foreign body.</t>
  </si>
  <si>
    <t xml:space="preserve">
1.No abnormal AI findings reported._x000D_
2.No abnormal AI findings reported._x000D_
3.Serosal detail is adequate._x000D_
4.The small intestines are within normal limits. No signs of obstruction._x000D_
5.The stomach contains a moderate amount of gas and the rugal folds are prominent.</t>
  </si>
  <si>
    <t>The AI result for this case is most compelling for: gastritis/pancreatitis.</t>
  </si>
  <si>
    <t>5 images of the spine are provided for review.  No fractures, luxations, or aggressive osseous lesions are seen.  There is consistent narrowing of the intervertebral disc spaces at C6-7 and T13-L1.  The soft tissue structures included are normal.</t>
  </si>
  <si>
    <t>Narrowed intervertebral disc spaces suggestive of intervertebral disc herniations.  This does not rule out intervertebral disc herniation at another site or other causes of spinal cord compression.</t>
  </si>
  <si>
    <t xml:space="preserve">
1.Cranial abdominal detail is decreased._x000D_
2.Splenic size, shape and margin are normal._x000D_
3.No dilation of the small intestine is seen._x000D_
4.Liver size is normal to upper limits of normal. Liver margin is normal._x000D_
5.The gastric rugae are prominent.</t>
  </si>
  <si>
    <t>Seven radiographs of the thorax/abdomen are provided. There is severe narrowed cervical trachea on both of the lateral views. The trachea has a serpentine course at the thoracic inlet, incidental. Small volume fluid in the caudal esophagus is transient and incidental. The heart and pulmonary vessels are normal size and shape. A mild bronchial pattern and several pulmonary osteomas is normal for the age of this patient. There is no pleural effusion or soft tissue pulmonary nodules._x000D_
_x000D_
In the abdomen the prostate is not visible. The liver and spleen are normal size. The kidneys are obscured by superimposed bowel loops. The gastrointestinal tract is moderately filled. No radiopaque urolithiasis. Narrowed L1-2, L2-3 intervertebral disc spaces. Both femoral heads are poorly covered by the dorsal acetabular rims, with mild acetabular osseous remodeling. The left patella is medially displaced.</t>
  </si>
  <si>
    <t>1. Severe cervical tracheal collapse, the most likely cause for coughing. Brachycephalic airway disease may be contributing. No intrathoracic abnormalities._x000D_
2. The appearance of L1-2 and L2-3 are both suggestive of intervertebral disc disease. Such a lesion at this or another site is the most likely cause for pelvic limb weakness._x000D_
3. Bilateral hip dysplasia with subluxation and mild osteoarthritis, and concurrent medial patellar luxation on the left. This may be contributing to discomfort and atrophy._x000D_
4. Normal abdomen.</t>
  </si>
  <si>
    <t>There is no contraindication for general anesthesia based on this study. Consider sedation and visual inspection of the pharyngeal/laryngeal region.</t>
  </si>
  <si>
    <t>Three orthogonal survey radiographs of the thorax and abdomen dated 20th August 2024 are available for review. There are no previous radiographs available for comparison. The ventrodorsal thoracic image is overexposed._x000D_
_x000D_
Thorax: _x000D_
Airway findings: The thoracic trachea is mildly elevated. The tracheal bifurcation is widened. There is a caudal dorsal mainly interstitial opacification. This is most pronounced in the caudal left lung lobe. A poorly marginated spherical soft tissue opacity is visible in the caudal dorsal right lung lobe on the left lateral image, which not visible on the ventrodorsal image._x000D_
_x000D_
Cardiovascular findings: There is a large smoothly marginated soft tissue opacity contiguous with the caudal dorsal border of the cardiac silhouette. A soft tissue opacity is superimposed on the caudal cardiac silhouette in the dorsoventral image. There is increased cardiac sternal contact. The right atrium appears subjectively enlarged. The pulmonary vasculature is normal. The mainstem vessels are normal._x000D_
_x000D_
Mediastinum and pleural space: There are thin pleural fissure lines._x000D_
_x000D_
Abdomen: The hepatic silhouette is enlarged with rounded borders. The stomach is mainly empty with a mildly caudally displaced axis. The small intestines are distributed evenly and are within normal limits for shape, size and contents. The ascending, transverse and descending colon have a normal position and contain gradually more formed faeces. The spleen is normal. The kidneys are partially obscured by gastrointestinal contents, but the visible aspect are normal. The urinary bladder is filled. The serosal detail is normal._x000D_
_x000D_
Musculoskeletal findings: No significant abnormalities are detected.</t>
  </si>
  <si>
    <t>1. Generalized cardiomegaly with pulmonary venous distension and cardiogenic pulmonary edema consistent with left sided congestive heart failure. Ddx: myxomatous degeneration of the mitral and tricuspid valves with post-capillary pulmonary hypertension vs systolic dysfunction (DCM). A congenital cardiac abnormality is unlikely, but cannot be excluded._x000D_
2. The interstitial opacification is most likely due to cardiogenic pulmonary oedema. Lower airway infectious/inflammatory disease is less likely._x000D_
3. The separate soft tissue opacity is likely positional artefact. A pulmonary mass (primary neoplasia, abscess, cyst) is considered less likely._x000D_
4. The hepatomegaly is in this case most likely due to congestion secondary to increased central venous pressures. Alternatively, the hepatomegaly may be due to vacuolar hepatopathy, or underlying endocrine disease.</t>
  </si>
  <si>
    <t>Complete bloodwork if not already performed. Management for left sided congestive heart failure including diuretic therapy with oxygen support as needed. ECG and systemic blood pressure monitoring. Recommend repeat thoracic radiographs after 24-48 hours of therapy, sooner if clinically indicated. Continued monitoring of renal values and urinalysis._x000D_
_x000D_
Once stabilized, an echocardiogram is recommended. Thoracic CT may be considered to exclude neoplasia.</t>
  </si>
  <si>
    <t>Three radiographs of the head/neck, three views of the thorax, and three views of the abdomen are provided. Head images include two oblique lateral views and an open-mouth rostroventral to caudodorsal view. There is curved 3.7 m area of increased opacity overlying the dorsal aspect of the rostral left extranasal soft tissues on the right lateral view. It is unknown if this is the described area of swelling or if this is artifact caused by superimposed labial tissue. There is no osseous lysis or proliferation. Nasal and frontal sinuses are normally air-filled. Broad-based 1.3 x 0.5 cm soft tissue opaque nodule rostral to the globes is of uncertain significance. Tympanic bullae are normally thin-walled and air-filled. No pharyngeal/laryngeal abnormalities._x000D_
_x000D_
In the thorax the cardiac silhouette and pulmonary vessels are normal size. There are no abnormalities in the pulmonary parenchyma. No pleural effusion or intrathoracic lymphadenomegaly. Small volume fat deposition in the cranial mediastinum._x000D_
_x000D_
In the abdomen there is no peritoneal or retroperitoneal effusion. Large volume soft tissue opaque ingesta fills the stomach. The small and large bowel are mildly filled. No radiopaque urolithiasis. Normal-sized liver and kidneys. No osseous abnormalities.</t>
  </si>
  <si>
    <t>1. Soft tissue thickening along the rostral dorsal extranasal tissues, either representing the reported swelling or summating normal anatomy. No other definitive head abnormalities are identified. There is no evidence of osseous involvement._x000D_
2. Normal thorax and abdomen.</t>
  </si>
  <si>
    <t>Cytology/histopathology of the nasal swelling is recommended. If further evaluation is desired, cross-sectional head imaging with computed tomography would be recommended.</t>
  </si>
  <si>
    <t>Two views of the pelvis/lumbar spine are provided for review.  Coverage of the femoral heads by the acetabular rims is reduced bilaterally, worse on the left.  Osteophytes present on the femoral necks and acetabular rims.  There is irregular remodeling of the left ilial wing and body.  A sharply margined mineral projection is seen extending medially from the left pubis.  No aggressive osseous lesions are seen.  Spondylosis deformans is present in the lumbosacral spine.  No mineralized intervertebral discs or consistently narrowed intervertebral disc spaces are seen.  A streaky soft tissue and fat opacity mass is seen in the right inguinal region.  The adjacent abdominal wall appears intact.  The remaining soft tissue structures included are normal.</t>
  </si>
  <si>
    <t>Bilateral coxofemoral DJD with subluxation, worse on the left.  Remodeling of the pelvis suggest previous left pubic and ileal fractures with malunion.  Degenerative changes of the lumbosacral spine.  Right inguinal mass consistent with the reported inguinal/mammary mass.  Consider mammary neoplasia versus other origin.</t>
  </si>
  <si>
    <t>Given the history of fluid aspirated from the mass, ultrasonography could be considered to further evaluate the architecture versus histopathology following surgical removal.</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</si>
  <si>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WNL._x000D_
_x000D_
Cranial to M4 there is an irregular SC mass. One of the M4 shows irregular thickened tissue.</t>
  </si>
  <si>
    <t>1) Unremarkable thorax and abdomen._x000D_
2) Rule out mammary neoplasms.</t>
  </si>
  <si>
    <t>Consider abdominal US to further evaluate causes of lethargy, ruling out abdominal metastases along with FNAs of the mammary masses.</t>
  </si>
  <si>
    <t>Opposite lateral and ventrodorsal abdominal radiographs (6 images) dated August 20, 2024._x000D_
_x000D_
The liver and spleen are unremarkable in size and shape. The kidneys are only partially visible due to superimposed disrobed no abnormalities noted. The urinary bladder is mildly distended with homogeneous fluid opacity. There is the impression of a 1.5 cm thick tubular soft tissue opacity partially superimposed with the urinary bladder on some of the lateral views=ZZ90= this could represent the uterus or a small bowel segment. No uterine distention is appreciated. The stomach contains a large amount of heterogeneous granular soft tissue content that most closely resembles normal ingesta. The small intestine is unremarkable in diameter and course with most segments containing a small amount of gas. The cecum is gas-filled. The colon contains normal appearing stool and has a normal course on the lateral views. On the VD projection, there is a correlation to the wall of the descending colon. Retroperitoneal and peritoneal detail are normal. No regional lymphadenopathy is evident. The L7 vertebral body is a lumbar transitional vertebra with fusion of the transverse processes to the ilial wings and resulting and lumbosacral disc space narrowing and abnormal angulation at L6-L7.</t>
  </si>
  <si>
    <t>1. No radiographic evidence of uterine distention. This does not rule out open or early pyometra._x000D_
2. The corrugated appearance of the descending colonic wall on the VD view may represent colitis._x000D_
3. The remainder of the abdomen is unremarkable._x000D_
4. L7 lumbar transitional vertebra (symmetrical type III). Rule out an incidental variation in developmental anatomy vs. cauda equina syndrome.</t>
  </si>
  <si>
    <t>Vaginal cytology, CBC to look for neutrophilia (+/- left shift), and assess for a fever. Based on findings, consider ovariohysterectomy vs. abdominal ultrasound prior to surgical intervention.</t>
  </si>
  <si>
    <t>Study:_x000D_
Abdominal radiography: three images dated August 20, 2024_x000D_
_x000D_
Findings:_x000D_
Evaluation is limited on the DV view due to the inherent visceral crowding of this projection. The DV view is mislabeled. On the DV view, there is indistinct ovoid opacity in the fundic portion the stomach. The pylorus is probably gas-filled on the left lateral projection. Some small intestinal segments contain a small amount of granular soft tissue material. The small intestines are normal in size and course. The colon contains formed fecal material with a normal diameter. The liver and spleen are normal in size and margin. The renal silhouettes are normal in size and contour. The urinary bladder is normal in size and opacity. On the DV view, there is a incompletely imaged soft tissue opacity in the right cranial lung field with a rounded caudal border. There is mild to moderate multifocal thoracolumbar spondylosis deformans.</t>
  </si>
  <si>
    <t>1. The indistinct ovoid opacity in the fundic portion of the stomach on the DV projection may represent food, foreign material or, less likely, and intraluminal mass. The granular soft tissue material in the small intestines likely indicates ingesta. Foreign material cannot be completely excluded. There is no evidence of small test mechanical obstruction. Repeat fasted radiography can be considered to ensure gastrointestinal emptying. Alternatively, sonography can be considered if clinical signs persist or worsen in spite of medical management._x000D_
2. The incompletely imaged round soft tissue opacity in the right cranial lung field on the DV view may be superimposition of the dorsal border of the scapula. A pulmonary lesion cannot be completely excluded. Three view thoracic radiography can be considered for further evaluation.</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</si>
  <si>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prominent.  The small intestines are normal in size.  Gas and feces are present in the colon.  The urinary bladder is small.  The remaining abdominal organs are normal.</t>
  </si>
  <si>
    <t>Prominent rugal fold suggestive of gastritis.  This does not rule out underlying pancreatitis or infiltrative neoplasia.  Radiographically normal thorax for patient of this age on the view provided.</t>
  </si>
  <si>
    <t>Study:_x000D_
Abdominal radiography: three images dated August 20, 2024_x000D_
_x000D_
Findings:_x000D_
The abdomen is distended with severely reduced peritoneal detail secondary to a large volume of peritoneal effusion. The severity of the effusion limits evaluation of the abdominal viscera. On the right lateral projection, there is the impression of a lobulated soft tissue opaque mass in the cranial ventral abdomen, just caudal to the pylorus/liver. The stomach contains a small amount of unstructured heterogeneous soft tissue material presumed to be ingesta. The small intestines are normal in size and course, and content. The colon contains formed fecal material. The renal silhouettes are normal in size and contour. The urinary bladder is normal in size and opacity. The included thorax is normal.</t>
  </si>
  <si>
    <t>1. Suspect cranial abdominal mass. Rule out splenic mass (e.g. neoplasia, hyperplasia or hematoma) versus pedunculated liver mass (e.g. neoplasia or hyperplasia). The possibility that this finding represents end-on visualization of the pylorus cannot be completely excluded._x000D_
2. Severe nonspecific peritoneal effusion.</t>
  </si>
  <si>
    <t>Abdominal sonography, abdominocentesis plus/minus a three view thoracic met check are recommended for further evaluation.</t>
  </si>
  <si>
    <t xml:space="preserve">
1.The splenic serosal margins are also poorly defined._x000D_
2.The caudoventral hepatic serosal margins are somewhat poorly defined but appear to be rounded._x000D_
3.There is a marked reduction in serosal detail within the peritoneal space and the abdomen has a pendulous appearance._x000D_
4.The stomach is normal in position but the intestine is displaced._x000D_
5.There is a very large mass-effect within the cranial abdomen that is displacing colon and small intestines into the caudal abdomen. The gastrointestinal tract is considered within normal limits with the exception of being displaced by the mass-effect.</t>
  </si>
  <si>
    <t>5 images of the abdomen are presented for review.  Serosal detail is adequate in all quadrants.  The stomach contains a moderate amount of gas.  The small intestines are normal in size.  Gas and feces are present in the colon.  The urinary bladder is small.  No mineral is seen associated with the urinary tract.  The remaining abdominal organs are normal.  Spinal alignment is normal with no consistently narrowed intervertebral disc spaces.  No fractures or aggressive osseous lesions are seen.  The coxofemoral joints are congruent.</t>
  </si>
  <si>
    <t>Radiographically normal abdomen and thoracolumbar spine.</t>
  </si>
  <si>
    <t xml:space="preserve">
1.Splenic size, shape and margin are normal._x000D_
2.Liver size, shape and margin are normal._x000D_
3.Abdominal detail is normal._x000D_
4.The gastric rugae are prominent. The small bowel is diffusely gas- and fluid filled without segmental small bowel dilation.</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</si>
  <si>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mildly decreased in the central abdomen._x000D_
Liver and spleen are within normal limits of size and smoothly marginated._x000D_
Kidneys and urinary bladder WNL._x000D_
_x000D_
L3-L4 IVDS is narrow.</t>
  </si>
  <si>
    <t>1) Unremarkable thorax without signs of pulmonary metastases nor signs of thoracic lymphadenopathy._x000D_
2) Decreased central serosal detail. Rule out scant effusion vs soft tissue summation.</t>
  </si>
  <si>
    <t>Consider abdominal US to further evaluate causes of vomition/diarrhea and potential free fluid._x000D_
Once recovered, full neuro exam with MRI if necessary.</t>
  </si>
  <si>
    <t xml:space="preserve">Three images are provided.
Images date dated August 19, 2024.
Pulmonary parenchyma: A minimal diffuse bronchial pattern is present.
Pulmonary vasculature: The pulmonary vasculature is subjectively normal in size and tapers in the periphery of the lungs.
Cardiac silhouette: The cardiac silhouette is normal in size and shape.
Mediastinum: The cranial mediastinum is mildly widened symmetrical in the ventrodorsal image without obvious increased soft tissue.
Trachea: The trachea is normal.
Esophagus: The esophagus contains minimal gas or is empty.
Pleural space: The pleural space is normal.
Liver: The liver is equivocally enlarged in the right lateral image with slight caudal displacement of the gastric axis.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Peritoneum: Peritoneal detail is adequate.
Gastrointestinal tract: The stomach contains a moderate heterogeneous soft tissue admixed with gas.  Gas is in the pylorus and descending duodenum in the left lateral image.  The stomach is within normal limits for size.
The small intestine contains mild to moderate gas and fluid or is empty with a subjectively uniform population for size. 
The colon contains mild to moderate well-defined soft tissue material and gas.  The colon is within normal limits for size.  
Musculoskeletal:  Incidentally, the L7 vertebra is transitional and sacralized.  Multiple prominent nipples are present.  The remaining included musculoskeletal structures are normal.
</t>
  </si>
  <si>
    <t>1. Minimal diffuse bronchial pulmonary pattern such as from infectious/immune-mediated lower airway disease (mycoplasma spp., bordetella spp., parasitism, or unlikely other), inhaled allergen/irritant, fibrosis from prior disease, age-related changes, or unlikely other.
2. Mild cranial mediastinal widening such as from fat deposition and/or thymus gland enlargement (reactive versus neoplastic).
3. Minimal hepatomegaly versus artifact or variation of normal.
- If present consider vacuolar hepatopathy, nodular hyperplasia, or unlikely hepatitis or evolving neoplasia or other.
4. Gastric material from recent meal or unlikely other given reported history.</t>
  </si>
  <si>
    <t>Consider routine blood work, urinary cortisol:creatinine ratio and/or ACTH stimulation testing/LDDS testing for further evaluation of possible hepatomegaly and reported PU/PD.  Consider abdominal ultrasonography for further evaluation of the liver and adrenal glands.  Empirical therapy and supportive care in the interim as needed for reported coughing.  Consider respiratory PCR panel, airway sampling and bronchoscopy/tracheoscopy for further evaluation.  Monitoring as directed or sooner if clinical signs acutely change, fail to improve or worsen.</t>
  </si>
  <si>
    <t xml:space="preserve">
1.The stomach and intestinal tract are normal._x000D_
2.Abdominal detail is normal._x000D_
3.The liver is mildly enlarged but with a normal shape and smooth margins. No hepatic mass has been identified._x000D_
4.Splenic size, shape and margin are normal.</t>
  </si>
  <si>
    <t>Thorax: The pulmonary parenchyma, cardiac silhouette, and pulmonary vasculature are unremarkable.  There is no evidence of pleural effusion or lymphadenopathy._x000D_
_x000D_
Abdomen: The stomach is gas distended as well as having a heterogeneous soft tissue opacity within his lumen.  The descending duodenum is gas-filled and considered within normal limits for diameter.  A small intestinal foreign body/obstruction is not identified.  There are no abnormalities involving the visible portions of the liver or spleen.  The visible portions of the urinary tract are unremarkable.  Serosal detail is normal._x000D_
_x000D_
Skeleton: There are no abnormalities involving the visible portions of the skeleton.</t>
  </si>
  <si>
    <t>The heterogeneous appearance of the gastric lumen may represent normal ingesta, foreign material, or possible gas outlining rugal folds._x000D_
_x000D_
Gas-filled duodenum.  This may represent duodenitis/enteritis.  Although not identified, an obstructive process cannot be ruled out.</t>
  </si>
  <si>
    <t>Three orthogonal thoracolumbar radiographs of dated 19th August 2024 are available for review. There are no previous radiographs available for comparison. _x000D_
_x000D_
Vertebral column: There is moderate obliquity in the cervical vertebral column, however the vertebral body alignment is normal. No mineral opaque material is seen within, or dorsal to the intervertebral disc spaces. The intervertebral disc width is within normal limits. The size of the lateral foramina is within normal limits. The thoracic vertebral column is abnormal from the T2 caudally, with numerous block vertebrae, butterfly vertebrae, and bridging ventral spondylosis deformans, as well as fused spinous processes. The intervertebral disc spaces are narrowed or absent in multiple sites. The intervertebral disc spaces of the thoracolumbar junction, and lumbar vertebral column are normal. There is spondylosis deformans at the lumbosacral junction. The vertebral and plates of the lumbosacral junction are mildly irregular. The 13th ribs are transitional.</t>
  </si>
  <si>
    <t>1. Severe thoracic vertebral congenital abnormalities. Extradural compression from these regions is questionable._x000D_
2. Lumbosacral spondylosis deformans. Discospondylitis, or lumbosacral instability is possible._x000D_
3. Occult intervertebral disease such as intervertebral disk protrusion or other spinal cord pathology including embolic (FCE), high velocity disk, inflammatory or neoplastic disease or degenerative myelopathy is not excluded .</t>
  </si>
  <si>
    <t xml:space="preserve">
1.No abnormal AI findings reported._x000D_
2.No abnormal AI findings reported._x000D_
3.The spleen is normal size._x000D_
4.Small intestines are diffusely mildly filled with a mixture of fluid and gas. No evidence of obstruction._x000D_
5.Scant formed feces is present in the distal colon._x000D_
6.Large-volume soft tissue opacity fills the stomach.</t>
  </si>
  <si>
    <t>Opposite lateral and VD views of the abdomen and orthogonal thorax views are provided._x000D_
_x000D_
There is a moderate quantity of normal appearing soft tissue dense ingesta in the GI tract. No dilation the stomach or intestine is seen. The spleen is prominent, and considered mildly enlarged. The margins are smooth and the shape is normal. The other abdominal organs are within normal limits. Serosal detail is normal._x000D_
_x000D_
The cardiovascular structures are within normal limits. There is a mild to moderate bronchial pulmonary pattern. Interstitial lung opacity is mildly increased. No tracheal or esophageal abnormalities are identified.</t>
  </si>
  <si>
    <t>Mild splenomegaly is identified. This finding is most commonly seen as a reactive change secondary to inflammatory disease, so underlying pancreatitis is a possibility. No specific abnormalities are identified involving the GI tract or pancreas. Pancreatitis could still be present without radiographic evidence._x000D_
Lymphoreticular neoplasia such as lymphoma cannot be excluded. No mass lesions are identified._x000D_
_x000D_
There is a mild to moderate bronchial pattern. The appearance is suspicious for bronchitis, but clinical significance in the absence of coughing is unknown. Low-grade bronchitis or prominent age related change could both appear similar in both are considered.</t>
  </si>
  <si>
    <t>Considering the persistent clinical signs, recheck labwork is  suggested._x000D_
_x000D_
Continued medical management for possible pancreatitis is recommended. If clinical signs do not continue to improve over the next week, follow up imaging such as abdomen ultrasound should be considered.</t>
  </si>
  <si>
    <t xml:space="preserve">
1.Abdominal detail is normal._x000D_
2.The stomach contains a mild amount of gas and soft tissue density. Small intestines are mildly gas filled._x000D_
3.Liver size, shape and margin are normal._x000D_
4.Splenic size, shape and margin are normal.</t>
  </si>
  <si>
    <t>ABDOMEN (5 radiographs for review). _x000D_
_x000D_
- The patient has a thin body condition._x000D_
- Peritoneal serosal detail is normal._x000D_
- The stomach contains moderate gas and mild gas-stippled soft-tissue opaque material_x000D_
- The small intestine contains mild multifocal gas and soft-tissue opaque material_x000D_
- The colon contains gas, soft-tissue/fluid and mild formed fecal material._x000D_
- The liver, spleen, region of the kidneys and urinary bladder are normal._x000D_
- The caudal thorax is normal_x000D_
- Right sided rib of T13 is ill-defined and hypoplastic._x000D_
- T10-11 intervertebral disc is mineralized in situ._x000D_
- Minimal multifocal spondylosis deformans.</t>
  </si>
  <si>
    <t>1.  Overall, a discrete radiographic cause for the reported weight loss is not clearly identified.  The gastrointestinal tract is unremarkable, besides mild aerophagia.  Consider abdominal ultrasonography in this patient for further screening for potential causative etiologies._x000D_
_x000D_
2. Normal limited assessment of the thorax._x000D_
_x000D_
3. T10-11 mineralized intervertebral disc in situ._x000D_
_x000D_
4. Transitional thoracolumbar vertebral segment._x000D_
_x000D_
5. Thin body condition.</t>
  </si>
  <si>
    <t xml:space="preserve">
1.There is decreased detail in the cranial abdomen._x000D_
2.Liver size, shape and margin are normal._x000D_
3.The spleen is within normal limits._x000D_
4.The stomach is partially distended with food material and fluid._x000D_
5.The small intestinal track is mostly fluid filled uniform in diameter._x000D_
6.The colon is gas filled in corrugated.</t>
  </si>
  <si>
    <t>A lateral and two ventral dorsal radiographs of the abdomen are provided. There is no peritoneal or retroperitoneal effusion. Small volume formed feces in the distal colon. The fecal column measures up to 1.4 cm diameter, normal size for this patient. The stomach and small bowel are minimally filled. No radiopaque foreign material. Normal-sized liver and spleen. The kidneys are obscured by bowel loops. No osseous abnormalities, and the caudal abdomen is normal.</t>
  </si>
  <si>
    <t>Normal abdomen. There is no evidence of constipation on this study.</t>
  </si>
  <si>
    <t xml:space="preserve">
1.No abnormal AI findings reported._x000D_
2.The spleen is normal size._x000D_
3.No abnormal AI findings reported._x000D_
4.Large-volume soft tissue opacity fills the stomach._x000D_
5.Small intestines are diffusely mildly filled with a mixture of fluid and gas. No evidence of obstruction._x000D_
6.Scant formed feces is present in the distal colon.</t>
  </si>
  <si>
    <t>WHOLE-BODY (3 total radiographs for review). _x000D_
_x000D_
- Peritoneal serosal detail is normal._x000D_
- The stomach contains mild gas and gas-stippled soft-tissue opaque material. The gastric rugal folds are prominent._x000D_
- The small intestine contains mild multifocal gas and soft-tissue opaque material_x000D_
- The colon is distended with gas, soft-tissue/fluid and poorly-formed fecal material._x000D_
- Tiny mineral opacities superimposed over the kidneys on the RLAT projection are not distinctly noted orthogonally._x000D_
- The liver, spleen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normal._x000D_
- Focal flattening of the caudal margin of the left humeral head.</t>
  </si>
  <si>
    <t>1. The appearance of the stomach, small intestine and colon can be compatible with a combination of aerophagia and non-specific generalized functional ileus (e.g. gastroenterocolitis). There is no obvious small intestinal foreign material or clear evidence of mechanical obstruction. If clinically indicated (such as if the patient does not improve or worsens despite medical management), abdominal ultrasonography might be considered._x000D_
_x000D_
2. Questionable tiny nephroliths._x000D_
_x000D_
3. Normal thorax._x000D_
_x000D_
4. Flattening of the caudal margin of the left humeral head is consistent with osteochondrosis. This seems irrelevant to the current clinical complaint.</t>
  </si>
  <si>
    <t>3 views of the thoracolumbar spine are provided for review.  No fractures, luxations, or aggressive osseous lesions are seen.  A mineral opaque intervertebral disc is seen in situ at T11-12.  No consistently narrowed intervertebral disc spaces are seen.  The soft tissue structures included are normal.</t>
  </si>
  <si>
    <t>Intervertebral disc disease at T11-12 without current evidence of herniation.  This does not rule out intervertebral disc herniation at another site or other causes of spinal cord compression.</t>
  </si>
  <si>
    <t xml:space="preserve">
1.Abdominal detail is normal._x000D_
2.Liver size, shape and margin are normal._x000D_
3.Splenic size, shape and margin are normal._x000D_
4.The stomach contains small volume gas and scant amorphous soft tissue density material. Diffuse, mild to moderate gas dilation of the small bowel without evidence of obstruction.</t>
  </si>
  <si>
    <t>Four radiographs of the abdomen are provided. There is no effusion. The stomach contains a small amount of striated soft tissue density and scant gas. Small intestine are minimally distended with fluid and gas. Several loops of small bowel appear thickened, however this must be interpreted with caution, as fluid-gas interface can mimic wall thickening. Small volume of formed feces in the colon. Normal-sized liver, spleen, kidneys. Normal caudal thorax.</t>
  </si>
  <si>
    <t>Gastric foreign material. This may be cloth/textile foreign material, and is the cause for the clinical signs. No intestinal obstruction.</t>
  </si>
  <si>
    <t>Retrieval of gastric contents is recommended. Gastroscopy may be successful. If not available, surgical retrieval is another option.</t>
  </si>
  <si>
    <t>Three orthogonal thoracic radiographs dated 19th August 2024 are available for review. There are no previous radiographs available for comparison. _x000D_
_x000D_
Airway findings: The tracheal lumen is variable in size. The intrathoracic trachea is elevated. There is widening of the tracheal bifurcation. The pulmonary parenchyma is within normal limits._x000D_
_x000D_
Cardiovascular findings: There is a large smoothly marginated soft tissue opacity contiguous with the caudal dorsal border of the cardiac silhouette. A soft tissue opacity is superimposed on the caudal cardiac silhouette in the dorsoventral image.  The overall cardiac silhouette is enlarged. The pulmonary vessels as well as the mainstem vasculature are at upper normal limits._x000D_
_x000D_
Mediastinum and pleural space: No significant abnormalities are detected._x000D_
_x000D_
Musculoskeletal findings: No significant abnormalities are detected._x000D_
_x000D_
Included abdomen: There is smoothly marginated hepatomegaly.</t>
  </si>
  <si>
    <t>1. Left atrial dilation with left-sided cardiomegaly. This is most likely due to mixoid degeneration of the mitral valve. There is no evidence for cardiac insufficiency. _x000D_
2. Variable diameter of the trachea and likely dynamic compression of the mainstem bronchi due to the enlarged left atrium is most likely cause for the coughing._x000D_
3. The hepatomegaly is most likely due to vacuolar hepatopathy, or underlying endocrine disease.</t>
  </si>
  <si>
    <t>Radiography is insensitive for early cardiac insufficiency, therefore ECG, blood pressure measurements, and echocardiography may be considered for further evaluation, or baseline measurements._x000D_
Consider evaluation for airway collapse (fluoroscopy vs. right lateral inspiratory and expiratory radiographs vs. CT with virtual bronchoscopy).</t>
  </si>
  <si>
    <t xml:space="preserve">
1.Liver size, shape and margin are normal._x000D_
2.Splenic size, shape and margin are normal._x000D_
3.Abdominal detail is normal._x000D_
4.The stomach contains small volume gas and scant amorphous soft tissue density material. Diffuse, mildly filled small bowel without evidence of obstruction.</t>
  </si>
  <si>
    <t>5 images of the thorax and abdomen are provided for review.  The cardiovascular structures are normal.  Alveolar opacity is present in the right cranial and middle lung lobes.  Rounded soft tissue surrounds the tracheal bifurcation, visible on the lateral views.  The pleural structures are normal.  Abdominal serosal detail is adequate in all quadrants.  The stomach contains a moderate amount of gas.  The small intestines are normal in size.  Gas and mineral opaque feces are present in the colon.  The urinary bladder is small.  No mineral is seen associated with the urinary tract.  The remaining abdominal organs are normal.</t>
  </si>
  <si>
    <t>Mild constipation.  Alveolar pulmonary pattern concerning for aspiration type pneumonia.  Hemorrhage or neoplasia could also be considered.  Suspect hilar lymphadenopathy=ZZ90= consider neoplasia versus reactive.</t>
  </si>
  <si>
    <t xml:space="preserve">
1.Liver size, shape and margin are normal._x000D_
2.There is a moderate amount of heterogeneous soft tissue feces within the colon._x000D_
3.On the VD projection, increased soft tissue opacity and decreased serosal detail caudal to the stomach._x000D_
4.No small intestinal segmental dilation is noted._x000D_
5.The spleen is enlarged but retains a smooth margin._x000D_
6.There is heterogeneous soft tissue opacity in the stomach._x000D_
7.No abnormal AI findings reported.</t>
  </si>
  <si>
    <t>Poor serosal detail and increased mid abdominal soft tissue opacity. Likely due to superimposition of the spleen and left kidney or other soft tissue structures. Splenomegaly. This is could be normal for a Shepherd, secondary to sedation or due to lymphoid hyperplasia secondary to abdominal inflammation, extramedullary hematopoiesis or in an older patient, infiltrative neoplasia.</t>
  </si>
  <si>
    <t xml:space="preserve">
Virtual Radiologist Case Difficulty: MODERATE_x000D_
Virtual Radiologist Confidence: MODERATE_x000D_
Further evaluation of the splenomegaly via ultrasound +/- FNAs if there is an unexplained CBC abnormality or concern for tick borne disease.</t>
  </si>
  <si>
    <t>Study:_x000D_
Abdominal radiography: four images dated August 19, 2024_x000D_
_x000D_
Findings:_x000D_
The abdominal serosal detail is normal. The stomach contains gas with the pylorus appropriately gas-filled on the left lateral image. The thickness of the gastric wall and rugae are within normal limits for the degree of gastric distention. The small intestines are normal in size, course and content. The colon contains poorly formed fecal material with a normal diameter. The liver and spleen are normal in size and margin. The kidneys are normal in size and contour. The urinary bladder is normal in size and opacity. There is no uterine dilation. The included thorax is normal. No skeletal abnormalities are present.</t>
  </si>
  <si>
    <t>Unremarkable abdomen. A cause of the gastrointestinal signs is not evident.There is no radiographic evidence of gastrointestinal foreign material or small intestinal mechanical obstruction. Abdominal sonography can be considered for further evaluation if clinical signs persist or worsen in spite of medical management.</t>
  </si>
  <si>
    <t xml:space="preserve">
1.No abnormal AI findings reported._x000D_
2.No abnormal AI findings reported._x000D_
3.The stomach is mildly filled. Small intestines are mildly gas and fluid filled. No signs of obstruction._x000D_
4.The liver and spleen are within normal limits for size and contour.</t>
  </si>
  <si>
    <t>Three radiographs of the neck, two views of the thorax/abdomen, and a lateral view of the abdomen are provided. No abnormalities are appreciated in the laryngeal/pharyngeal region. Narrowed C2-3 and C5-6 intervertebral disc spaces, with mineralized intervertebral disc material in situ at C2-3. No esophageal dilation. Tracheal diameter and position are normal. The cardiac silhouette and pulmonary vessels are normal size. The lungs are clear. No pleural effusion. Mild congenital vertebral malformations in the thoracic spine. In the abdomen formed feces fills the colon. There is gas in the cecum and proximal colon. Small volume gas in the stomach. Gas with superimposed small round soft tissue density overlying the cranial abdomen on the right lateral view is normal transverse colon. The intestines are minimally filled. No radiopaque foreign material was appreciated. The urinary bladder is minimally distended. Normal-sized liver and spleen. The kidneys are obscured. No lumbar spinal abnormalities.</t>
  </si>
  <si>
    <t>1. The appearance of C2-3 and C5-6 are both suggestive of intervertebral disc protrusion/extrusion. This may be responsible for the cervical discomfort. Congenital vertebral malformations in the thoracic spine, commonly seen in this region and typically incidental. These can predispose to spinal instability and spinal canal stenosis._x000D_
2. Normal abdomen and thorax. A reason for her lethargy and vomiting is not identified. Gastroenteritis is suspected. There is no evidence of an obstructive process. Small radiolucent gastric foreign material is not definitively ruled out.</t>
  </si>
  <si>
    <t>Recommend a neurologic examination and supportive care. If GI signs persist, strictly fasted abdominal ultrasound or an upper GI series should be considered.</t>
  </si>
  <si>
    <t xml:space="preserve">
1.No radiopaque gastrointestinal foreign material or effusion is present._x000D_
2.Small-volume gas and scant amorphous soft tissue opacity within the stomach._x000D_
3.Small intestines are mildly fluid filled. No evidence of intestinal obstruction._x000D_
4.The liver is slightly small. The spleen is within normal limits for size._x000D_
5.No abnormal AI findings reported._x000D_
6.No abnormal AI findings reported.</t>
  </si>
  <si>
    <t>The AI result for this case is most compelling for: Normal post prandial GI tract, versus gastric foreign material secondary to dietary indiscretion. The appearance of the stomach is likely related to normal ingesta in the ABSENCE of GI symptoms. However, if GI symptoms are PRESENT, gastroenteritis secondary to dietary indiscretion or infectious etiology could be considered.</t>
  </si>
  <si>
    <t xml:space="preserve">
Virtual Radiologist Case Difficulty: LOW_x000D_
Virtual Radiologist Confidence: HIGH_x000D_
If the potential microhepatia is of clinical concern, pre- and post-prandial bile acid testing could be considered in addition to blood work and abdominal ultrasound._x000D_
In a vomiting or anorexic patient, supportive care and therapy for gastroenteritis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</si>
  <si>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Left lateral and ventrodorsal thoracic and opposite lateral and ventrodorsal abdominal radiographs (7 images) dated August 19, 2024._x000D_
_x000D_
_x000D_
An ovoid soft tissue opacity is superimposed with the cranioventral lung field on the left lateral view, measuring 2.4 cm and maximal diameter. This opacity is difficult to identify on the VD projection, and may reside in the right cranial lung lobe at the level of the 3rd intercostal space. No additional pulmonary lesions are identified. There are numerous pinpoint mineral foci throughout the lungs that represent a benign pulmonary osteomas. No intrathoracic lymphadenopathy is evident. The cardiac silhouette, pulmonary vasculature, and great vessels are within normal limits. The pleural space, mediastinum, trachea, and diaphragm are normal._x000D_
_x000D_
The liver and spleen are unremarkable in size and shape. The left kidney is only partially visible, and has a somewhat irregular shape along its cranial lateral margin on the VD view. The right kidney is not well visualized. The urinary bladder is fairly distended with homogeneous fluid opacity. The stomach contains a large amount of heterogeneous ingesta. The pyloric antrum is gas-filled on the left lateral view. Additionally, there are 2 thin linear metal foreign bodies in the right cranial peritoneal space and partially superimposed with the stomach. The small intestine is unremarkable in diameter and course and predominantly contains gas mixed with heterogeneous ingesta. The colon contains a small amount of poorly formed stool mixed with gas. Retroperitoneal and peritoneal detail are normal. No regional lymphadenopathy is evident._x000D_
_x000D_
The left elbow has periarticular bony remodeling affecting. There is multifocal spondylosis deformans that is bridging along the thoracolumbar and cranial lumbar spine. The ribs have bony remodeling that represent benign degenerative osteochondral junction changes. The right stifle has periarticular bony remodeling affecting it. No aggressive osseous lesions are identified.</t>
  </si>
  <si>
    <t>1. No evidence of a gastrointestinal mechanical obstruction. The gastric material most closely resembles normal ingesta=ZZ90= clinically significant foreign material causing gastric irritation and obscured by the ingesta cannot be ruled out._x000D_
2. Two linear metal wire foreign bodies the right cranial abdomen. These migrating metal wire foreign bodies are relatively common in dogs and are often of no clinical relevance. Occasionally they can result in gastroenteritis, pancreatitis, and peritonitis._x000D_
3. The suspected irregularity in the left kidney shape is concerning for chronic renal disease vs. less likely other structural disease (nodules, granulomas, hematomas, etc)._x000D_
4. Solitary pulmonary nodule in the cranioventral lung field (suspect right cranial lung lobe). Rule out primary pulmonary neoplasia vs. metastatic neoplasia vs. less likely granuloma or abscess. Superimposition artifact or a body wall nodule are unlikely._x000D_
5. Left elbow and right stifle osteoarthritis._x000D_
6. Multifocal spondylosis deformans (diffuse idiopathic skeletal hyperostosis/DISH in the thoracolumbar region).</t>
  </si>
  <si>
    <t>Three-view thoracic radiographs or thoracic CT._x000D_
Abdominal ultrasound, especially if the patient fails medical management with supportive care with fluid rehydration, antiemetics, gastroprotectants/omeprazole, and bland diet.  General health profile (CBC, chemistry, UA, fecal) +/- spec cPL and baseline cortisol to screen for underlying causes.</t>
  </si>
  <si>
    <t>3 additional views of the thorax and abdomen are submitted for review and added to the previous study.  No definitively narrowed intervertebral disc spaces or other abnormalities are noted in the cervical spine.  The ventral cervical soft tissues are within normal limits.  Multiple congenital hemivertebra are again noted in the mid to caudal thoracic spine and lumbar spine.  No other abnormalities are noted in the additional images of the thorax or abdomen.</t>
  </si>
  <si>
    <t>No definitive abnormalities are seen in the cervical spine to explain the clinical signs.  However, intervertebral disc disease or other cervical myelopathy cannot be excluded on survey radiographs.</t>
  </si>
  <si>
    <t>Symptomatic/supportive medical management or possibly cross-sectional imaging of the cervical spine or other relevant portion of the vertebral column based on neurologic exam findings could be considered.</t>
  </si>
  <si>
    <t xml:space="preserve">
1.Microhepatia is present on the lateral projection._x000D_
2.The spleen is normal._x000D_
3.Abdominal detail is normal. No abdominal fluid is identified._x000D_
4.The gastric axis is shifted with the pylorus cranially positioned secondary to the microhepatia._x000D_
5.The small and large intestines are within normal limits for shape, size and margin.</t>
  </si>
  <si>
    <t>The AI result for this case is most compelling for: Microhepatia. DDx: normal variant for patient vs. microvascular dysplasia vs. portosystemic shunt. In a dog with a chronic hepatopathy, this could represent hepatic fibrosis/cirrhosis. Lack of abdominal fluid does not rule out portal hypertension as an acquired portosystemic shunt could have developed secondarily.</t>
  </si>
  <si>
    <t xml:space="preserve">
Virtual Radiologist Case Difficulty: LOW_x000D_
Virtual Radiologist Confidence: HIGH_x000D_
If a hepatopathy is identified, abdominal ultrasonography vs. abdominal CT with triphase contrast to further evaluate the liver and portal vasculature._x000D_
Blood work and liver function testing (pre- and post-prandial bile acids).</t>
  </si>
  <si>
    <t>Study:_x000D_
Abdominal radiography: right lateral and VD views dated August 19, 2024_x000D_
_x000D_
Findings:_x000D_
The serosal detail is normal. The stomach contains a small volume of gas. The thickness of the gastric wall rugae is within normal limits for the degree of gastric distention. The small intestines are normal in size, course and content. The colon contains formed fecal material with a normal diameter. The liver and spleen are normal in size and margin. The renal silhouettes are normal in size and shape. The urinary bladder is normal in size and opacity. There is no uterine dilation. The included thorax is normal. There is moderate lumbosacral spondylosis deformans.</t>
  </si>
  <si>
    <t>Unremarkable abdomen. A cause of the reported hyporexia/anorexia and vomiting is not evident. There is no radiographic evidence of gastrointestinal foreign material or small intestinal mechanical obstruction. Abdominal sonography can be considered for further evaluation if clinical signs persist or worsen in spite of medical management.</t>
  </si>
  <si>
    <t>Opposite lateral and ventrodorsal abdominal radiographs (3 images) dated August 19, 2024._x000D_
_x000D_
_x000D_
There are wispy soft tissue striations throughout the peritoneal space that represent peritoneal effusion. The liver and spleen are unremarkable in size and shape. The urinary bladder is mildly distended with homogeneous fluid opacity. The kidneys are partially visible and appeared normal in size and shape. The stomach contains a large amount of heterogeneous soft tissue content and a smaller amount of gas. The small intestine has a mild variation in diameter with most segments empty/collapsed a minority mildly distended with gas. The cecum contains gas. The colon contains a mild volume of somewhat poorly formed stool and has a normal course. Retroperitoneal detail is normal. No regional lymphadenopathy is evident. There is no radiographic evidence of uterine distention._x000D_
No osseous abnormalities are identified. The caudal thorax is unremarkable.</t>
  </si>
  <si>
    <t>Peritoneal effusion of unknown etiology. Rule out hemorrhage (occult tumor rupture or coagulopathy) vs. round cell neoplasia vs. severe gastroenteritis +/- pancreatitis vs. liver failure and/or portal pretension vs. less likely chylous effusion or septic peritonitis.</t>
  </si>
  <si>
    <t>Abdominal ultrasound and abdominocentesis for fluid analysis and cytology._x000D_
CBC, Chem, UA, lactate, BP, spec cPL.</t>
  </si>
  <si>
    <t>5 views of the thorax and abdomen are submitted for review._x000D_
The cardiac silhouette and pulmonary vasculature are within normal limits.  Mild bronchial and interstitial markings are noted throughout the lung fields.  No evidence of intrathoracic lymphadenopathy is seen.  No pleural effusion or mediastinal abnormalities are noted.  The trachea is normal in diameter._x000D_
In the abdomen, the stomach contains a mild amount of gas.  The small bowel is normal in uniform diameter.  Formed stool is noted throughout the colon.  The liver and spleen are normal in size, shape, and margination.  The bilateral renal silhouettes are within normal limits.  The urinary bladder is unremarkable.  Serosal detail is normal._x000D_
No osseous abnormalities are seen.</t>
  </si>
  <si>
    <t>Appear to the lung field is consistent with chronic inflammatory airway disease and/or incidental age-related change._x000D_
Radiographically normal abdomen.</t>
  </si>
  <si>
    <t>Lower airway sampling with transtracheal wash or BAL could be considered for further evaluation.</t>
  </si>
  <si>
    <t xml:space="preserve">
1.Splenic size, shape and margin are normal._x000D_
2.Liver size, shape and margin are normal._x000D_
3.Abdominal detail is normal._x000D_
4.The GI tract is normal.</t>
  </si>
  <si>
    <t>Six orthogonal radiographs of the abdomen dated 19th August 2024 are available for review. There are no previous radiographs available for comparison. _x000D_
_x000D_
Intra-abdominal findings: The hepatic silhouette is normal. The spleen is mildly prominent. The kidneys are partially obscured by gastrointestinal contents, but the visible aspect are normal. The stomach contains some granular food material and gas. There is appropriate gas in the pylorus on the left lateral image. Some soft tissue opaque material is visible in the pylorus surrounded by gas. There is mild gas and fluid distension of the anterior duodenum. To small intestines are variable in shape and size, contain a mixture of fluid/soft tissue opaque material and some gas. The descending colon contains some poorly formed faeces. The urinary bladder is small. The serosal detail is normal._x000D_
_x000D_
Extra-abdominal findings: No significant abnormalities are detected._x000D_
_x000D_
Included thorax: No significant abnormalities are detected.</t>
  </si>
  <si>
    <t>1. The mild amount of granular material in the pylorus may be indicative of a recent meal. Alternatively, partial pyloric outflow obstruction by non-radiopaque foreign material should be considered. The duodenal distension may be transient, however pancreatitis is possible._x000D_
2. Mild splenomegaly: differential diagnoses include passive congestion from sedation (if administered), splenitis, extramedullary hematopoiesis, lymphoid hyperplasia, or neoplasia.</t>
  </si>
  <si>
    <t>No obvious abdominal haemorrhage, or causes for anaemia. Continue further medical workup. Consider complete abdominal ultrasonographic examination. Depending on clinical progression, post fasting repeat 3 view abdominal series may be considered.</t>
  </si>
  <si>
    <t xml:space="preserve">
1.The liver is at the upper limits of normal for size to mildly enlarged but a liver mass is not identified._x000D_
2.Splenic size, shape and margin are normal._x000D_
3.Abdominal detail is normal to slightly decreased._x000D_
4.The stomach is moderately distended with soft tissue/fluid and gas._x000D_
5.The small bowel is diffusely fluid filled but without segmental small bowel dilation.</t>
  </si>
  <si>
    <t>Moderate fluid and gas-distention of the stomach. Diffusely fluid filled small bowel without segmental bowel dilation. Liver size is at the upper limits of normal to mildly enlarged. DDx: fat deposition/vacuolar change vs. less suspected, metabolic hepatopathy vs. hepatitis. Are GI signs present? If YES. A functional ileus secondary to enteritis or pancreatitis would be likely. Are GI signs present? If NO. A post prandial GI tract and/or aerophagia would be likely. The AI result is most compelling for GI disease in this case.</t>
  </si>
  <si>
    <t xml:space="preserve">
If GI signs are present, blood work including pancreatic testing. Also evaluate for GI parasites causing a functional ileus and abdominal discomfort and/or empirical deworming._x000D_
Recheck abdominal radiographs in 12-24 hours vs. abdominal ultrasound if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</si>
  <si>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Thoracolumbar/lumbosacral spinal, pelvic and pelvic limb radiography: six images dated August 19, 2024_x000D_
_x000D_
Findings:_x000D_
The T 13 vertebra is transitional with a hypoplastic rib on the left. There is in situ mineralization of the T6-T7, T7-T8, T 13-L1 and L5-L6 intervertebral discs. The T 12-T 13, L4-L5 and L5-L6 intervertebral disc spaces appear mildly narrowed in comparison to the adjacent to spaces. The coxofemoral joints are normal with good coverage of the femoral head by the acetal bilaterally. The patella is in the correct anatomic location bilaterally. The degree of soft tissue opacity within the stifle joint spaces is bilaterally symmetric and within normal limits. The bones of the tarsus and pes are unremarkable bilaterally. The pelvic limb musculature is bilaterally symmetric. The included thorax and abdomen are unremarkable.</t>
  </si>
  <si>
    <t>1.  T 12-T 13, L4-L5 and L5-L6 intervertebral disc disease is suspected. There is also multifocal in situ degenerative disc disease. Neurology consultation and MRI can be considered for further evaluation if clinical signs persist or worsen in spite of strict activity restriction and pain management._x000D_
2. The coxofemoral joints and pelvic limbs are unremarkable.</t>
  </si>
  <si>
    <t xml:space="preserve">
1.Liver size, shape and margin are normal._x000D_
2.Splenic size, shape and margin are normal._x000D_
3.Serosal detail is adequate to slightly decreased._x000D_
4.The small intestines have a diffuse fragmented gas pattern._x000D_
5.There is a heterogeneous soft tissue opacity associated with the gastric lumen.</t>
  </si>
  <si>
    <t>5 views of the thorax and abdomen are submitted for review.  The cardiac silhouette is normal to small in size.  The pulm vasculature is thin.  No definitive pulmonary parenchymal abnormalities are seen.  No pleural effusion or evidence of pneumothorax is noted.  No mediastinal abnormalities are seen.  The trachea is normal in diameter.  A moderate to large amount of subcutaneous emphysema is noted along the ventral cervical soft tissues, thoracic limbs, and dorsal aspect of the neck.  The subcutaneous emphysema also extends caudally to the lateral thoracic wall on the VD view.  Mild subcutaneous emphysema is noted along the dorsal torso.  Moderate subcutaneous emphysema is also noted in the inguinal region, worse on the right, and associated with both pelvic limbs._x000D_
No rib fractures are seen.  The cervical, thoracic, and lumbar spine appear within normal limits.  No abnormalities are noted in the pelvis or coxofemoral joints._x000D_
In the abdomen, the stomach and small bowel appear to contain a moderate amount of ingesta.  A moderate amount of stool is noted throughout the colon.  No organomegaly is seen.  Serosal detail is adequate.  No definitive evidence of pneumoperitoneum is noted.</t>
  </si>
  <si>
    <t>Moderate to marked subcutaneous emphysema throughout the torso as described.  I cannot definitively exclude the possibility of compromise of the trachea but no definitive evidence of this is seen.  No evidence of pneumothorax or pneumoperitoneum is noted.</t>
  </si>
  <si>
    <t>Empirical, symptomatic/supportive medical management as clinically indicated appears appropriate.</t>
  </si>
  <si>
    <t xml:space="preserve">
1.Serosal detail is decreased._x000D_
2.The stomach is mildly gas and fluid filled. The small bowel is gas and fluid-containing. No obvious focal dilation or obstruction._x000D_
3.The liver is enlarged._x000D_
4.Pendulous abdomen._x000D_
5.The spleen is within normal limits.</t>
  </si>
  <si>
    <t>Three radiographs of the abdomen are provided. There is no peritoneal or retroperitoneal effusion. The urinary bladder is minimally distended and soft tissue opaque. The prostate is not definitively seen. No abnormalities are present along the plane of the urethra. No medial iliac lymphadenomegaly. Moderate volume of gas and soft tissue density in the stomach. Small and large bowel are minimally filled. Normal-sized liver, spleen, kidneys. Osseous structures are unremarkable.</t>
  </si>
  <si>
    <t>Urinalysis with culture and treatment for cystitis appears indicated. If further evaluation of the urinary tract is desired, abdominal ultrasound would be recommended.</t>
  </si>
  <si>
    <t xml:space="preserve">
1.The liver is normal in size._x000D_
2.The spleen is normal in size._x000D_
3.Minimal decrease in abdominal detail._x000D_
4.There is a minimal amount of mottled soft tissue density material mixed with gas within the stomach._x000D_
5.Small intestinal bowel loops are normal in size and have a mixed pattern. No obvious obstruction.</t>
  </si>
  <si>
    <t>Three radiographs of the abdomen are provided. There is no effusion. The liver is normal size with smooth margins. The stomach contains small volume amorphous soft tissue density and fluid. Fluid-filled pylorus causes a round soft tissue density in the cranioventral abdomen on the right lateral. Small bowel are mildly filled with a mixture of fluid and gas on the lateral views. Moderately gas dilated loop of bowel in the caudal abdomen on the VD projection. No severe intestinal distention is appreciated. Normal-sized spleen and left kidney. The right kidney is obscured. No radiopaque cystic calculi. Normal caudal thorax.</t>
  </si>
  <si>
    <t>Moderately dilated loop of small bowel is transient and likely incidental. No convincing evidence of an obstructive process is present. The abdomen is otherwise normal. A reason for her lethargy is not identified.</t>
  </si>
  <si>
    <t>Recommend a CBC and blood chemistry profile. Based on lab work results and patient response to supportive care, further investigation with abdominal ultrasound may be indicated.</t>
  </si>
  <si>
    <t xml:space="preserve">
1.The liver is partially obscured but appears mildly enlarged._x000D_
2.Gas filled and somewhat rigid Intestines are deviated by the mass._x000D_
3.On the lateral views, the mass is in the splenic region._x000D_
4.Abdominal detail is diffusely decreased._x000D_
5.The abdomen is pendulous._x000D_
6.A mid-abdominal mass is identified.</t>
  </si>
  <si>
    <t>Three radiographs of the thorax are provided. The cardiac silhouette is normal size on the lateral views. The heart appears larger on the VD projection due to breed-related thoracic conformation. Mild bronchial pattern is present throughout the lungs. There is no pleural effusion. No soft tissue pulmonary nodules or pleural effusion. Normal tracheal diameter. Soft tissue opacity immediately cranial to small amount of cranial cervical esophageal gas on the left lateral view is normal cricopharyngeal sphincter. There is no significant esophageal dilation. In the cranial abdomen the liver is upper normal size. Probable punctate nephrolith, likely incidental. Ovoid soft tissue density caudal to the gastric fundus on the VD projection is folded splenic head, incidental.</t>
  </si>
  <si>
    <t>Mild bronchial pattern. With the history of coughing, airway inflammation due to inhaled irritant/allergens or infectious airway disease is most likely. There is no evidence of cardiovascular disease or pneumonia.</t>
  </si>
  <si>
    <t>Recommend symptomatic treatment for the cough.</t>
  </si>
  <si>
    <t xml:space="preserve">
1.There is decreased detail in the cranial abdomen._x000D_
2.The liver is enlarged with rounded borders._x000D_
3.The spleen is within normal limits._x000D_
4.The stomach is partially distended with food material and fluid._x000D_
5.The small intestinal track is mostly fluid filled uniform in diameter._x000D_
6.The colon is gas filled in corrugated.</t>
  </si>
  <si>
    <t>Patient Name : Louise Blanco, Date of study: Aug 19, 2024
3 images are provided for review
Canine Abdomen (3 Images) - 2 Lateral, 1 Vd
Previous images dated [08/18/2024 Case#2737867] are available for comparison.
Liver: The liver is small with cranial dispalcement of the gastric axis.  This is unchanged from prior.
Spleen: The spleen is normal in size with smooth margins and homogeneous soft tissue.
Kidneys: The kidneys are normal in size and shape without obvious mineral.
Retroperitoneum: Retroperitoneal detail is adequate.
Urinary bladder/Urethra: The urinary bladder is normal in size, homogeneous soft tissue, and smoothly marginated.
Reproductive:
Peritoneum: Peritoneal detail is adequate.
Gastrointestinal tract: The stomach contains a mild volume of gas.  Mild gas is in the pylorus in the left lateral image.  Previously identified gastric soft tissue is not well-identified in this examination.   The stomach is within normal limits for size.
The small intestine contains minimal gas and mild to moderate fluid or is empty with a subjectively uniform population for size. 
The colon contains mild to moderate heterogeneous admixed soft tissue material and gas.  The colon is within normal limits for size.  
Musculoskeletal: The included musculoskeletal structures are normal.</t>
  </si>
  <si>
    <t xml:space="preserve">Continue empirical therapy and supportive care in the interim as needed for gastroenteritis given reported improvement between examinations.  Monitoring as directed or sooner if clinical signs acutely change, fail to improve or worsen with empirical therapy.  Consider routine blood work and bile acid testing for further evaluation of the liver if clinically indicated.  </t>
  </si>
  <si>
    <t xml:space="preserve">
1.Liver and spleen appear within normal limits._x000D_
2.Peritoneal detail is normal._x000D_
3.Small-to-moderate volume ingesta in the stomach._x000D_
4.Small intestines and colon are minimally filled without compelling evidence for obstruction._x000D_
5.No abnormal AI findings reported.</t>
  </si>
  <si>
    <t>Three radiographs of the thorax, and three views of the abdomen are provided. The cardiac silhouette is normal size and shape. Fat deposition is seen along the right side of the heart and extending into the cranial mediastinum on the VD view. Complete collapse of the caudal cervical trachea. No abnormalities in the pulmonary parenchyma. Small volume fluid in the caudal esophagus is incidental. No cervicothoracic spinal abnormalities._x000D_
_x000D_
In the abdomen there is no peritoneal or retroperitoneal effusion. Normal size liver, spleen. The kidneys are partially visible, with no abnormalities appreciated. The gastrointestinal tract is mildly filled. No radiopaque cystic calculi. No definitive narrowed intervertebral disc spaces or foramina. Both patellas are mildly medially displaced. Normal coxofemoral joints.</t>
  </si>
  <si>
    <t>1. Severe cervical trachea collapse. No intrathoracic abnormalities._x000D_
2. Bilateral medial patellar luxation. This could be the cause of discomfort. Non-mineralized intervertebral disc protrusion/extrusion remains possible._x000D_
3. Normal abdomen.</t>
  </si>
  <si>
    <t>Recommend palpate for spinal discomfort, and a neurologic examination.</t>
  </si>
  <si>
    <t xml:space="preserve">
1.Liver size is normal to upper limits of normal. Liver margin is normal._x000D_
2.Abdominal detail is normal._x000D_
3.The stomach contains gas and ingesta or prominent rugae. The small bowel is diffusely fluid filled but without segmental small bowel dilation._x000D_
4.Splenic size, shape and margin are normal.</t>
  </si>
  <si>
    <t xml:space="preserve">Patient Name : pat weaver, Date of study: Aug 18, 2024
3 images are provided for review
Canine Abdomen (3 Images) - 2 Lateral, 1 Vd
There are no previous radiographs for comparison.
Intra-abdominal findings: The stomach is empty with a normal gastric axis. Within the center and caudal aspect of the abdomen there is a large smoothly marginated mass. This mass causes dorsal displacement of the descending colon. The head of the spleen is normal. The tail of the spleen is normal. The left kidney is normal. The right kidney is poorly visible. The small intestines are variable in shape and size and contain some gas and fluid opaque material. The small intestines are displaced to the cranial and right side of the abdomen. The descending colon is gas-filled. The hepatic silhouette is normal. The overall serosal detail is normal. Distended vessel loops are seen in the caudal aspect of the abdomen superimposed on the urinary bladder or descending colon.
Extra-abdominal findings: No significant abnormalities are detected.
Included thorax: No significant abnormalities are detected. </t>
  </si>
  <si>
    <t>1. Large central abdominal mass: Primary differential is a splenic body mass (haematoma, haemangioma, haemangiosarcoma). A large mesenteric mass (lymphoma) is considered unlikely. An enlarged uterus is also considered unlikely, as uterine distension of this size would normally be accompanied with distension of uterine horns in the caudal aspect of the abdomen.
2. A cause for the vulval discharge is not visible.</t>
  </si>
  <si>
    <t xml:space="preserve">
1.The liver and spleen are normal in size and shape._x000D_
2.No abnormal AI findings reported._x000D_
3.The stomach is mild to moderately distended with gas, fluid, and a small amount of amorphous soft tissue opaque material._x000D_
4.The small bowel contains gas and fluid and is normal in diameter throughout._x000D_
5.Serosal detail within the peritoneal space is normal.</t>
  </si>
  <si>
    <t>Moderate fluid and gas dilation of the stomach. Gastroenteritis and a paralytic or functional ileus such as from pancreatitis, abdominal pain, acute gastroenteritis, or metabolic derangement could be considered.</t>
  </si>
  <si>
    <t xml:space="preserve">
Virtual Radiologist Case Difficulty: MODERATE_x000D_
Virtual Radiologist Confidence: MODERATE_x000D_
Supportive care and, if warranted empirical medical therapy for pancreatitis, possibly with addition of pain management.</t>
  </si>
  <si>
    <t>Orthogonal views of the abdomen are provided:_x000D_
_x000D_
Abdomen:_x000D_
_x000D_
The stomach and colon empty._x000D_
Small intestines are mildly gas and fluid filled, not overtly distended. Homogeneous soft tissue material to the right and ventral to L4. No signs of mechanical ileus._x000D_
Serosal detail is preserved._x000D_
Liver and spleen are within normal limits of size and smoothly marginated._x000D_
Kidneys and urinary bladder WNL.</t>
  </si>
  <si>
    <t>1) Unremarkable abdomen. Rule out unformed feces in the ascending colon vs soft tissue material (foreign or not) in the jejunum is not excluded.</t>
  </si>
  <si>
    <t>Consider abdominal US to further evaluate causes of anorexia, vomition and diarrhea.</t>
  </si>
  <si>
    <t xml:space="preserve">
1.The stomach is partially distended with gas, some fluid and some soft tissue opaque debris._x000D_
2.No abnormal AI findings reported._x000D_
3.No abnormal AI findings reported._x000D_
4.The small intestine is normal in diameter. No obvious signs of obstruction._x000D_
5.The liver and spleen are within normal limits for size, with smooth margins.</t>
  </si>
  <si>
    <t xml:space="preserve">Three orthogonal radiographs of the abdomen dated 18th August 2024 are available for review. There are no previous radiographs available for comparison. 
Intra-abdominal findings: The stomach is empty, containing some gas in the pylorus. The duodenum is not distended in the ventrodorsal image. The majority of the small intestines are empty containing some fluid and a small amount of gas. A large use shaped dilated viscus is present in the cranial central aspect of the abdomen, containing soft tissue opaque material with linear gas lucencies, consistent with a textile foreign body. The descending colon contains some formed faeces. The hepatic silhouette is normal in size with smooth borders. The spleen is normal in shape, size and position. The kidneys are partially obscured by gastrointestinal contents, but the visible aspect are normal. The urinary bladder is small. The serosal detail is normal.
Extra-abdominal findings: No significant abnormalities are detected.
Included thorax: No significant abnormalities are detected.
</t>
  </si>
  <si>
    <t>1. Large textile foreign body. Considering the majority of the small intestines are empty, this could mean that the foreign body is within the anterior small intestines. Alternatively the textile foreign body could be within the ascending and transverse colon, therefore allowing the small intestines to empty.</t>
  </si>
  <si>
    <t>Correlate with ultrasonographic examination, or an upper GI contrast study. Depending on outcome, intense medical management with hydration and gastroprotectiants, or an explorative laparotomy is advised.</t>
  </si>
  <si>
    <t xml:space="preserve">
1.Splenic size, shape and margin are normal._x000D_
2.Liver size, shape and margin are normal._x000D_
3.Abdominal detail is normal._x000D_
4.The stomach contains gas and ingesta or prominent rugae. The small bowel is diffusely fluid filled but without segmental small bowel dilation.</t>
  </si>
  <si>
    <t xml:space="preserve">Patient Name : Louise Blanco, Date of study: Aug 18, 2024
3 images are provided for review
Canine Abdomen (3 Images) - 2 Lateral, 1 Vd
There are no previous radiographs for comparison.
Abdomen: The stomach contains some gas. In the ventral aspect of the stomach there is soft tissue opaque material outlined by gas. The small intestines are filled/mildly dilated with mainly fluid and a little gas. The caecum, transverse and descending colon contain an increased amount of gas. The urinary bladder is small. The hepatic silhouette is normal in size with smooth borders. The spleen is normal in shape, size and position. The kidneys are partially obscured by gastrointestinal contents, but the visible aspect are normal.
Included thorax: No significant abnormalities are detected.
Musculoskeletal system: No significant abnormalities are detected.
</t>
  </si>
  <si>
    <t xml:space="preserve">The overall impression is one of gastroenteritis/colitis.  This may be due to dietary indiscretion, or infectious-inflammatory causes. There is no evidence of a mineral opaque foreign body, or complete mechanical obstruction. The soft tissue opaque material in the stomach may still be a remnant of a normal meal, however a non-radiopaque foreign body should be considered. </t>
  </si>
  <si>
    <t xml:space="preserve">Supportive management including rehydration, gastroprotectants,  full blood work, faecal analysis if clinically indicated is advised, if not already performed. Repeat 3-view post fasting radiographs depending on clinical progression or consider an abdominal ultrasound. If vomiting continues without development of diarrhea, an upper GI contrast study may also be considered. </t>
  </si>
  <si>
    <t xml:space="preserve">
1.The liver and spleen are normal size._x000D_
2.Cranial abdominal detail is decreased however this is attributed to a confluence of soft tissues or lack of intra-abdominal fat over mesenteric inflammation and/or abdominal fluid._x000D_
3.A portion of the colon is gas filled and rigid consistent with inflammation._x000D_
4.The small intestines are distended._x000D_
5.The gastric rugae are prominent or the gastric lumen contains soft tissue opaque material mimicking the appearance of prominent gastric rugae._x000D_
6.No abnormal AI findings reported.</t>
  </si>
  <si>
    <t xml:space="preserve">Patient Name : Lady Pip Casey, Date of study: Aug 18, 2024
3 images are provided for review
Canine Abdomen (3 Images) - 1 Vd, 2 Lateral
There are no previous radiographs for comparison.
Abdomen:
The hepatic silhouette is normal in size with smooth borders. The spleen is normal in shape, size and position. The kidneys are partially obscured by gastrointestinal contents, but the visible aspect are normal. The stomach is mainly empty with a normal axis. Some gas loculations are visible in the pylorus on the left lateral image. The small intestines are mainly filled with fluid and a little gas and have a turgid appearance. The colon is moderately gas dilated. The urinary bladder is small. The serosal detail is normal.
The caudal vena cava is tapering.
</t>
  </si>
  <si>
    <t>1. 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Hemorrhagic gastroenteritis is possible.
2. The tapering caudal vena cava is most likely due to dehydration, however tapering due to phase of cardiac contraction may be possible.</t>
  </si>
  <si>
    <t xml:space="preserve">
1.The spleen is normal for size, shape and margin._x000D_
2.The hepatic silhouette is normal._x000D_
3.Abdominal detail is normal._x000D_
4.There is a moderate amount of fluid and gas within the stomach._x000D_
5.The stomach has a normal axis._x000D_
6.The small intestines are homogenously fluid-filled, and mildly dilated._x000D_
7.The colon is gas-filled._x000D_
8.The descending colon contains mainly fluid opaque material.</t>
  </si>
  <si>
    <t xml:space="preserve">Patient Name : Juliet Mills, Date of study: Aug 18, 2024
3 images are provided for review
There are no previous radiographs for comparison.
Intra-abdominal findings: The gastric axis is normal. The stomach contains some gas with prominent rugal folds. There is heterogenous soft tissue opaque material surrounded by gas in the pylorus on the left lateral image. The small intestines are variably filled with gas, fluid and soft tissue opaque material. A dilated segment of the right with soft tissue opaque material with some longitudinal gas striations is also visible on the right lateral image. The descending colon contains poorly formed faeces. The urinary bladder is filled. The hepatic silhouette is normal in size with smooth borders. The spleen is normal in shape, size and position. The kidneys are partially obscured by gastrointestinal contents, but the visible aspect are normal.
Extra-abdominal findings: No significant abnormalities are detected.
Included thorax: No significant abnormalities are detected.
</t>
  </si>
  <si>
    <t>1. Suspect gastric foreign body or retained food material. This needs to be correlated with time of last feeding and emesis.
2. Potential second textile foreign body within the ascending colon or a distal small intestines. Alternatively, some faecal accumulation may be present. Likely secondary enteritis.</t>
  </si>
  <si>
    <t>Supportive management including rehydration, gastroprotectants,  full blood work, faecal analysis if clinically indicated is advised, if not already performed. Repeat 3-view post fasting radiographs depending on clinical progression or consider an abdominal ultrasound. If vomiting continues without development of diarrhea, an upper GI contrast study may also be considered. Depending on clinical progression, and availability of ultrasound, an explorative laparotomy may also be considered, accepting the risk a nonsurgical lesion may be found.</t>
  </si>
  <si>
    <t>Thorax: The pulmonary parenchyma, cardiac silhouette, and pulmonary vasculature are unremarkable.  There is no evidence of pleural effusion or lymphadenopathy._x000D_
_x000D_
Abdomen: There is a mild amount of heterogeneous soft tissue opacity within the gastric lumen.  The remainder of the gastrointestinal tract is unremarkable.  The spleen and liver are unremarkable.  There are no abnormalities involving the visible portions of the urinary tract.  Serosal detail is normal.</t>
  </si>
  <si>
    <t>The appearance of the gastric lumen most likely represents normal ingesta._x000D_
_x000D_
Unremarkable thorax.</t>
  </si>
  <si>
    <t>Abdomen: The colon is distended with gas and fluid.  There is a heterogeneous soft tissue opacity within the gastric lumen.  There are no abnormalities involving the small intestines.  The visible portions of the urinary tract are unremarkable.  The liver and spleen are unremarkable.  Serosal detail is normal.</t>
  </si>
  <si>
    <t>Possible colitis._x000D_
_x000D_
The material within the gastric lumen may represent normal ingesta, foreign material, or possible gas outlining rugal folds.</t>
  </si>
  <si>
    <t xml:space="preserve">
1.The liver is borderline, but this also can be normal in a juvenile patient._x000D_
2.The spleen is obscured._x000D_
3.Abdominal detail is decreased._x000D_
4.There is stippled soft tissue density feces in the distal colon._x000D_
5.There are several loops of minimally distended small bowel, as well as several that are severely dilated with fluid and gas._x000D_
6.Some of the dilated bowel loops are suspected to represent small bowel.</t>
  </si>
  <si>
    <t>Small intestinal segmental ileus consistent with mechanical obstruction. A severe functional ileus is a secondary consideration.</t>
  </si>
  <si>
    <t xml:space="preserve">
Virtual Radiologist Case Difficulty: MODERATE_x000D_
Virtual Radiologist Confidence: MODERATE_x000D_
Options: If the patient seems clinically improved, supportive care and retake radiographs. If it does not continue to improve or clinical signs persist, abdominal ultrasound or potentially exploratory laparotomy should be considered. In a juvenile animal, rule out parvovirus prior to surgery._x000D_
If the patient seems clinically improved,
supportive care and retake radiographs. If the patient does not continue to improve or is worsening, consider abdominal ultrasound or exploratory laparotomy. Owners should be warned about the potential for a negative explore and parvovirus should be ruled out prior to surgery in a young dog.</t>
  </si>
  <si>
    <t>Orthogonal radiographs of the thorax/abdomen are provided. The cardiac silhouette is upper normal size. Pulmonary vessels are normal size. The lungs are clear. No pleural effusion. Adequate tracheal diameter. In the abdomen serosal detail is adequate. The stomach contains small volume gas. Small intestines are diffusely moderately distended with fluid and small volume gas. A loop of bowel in the midabdomen that is moderately distended and contains stippled soft tissue density may be small bowel or colon. Normal-sized liver, spleen, kidneys. The prostate is moderately enlarged consistent with the reproductive status of this patient. No radiopaque urolithiasis. Narrowed L1-2 intervertebral disc space and foramen is of doubtful clinical significance today.</t>
  </si>
  <si>
    <t>1. Small intestinal functional ileus, a nonspecific finding that may be due to enteritis, partial obstruction, metabolic abnormality, stress/discomfort. No other abdominal abnormalities are appreciated._x000D_
2. Normal thorax.</t>
  </si>
  <si>
    <t>Recommend a CBC, blood chemistry profile, fecal examination, and abdominal ultrasound.</t>
  </si>
  <si>
    <t xml:space="preserve">
1.The liver and spleen are normal._x000D_
2.No abnormal AI findings reported._x000D_
3.The small intestinal tract is diffusely mildly distended and mostly gas-filled with some of the intestinal loops containing heterogenous material._x000D_
4.The colon and cecum are gas-filled and the colon has a rigid appearance._x000D_
5.Abdominal detail is normal._x000D_
6.The stomach is distended.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</si>
  <si>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(no signs of tracheobronchial lymphadenopathy), diaphragm and thoracic wall within normal limits._x000D_
_x000D_
Abdomen:_x000D_
_x000D_
The stomach is distended with food._x000D_
Small intestines are mildly gas and fluid filled, not overtly distended. No signs of mechanical ileus._x000D_
Serosal detail is preserved._x000D_
Liver and spleen are within normal limits of size and smoothly marginated._x000D_
Kidneys and urinary bladder WNL.</t>
  </si>
  <si>
    <t>1) Unremarkable thorax without signs of pulmonary metastases nor signs of thoracic lymphadenopathy. Unremarkable lungs do not exclude a bronchitis of allergic origin vs inflammatory/infectious or parasitic origin. _x000D_
2) Unremarkable abdomen.</t>
  </si>
  <si>
    <t>Given the history of nasal discharge from right nostril and coughing =ZZ96= sneezing for few months, consider CT of the nasal cavity/thorax with bronchoscopy, BAL, culture, cytology followed (in this order) by rhinoscopy and biopsies with culture, with deworming vs empirical treatment for upper and lower inflammatory/infectious/parasitic airway disease.</t>
  </si>
  <si>
    <t xml:space="preserve">
1.The liver and abdominal serosal detail are within normal limits._x000D_
2.On the lateral projection, the spleen is prominent but retains a normal shape and has a smooth margin._x000D_
3.The ventral abdominal line is minimally pendulous._x000D_
4.The stomach contains amorphous, soft-tissue-opaque material, most consistent with food._x000D_
5.The small intestines are a combination of gas-filled and fluid-filled/collapsed, and all are within normal limits for diameter._x000D_
6.The colon contains a combination of gas and granular fecal material.</t>
  </si>
  <si>
    <t xml:space="preserve">Patient Name : Howie Cruz, Date of study: Aug 17, 2024
11 images are provided for review
There are no previous radiographs for comparison.
Bones/Joints:
Mild to moderate right and mild left coxofemoral joint osteoarthrosis is present.  The right femoral neck/head have osteophyte production and the right femoral neck is thickened.  The right femoral head is flattened medially.  Minimal osteophytes ate the left craniodorsal acetabular rim.  Bilaterally, there is just under 50% coverage of the femoral heads by the acetabulums.   
Moderate left stifle osteoarthrosis is present, with osteophytes at the medial/lateral femoral condyles, medial/lateral tibial condyles, fabellae, apex/base of the patella and femoral trochlear ridges.  Moderate increased soft tissue in the left stifle joint obscures the infrapatellar fat pad.  
Mild right stifle osteoarthrosis is present, with osteophytes at the medial/lateral tibial condyles, apex/base of the patella and femoral trochlear ridges.  Mild to moderate increased soft tissue in the left stifle joint obscures the infrapatellar fat pad.  
Multifocal thoracolumbar and lumbosacral spondylosis deformans is present.  
There is no evidence of medullary sclerosis, osteolysis, endosteal scalloping, or periosteal proliferation.
Soft tissues:  The left thigh soft tissues are slightly small compared to the right.  The remaining included soft tissues are normal.
</t>
  </si>
  <si>
    <t>1. Moderate left stifle osteoarthrosis and moderate synovial effusion/proliferation.
- The primary differential diagnosis is cranial cruciate ligament injury.
2. Mild-moderate right stifle osteoarthrosis and mild-moderate synovial effusion/proliferation.
- The primary differential diagnosis is cranial cruciate ligament injury.
3. Mild-moderate right coxofemoral joint osteoarthrosis and subluxation such as from underlying hip dysplasia.
4. Mild left coxofemoral joint osteoarthrosis and subluxation.
5. Slight left thigh disuse muscle atrophy.</t>
  </si>
  <si>
    <t>Consider orthopedic consultation and surgical versus medical intervention for suspected cruciate ligament injury as directed.  Empirical therapy and supportive care in the interim as needed.  Monitoring as directed or sooner if clinical signs acutely change, fail to improve or worsen.</t>
  </si>
  <si>
    <t xml:space="preserve">
1.Liver size, shape and margin are normal._x000D_
2.Splenic size, shape and margin are normal._x000D_
3.Abdominal detail is mildly decreased._x000D_
4.The stomach contains a small amount of soft tissue dense material. The small bowel is gas and fluid filled without segmental bowel dilation. The colon is gas-containing.</t>
  </si>
  <si>
    <t>Orthogonal views of the abdomen are provided:_x000D_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There is a moth eaten lytic lesion in the right 8th rib with irregular margins, irregular periosteal reactions and long zone of transition creating a mild extra pleural sign._x000D_
Questionable irregular periosteal reaction in the typhoid and in one of the ill bodies of the pelvis. _x000D_
No pulmonary nodules are seen in this single lateral view of the thorax._x000D_
Visible spine is unremarkable without signs of disc herniation, aggressive bone lesions, vertebral fractures or subluxations.</t>
  </si>
  <si>
    <t>1) Unremarkable abdomen. _x000D_
2) Monostotic aggressive bone lesion in the right 8th rib compatible with metastatic bone lesion vs primary bone lesion vs fungal osteomyelitis._x000D_
3) Rule out polyostotic aggressive bone lesions in the typhoid and in one of the ilium.</t>
  </si>
  <si>
    <t>Consider a VD. and LL views of the thorax or ideally advanced imaging such as CT of the thorax, abdomen and pelvis (also evaluating the spine) with FNAs or biopsies of the right 8th rib.</t>
  </si>
  <si>
    <t>Study:_x000D_
Thoracic and abdominal radiography: seven images dated August 17, 2024_x000D_
_x000D_
Findings:_x000D_
The cardiac silhouette and pulmonary vasculature are normal in size. The pulmonary parenchyma is unremarkable. The pleural space is normal. There is no intrathoracic lymphadenopathy. The trachea is normal in diameter and course. There is a mild to moderate amount of peritoneal effusion. The stomach contains a small volume of gas. The small intestines are normal in size, course and content. The colon contains a small amount of poorly formed fecal material. The liver and spleen are normal in size and margin. The urinary bladder is small. No mineral opaque calculi are present in the bladder or region of the urethra. The prostate is moderately to severely enlarged with smooth margins. The osseous structures are unremarkable.</t>
  </si>
  <si>
    <t>1. Moderate to severe prostatomegaly. Rule out benign prostatic hyperplasia plus/minus prostatitis, prostatic abscess or para-prostatic cyst. Urinalysis, urine culture and abdominal sonography can be considered for further evaluation._x000D_
2. Mild to moderate nonspecific peritoneal effusion. A definitive cause is not radiographically evident. Abdominal sonography and abdominocentesis should be considered for further evaluation._x000D_
3. There is no evidence of urocystolithiasis._x000D_
4. Normal thorax.</t>
  </si>
  <si>
    <t xml:space="preserve">
1.No abnormal AI findings reported._x000D_
2.The liver and spleen are normal._x000D_
3.The stomach is mildly gas and fluid filled with some soft tissue density material. The small bowel is gas and fluid-containing. No findings of obstruction._x000D_
4.Abdominal detail is within normal limits.</t>
  </si>
  <si>
    <t>Study:_x000D_
Abdominal radiography: five images (from two different time points) dated August 17, 2024_x000D_
_x000D_
Compared to prior study dated August 16, 2024_x000D_
_x000D_
Findings:_x000D_
In the initial images, there is a small amount of unstructured heterogeneous soft tissue material in the stomach. The volume of material in the stomach is less than in the prior examination. In the initial images, the small intestines contain a small amount of granular soft tissue material. The small intestines are normal in size and course. The colon contains gas and a small amount of poorly formed fecal material. In the later images, the heterogeneous soft tissue material is no longer present in the stomach. The stomach contains a small volume of gas. In the later images, the small intestines are segmentally gas filled and normal in size and course. The colon contains formed fecal material. Similar to the prior exam, the liver extends mildly beyond the costal arch but has smooth and sharp margins and does not displace the gastric axis. The spleen is normal in size and margin. The renal silhouettes are normal in size and contour. The urinary bladder is normal in size and opacity. The included thorax is normal. The osseous structures are unremarkable.</t>
  </si>
  <si>
    <t>1. The heterogeneous soft tissue material in the stomach and granular soft tissue material in the small intestines in the initial images likely represent ingesta. This material is no longer present in the recheck study. There is no evidence of small intestinal mechanical obstruction in either exam._x000D_
2. The appearance of the liver is equivocal for mild nonspecific hepatomegaly and should be correlated to any liver enzyme abnormalities. Rule out individual normal variant, metabolic/vacuolar hepatopathy, hepatitis, hyperplasia or infiltrative neoplasia. Correlate with any liver enzyme abnormalities.</t>
  </si>
  <si>
    <t>Consider abdominal sonography for further evaluation of the patient=ZZ91=s clinical signs persist or worsen in spite of ongoing medical management.</t>
  </si>
  <si>
    <t xml:space="preserve">
1.No abnormal AI findings reported._x000D_
2.The liver is moderately enlarged with sharp, caudal margins._x000D_
3.The spleen is normal._x000D_
4.The gastric lumen contains a mild amount of soft tissue and gas opacity._x000D_
5.The small intestine is a uniform population size and is diffusely of soft tissue opacity with a small amount of gas throughout._x000D_
6.The colon contains a moderate amount of formed, heterogenous fecal material caudally.</t>
  </si>
  <si>
    <t>Patient Name : Stella Melendez, Date of study: Aug 17, 2024
7 images are provided for review
There are no previous radiographs for comparison.
Liver: The liver is subjectively normal in size.
Spleen: The spleen is normal in size with smooth margins and homogeneous soft tissue.
Kidneys: The kidneys are obscured without obvious enlargement or mineral.  
Retroperitoneum: Retroperitoneal detail is adequate.
Urinary bladder/Urethra: The urinary bladder is partially obscured with homogeneous soft tissue, and smoothly marginated.
Peritoneum: Peritoneal detail is adequate.
Gastrointestinal tract: The stomach contains a large volume of fluid, minimal gas, and mild granular mineral in the region of the pylorus.   
The small intestine contains moderate gas, fluid or is empty with a subjectively uniform population for size. 
The colon contains moderate gas and mild heterogeneous soft tissue material and gas.  The colon is within normal limits for size.  
In the post-contrast administration images, no time-stamps are provided.  Positive contrast material is in the pylorus/stomach, the small intestine, and admixed with colon contents.
Musculoskeletal: The included musculoskeletal structures are normal.</t>
  </si>
  <si>
    <t xml:space="preserve">1.  Contrast examination negative for small intestinal mechanical ileus.
2. Gastric material due to recent meal, versus gastritis/delayed emptying.
3. Non-specific small intestinal appearance such as from enteritis, or given reported history, unlikely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t>
  </si>
  <si>
    <t>Consider routine blood work, GI panel, and fecal analysis/empirical deworming.   Empirical therapy and supportive care in the interim as needed for suspected dietary indiscretion and resultant gastroenteritis.  Monitoring as directed, or sooner if clinical signs acutely change, fail to improve or worsen.</t>
  </si>
  <si>
    <t xml:space="preserve">
1.The gastric rugae are prominent._x000D_
2.The gastric lumen contains a mild amount of soft tissue and gas opacity._x000D_
3.There is a focal decrease in cranial abdominal serosal detail._x000D_
4.Liver size, shape and margin are normal._x000D_
5.The spleen is at the upper limits of normal to mildly enlarged but retains a smooth margin._x000D_
6.The small intestine is of uniform population size and is diffusely of soft tissue opacity with minimal gas opacity._x000D_
7.No mechanical ileus is visualized._x000D_
8.The colon is gas filled and has a rigid appearance.</t>
  </si>
  <si>
    <t>5 images of the thorax and abdomen are presented for review.  The cardiac silhouette is mildly generally enlarged.  The pulmonary vasculature is normal in size.  The trachea is narrowed in the cervical region.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mildly beyond the costal arch.  The stomach contains a moderate amount of gas and the rugal folds are prominent.  The small intestines are normal in size.  Gas and feces are present in the colon.  The urinary bladder is small.  The remaining abdominal organs are normal.</t>
  </si>
  <si>
    <t>Tracheal narrowing suggestive of tracheal collapse.  Mild generalized cardiomegaly without current evidence of cardiogenic pulmonary edema.  Echocardiography may be helpful in further evaluation.  Prominent rugal fold suggestive of gastritis.  This does not rule out underlying pancreatitis or infiltrative neoplasia.  Hepatomegaly=ZZ90= this is a nonspecific finding that may be seen with congestion, vacuolar hepatopathy, inflammation, neoplasia, etc.  Abdominal ultrasound may be helpful in further evaluation.</t>
  </si>
  <si>
    <t>WHOLE-BODY (2 radiographs for review). A previous examination is available from 2022._x000D_
_x000D_
- Leftward mediastinal shift, likely exacerbated by image obliquity._x000D_
- Severe collapse of the tracheal lumen extending from the cervical region through to the level of the carina._x000D_
- Moderate left-sided cardiomegaly, with straightening of the caudal cardiac margin and dorsal displacement of the caudal aspect of the thoracic trachea._x000D_
- Remaining intrathoracic structures are normal._x000D_
- The stomach contains a small volume of gas._x000D_
- The small intestine and colon are normal._x000D_
- The liver, spleen, kidneys, urinary bladder are normal._x000D_
- There is a very large (at least 12 x 8 cm) rounded, egg-shell shaped right-sided abdominal body wall mass.</t>
  </si>
  <si>
    <t>1. Radiographically, the most likely cause of the patient=ZZ91=s reported coughing is tracheal collapse, secondary to chondromalacia. I would recommend considering empirical treatment for this pathology and potential further workup (e.g. fluoroscopy, CT, internal medicine consultation)._x000D_
_x000D_
2. Moderate left-sided cardiomegaly, without pulmonary vasculature congestion or congestive heart failure. Likely due to degeneration of the mitral valve. Consider echocardiography/ECG and cardiologist consultation for further assessment._x000D_
_x000D_
3. Normal abdomen with mild aerophagia._x000D_
_x000D_
4. Large abdominal body wall mass. Correlate to tissue sampling if indicated.</t>
  </si>
  <si>
    <t>Study:_x000D_
Abdominal radiography: three images dated August 17, 2024_x000D_
A right lateral projection of the thorax is also present in the study._x000D_
_x000D_
Findings:_x000D_
Evaluation of the thorax is limited by the lack of left lateral and orthogonal views. The cardiac silhouette and pulmonary vasculature are normal in size. The pulmonary parenchyma is unremarkable. The pleural space is normal. There is no intrathoracic lymphadenopathy. The trachea is normal in diameter and course. There is no esophageal dilation. The stomach contains a moderate amount of heterogeneous soft tissue material. The small intestines are gas and fluid-filled and normal in size and course. The colon contains a small volume of gas with a normal diameter. The liver extends mildly beyond the costal arch with smooth margins. The spleen is mildly to moderately enlarged with smooth margins. The renal silhouettes are normal in size and contour. The urinary bladder is normal in size and opacity. The prostate is mildly enlarged with smooth margins. There is mild multifocal thoracolumbar and lumbosacral spondylosis deformans. There is severe bilateral elbow periarticular bone formation.</t>
  </si>
  <si>
    <t>1. Gastric contents may represent food and/or foreign material. There is no evidence of small intestinal mechanical obstruction.  Repeat fasted radiography should be considered to ensure gastric emptying. Alternatively, sonography can be considered if clinical signs persist or worsen in spite of medical management._x000D_
2.  The generalized hepatomegaly is nonspecific. Rule out metabolic/vacuolar hepatopathy, hyperplasia, hepatitis or infiltrative neoplasia. Sonography can be considered for further evaluation._x000D_
3.  The generalized splenomegaly is also nonspecific. Rule out extramedullary hematopoiesis, lymphoid hyperplasia, splenitis, congestion (of higher priority if sedated for radiographs) or infiltrative neoplasia. Sonography can be considered for further evaluation._x000D_
4. Unremarkable incomplete thoracic study._x000D_
5. Severe bilateral elbow osteoarthrosis.</t>
  </si>
  <si>
    <t>Three radiographs of the thorax, and three views of the abdomen are provided. Images dated 4/15/22 are available for comparison. The cardiac silhouette is normal size and shape, with no chamber enlargement. Pulmonary arteries and veins are symmetric and taper as expected. A few faint bronchial markings are present. The cervical trachea appears widened on the right lateral projection, and moderately narrowed on the left lateral view. No laryngeal abnormalities or esophageal dilation. No pleural effusion._x000D_
_x000D_
In the abdomen the stomach and small bowel are minimally filled. There is formed feces in the distal descending colon. Normal-sized liver, spleen, and kidneys. No prostatomegaly on the right lateral view. Soft tissue density caudal to the urinary bladder on the left lateral projection is superimposed musculature. Mild ventral spondylosis deformans at L1-2, and slight reduced size of the L2-3 intervertebral foramen are of doubtful clinical significance today. Normal proximal pelvic limbs.</t>
  </si>
  <si>
    <t>1. Dynamic cervical tracheal collapse, the most likely cause for coughing. A few faint bronchial markings are most likely normal age-related change. Chronic airway inflammation such as bronchitis is given lesser consideration. No cardiovascular abnormalities are present. A small valvular regurgitant jet can result in a relatively loud murmur._x000D_
2. Normal abdomen.</t>
  </si>
  <si>
    <t xml:space="preserve">
1.The stomach contains gas and ingesta or prominent rugae, suggestive of gastritis. The small bowel is diffusely fluid filled but without segmental small bowel dilation._x000D_
2.Liver size, shape and margin are normal._x000D_
3.Splenic size, shape and margin are normal._x000D_
4.Abdominal detail is normal.</t>
  </si>
  <si>
    <t>Three radiographs of the thorax are provided. The left and right laterality markers are reversed on the VD projection. There is moderate left atrial enlargement. Subsequent dorsal deviation of the caudal thoracic trachea and mainstem bronchi. Cranial pulmonary vessels are normal size. There is a severe interstitial pattern in the perihilar region, with poor visibility of perihilar vessels. Remaining lungs are clear. No pleural effusion. Mild narrowed cervical trachea. Normal cranial abdomen.</t>
  </si>
  <si>
    <t>Moderate left atrial enlargement consistent with acquired mitral valve disease. There is pulmonary edema indicating left-sided heart failure. Possible dynamic cervical tracheal collapse, may be contributing to the cough.</t>
  </si>
  <si>
    <t>Treatment for heart failure, and an echocardiogram are recommended.</t>
  </si>
  <si>
    <t>Study:_x000D_
Thoracic and abdominal radiography: seven images dated August 17,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abdominal serosal detail is normal. The stomach contains unstructured heterogeneous/granular soft tissue material presumed to be ingesta. The small intestines are normal in size, course and content. The colon contains a large amount of formed fecal material. Redundancy of the descending colon in the caudal abdomen give the false impression of a caudal abdominal mass cranial to the urinary bladder on the left lateral view. The liver and spleen are normal in size and margin. The renal silhouettes are normal in size and contour. The urinary bladder is normal in size and opacity. Mild multifocal thoracolumbar and severe lumbosacral spondylosis deformans. TPLO implants are present in the proximal aspect of the right tibia. There is no peri-implant lucency. There is moderate right stifle periarticular bone formation. There is mild left stifle periarticular bone formation.</t>
  </si>
  <si>
    <t>1. Normal thorax. There is no radiographic evidence of cardiopulmonary disease or intrathoracic neoplasia. A cause of tachypnea is not evident. Lack of a definitive bronchial pulmonary pattern does not exclude the possibility of allergic/inflammatory, infectious, irritant or parasitic bronchitis._x000D_
2. The redundancy of the descending colon is likely an incidental finding. The abdomen is otherwise unremarkable. Normal appearance of liver does not exclude a hepatopathy. There is no radiographic evidence of intra-abdominal neoplasia._x000D_
3. Bilateral stifle osteoarthrosis, worse on the right.</t>
  </si>
  <si>
    <t>Abdominal sonography, a parathyroid panel, ACTH stimulation testing and cervical sonography can be considered for further evaluation of the reported hypercalcemia pending ionized calcium results.</t>
  </si>
  <si>
    <t xml:space="preserve">
1.The liver is mildly enlarged but with a normal shape and smooth margins. No hepatic mass has been identified._x000D_
2.The stomach and intestinal tract are normal._x000D_
3.Splenic size, shape and margin are normal._x000D_
4.Abdominal detail is normal.</t>
  </si>
  <si>
    <t>Study:_x000D_
Abdominal radiography: four images dated August 17, 2024_x000D_
_x000D_
Findings:_x000D_
There is conglomerated sand/mineral material in the stomach. Similar conglomerated sand is present in some small intestinal segments in the midabdomen. The small intestines are normal in size and course. Mineralized fecal material is present in the colon. The colonic diameter is normal. The liver and spleen are normal in size and margin. The renal silhouettes are normal in size and contour. The urinary bladder is normal in size and opacity. The included thorax is normal. There is mild lumbosacral spondylosis deformans.</t>
  </si>
  <si>
    <t>There is sand throughout the gastrointestinal tract but there is no evidence of secondary small intestinal mechanical obstruction. Recommend in hospital supportive care with repeat radiography and 6-8 hours to monitor for passage of this material.</t>
  </si>
  <si>
    <t xml:space="preserve">
1.The liver and spleen are within normal limits._x000D_
2.No abnormal AI findings reported._x000D_
3.Serosal detail is adequate._x000D_
4.The stomach is mildly gas and fluid filled with some soft tissue density material. The small bowel is gas and fluid-containing. No obvious obstruction.</t>
  </si>
  <si>
    <t>The overall impression is one of gastroenteritis/ colitis. This may be due to dietary indiscretion, or infectious/ inflammatory causes. Additionally, Ileus or partial obstruction may be considered, particularly in a vomiting patient. Complete obstruction is not favored.</t>
  </si>
  <si>
    <t>Three radiographs of the thorax, and three views of the abdomen are provided. There is equivocal prominence of the left atrium. Fat deposition is seen along the right side of the heart on the VD projection. Pulmonary vessels are normal size. Mild age-related changes in the lungs. No soft tissue pulmonary nodules or pleural effusion. Possible redundant dorsal trachealis membrane in the cervical region, of doubtful clinical significance today._x000D_
_x000D_
In the abdomen the liver is normal size with smooth margins. There is no effusion. Normal size kidneys and spleen. Formed feces fills the distal colon. The stomach and small bowel are minimally distended. Ventral spondylosis deformans in the cranial tail is incidental.</t>
  </si>
  <si>
    <t>Equivocal prominent left atrium. In the absence of other cardiovascular abnormalities, clinical signs, or auscultated murmur, this is of doubtful clinical significance today. Otherwise normal thorax and abdomen.</t>
  </si>
  <si>
    <t>Further investigation of the liver and adrenal glands with ultrasound could be considered.</t>
  </si>
  <si>
    <t xml:space="preserve">
1.Liver size, shape and margin are normal._x000D_
2.Cranial abdominal detail is mildly decreased.  If this is the only finding, this is more likely due to normal overlying structures or radiographic technique. If this finding is part of a larger group of findings, cranial abdominal inflammation becomes a stronger consideration._x000D_
3.The stomach contains gas and ingesta or prominent rugae._x000D_
4.There is formed fecal material within the colon._x000D_
5.The small intestine is uniform in diameter containing both fluid and gas. No segmental small bowel dilation is noted._x000D_
6.Borderline splenomegaly is present but a splenic mass is NOT detected.</t>
  </si>
  <si>
    <t>Mild decrease in cranial abdominal detail. DDx: secondary to overlap of the splenomegaly vs. less suspected, cranial abdominal inflammation. Borderline splenomegaly. No splenic mass. DDx: sedation vs. lymphoid hyperplasia vs. extramedullary hematopoiesis vs. less suspected, infiltrative neoplasia.. Possibility of some radiolucent foreign material remaining within the stomach cannot be completely ruled out, but there is no obvious dilation of the stomach or small bowel to support a mechanical obstruction. Primary consideration is given to gastroenteritis secondary to history of dietary indiscretion. There is no evidence of a foreign object or obstructive change on the current radiographs.</t>
  </si>
  <si>
    <t>Three radiographs of the thorax/abdomen are provided. The cardiac silhouette and pulmonary vessels are normal size. Equivocal faint bronchial markings in the lungs. No pleural effusion. Normal tracheal diameter. In the abdomen there is no effusion or organomegaly. The gastrointestinal tract is moderately filled. Normal-sized liver, kidneys, spleen. No radiopaque urolithiasis. There is broad-based wispy 3.3 x 1.2 cm mixed fat and soft tissue opaque thickening ventral to the mid-ventral abdominal body wall. No definitive gas identified within this thickening. Osseous structures are unremarkable.</t>
  </si>
  <si>
    <t>1. Wispy mixed fat and soft tissue opaque thickening ventral to the abdominal body wall, consider incidental lipoma versus small umbilical hernia involving a small amount of fat. No definitive extension of intestines into this thickening. No intra-abdominal abnormalities._x000D_
2. Equivocal faint bronchial markings suggestive of chronic airway inflammation. In the absence of a cough, significance is doubtful. Otherwise normal thorax.</t>
  </si>
  <si>
    <t>If further evaluation of the extra-abdominal lesion is desired, options include either ultrasound (to confirm/rule out body wall defect and presence of intestines), or surgery (preferred, as body wall defect could also be corrected at that time).</t>
  </si>
  <si>
    <t>Three radiographs of the abdomen are provided. There is a well-defined round 7.2 cm soft tissue opaque mass in the caudal ventral abdomen. There is a large area of amorphous stippled mineral density overlying the central aspect of this mass. This contour is immediately cranial to what appears to be the urinary bladder, and caudal to the splenic tail. The prostate is not definitively seen. Normal size spleen, liver, kidneys. The gastrointestinal tract is mildly filled. There is moderate volume of formed feces in the colon. Linear 2.1 cm mineral density overlying and extending dorsal to the distal descending colon on the lateral views is not definitively seen on the VD view. This is likely incidental vascular mineralization. No peritoneal effusion. No osseous abnormalities, and the caudal thorax is normal.</t>
  </si>
  <si>
    <t>Partially mineralized caudoventral abdominal mass. Neoplasia originating from intestine, lymph node, or splenic tail is most likely. A pedunculated prostatic mass is given much lesser consideration. No other definitive abdominal abnormalities.</t>
  </si>
  <si>
    <t>Abdominal ultrasound is recommended. As the entire thorax is not visible on the edge of these images, thoracic radiographs should also be considered to rule out pulmonary metastatic disease.</t>
  </si>
  <si>
    <t>Seven radiographs are provided, with images of the thorax, abdomen, pelvis, and stifles. The cardiac silhouette is normal size and shape. The lungs are clear. There is no pleural effusion. Mild narrowed cervical trachea on the left lateral view, of doubtful significance today. T6 and T11 are hemivertebrae, significantly smaller than vertebrae on either side. Subsequent narrowed intervertebral disc spaces. Normal proximal thoracic limbs._x000D_
_x000D_
In the abdomen there is no effusion or organomegaly. The gastrointestinal tract is mildly filled. The urinary bladder is distended and soft tissue opaque. Ovoid mineral density dorsal to the urinary bladder is a fecal ball. Lumbar vertebral alignment is normal and no narrowed lumbar intervertebral disc spaces are appreciated. The coxofemoral joints are congruent. The right patella is medially located, but may be due to positioning. Small volume fluid in the cranial aspect of both stifle joint. There is no osseous lysis or periosteal proliferation.</t>
  </si>
  <si>
    <t>1. Congenital vertebral malformations at T6 and T11. While these may be incidental, can predispose to spinal canal stenosis and spinal instability. No other definitive spinal abnormalities. Intervertebral disc disease either adjacent to the malformed vertebrae, or at other sites is the most likely cause for the pelvic limb deficits._x000D_
2. Bilateral mild slight effusion suggestive of partial cranial cruciate ligament tear. This may be contributing to the clinical signs. Equivocal medial patellar luxation on the right versus positional artifact._x000D_
3. Normal thorax and abdomen.</t>
  </si>
  <si>
    <t>Recommend palpate for spinal discomfort and a neurologic examination, as well as for stifle and patellar instability.</t>
  </si>
  <si>
    <t xml:space="preserve">
1.The spleen is normal size._x000D_
2.Large-volume soft tissue opacity fills the stomach._x000D_
3.Small intestines are diffusely mildly filled with a mixture of fluid and gas. No evidence of obstruction._x000D_
4.Scant formed feces is present in the distal colon._x000D_
5.No abnormal AI findings reported._x000D_
6.No abnormal AI findings reported.</t>
  </si>
  <si>
    <t>WHOLE-BODY (3 radiographs for review). A previous examination for comparison is available from 2019._x000D_
_x000D_
- Peritoneal serosal detail is normal._x000D_
- The stomach contains mild gas and soft-tissue opaque material._x000D_
- The small intestine contains mild multifocal soft-tissue opaque material and gas._x000D_
- The colon contains formed fecal material and gas._x000D_
- The liver, spleen, kidneys and urinary bladder are normal._x000D_
- There are multiple tiny, mineral opacities throughout the lungs. _x000D_
- The cardiac silhouette, pulmonary vasculature, pleural space normal._x000D_
- The included musculoskeletal structures are normal.</t>
  </si>
  <si>
    <t>1. A discrete radiographic cause for the reported clinical signs is not detected. The abdomen is radiographically unremarkable, besides mild aerophagia. If clinically indicated, consider abdominal ultrasonography for further assessment._x000D_
_x000D_
2. Multiple incidental age-related pulmonary osteomas. Otherwise normal thorax.</t>
  </si>
  <si>
    <t>A single right lateral view of the torso is submitted for review.  The cardiac silhouette and pulmonary vasculature are within normal limits.  No definitive pulmonary parenchymal abnormalities are seen.  No intrathoracic lymphadenopathy or pleural effusion is seen._x000D_
In the abdomen, the stomach contains a mild amount of ingesta.  The small bowel is normal and uniform in diameter.  A moderate amount of stool is noted in the colon.  The liver and spleen are normal in size, shape, and margination.  The bilateral renal silhouettes are within normal limits.  The urinary bladder is unremarkable.  Serosal detail is normal.  Multiple congenital hemivertebra are noted in the thoracic spine and lumbar spine, typical for the breed.  A mineralized disc in situ is noted at L4-5.</t>
  </si>
  <si>
    <t>The appearance of the thoracic and lumbar spine is fairly typical for the breed and most often noted incidentally.  However, this does not rule the possibility of intervertebral disc disease or other compressive myelopathy anywhere in the vertebral column._x000D_
Otherwise, radiographically normal thorax and abdomen.</t>
  </si>
  <si>
    <t>Correlation with neurologic exam findings is recommended.  Depending on the degree of clinical concern, cross-sectional imaging may be indicated.</t>
  </si>
  <si>
    <t xml:space="preserve">
1.Liver size is normal to lower limits of normal. Liver shape and margin are normal._x000D_
2.Splenic size, shape and margin are normal._x000D_
3.Abdominal detail is normal._x000D_
4.The small intestines are mildly distended with fluid and gas._x000D_
5.No segmental small bowel dilation is noted._x000D_
6.The colon contains a moderate amount of gas and heterogeneous soft tissue material._x000D_
7.The stomach contains a moderate amount of gas and contains material within the lumen.</t>
  </si>
  <si>
    <t>No small intestinal obstruction noted. A component of enteritis cannot be excluded. Gastric contents. DDx: food vs.  gastric foreign material. A pyloric outflow obstruction is not suspected at this time.</t>
  </si>
  <si>
    <t xml:space="preserve">
If the gastric contents persist after withholding food or if there is non-productive vomiting, further evaluation via a positive contrast gastrogram or abdominal ultrasound may be warranted._x000D_
If vomiting is present, withhold food for 12-15 hours followed by repeat abdominal radiographs to assess for retention of gastric contents._x000D_
Full blood work and urinalysis, if not already performed._x000D_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</si>
  <si>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Cervical spine (lateral view): There is narrowing of the intervertebral disc space at C2-3._x000D_
_x000D_
Thoracolumbar spine: There are multiple thoracic hemivertebra which is common finding in breed of patient.  Spondylosis deformans is noted at T10-11 and T11-12.  There are no other significant abnormalities identified._x000D_
_x000D_
Thorax: The pulmonary parenchyma, cardiac silhouette, and pulmonary vasculature are unremarkable.  There is no evidence of pleural effusion or lymphadenopathy._x000D_
_x000D_
Abdomen: There are no abnormalities involving the abdominal viscera.  On the visible portions of the pelvis there is bilateral coxofemoral joint incongruency and osteoarthrosis.</t>
  </si>
  <si>
    <t>Narrowed intervertebral disc space at C2-3._x000D_
_x000D_
Thoracic hemivertebrae._x000D_
_x000D_
Bilateral coxofemoral osteoarthrosis.</t>
  </si>
  <si>
    <t xml:space="preserve">
1.The liver and spleen are prominent, with smooth margins._x000D_
2.The serosal detail is normal._x000D_
3.The serosal margins are smooth._x000D_
4.The stomach contains a small amount of ingesta._x000D_
5.The small intestines contain gas and fluid are normal in diameter._x000D_
6.The colon contains a small amount of fecal material._x000D_
7.No abnormal AI findings reported.</t>
  </si>
  <si>
    <t>The appearance of the GI tract is likely related to normal ingesta in the ABSENCE of GI symptoms. However, if GI symptoms are PRESENT, gastroenteritis secondary to dietary indiscretion or infectious etiology could be considered. Prominent liver and spleen are likely normal variants. Splenomegaly is a common normal variation and can be associated with sedation and general anesthesia. Mild hepatomegaly can be related to steroid hepatopathy or vacuolar change, and less likely hepatitis/ cholangiohepatitis, primary hepatic neoplasia or congestion.</t>
  </si>
  <si>
    <t xml:space="preserve">Patient Name : Luka Garza, Date of study: Aug 16, 2024
10 images are provided for review
There are no previous radiographs for comparison.
Pulmonary parenchyma:  A well-defined alveolar pattern with air-bronchograms is in the perihilar to ventral periphery of the right cranial and right middle lung lobes.  A mild to moderate diffuse bronchial pattern are present.
Pulmonary vasculature: The pulmonary vasculature is subjectively normal in size and tapers in the periphery of the lungs.
Cardiac silhouette: The cardiac silhouette is normal in size and shape.
Mediastinum: A rightward mediastinal shift is present.  The cranial mediastinum is normal.
Trachea: The trachea is normal.
Esophagus: The esophagus is not well-identified.
Pleural space: The pleural space is normal.
Musculoskeletal: The included musculoskeletal structures are normal.
</t>
  </si>
  <si>
    <t>1. Severe right cranial and middle lung lobe alveolar pattern.
- Differential diagnoses include bronchopneumonia/aspiration pneumonia or unlikely other.
2. Mild-moderate diffuse bronchial pulmonary pattern due to infectious/immune-mediated lower airway disease (bordetella spp. mycoplasma spp. parasitism or unlikely other).
3. Rightward mediastinal shift due to atelectasis and/or recumbency.</t>
  </si>
  <si>
    <t>Therapy for suspected bronchopneumonia with broad-spectrum antibiotics for 1-2 weeks past radiographic resolution. Consider respiratory PCR panel, airway sampling, and fecal analysis/deworming for further evaluation.  Monitoring as directed or sooner if clinical signs acutely change, fail to improve or worsen.</t>
  </si>
  <si>
    <t>Three radiographs of the thorax are provided. There is mild left atrial enlargement. The heart appears relatively larger on the left lateral view due to expiration. Pulmonary vessels are normal size. There is a mild mixed bronchointerstitial pattern throughout the lungs. On the right lateral view there is a round 0.8 cm soft tissue opacity dorsal to the caudal vena cava. This is not definitively seen on the other projections. Fat deposition is seen adjacent to the heart and extending into the cranial mediastinum on the VD view. Curved soft tissue opacity at the heart base on the lateral projections is the aortic arch. There is no pleural effusion. Moderate narrowed cervical trachea on both lateral views. Mild degenerative change in the shoulders and cranial lumbar spine.</t>
  </si>
  <si>
    <t>1. Cervical tracheal collapse._x000D_
2. Mixed bronchointerstitial pattern suggestive of chronic airway inflammation such as bronchitis, likely contributing to the cough._x000D_
3. Soft tissue nodule only seen on the right lateral view, concerning for a neoplastic process. I cannot rule out the possibility that this is kibble, transiently present in the caudal esophagus._x000D_
4. Mild left atrial enlargement consistent with acquired mitral valve disease. This is of doubtful clinical significance today.</t>
  </si>
  <si>
    <t>Consider repeating the radiographs (same three views) in one month to determine if the suspect nodular structure is persistent. This patient may also benefit from weight management as needed and utilization of a body harness in place of a neck lead.</t>
  </si>
  <si>
    <t xml:space="preserve">Patient Name : Alice Duncan, Date of study: Aug 16, 2024
4 images are provided for review
Prior images dated November 27, 2023 are available.  
Pulmonary parenchyma: A minimal to mild diffuse bronchial pattern is present.  The lungs are mildly hypoinflated, and a minimal to mild diffuse interstitial pattern is present.  
Pulmonary vasculature: The pulmonary vasculature is subjectively normal in size and tapers in the periphery of the lungs.
Cardiac silhouette: The cardiac silhouette is enlarged and tall, occupying 2/3 the height of the thorax, with dorsal tracheal dispalcement.  The caudodorsal margin of the cardiac silhouette is flat. Rounded increased soft tissue is in the region of the left atrium in the ventrodorsal image.  
Mediastinum: The cranial mediastinum widened with a slightly convex left margin in the ventrodorsal image. This is similar to prior.
Trachea: The trachea is normal.
Esophagus: The esophagus is not well-identified.
Pleural space: Mild right-sided pleural widening is present with rounding of lung lobe margins in the diaphragmatic recess and widened pleural fissure between the right middle/caudal and suspected the right cranial/middle lung lobes.  A slightly widened pleural fissure between the left cranial/caudal lung lobes is suspected.  This is unchanged from prior.
Musculoskeletal: The included musculoskeletal structures are normal.
</t>
  </si>
  <si>
    <t>1. Progressive, moderate left-sided cardiomegaly such as from myxomatous mitral valvular disease and insufficiency.
- No current evidence of left-sided congestive heart failure.  
2. Unchanged mild right- and minimal left-sided pleural fluid due pleural fluid or atypical pleural/mediastinal fat deposition given lack of change from prior imaging.  
3. Similar widened cranial mediastinum due to fat deposition or unlikely evolving lymphadenomegaly or evolving mass (thymoma, ectopic thyroid carcinoma versus other).
4. Minimal diffuse bronchial and interstitial pulmonary patterns such as from fibrosis from prior disease, age-related changes, or less likely evolving left-sided congestive heart failure, infectious/immune-mediated lower airway disease or unlikely other.</t>
  </si>
  <si>
    <t>Consider echocardiography, ECG, blood pressure and thoracic computed tomography of the thorax for further evaluation.  Routine blood work and abdominal imaging to screen for occult systemic disease.   Empirical therapy and supportive care in the interim as needed.  Monitoring as directed, or sooner if clinical signs acutely change, fail to improve or worsen.</t>
  </si>
  <si>
    <t>Three radiographs of the pelvic limbs are provided. Previous images are not identified for this patient. There is a small area of sclerosis with slight undulating cortical margins in the distal metaphysis of the right tibia. This is presumed to be the location of the previous fracture. A definitive fracture is not identified on this study. There is diffuse reduced bone opacity in the distal right pelvic limb. No left pelvic limb abnormalities are appreciated.</t>
  </si>
  <si>
    <t>Disuse atrophy in the distal right pelvic limb. Appropriately healing distal right tibial fracture, which is stable today.</t>
  </si>
  <si>
    <t>Recommend discontinue external coaptation.</t>
  </si>
  <si>
    <t>7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margins are rounded and extend beyond the costal arch, causing caudal displacement of the gastric axis.  The stomach contains a small amount of ingesta.  The small intestines are normal in size.  Gas and feces are present in the colon.  Rounded soft tissue structures are seen dorsal to the colon and ventral to L6 through the sacrum in the area of the iliac lymph nodes.  The urinary bladder is small.  The remaining abdominal organs are normal.</t>
  </si>
  <si>
    <t>Sublumbar lymphadenopathy=ZZ90= consider inflammatory versus neoplastic.  Hepatomegaly=ZZ90= this is a nonspecific finding that may be seen with congestion, vacuolar hepatopathy, inflammation, neoplasia, etc.  Abdominal ultrasound may be helpful in further evaluation and to aid in aspiration of the lymph nodes.  Radiographically normal thorax for patient of this age.</t>
  </si>
  <si>
    <t xml:space="preserve">
1.The liver is moderately enlarged._x000D_
2.Splenic size, shape and margin are normal._x000D_
3.Abdominal detail is normal._x000D_
4.The stomach is normal. The small bowel is diffusely gas- and fluid-filled without segmental small bowel dilation.</t>
  </si>
  <si>
    <t>A lateral radiograph of the abdomen, VD pelvis, and two lateral views of the pelvis/proximal pelvic limbs are provided. The patient is overweight, with moderate volume subcutaneous fat and pendulous abdomen. Formed feces fills the colon. Small intestines are moderately fluid-filled. There is gas in the stomach. Normal-sized liver, left kidney, and spleen. The right kidney is obscured. No radiopaque cystic calculi. Small round soft tissue density ventral to L6 is end-on deep circumflex iliac vessel. Mineralized intervertebral disc material in situ at L3-4, incidental. No definitive narrowed intervertebral disc spaces. The coxofemoral joints are congruent. Suspect scant fluid in the cranial aspect of the right stifle joint. There is no osseous lysis, soft tissue swelling, or popliteal lymphadenomegaly. The visible left pelvic limb is normal.</t>
  </si>
  <si>
    <t>Equivocal scant right stifle effusion suggestive of partial cranial cruciate ligament tear. This is the only abnormality identified to explain the lameness. Soft tissue sprain/strain remains possible or a non-mineralized intervertebral disc protrusion/extrusion remains possible. The abdomen is normal.</t>
  </si>
  <si>
    <t>Recommend palpate for stifle discomfort, for stifle instability, a neurologic examination, and weight management.</t>
  </si>
  <si>
    <t xml:space="preserve">
1.The liver extends moderately beyond the costal arch with a smooth margin._x000D_
2.The spleen is normal in size and margin._x000D_
3.Abdominal detail is normal._x000D_
4.The stomach contains a small volume of gas and is displaced caudally by the hepatomegaly._x000D_
5.The small intestines are normal in size, course and content._x000D_
6.The colon contains partially formed fecal material.</t>
  </si>
  <si>
    <t>Three radiographs of the thorax/abdomen, two lateral views of the thorax/proximal thoracic limbs, and a lateral view that includes the proximal pelvic limbs are provided. Normal cervicothoracic spine. The cardiac silhouette and pulmonary vessels are normal size. There are mild age-related changes in the lungs. On the right lateral view there is the appearance of rounded 0.3 cm increased opacity overlying the cranial thorax, however this is limited to the boundaries of a rib, and is not confirmed on the other views. This is consistent with an artifact. No pleural effusion. Adequate tracheal diameter. The shoulder and cubital joints are congruent. No thoracic limb soft tissue swelling, lysis, or periosteal proliferation. In the abdomen the liver is mildly enlarged with smooth margins. Focal cluster of punctate mineral densities overlying the liver consistent with gallbladder debris, typically incidental. The gastrointestinal tract is moderately filled. No radiopaque urolithiasis. Normal-sized spleen and left kidney. The right kidney is obscured. No definitive narrowed lumbar intervertebral disc spaces. The coxofemoral joints are congruent. The patellar location is normal for positioning. Stifle joint space evaluation is limited by superimposed extra abdominal tissue and rotation. No pelvic limb osseous abnormalities are appreciated.</t>
  </si>
  <si>
    <t>1. Mild hepatomegaly, a nonspecific finding that is most likely steroid or other hepatopathy. Acute inflammation or neoplasia are next on the differential list. This should be correlated with history and blood work. No other abdominal abnormalities._x000D_
2. Normal thorax, thoracic limbs, proximal pelvic limbs. A reason for the abnormal gait is not identified. With the described overstepping gait, a central neurologic abnormality is of concern.</t>
  </si>
  <si>
    <t>Recommend neurologic examination to include cranial nerve assessment.</t>
  </si>
  <si>
    <t xml:space="preserve">Patient Name: Pitas Leon, Date of study: Aug 16, 2024
Canine Abdomen (3 Images) - 2 Lateral, 1 VD
There are no previous radiographs for comparison.
Findings:
Gastrointestinal tract: There is a small volume of heterogeneous ingesta admixed with gas in the stomach. The stomach is normal in size and position. The small intestines are diffusely within normal limits of diameter and primarily contain gas. Several loops contain heterogeneous ingesta. The colon is normal in size containing gas and loosely formed feces.
Liver: The liver is within normal limits of size, shape, and margination.
Spleen: The spleen is normal in size with smooth margins.
Urinary: The kidneys are normal in size, shape, and margination. The urinary bladder is normal in size and opacity.
Peritoneal space: There is adequate serosal detail.
Musculoskeletal: The included skeletal and superficial soft tissue structures of the study are within normal limits.
Caudal thorax: The included cardiopulmonary structures are unremarkable.
</t>
  </si>
  <si>
    <t>1. The gastric content is concerning for foreign material given the history of vomiting. Normal/intended ingesta following a recent meal is not ruled out. Clinical correlation is needed.
2. There is no evidence of a small intestinal mechanical obstruction or mineral/metal opaque foreign body.
3. Nonspecific gastroenteritis and pancreatitis are not excluded as causes of vomiting.</t>
  </si>
  <si>
    <t>Medical management and supportive care are recommended. If there is clinical concern the gastric content is not from a recent meal or clinical signs persist despite treatment, fasted recheck abdominal radiographs or an abdominal ultrasound would be recommended.</t>
  </si>
  <si>
    <t xml:space="preserve">
1.The stomach has a normal axis._x000D_
2.There is a moderate amount of fluid and gas within the stomach._x000D_
3.Abdominal detail is normal._x000D_
4.The spleen is normal for size, shape and margin._x000D_
5.The hepatic silhouette is normal._x000D_
6.The small intestines are homogenously fluid-filled, and mildly dilated._x000D_
7.The colon is gas-filled._x000D_
8.The descending colon contains mainly fluid opaque material.</t>
  </si>
  <si>
    <t>Three radiographs of the thorax/abdomen are provided. The cardiac silhouette and pulmonary vessels are normal size. Mild age-related changes in the lungs. Small round soft tissue density caudal to the left atrium on the right lateral view is end-on pulmonary vessel. There is no pleural effusion. In the abdomen the prostate is moderately enlarged consistent with the reproductive status of this patient. The urinary bladder is mildly filled and soft tissue opaque. Small volume gas is present in the stomach. There is the appearance of scant stippled soft tissue density overlying the pylorus only on the left lateral view. Small intestines are diffusely moderately fluid filled. Small volume gas in the ascending colon. The remainder of the colon is not definitively identified. Normal-sized liver, spleen, kidneys. No osseous abnormalities.</t>
  </si>
  <si>
    <t>1. Small intestinal functional ileus, a nonspecific finding that is most likely due to enteritis. Stress/discomfort or metabolic abnormality are next on the differential list. Equivocal stippled soft tissue density overlying the stomach is most likely either superimposed colon or gas between rugal folds. Small radiolucent gastric foreign material is not ruled out._x000D_
2. Normal thorax.</t>
  </si>
  <si>
    <t>With the weight loss, fasted abdominal ultrasound is recommended.</t>
  </si>
  <si>
    <t>3 views of the abdomen are provided for review.  Serosal detail is adequate in all quadrants.  The stomach contains a small amount of gas and the rugal folds are prominent.  The small intestines are normal in size, although several segments contain small amounts of mineral..  Mineral opaque material is seen in the ascending colon.  Gas is present in the remaining colon.  The urinary bladder is small.  The remaining abdominal organs are normal.</t>
  </si>
  <si>
    <t>Prominent rugal folds suggestive of gastritis.  This does not rule out underlying pancreatitis, dietary indiscretion, etc.  Mineral foreign material in the small intestine and ascending colon without current evidence of obstruction.</t>
  </si>
  <si>
    <t xml:space="preserve">
1.Abdominal detail is normal._x000D_
2.The stomach contains gas and soft tissue dense material. There is diffuse gas dilation of the small bowel without evidence of obstruction._x000D_
3.Splenic size, shape and margin are normal._x000D_
4.Liver size, shape and margin are normal.</t>
  </si>
  <si>
    <t>5 images of the abdomen are provided for review.  Serosal detail is adequate in all quadrants.  The stomach contains a small amount of gas and the rugal folds are prominent.  The small intestines are normal in size.  Gas is present in the colon and cecum.  The urinary bladder is small.  The remaining abdominal organs are normal.</t>
  </si>
  <si>
    <t>Prominent rugal folds suggestive of gastritis.  This does not rule out underlying pancreatitis, dietary indiscretion, infiltrative neoplasia, etc.</t>
  </si>
  <si>
    <t xml:space="preserve">
1.The gastric lumen contains a mild amount of soft tissue and gas opacity._x000D_
2.There is a focal loss of serosal detail in the cranial abdomen._x000D_
3.The spleen is at the upper limits of normal to mildly enlarged on the lateral projection._x000D_
4.The liver is normal._x000D_
5.Portions of the small intestine are dilated with gas or soft tissue opacity._x000D_
6.The gastric rugae are prominent._x000D_
7.There is at least one segment of rigid appearing bowel in the mid-abdomen. This segment may represent colon versus small bowel dilation.</t>
  </si>
  <si>
    <t>3 images of the thorax and abdomen are presented for review.  There is straightening of the caudal cardiac waist in the region of the left atrium.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</si>
  <si>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Radiographically normal abdomen.  Mild left atrial enlargement.</t>
  </si>
  <si>
    <t>Echocardiography could be considered in further staging.</t>
  </si>
  <si>
    <t>Study:_x000D_
Abdominal, pelvic and pelvic limb radiography: five images dated August 16, 2024_x000D_
_x000D_
Findings:_x000D_
The T 13 vertebra is transitional with a hypoplastic rib on the right. There is no intervertebral disc space or foraminal narrowing. The coxofemoral joints are normal with good coverage of the femoral head by the acetabulum bilaterally. The patella is in the correct anatomic location bilaterally. There is increased soft tissue opacity within the cranial and caudal aspect of the stifle joint space bilaterally, moderate on the right and mild on the left. There is mild right stifle periarticular information. The tarsus is normal bilaterally. The pelvic limb musculature is bilaterally symmetric._x000D_
_x000D_
The serosal detail is normal.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region of the urinary bladder and prostate are not included. The included thorax is normal with no evidence of cardiomegaly.</t>
  </si>
  <si>
    <t>1. Bilateral stifle joint effusion/capsular thickening with mild osteoarthrosis on the right. These findings likely indicate bilateral cranial cruciate plus/minus meniscal injury. Surgical stabilization can be considered._x000D_
2. The imaged spine is unremarkable. The lack of any apparent intervertebral disc space narrowing does not exclude the possibility of intervertebral disc disease. Neurology consultation and MRI can be considered for further evaluation if the reported thoracolumbar pain persists in spite of strict activity restriction and pain management._x000D_
3. Normal appearance of the liver does not exclude a hepatopathy. Abdominal sonography can be considered for further evaluation of the reported elevated liver enzyme values._x000D_
4. There is no radiographic evidence of heart disease. Consider echocardiography for further evaluation of the reported heart murmur.</t>
  </si>
  <si>
    <t xml:space="preserve">
1.No abnormal AI findings reported._x000D_
2.Serosal detail caudal to the stomach is mildly decreased on the lateral projection._x000D_
3.The stomach contains small-volume gas._x000D_
4.Small intestines are mildly filled with fluid and scant gas._x000D_
5.The colon is minimally filled._x000D_
6.The liver and spleen are normal size and shape.</t>
  </si>
  <si>
    <t xml:space="preserve">Patient Name : Boo Velasco, Date of study: Aug 16, 2024
4 images are provided for review
There are no previous radiographs for comparison.
Bones/Joints:
There is no evidence of intervertebral disc space narrowing, or mineral over the intervertebral foramina.  There is no evidence of intervertebral dorsal articulation osteoarthrosis.
Bilaterally, the femoral trochlear ridges are suspiciously shallow.  No current evidence of medial patella luxation.
There is no evidence of medullary sclerosis, osteolysis, endosteal scalloping, or periosteal proliferation.
Soft tissues:  The included soft tissues are normal.
</t>
  </si>
  <si>
    <t xml:space="preserve">1. Suspicious for bilateral femoral trochlear ridge hypoplasia versus variation of normal.
- No current evidence of patella luxation.
2. No evidence of intervertebral disc space narrowing.
3. No obvious coxofemoral joint osteoarthrosis.  </t>
  </si>
  <si>
    <t>Consider focused stifle radiographs for further evaluation if clinically indicated.  Empirical therapy and supportive care in the interim as needed for reported clinical signs.  This does not rule out soft tissue strain/sprain injury contributing to reported clinical signs.  Monitoring as directed or sooner if clinical signs acutely change, fail to improve or worsen.</t>
  </si>
  <si>
    <t>Study:_x000D_
Abdominal radiography: four images dated August 16, 2024_x000D_
_x000D_
Findings:_x000D_
The serosal detail is adequate. The stomach contains a small volume of gas. The small intestines are gas and fluid-filled and normal in size and course. The colon contains formed fecal material with a normal diameter. The liver extends mildly beyond the costal arch with the rounded caudoventral margin. The spleen is normal in size and margin. The renal silhouettes are normal in size and contour. The urinary bladder is normal in size and opacity. The left heart appears moderately enlarged on the left lateral projection, this finding is similar to the June 3, 2024 exam. The osseous structures are unremarkable.</t>
  </si>
  <si>
    <t>1.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2. The generalized hepatomegaly is nonspecific. Rule out metabolic/vacuolar hepatopathy, hyperplasia, hepatitis or infiltrative neoplasia. Sonography can be considered for further evaluation._x000D_
3. Moderate left-sided cardiomegaly, indicative of mitral valve disease, without evidence of decompensation. Echocardiography should be considered for further evaluation if not recently performed.</t>
  </si>
  <si>
    <t xml:space="preserve">Patient Name : Sissy Nivens, Date of study: Aug 16, 2024
6 images are provided for review
There are no previous radiographs for comparison.
Pulmonary parenchyma: A moderate to severe diffuse bronchial pattern is present.  A minimal to mild diffuse interstitial pattern is present, most severe and slightly wedge-shaped in the caudal periphery of the right middle lung lobe in the ventrodorsal image.  
Pulmonary vasculature: The pulmonary vasculature is subjectively normal in size and tapers in the periphery of the lungs.
Cardiac silhouette: The cardiac silhouette has a mildly flat caudodorsal margin.  Mild rounded increased soft tissue in the region of the left atrium in the ventrodorsal image.
Mediastinum: The cranial mediastinum is normal.
Trachea: The trachea is normal.
Esophagus: The esophagus is not well-identified.
Pleural space: The pleural space is normal.
Musculoskeletal: The included musculoskeletal structures are normal.
</t>
  </si>
  <si>
    <t>1. Moderate-severe diffuse bronchial pulmonary pattern.
- Differential diagnoses include atypical/evolving left-sided congestive heart failure, or less likely infectious/immune-mediated lower airway disease, or unlikely other such as pulmonary eosinophilia or thromboembolic disease, or other.
- This is unlikely metastatic/multicentric plasma cell malignancy.  
2. Minimal-mild diffuse interstitial pulmonary pattern, most severe in the right middle lung lobe.
- Differential diagnoses include evolving left-sided congestive heart failure, secondary to underlying thromboembolic disease, fibrosis from prior disease, age-related changes, minimal recumbency induced atelectasis or unlikely other.  
3. Mild left atrial enlargement versus artifact/patient positioning.
- If present, differential diagnoses include myxomatous mitral valvular disease or less likely other.
4. Mild cardiomegaly such as from thyrotoxic cardiomyopathy.</t>
  </si>
  <si>
    <t>Consider echocardiography, eCG and blood pressure for further evaluation.  Consider pathologist review of CBC for further evaluation of polycythemia reported versus other. Consider diuretic therapy and oxygen therapy with repeat thoracic radiograph in 4-6 hours to monitor for improvement/progression of the pulmonary pattern.  Consider respiratory PCR panel, airway sampling, and fecal analysis/deworming for further evaluation.  Empirical therapy and supportive care in the interim as needed.  Monitoring as directed or sooner if clinical signs acutely change, fail to improve or worsen.</t>
  </si>
  <si>
    <t>Thoracolumbar spine: There is narrowing of intervertebral disc space at L2-3.  There is possible narrowing of the intervertebral disc space at L1-2.  The remainder of the lumbar spine is unremarkable._x000D_
_x000D_
Thorax: The pulmonary parenchyma, cardiac silhouette, and pulmonary vasculature are unremarkable.  There is no evidence of pleural effusion or lymphadenopathy._x000D_
_x000D_
Abdomen: The liver is considered on the lower limits of normal for size.  There are no abnormalities involving the visible portions of the spleen, gastrointestinal tract, or urinary tract.  Serosal detail is normal.</t>
  </si>
  <si>
    <t>Intervertebral disc disease at L2-3 and possible L1-2._x000D_
_x000D_
Mild microhepatica most likely variation of normal.</t>
  </si>
  <si>
    <t>Patient Name : Arlene Balcarcel, Date of study: Aug 16, 2024_x000D_
3 images are provided for review_x000D_
There are no previous radiographs for comparison._x000D_
_x000D_
Liver: The liver is subjectively normal in size._x000D_
Spleen: The spleen is normal in size with smooth margins and homogeneous soft tissue._x000D_
Kidneys: The kidneys are normal in size and shape without obvious mineral._x000D_
Retroperitoneum: Retroperitoneal detail is adequate._x000D_
Urinary bladder/Urethra: The urinary bladder is small in size, homogeneous soft tissue, and smoothly marginated._x000D_
Reproductive:_x000D_
Peritoneum: Peritoneal detail is adequate._x000D_
Gastrointestinal tract: The stomach contains mild gas. The stomach is within normal limits for size. Mild gas is in the pylorus in the left lateral image._x000D_
The small intestine contains mild gas and fluid._x000D_
In the lateral images, segments of small intestine in the caudal and ventral abdomen are subjectively closely associated. No obvious angular or comma-shaped luminal gas is in these segments. Small intestine in the cranial abdomen is subjectively less closely associated and appears more normal._x000D_
The colon contains mild gas or is empty. The colon is within normal limits for size._x000D_
_x000D_
Musculoskeletal: The included musculoskeletal structures are normal.</t>
  </si>
  <si>
    <t>1. Caudoventral abdominal small intestinal segments suspicious for linear foreign body versus enteritis/functional ileus._x000D_
- Differential diagnoses include dietary indiscretion, toxin ingestion, diet/antibiotic responsive disease, inflammatory bowel disease, pancreatitis, occult systemic disease or unlikely other.</t>
  </si>
  <si>
    <t>Consider compression radiographs of the suspicious small intestinal segments in the caudoventral abdomen, versus ultrasonography for further evaluation. Consider celiotomy if mechanical ileus is confirmed. If rule out, consider GI panel, fecal analysis/deworming, and routine blood work for further evaluation. Empirical therapy and supportive care in the interim as needed. Monitoring as directed or sooner if clinical signs acutely change, fail to improve or worsen.</t>
  </si>
  <si>
    <t xml:space="preserve">
1.Liver size, shape and margin are normal._x000D_
2.Abdominal detail is normal._x000D_
3.The stomach contains small volume gas and scant amorphous soft tissue density material. Diffuse, mild to moderate gas dilation of the small bowel without evidence of obstruction._x000D_
4.Splenic size, shape and margin are normal.</t>
  </si>
  <si>
    <t>5 images of the thorax and abdomen are provided for review.  The cardiovascular structures are normal.  There is a moderate bronchial pattern in all lung lobes.  The mediastinal and pleural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</si>
  <si>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Radiographically normal abdomen.  Lack of specific changes does not rule out pancreatitis, gastroenteritis, etc.  If clinical signs persist with supportive therapy, abdominal ultrasound may be helpful.  Moderate bronchial pulmonary pattern=ZZ90= consider bronchitis, response to inhaled irritants, response to circulating parasites, eosinophilic bronchopneumopathy.  Airway sampling may be helpful in further evaluation.</t>
  </si>
  <si>
    <t xml:space="preserve">
1.The ascending, transverse and descending colon have a normal position and gas and some poorly formed faeces._x000D_
2.The small intestines are distributed evenly and are within normal limits for shape, size and contents._x000D_
3.The stomach is empty, and has a normal axis._x000D_
4.The hepatic silhouette is mildly enlarged, with smooth borders._x000D_
5.The visible spleen is within normal limits._x000D_
6.Mid abdominal detail is mildly decreased.</t>
  </si>
  <si>
    <t>Patient Name : Paris Laisure, Date of study: Aug 16, 2024
3 images are provided for review
Canine Abdomen (3 Images) - 1 Vd, 2 Lateral
There are no previous radiographs for comparison.  Presumed left lateral image also contains a "R" marker in the image.
Liver: The liver is subjectively normal in size.
Spleen: The spleen is normal in size with smooth margins and homogeneous soft tissue.
Kidneys: The kidneys partially obscured without obvious enlargement or mineral.
Retroperitoneum: Retroperitoneal detail is adequate.
Urinary bladder/Urethra: The urinary bladder is normal in size, homogeneous soft tissue, and smoothly marginated.
Reproductive:
Peritoneum: Peritoneal detail is adequate.
Gastrointestinal tract: The stomach contains mild gas.  The stomach is within normal limits for size.  Gas is suspected in the pylorus in the left lateral image.  
The small intestine contains mild gas and fluid or is empty with a subjectively uniform population for size. 
The colon contains mild to moderate gas and fluid or is empty.  Minimal pin-point mineral is admixed with colon content. The colon is within normal limits for size.  
Musculoskeletal: The included musculoskeletal structures are normal.</t>
  </si>
  <si>
    <t xml:space="preserve">1. Non-specific gastrointestinal tract appearance such as from enteritis, colitis, or given reported history, unlikely variation of normal.
- There is no current evidence of gastrointestinal mechanical ileus.
- Differential diagnoses include dietary indiscretion (such as from passing mineral content), toxin ingestion, diet/antibiotic responsive disease, inflammatory bowel disease, pancreatitis, occult systemic disease or unlikely other.
2. Minimal colonic mineral such as from dietary indiscretion.  </t>
  </si>
  <si>
    <t>Consider GI panel, fecal analysis/deworming, and routine blood work for further evaluation.  Empirical therapy and supportive care in the interim as needed. Abdominal ultrasonography if signs of small bowl diarrhea fail to improve, change or worsen in the face of empirical therapy and supportive care.  Monitoring as directed or sooner if clinical signs acutely change, fail to improve or worsen.</t>
  </si>
  <si>
    <t xml:space="preserve">
1.Portions of the colon are gas filled and have a rigid appearance._x000D_
2.The stomach contains gas and small volume fluid._x000D_
3.Abdominal detail is satisfactory._x000D_
4.No abnormal AI findings reported._x000D_
5.The liver and spleen are normal size._x000D_
6.Small intestines are minimally distended.</t>
  </si>
  <si>
    <t>Colitis Fluid filled small bowel. DDx: normal post-prandial vs. enteritis. This finding should be correlated to clinical signs. No small intestinal obstruction is noted.</t>
  </si>
  <si>
    <t xml:space="preserve">
Virtual Radiologist Case Difficulty: LOW_x000D_
Virtual Radiologist Confidence: HIGH_x000D_
Supportive care and further diagnostics based on clinical signs. Rule out GI parasites and consider empirical deworming if colitis is present.</t>
  </si>
  <si>
    <t>7 views of the thorax are submitted for review._x000D_
The left atrium is mildly enlarged. Left atrium is mildly enlarged.  The pulmonary vasculature is within normal limits.  Mild bronchointerstitial markings are noted in the lung fields.  No pleural effusion or intrathoracic adenopathy is noted.  The trachea is within limits._x000D_
In the abdomen, the stomach contains a moderate amount of food-like material.  The small bowel is normal in uniform diameter and contains a mild amount of gas and ingesta.  Formed stool is noted in the colon.  The liver is moderately enlarged extending well beyound the costal arch with mildly rumen serosal margins.  The spleen is normal in size and shape.  The renal silhouettes and urinary bladder are normal.  Serosal detail is adequate._x000D_
Mild osteophytes are noted on the femoral necks.  No aggressive bony changes are seen.</t>
  </si>
  <si>
    <t>The appearance of the heart is consistent with myxomatous mitral valve disease without evidence of congestive heart failure.  This appears consistent with subclinical disease._x000D_
Moderate hepatomegaly.  Differentials include vacuolar hepatopathy or less likely inflammation, neoplasia, venous congestion._x000D_
Acute or chronic pancreatitis is noted.</t>
  </si>
  <si>
    <t>Supportive medical management appears appropriate and structure.  Clinical signs persist, an abdominal ultrasound to be considered.</t>
  </si>
  <si>
    <t>Three radiographs of the thorax, and three views of the abdomen are provided. Images dated 11/9/23 are available for comparison. Soft tissue opacity overlies the dorsal aspect of the caudal cervical trachea causing moderate narrowed tracheal lumen on the left lateral view. Tracheal position remains normal. There is no esophageal dilation. Small volume fat deposition in the cranial mediastinum on the VD projection, similar to the previous study. Mild age-related changes are present in the lungs. Small round increased opacity overlying the cranioventral thorax on the right lateral projection is a costochondral junction._x000D_
_x000D_
In the abdomen peritoneal and retroperitoneal detail is adequate. The gastrointestinal tract is mildly filled. As before, there is curved 5.3 x 2.1 cm soft tissue opacity immediately caudal to the stomach on the lateral views, possibly seen caudal to the greater curvature of the stomach on the VD projection. Several punctate nephroliths are likely incidental. No radiopaque cystic calculi. The vertebral endplates at L2-3 were suspect previously, with no appreciable abnormalities on this study. The L4-5 intervertebral disc space is narrowed, relatively similar to the previous study and of doubtful significance today.</t>
  </si>
  <si>
    <t>1. Dynamic cervical tracheal collapse, the most likely cause for coughing. No intrathoracic abnormalities._x000D_
2. Soft tissue contour in the cranial abdomen is concerning for a mass lesion, however is similar to the previous study therefore summating loops of bowel may be responsible for this appearance. No other intra-abdominal abnormalities.</t>
  </si>
  <si>
    <t>This patient may benefit from Cerenia administration and utilization of a body harness in place of a neck lead. If further evaluation of the abdomen is desired, ultrasound would be recommended.</t>
  </si>
  <si>
    <t>8 images of the pelvis, lumbar spine, and pelvic limbs are provided for review.  Open physes are present and appear bilaterally symmetric.  No pseudo physeal lines are seen.  Corticomedullary distinction is adequate.  Spinal alignment is normal with no consistently narrowed intervertebral disc spaces.  Coverage of the femoral heads by their acetabulae is adequate bilaterally.  No fractures, luxations, or aggressive osseous lesions are seen.  The joint surfaces are smooth and regular.  No stifle effusion is seen.  The abdominal structures included are normal.</t>
  </si>
  <si>
    <t>Radiographically normal pelvis, pelvic limbs, and thoracolumbar spine.</t>
  </si>
  <si>
    <t>Three radiographs of the thorax and of the abdomen are provided. Images dated January 18, 2024 are available for comparison. The cardiac silhouette are normal size and shape. A few incidental pulmonary osteomas is normal for the age of this patient. There is no soft tissue pulmonary nodules or pleural effusion. Normal tracheal diameter and cranial mediastinal width. Small round soft tissue densities to the right of the heart on the VD view are end-on-on pulmonary vessels. Broad-based 3.4 cm fat opaque thickening ventral to the caudal sternum is of uncertain significance._x000D_
_x000D_
In the abdomen the gastrointestinal tract is moderately filled. No radiopaque cystic calculi. There are punctate nephroliths, noted previously and of doubtful clinical significance. Normal size kidneys, spleen, liver. Well-defined round soft tissue opaque 4.4 cm mass in the superficial tissues dorsal to the cranial right lumbar spine. The coxofemoral joints are congruent.</t>
  </si>
  <si>
    <t>Right craniodorsal extra-abdominal mass, concerning for a soft tissue neoplasm. No intra-abdominal abnormalities, and the thorax is normal.</t>
  </si>
  <si>
    <t>There is no contraindication for general anesthesia based on this study, however if it was planned for today, consider either postponing anesthesia, or ensuring extubation with partial inflation of the endotracheal tube cuff given the current gastric contents.</t>
  </si>
  <si>
    <t>3 images of the spine are provided for review.  No fractures or aggressive osseous lesions are seen.  The patellae are medially located.  The coxofemoral joints are congruent.  No mineralized intervertebral discs or consistently narrowed intervertebral disc spaces are seen.  The soft tissue structures included are normal.</t>
  </si>
  <si>
    <t>Bilateral medial patellar luxation.  Radiographically normal spine.  This does not rule out intervertebral disc herniation or other causes of spinal cord compression.</t>
  </si>
  <si>
    <t xml:space="preserve">
1.No abnormal AI findings reported._x000D_
2.The liver and spleen are normal._x000D_
3.No effusion is present._x000D_
4.The stomach and bowel are normal.</t>
  </si>
  <si>
    <t>Study:_x000D_
Abdominal radiography: three images dated August 15, 2024_x000D_
_x000D_
Findings:_x000D_
The stomach and some small intestinal segments contain unstructured heterogeneous/granular soft tissue material presumed to be ingesta. The small intestines are normal in size and course. The colon contains formed fecal material. The liver and spleen are normal in size and margin. The kidneys are normal in size and contour. Two mineral opaque calculi measuring up to 1.3 cm are present in the urinary bladder. No calculi present in the region of the urethra. There is no uterine dilation. The included thorax is normal. The osseous structures are unremarkable.</t>
  </si>
  <si>
    <t>Cystolithiasis. Recommend urinalysis plus/minus urine culture for further evaluation. Consider dissolution versus cystotomy.</t>
  </si>
  <si>
    <t xml:space="preserve">
1.Liver size is at the lower limits of normal but retains a smooth margin._x000D_
2.Splenic size, shape and margin are normal._x000D_
3.Abdominal detail is normal._x000D_
4.The stomach contains a small amount of air and either has prominent gastric rugae or contains a small amount of soft tissue material._x000D_
5.The small intestinal tract contains normal volumes of fluid, gas and ingesta._x000D_
6.The ascending, transverse and descending colon are in a normal position and contain gradually more formed faeces._x000D_
7.Resource: https://platform.v2.vetology.net/doc/gi</t>
  </si>
  <si>
    <t>The overall impression is one of a normal post-prandial GI tract. However, in a vomiting patient, gastritis should be ruled out. Gastritis may be due to dietary indiscretion, or infectious-inflammatory causes. There is no evidence of a complete mechanical obstruction.</t>
  </si>
  <si>
    <t>Lumbar spine: There is no evidence of the space collapse or narrowing.  There is no evidence of lysis, fractures, or malalignment.  There are several regions of spondylosis deformans.  There is a faint mineral opacity immediately dorsal to the intervertebral disc space at L3-4.  This most likely represents lateralizing spondylosis deformans or possible mild mineralization of meninges.  There are no abnormalities involving the abdominal viscera.</t>
  </si>
  <si>
    <t>Multiple regions of lumbar spondylosis deformities otherwise unremarkable study.</t>
  </si>
  <si>
    <t xml:space="preserve">
1.Splenic size, shape and margin are normal._x000D_
2.Abdominal detail is normal._x000D_
3.Liver size, shape and margin are normal._x000D_
4.The stomach contains gas and ingesta or prominent rugae. The small bowel is diffusely fluid filled but without segmental small bowel dilation.</t>
  </si>
  <si>
    <t>Study:_x000D_
Pelvic and right pelvic limb radiography: three images dated August 15, 2024_x000D_
A lateral projection of the abdomen is also present in the study_x000D_
_x000D_
Findings:_x000D_
There is narrowing of the L7-S1 intervertebral disc space with sclerotic endplates and moderate spondylosis deformans. There is good coverage of the femoral head by the acetabulum bilaterally. The patella is in the correct anatomic location bilaterally. The degree of soft tissue opacity within the right stifle joint spaces within normal limits. No degenerative change is present in either stifle. The right tarsus is normal._x000D_
_x000D_
The stomach contains a small volume of gas. The small intestines are normal in size, course and content. The colon contains formed fecal material. The liver and spleen are normal in size and margin. The kidneys are normal in size and contour. There is a 1.7 cm mineral opaque calculus in the urinary bladder. No calculi present in the region of the urethra. There is no uterine dilation. The included thorax is normal.</t>
  </si>
  <si>
    <t>1. Chronic lumbosacral intervertebral disc disease. This finding may be of no clinical significance given the lack of any reported neurologic deficits._x000D_
2. The coxofemoral joints and right stifle are unremarkable. A cause of the right pelvic limb lameness is not evident. Consider soft tissue injury._x000D_
3. Cystolith. Recommend urinalysis for further evaluation. Consider dissolution versus cystotomy.</t>
  </si>
  <si>
    <t>Orthopedic consultation can be considered if the lameness persists in spite of activity restriction and pain management.</t>
  </si>
  <si>
    <t>Study:_x000D_
Thoracic and abdominal radiography: six images dated August 15, 2024_x000D_
_x000D_
Findings:_x000D_
There is mild to moderate left ventricular , left auricular and left atrial enlargement. The pulmonary vasculature is normal in size. The pulmonary parenchyma is unremarkable. The pleural space is normal. There is no intrathoracic lymphadenopathy. The trachea is normal in diameter. The abdominal serosal detail is normal. The stomach contains a small volume of gas. The small intestines are normal in size, course and content. The colon contains a small volume of gas with a normal diameter. The liver and spleen are normal in size and margin. The renal silhouettes are normal in size and contour. At least 10 mineral opaque calculi measuring up to 3.5 cm are present in the urinary bladder. No calculi are present in the region of the urethra. The uterus is not visualized. There is narrowing of the L3-L4 intervertebral disc space with moderate spondylosis deformans. There is severe bilateral hip dysplasia and remodeling/thickening of the femoral head and neck.</t>
  </si>
  <si>
    <t>1. Cystolithiasis. Recommend urinalysis for further evaluation. Consider cystotomy cystotomy._x000D_
2. There is no radiographic evidence of uterine dilation. This does not exclude the possibility of open pyometra. Abdominal sonography can be considered to further evaluate the reproductive tract._x000D_
3. Mild to moderate left-sided cardiomegaly, suggestive of mitral valve disease, without evidence of decompensation. Echocardiography should be considered for further evaluation._x000D_
4. Severe bilateral hip dysplasia and coxofemoral osteoarthrosis._x000D_
5. L3-L4 intervertebral disc disease.</t>
  </si>
  <si>
    <t>Study:_x000D_
Abdominal radiography: right lateral and orthogonal views (two images) dated August 15, 2024_x000D_
_x000D_
Findings:_x000D_
The abdominal serosal detail is normal. The stomach contains a small volume of gas. The small intestines are normal in size, course and content. The colon contains formed fecal material with a normal diameter. The liver and spleen are normal in size and margin. The kidneys are normal in size and contour. The urinary bladder is normal in size and opacity. The included thorax is unremarkable. No skeletal abnormalities are present.</t>
  </si>
  <si>
    <t>Study:_x000D_
Abdominal radiography: three images dated August 15, 2024_x000D_
_x000D_
Findings:_x000D_
The stomach contains heterogeneous soft tissue material.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 region of the prostate is not included on the lateral projection. The included thorax is normal. No skeletal abnormalities are present.</t>
  </si>
  <si>
    <t>Gastric contents may represent food or foreign material (given the reported hyporexia). There is no evidence of small intestinal mechanical obstruction. Repeat fasted radiography can be considered to ensure gastric emptying. Alternatively, sonography can be considered if clinical signs persist or worsen in spite of medical management.</t>
  </si>
  <si>
    <t xml:space="preserve">
1.The liver and spleen are normal size._x000D_
2.No abnormal AI findings reported._x000D_
3.No effusion is present._x000D_
4.Moderate volume soft tissue opacity and/or gas fills the stomach._x000D_
5.Small intestines are mildly filled with a mixture of fluid and gas._x000D_
6.No segmental small intestinal distention is present.</t>
  </si>
  <si>
    <t>Three radiographs of the abdomen are provided. Images dated 3/13/24 were reviewed. There is large volume of gas and moderate volume non-formed feces that is stippled with mineral densities filling the colon. Small intestines are minimally filled with fluid and gas. Serosal detail is adequate. The spleen is prominent for a feline patient on both of the lateral views. Normal-sized liver. The right kidney is normal size. The left kidney is obscured on the VD projection, and appears to be smaller than the right kidney on the lateral views. No radiopaque urolithiasis. Poorly delineated patchy soft tissue opacity remains in the left caudal lung lobe on the edge of the study. This area measures at least 4.3 cm, appears more masslike on the left lateral view, and relatively similar to the previous study.
(amended on 08/16/2024 14:26)
To clarify: Radiographs from 8/15/24 were provided and interpreted in this report. A study dated 3/13/24 was reviewed for comparison.</t>
  </si>
  <si>
    <t>1. Diarrhea, of uncertain etiology._x000D_
2. Prominent spleen, consider sedation, inflammation, neoplasia (mast cell, lymphoma)._x000D_
3. Probable reduced left renal size, likely chronic renal disease._x000D_
4. Unchanged mass-like patchy soft tissue in the left caudal lung. Neoplasia is of concern, however since this is relatively similar to the previous study, chronic/prior insult with fibrosis is also possible.</t>
  </si>
  <si>
    <t>A CBC, blood chemistry profile, fecal examination, and abdominal ultrasound should be considered.</t>
  </si>
  <si>
    <t>Study:_x000D_
Thoracic and abdominal radiography: four images dated August 15, 2024_x000D_
_x000D_
Findings:_x000D_
The cardiac silhouette and pulmonary vasculature are normal in size. On the left lateral view, there is a 1.7 cm bulla superimposed with the heart base. This finding is not seen on the orthogonal view The pulmonary parenchyma is otherwise unremarkable. The pleural space is normal. There is no intrathoracic lymphadenopathy. The larynx is unremarkable. The trachea is normal in diameter and course. The stomach contains heterogeneous soft tissue material presumed to be ingesta. The small intestines are normal in size and course. The colon contains formed fecal material with interspersed granular mineral. The liver and spleen are normal in size and margin. The renal silhouettes are normal in size and contour. Both contain multiple small mineral opacities. On the left lateral thoracic, there is a mineral opacity in the retroperitoneal space ventral to L4. There is a mineral opacity is poorly visualized superimposed with a bowel loop in the same region on the right lateral projection of the abdomen. The urinary bladder is normal in size and opacity. No mineral opaque calculi present in the bladder or region the urethra. There is no prostatomegaly. The right 13th rib is hypoplastic. There is narrowing of the T 12-T 13 through L1-L2 intervertebral disc spaces. There is mild spondylosis deformans from T 12 to L2.</t>
  </si>
  <si>
    <t>1. Normal thorax. There is no radiographic evidence of cardiopulmonary disease. A cause of coughing is not evident. Lack of a definitive bronchial pulmonary pattern does not exclude the possibility of allergic/inflammatory, infectious, irritant or parasitic bronchitis. Normal diameter of the trachea does not exclude the possibility of dynamic airway disease. Sedated laryngeal exam, fluoroscopy, airway sampling plus/minus heartworm testing and Baermann fecal flotation can be considered to further evaluate the reported coughing._x000D_
2. Bilateral nephrolithiasis and/or nephrocalcinosis. A ureterolith (laterality indeterminate) is also suspected. There are no cystoliths. Consider abdominal sonography for further evaluation._x000D_
3. T 12-T 13 through L1-L2 intervertebral disc disease.</t>
  </si>
  <si>
    <t>Three radiographs of the thorax are provided. There is moderate generalized cardiac silhouette enlargement. The cranial lobar vein is larger than the artery. The right caudal lobar artery is enlarged. There is poor visibility of left perihilar pulmonary vessels. The caudal thoracic trachea and mainstem bronchi are deviated dorsally and compressed by the enlarged heart. No pleural effusion. Normal cranial abdomen.</t>
  </si>
  <si>
    <t>Moderate generalized cardiomegaly consistent with acquired mitral and tricuspid valve disease. There is pulmonary venous congestion and mild pulmonary edema indicating left-sided heart failure. Caudal thoracic tracheal and mainstem bronchial compression is likely contributing to the cough.</t>
  </si>
  <si>
    <t>Treatment for heart failure is recommended, with follow-up echocardiogram to help guide treatment.</t>
  </si>
  <si>
    <t xml:space="preserve">
1.The liver is mildly enlarged but with smooth margins. No liver mass is noted._x000D_
2.The stomach is normal. The small bowel contains gas and fluid but no segmental small bowel dilation is noted._x000D_
3.Splenic size, shape and margin are normal._x000D_
4.Abdominal detail is normal however the abdomen is mildly pendulous.</t>
  </si>
  <si>
    <t>Study:_x000D_
Thoracic/abdominal radiography: three images dated August 15, 2024_x000D_
_x000D_
Findings:_x000D_
The cranial extent of the thorax is not included in the study. There is moderate bilateral pleural effusion. There is associated reduced lung volume/atelectasis. No pulmonary nodules or masses are present. The severity of the effusion limits evaluation of the cardiac silhouette. There is no overt cardiomegaly. There is no evidence of cranial mediastinal mass. The trachea is normal in diameter. The abdominal serosal detail is normal. The stomach contains a small volume of gas and a small amount of unstructured heterogeneous soft tissue material presumed to be ingesta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 T 13 vertebra is transitional. There is moderate bilateral remodeling/thickening of the femoral head and neck.</t>
  </si>
  <si>
    <t>1. Moderate bilateral nonspecific pleural effusion. A cause is not radiographically evident. Recommend thoracocentesis with fluid analysis plus/minus echocardiography and computed tomography of the thorax for further evaluation. Additionally, if not already performed, a CBC, serum chemistry and urinalysis should be considered._x000D_
2. Unremarkable abdomen._x000D_
3. Moderate bilateral coxofemoral osteoarthrosis.</t>
  </si>
  <si>
    <t xml:space="preserve">Patient Name : Paco Sigmon, Date of study: Aug 15, 2024
8 images are provided for review
There are no previous radiographs for comparison.
Bones/Joints:
T6-7 spondylosis deformans is suspected in the left lateral image.
A dens is present.  There is no evidence of atlantoaxial joint subluxation.
There is no evidence of intervertebral disc space narrowing, or mineral over the intervertebral foramina.  There is no evidence of intervertebral dorsal articulation osteoarthrosis.
There is no evidence of medullary sclerosis, osteolysis, endosteal scalloping, or periosteal proliferation.
Soft tissues:  The included soft tissues are normal.
</t>
  </si>
  <si>
    <t>1. No obvious evidence of atlantoaxial subluxation.
2. No obvious intervertebral disc disease on this examination.
3. T6-7 spondylosis deformans is suspected.</t>
  </si>
  <si>
    <t>Etiology of possible neck pain is not definitively identified.  This does not rule out herniating non-mineralized disc material or other myelopathy/myelitis contributing to clinical signs.  Consider neurologist consultation and MRI for further evaluation if clinical signs persist or worsen in the face of empirical therapy and supportive care.  Routine blood work if not recently performed. 
 Monitoring as directed, or sooner if clinical signs acutely change, fail to improve or worsen.</t>
  </si>
  <si>
    <t xml:space="preserve">Patient Name : Lelu Dean, Date of study: Aug 15, 2024
3 images are provided for review
Canine Abdomen (3 Images) - 1 Vd, 2 Lateral
There are no previous radiographs for comparison.
Liver: The liver has a mildly rounded caudoventral margin.  The gastric axis is normal in position subjectively.  
Spleen: The spleen is normal in size with smooth margins and homogeneous soft tissue.
Kidneys: The left kidney is normal.  The right kidney is partially obscured without obvious enlargement or mineral.  
Retroperitoneum: Retroperitoneal detail is adequate.
Urinary bladder/Urethra: The urinary bladder is mildly enlarged subjectively, with, homogeneous soft tissue, and smoothly marginated.
Peritoneum: Peritoneal detail is adequate.
Gastrointestinal tract: The stomach contains a moderate volume of gas.   The stomach is within normal limits for size.
The small intestine contains mild gas with a subjectively uniform population for size. 
The colon contains mild gas.  The colon is within normal limits for size.  
Musculoskeletal: Only six lumbar vertebrae without rib and suspected transitional L1 with ribs bilaterally.  Multifocal thoracolumbar spondylosis deformans is present.  The remaining included musculoskeletal structures are normal.
</t>
  </si>
  <si>
    <t xml:space="preserve">1. Mild hepatomegaly due to vacuolar change (such as from hyperadrenocorticism versus other), and/or  nodular hyperplasia, hepatitis/cholangiohepatitis, or evolving neoplasia.
2. Non-specific gastrointestinal tract appearance such as from enteritis, colitis, or given reported history, less likely variation of normal.
- There is no current evidence of gastrointestinal mechanical ileus.
- Differential diagnoses include hemorrhagic gastroenterocolitis, dietary indiscretion, toxin ingestion, diet/antibiotic responsive disease, inflammatory bowel disease, pancreatitis, occult systemic disease or unlikely other.
3. Urine retention is suspected versus variation of normal.
- This may be from behavior versus cystitis/urethritis or unlikely occult urinary outflow obstruction.  
</t>
  </si>
  <si>
    <t>Consider  routine blood work, coagulation testing, urinalysis, urine culture/sensitivity testing, GI panel, fecal analysis/deworming for further evaluation.  ACTH stimulation/LDDS testing may be contributory. Abdominal ultrasonography for further evaluation of the liver, adrenal glands, gastrointestinal tract and urinary bladder.  Empirical therapy and supportive care in the interim as needed for hemorrhagic gastroenterocolitis.  Monitoring with repeat abdominal radiographs if signs fail to improve or worsen.</t>
  </si>
  <si>
    <t xml:space="preserve">
1.The spleen is normal size._x000D_
2.No abnormal AI findings reported._x000D_
3.No abnormal AI findings reported._x000D_
4.Small intestines are diffusely mildly filled with a mixture of fluid and gas. No evidence of obstruction._x000D_
5.Large-volume soft tissue opacity fills the stomach._x000D_
6.Scant formed feces is present in the distal colon.</t>
  </si>
  <si>
    <t>Opposite lateral and VD thoracoabdominal views and orthogonal views of the pelvis are provided. There are six images total._x000D_
_x000D_
There is a bulge at the caudal base of the heart consistent with left atrial distention. Heart size is mildly increased overall. Bronchial markings are mildly increased, but within the limits of age related change. No tracheal abdomen is identified._x000D_
_x000D_
The liver is mildly enlarged, with normal shape and smooth margins. Some of the intestinal loops have a thickened appearance. This is often artifactual. There is a discrete mineral density in the right cranial dorsal abdomen which is believed to represent the large calculus in the right kidney. Serosal detail in the abdomen is normal. No mass lesions are seen in the abdomen are pelvic canal. The distal colon and rectum are mildly to moderately distended with normal appearing fecal material._x000D_
_x000D_
There is moderate to severe narrowing of many intervertebral disc spaces in the thoracolumbar region of the spine from T11 to L2. T11-T12 is most severely affected. No lumbosacral abnormalities are identified. The pelvis and hip joints are within normal limits. No destructive or productive bone lesions are seen.
(amended on 08/15/2024 17:01)
There is medial luxation of the left patella in the VD pelvis view.</t>
  </si>
  <si>
    <t>There is evidence of chronic disc degeneration in the thoracolumbar spine. This could be contributing to pain, but relevance to the abnormal tail carriage remains unknown. No abnormalities are seen in the tail base or lumbosacral region._x000D_
_x000D_
There is mild to moderate cardiomegaly with left atrial dilation. There is no evidence of heart failure._x000D_
Increased bronchial markings is likely incidental in the absence of relevant clinical signs, but if coughing or wheezing is present the appearance would also be compatible with chronic bronchitis of allergic or idiopathic nature._x000D_
_x000D_
There is hepatomegaly. Diffuse hepatopathies including metabolic or endocrine associated liver disease, hepatitis, or less likely neoplasia such as hepatic lymphoma should be ruled out._x000D_
_x000D_
There is a mineral density believed to represent a calculus in the right kidney. This is usually incidental, and is not suspected to be associated with the clinical signs.
(amended on 08/15/2024 17:01)
There is medial luxation of the left patella, which may be transient and could account for the holding up the leg. However, it is unlikely to be relevant to the primary complaint of tail base/lumbosacral pain.</t>
  </si>
  <si>
    <t>Strict activity and anti-inflammatory therapy for possible tail base injury is recommended._x000D_
Cross sectional imaging such as MRI could be used for more definitive evaluation.</t>
  </si>
  <si>
    <t>Patient Name : Mr Trump castro, Date of study: Aug 15, 2024
2 images are provided for review
Canine Abdomen (2 Images) - 1 Vd, 1 Lateral
There are no previous radiographs for comparison.
Liver: The liver is subjectively normal in size.
Spleen: The spleen is normal in size with smooth margins and homogeneous soft tissue.
Kidneys: The right kidney has a suspiciously flat caudal margin in the ventrodorsal image.  The left kidney is normal.  
Retroperitoneum: Retroperitoneal detail is adequate.
Urogenital: The urinary bladder is normal in size, homogeneous soft tissue, and smoothly marginated.
Peritoneum: Peritoneal detail is adequate.
Gastrointestinal tract: The stomach contains a moderate volume of gas.  The stomach is within normal limits for size.
The small intestine contains mild gas and minimal fluid or is empty with a subjectively uniform population for size. 
The colon contains minimal soft tissue material or is empty and is not well-identified.
Musculoskeletal: The included musculoskeletal structures are normal.</t>
  </si>
  <si>
    <t>1. Suspicious right renal margin change such as from chronic renal disease versus artifact.
2. Non-specific gastrointestinal tract appearance such as from enteritis, colitis, or given reported history, unlikely individual variation of normal.
- Differential diagnoses for enteritis/colitis include dietary indiscretion, toxin ingestion, diet/antibiotic responsive disease, inflammatory bowel disease, parasitism/primary infectious disease, or pancreatitis or occult systemic disease.
- There is no current evidence of gastrointestinal mechanical ileus.</t>
  </si>
  <si>
    <t>Consider abdominal ultrasonography, urinalysis, SDMA and blood pressure for further evaluation of the kidneys and gastrointestinal tract.  Urine cortisol:creatinine ratio or ACTH/LDDS testing may be contributory given reported historic polyuria/polydipsia.  Empirical therapy and supportive care in the interim as needed.  Monitoring as directed or sooner if clinical signs acutely change, fail to improve or worsen.</t>
  </si>
  <si>
    <t xml:space="preserve">Patient Name : Rolo Bighorse, Date of study: Aug 15, 2024
11 images are provided for review
There are no previous radiographs for comparison.
Pulmonary parenchyma: A moderate diffuse bronchial pattern is present.  Throughout the lungs are numerous, well-defined, round and ovoid mineral to soft tissue opaque nodular foci.  
Pulmonary vasculature: The right caudal lobar pulmonary artery is enlarged with truncated tertiary branches in the periphery of the lung, best identified in the ventrodorsal image.  Left caudal lobar arterial enlargement is suspected.
Cardiac silhouette: There is a convex bulge at the 1-2 o'clock position of the cardiac silhouette in the ventrodorsal image.  
Mediastinum: The cranial mediastinum is normal.
Trachea: The trachea is normal.
Esophagus: The esophagus is not well-identified.
Pleural space: A pleural fissure is thin and not widened in the periphery between the left cranial/caudal lung lobes.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moderate heterogeneous soft tissue material and gas. Minimal pyloric gas is suspected in the left lateral image.  Mild mineral granular material is in the pylorus.   The stomach is within normal limits for size.
The small intestine contains moderate gas and minimal soft tissue material with a subjectively uniform population for size. 
The colon contains mild heterogeneous and well-defined soft tissue material and gas.  The colon is within normal limits for size.  
Bones/Joints:
Multifocal thoracolumbar and lumbosacral spondylosis deformans is present.  
Minimal bilateral coxofemoral joint osteoarthrosis is suspected.  Prior pelvic floor fracture with ventral displacement of a portion of the pubic bone is best identified in the lateral images.  The pelvic canal is suspiciously narrow in a lateral dimension in the ventrodorsal image, likely exacerbated by obliquity.   There is adequate coverage of the femoral heads by the acetabulums.
The left stifle has no evidence of osteoarthrosis.  The left infrapatellar fat pad is well-defined.
The included left tarsus, metatarsus and digits are normal.
The right stifle has no evidence of osteoarthrosis.  The right infrapatellar fat pad is well-defined.
The included right tarsus, metatarsus and digits are normal.  
There is no evidence of medullary sclerosis, osteolysis, endosteal scalloping, or periosteal proliferation.
Soft tissues:  The right thigh soft tissues are subjectively small compared to the left.  The remaining included soft tissues are normal.
</t>
  </si>
  <si>
    <t>1. Moderate diffuse bronchial pulmonary pattern and numerous soft tissue to mineral opaque nodules.
- Differential diagnoses include infectious/immune-mediated lower airway disease with chronicity and bronchial mineral is suspected.
- Granuloma from prior vascular accident/heartworm disease is also considered.  Metastatic disease from occult primary osseous neoplasm is possible, but less likely.  
2. Right and suspected left caudal lobar arterial enlargement with truncation of right-sided arteries.
- This is suspicious for current/prior heartworm disease and thromboembolic disease, as well as pulmonary hypertension.
3. Prominent main pulmonary artery such as from pulmonary hypertension/heartworm disease and cor pulmonale, or less likely other.
4. Gastric material from recent meal versus gastritis/delayed gastric emptying, or given reported history unlikely pyloric outflow tract obstruction.
- Dietary indiscretion is consider given granular mineral material in the pylorus.
5. Presumed prior pelvic trauma and chronic pelvic floor fractures with suspected pelvic canal narrowing.
6. Minimal bilateral coxofemoral joint osteoarthrosis versus artifact/positioning.
7. Suspected right thigh disuse muscle atrophy.</t>
  </si>
  <si>
    <t xml:space="preserve">Consider computed tomography of the thorax for further evaluation of the pulmonary nodules/mineral and pulmonary vasculature. 
 Consider echocardiography,eCG and blood pressure for further evaluation of main pulmonary artery enlargement/pulmonary hypertension.  Repeat abdominal radiographs after 8-12 hours of fasting and empirical therapy/supportive care to monitor for passage of gastric material.  Consider abdominal computed tomography versus ultrasonography given patient size for further evaluation of the gastrointestinal tract.   Empirical therapy and supportive care in the interim as needed.  Monitoring as directed, or sooner if clinical signs fail to improve or worsen in the interim.  </t>
  </si>
  <si>
    <t>Three radiographs of the abdomen are provided. There is equivocal scant mid peritoneal effusion. Small volume fluid and gas in the stomach. Small intestines and colon are mildly filled with scant fluid and gas. No radiopaque foreign material. Normal-sized liver, spleen, kidneys. Osseous structures are unremarkable.</t>
  </si>
  <si>
    <t>Small volume fluid throughout the small and large bowel, consider gastroenteritis secondary to dietary indiscretion. There is no evidence of an obstructive process. Otherwise normal abdomen.</t>
  </si>
  <si>
    <t>A CBC, blood chemistry profile, and medical support are recommended. If the patient does not rapidly improve, abdominal ultrasound would be recommended.</t>
  </si>
  <si>
    <t>This is3 views of the abdomen are submitted for review.  The stomach contains a moderate to large amount of heterogeneous ingesta.  The bowel contains mild amount of gas and ingesta.  Formed stool is noted in the colon.  The liver is normal in size and shape.  An approximately 2 cm nodular lesion is seen associated with the tail of the spleen on the VD view.  The renal silhouettes are within normal limits.  The urinary bladder is minimally distended.  No radiopaque calculi are noted in the bladder.  Serosal detail is adequate.  The visible caudal thorax and skeletal structures are unremarkable.</t>
  </si>
  <si>
    <t>Suspect small nodule/mass lesion associated with the tail of the spleen.  Differentials include benign changes with extramedullary meta voices, lymphoid hyperplasia, or possibly malignant neoplasia._x000D_
No radiopaque calculi are noted in the urinary tract.</t>
  </si>
  <si>
    <t>A three view study of the thorax including the neck is provided._x000D_
_x000D_
No laryngeal or tracheal abnormalities are identified. No pulmonary infiltrates or bronchial thickening are seen. The heart is at the upper end of normal size range. VHS is normal at 9.8._x000D_
There is mild retraction of the cranial margin of the left cranial lung lobe._x000D_
The cranial abdominal organs are within normal limits.</t>
  </si>
  <si>
    <t>No abnormalities are seen involving the trachea/larynx or lungs. Heart size is borderline but probably normal._x000D_
_x000D_
There is an interesting finding of retraction of the left cranial lobe and mild focal widening of the cranial mediastinum at the level of the thoracic inlet. The appearance is fairly subtle, and no convincing mass effect is seen in the lateral views._x000D_
_x000D_
The left cranial lobe/cranial mediastinal and pleural changes are suspected to be incidental to the presenting complaint, likely secondary to a previous pleural insult._x000D_
Early development of a mass in the area cannot be excluded, but would still not likely be associated with the presenting clinical signs.</t>
  </si>
  <si>
    <t>The cranial thoracic changes are suspected to be an incidental finding. CT would be ideal for more definitive anatomic evaluation. If this is not an option, ultrasound the area could be considered.</t>
  </si>
  <si>
    <t xml:space="preserve">
1.Splenic size, shape and margin are normal._x000D_
2.The abdomen is pendulous._x000D_
3.Moderate volume ingesta fills the stomach._x000D_
4.No intestinal abnormalities are appreciated._x000D_
5.The cecum is gas filled._x000D_
6.The liver is enlarged.</t>
  </si>
  <si>
    <t>Opposite lateral and DV thoracoabdominal views are provided. There are four images total._x000D_
_x000D_
There is a severe interstitial to alveolar pulmonary pattern involving both cranial lung lobes. There is a mild bronchointerstitial pattern in the other lung fields. There is an unusual convex rounded margin associated with the left side of the cardiac silhouette at the level of the sixth intercostal space in the DV view. There is a linear opacity extending from the cardiac silhouette to the diaphragm in the left lateral view that is suspicious for a mesothelial remnant, although this is less convincing in the right lateral view. There is a subtle increase in pleural markings that is suspicious for scant pleural fluid. The heart is within normal size limits._x000D_
_x000D_
There is reduced detail in the ill defined mass effect in the area of the urinary bladder. A discrete prostate shadow cannot be seen. The caudal liver margin appears slightly irregular, but still within the limits of benign variation._x000D_
In the DV view, there is a focal area of rounded margination involving the spleen that is compatible with a small splenic mass in the range of approximately 2 cm. This is not confirmed in the lateral views. Rugal folds in the stomach are moderately prominent. No dilation of the stomach or intestine is seen.</t>
  </si>
  <si>
    <t>1) Alveolar infiltrates are present involving both cranial lung lobes, the appearance is consistent with pneumonia._x000D_
_x000D_
2) There is an unusual shadow bulging the left caudal aspect of the cardiac silhouette in the DV view. A subtle shadow that may correspond is seen at the caudal margin of the heart and the first right lateral view, but this is not confirmed in the other lateral views. The appearance suggests this could be a mediastinal or pericardial lesion. Pulmonary origin is felt less likely. Possible etiologies could include an incidental small peritoneal/pericardial diaphragmatic hernia, a pericardial cyst, or a small tumor._x000D_
_x000D_
3) There is an ill-defined mass effect and local loss of peritoneal detail in the caudal ventral abdomen. Primary rule outs for this appearance in this location would include neoplasia, prostatic abscess, and paraprostatic cyst._x000D_
_x000D_
4) A small mass involving the spleen is suspected. In addition to the spleen, the caudal retroperitoneal area around the neck of the bladder is a preferred location for hemangiosarcoma. Hemangiosarcoma should be ruled out as a possible cause of the radiographic abnormalities in both areas._x000D_
_x000D_
The pulmonary changes do not appear typical of metastatic neoplasia. The overall appearance is most compatible with pneumonia, with a potential small pleural/pleuritis component.</t>
  </si>
  <si>
    <t>Antibiotic therapy for probable pneumonia is recommended._x000D_
_x000D_
More advanced imaging of the abdomen to rule out or confirm suspected neoplasia vs. inflammatory/infectious or benign causes of the radiographic changes is recommended._x000D_
CT would probably be ideal=ZZ90= ultrasound could be used if this is not an option.</t>
  </si>
  <si>
    <t xml:space="preserve">Patient Name : Georgia Cannon, Date of study: Aug 15, 2024
4 images are provided for review
There are no previous radiographs for comparison.
Bones/Joints:  Suspected L1-2, L3-4, L4-5 and L6-7 in situ intervertebral disc mineral.  Caudal vertebral breed-specific anomalies are present (screw tail).  The T5, T6, T7, T8, T10 and T12 vertebrae are narrowed in a craniocaudal dimension and variably wedge-shaped.  
There is no evidence of intervertebral disc space narrowing, or mineral over the intervertebral foramina.  There is no evidence of intervertebral dorsal articulation osteoarthrosis.
The coxofemoral joints are normal.
There is no evidence of medullary sclerosis, osteolysis, endosteal scalloping, or periosteal proliferation.
Soft tissues:  The included soft tissues are normal.
</t>
  </si>
  <si>
    <t xml:space="preserve">1.  Multifocal in situ intervertebral disc mineral, as above.
2.  Multifocal thoracic and caudal vertebral breed-specific anomalies.
3. No obvious evidence of intervertebral disc space narrowing.  </t>
  </si>
  <si>
    <t>This examination does not rule out evolving compressive myelopathy from non-mineralized herniated disc material or spinal cord contusion, or other.  Consider neurologist consultation and MRI for further evaluation.  Empirical therapy and supportive care in the interim as needed.  Routine blood work and thoracic imaging prior to advanced imaging to rule out occult systemic disease. 
 Consider focused stifle radiographs for further evaluation if desired.  Monitoring as directed, or sooner if clinical signs acutely change, fail to improve or worsen.</t>
  </si>
  <si>
    <t>Study:_x000D_
Thoracic and abdominal radiography: five lateral images dated August_x000D_
_x000D_
Findings:_x000D_
Evaluation of both the thorax and abdomen is limited by the lack of orthogonal views. There is cranioventral rotation of the cardiac silhouette (likely an incidental finding) which leads to increased conspicuity of the aortic arch of the heart base. The cardiac silhouette is normal in size and shape. There is a moderate generalized bronchial pulmonary pattern. No pulmonary nodules are present. The pleural space is normal. There is no apparent intrathoracic lymphadenopathy. The trachea is normal in diameter. The stomach contains unstructured heterogeneous/granular soft tissue material presumed to be ingesta. The small intestines are normal in size, course and content. The colon contains formed fecal material. The liver extends mildly beyond the costal arch with smooth and sharp margins. The spleen is normal in size. The renal silhouettes are not clearly visualized due to visceral crowding. There is no overt renomegaly. The urinary bladder is normal in size and opacity. There is mild multifocal thoracolumbar and severe lumbosacral spondylosis deformans.</t>
  </si>
  <si>
    <t>1. The moderate generalized bronchial pulmonary pattern may indicate allergic, inflammatory, infectious, parasitic or irritant bronchitis. Airway sampling, heartworm testing and Baermann fecal flotation can be considered for further evaluation._x000D_
2. There is no evidence of pulmonary metastatic disease._x000D_
3. As stated above, the suspected lesion at the heart base is the aortic arch._x000D_
4. The generalized hepatomegaly is nonspecific. Rule out metabolic/vacuolar hepatopathy, hyperplasia, hepatitis or infiltrative neoplasia. Sonography can be considered for further evaluation.</t>
  </si>
  <si>
    <t xml:space="preserve">
1.The overall peritoneal serosal detail is mildly reduced._x000D_
2.The abdomen is pendulous._x000D_
3.The stomach contains granular food material, with a moderately caudally displaced axis._x000D_
4.The spleen has a slightly rounded, well-defined margin, and is normal in overall size._x000D_
5.The caudoventral margin of the liver is enlarged and rounded._x000D_
6.The small bowel is diffusely gas- and fluid-filled without segmental small bowel dilation.</t>
  </si>
  <si>
    <t>3 views of the abdomen are provided for review.  Serosal detail is adequate in all quadrants.  The stomach contains a moderate amount of gas and the rugal folds are prominent.  The small intestines are normal in size.  Gas is present in the colon and cecum.  The urinary bladder is small.  The remaining abdominal organs are normal.</t>
  </si>
  <si>
    <t>6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mild amount of gas.  The small bowel is normal in uniform diameter without dilation or plication.  A mild amount of gas is noted throughout the colon.  The liver and spleen are normal in size, shape, and margination.  The bilateral renal silhouettes are within normal limits.  The urinary bladder is unremarkable.  Serosal detail is normal._x000D_
No significant osseous abnormalities are seen.</t>
  </si>
  <si>
    <t>The appearance of the GI tract is very nonspecific and could be associated with gastroenterocolitis, pancreatitis, or extra alimentary disease.  No evidence of mechanical obstruction is seen._x000D_
Radiographically normal thorax.</t>
  </si>
  <si>
    <t>Correlation with blood work is recommended.  An abdominal ultrasound may ultimately be indicated.</t>
  </si>
  <si>
    <t xml:space="preserve">
1.The liver is enlarged with rounded borders._x000D_
2.The spleen is within normal limits._x000D_
3.The small intestinal track is mostly fluid filled uniform in diameter._x000D_
4.The colon is gas filled in corrugated._x000D_
5.There is decreased detail in the cranial abdomen._x000D_
6.The stomach is partially distended with food material and fluid.</t>
  </si>
  <si>
    <t>Study:_x000D_
Abdominal radiography: three images dated August 15, 2024_x000D_
_x000D_
Findings:_x000D_
The serosal detail is normal. The stomach contains a small volume of gas with the pylorus appropriately gas-filled on the left lateral image. The thickness of the gastric wall rugae is within normal limits for the degree of gastric distention. The small intestines are normal in size, course and content. The colon contains formed fecal material with a normal diameter. The liver and spleen are normal in size and margin. The kidneys are normal in size and contour. The urinary bladder is normal in size and opacity. The included thorax is normal. The osseous structures are unremarkable/age appropriate.</t>
  </si>
  <si>
    <t>Unremarkable abdomen. A cause of the reported vomiting and inappetence and lethargy is not evident. There is no radiographic evidence of gastrointestinal foreign material or small intestinal mechanical obstruction. Abdominal sonography can be considered for further evaluation if clinical signs persist or worsen in spite of medical management.</t>
  </si>
  <si>
    <t xml:space="preserve">Patient Name : Dixie Germany, Date of study: Aug 15, 2024
6 images are provided for review
Canine Abdomen (3 Images) - 2 Lateral, 1 Vd
Canine Thorax (3 Images) - 2 Lateral, 1 Vd
There are no previous radiographs for comparison.
Pulmonary parenchyma: A minimal to mild diffuse bronchial and minimal to mild diffuse interstitial pattern is present.  The interstitial component is exacerbated by pulmonary hypoinflation and superimposed thoracic limbs over the cranial thorax.  
Pulmonary vasculature:  In the ventrodorsal image, ill-defined enlargement of the right caudal lobar pulmonary artery is suspected.
Cardiac silhouette: The cardiac silhouette is normal in size and shape.
Mediastinum: The cranial mediastinum is normal.
Trachea: The trachea is normal.
Esophagus: The esophagus is not well-identified.
Pleural space: The pleural space is normal.
Liver: The liver is equivocal small with cranial dispalcement of the gastric axis.
Spleen: The spleen is normal in size with smooth margins and homogeneous soft tissue.
Kidneys: The left kidney is normal.  The right kidney is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gas and mild soft tissue material/fluid.   The stomach is within normal limits for size.  Gas is in the pylorus in the left lateral image.
The small intestine contains mild gas and fluid or is empty with a subjectively uniform population for size. 
The colon contains moderate well-defined soft tissue material and gas.  The colon is within normal limits for size.  
Musculoskeletal: Multiple prominent nipples are present. The ventral extra-abdominal and mid-to caudal and ventral extra-thoracic soft tissues are enlarged with an undulant ventral cutaneous surface.  Lumbosacral spondylosis deformans is present.  The remaining included musculoskeletal structures are normal.
</t>
  </si>
  <si>
    <t>1.  Suspected right caudal lobar pulmonary arterial enlargement such as from pulmonary hypertension and underlying heartworm disease/thromboembolic disease, or unlikely other.
- There is no current obvious evidence of right-sided cardiomegaly.
2. Minimal-mild diffuse bronchial and  interstitial pulmonary patterns such as from infectious/immune-mediated lower airway disease (mycoplasma spp., bordetella spp., parasitism, or unlikely other), inhaled allergen/irritant, fibrosis from prior disease, age-related changes, or unlikely other.
3. Equivocal microhepatia versus artifact from positioning or individual variation.
- If present, consider occult portosystemic shunting vessel or unlikely other.
4. Enlarged mammary gland associated soft tissues such as from prior/current estrus cycling, evolving neoplasia or unlikely mastitis or other.  
5. No current evidence of pulmonary soft tissue nodules or intra-thoracic lymphadenomegaly.</t>
  </si>
  <si>
    <t>Consider echocardiography, eCG and blood pressure for further evaluation.  Consider computed tomography of the thorax/abdomen for a more sensitive screening of the lungs and pre-surgical planning of reported mammary gland associated mass removal.  Oncologist consultation depending on results.  Empirical therapy and supportive care in the interim as needed. Monitoring as directed, or sooner if clinical signs acutely change, fail to improve or worsen.</t>
  </si>
  <si>
    <t>Patient Name : Bandit Bellarosa, Date of study: Aug 15, 2024
3 images are provided for review
Canine Abdomen (3 Images) - 2 Lateral, 1 Vd
There are no previous radiographs for comparison.
Liver: The liver is subjectively normal in size.
Spleen: The spleen is normal in size with smooth margins and homogeneous soft tissue.
Kidneys: The left kidney is normal.  The right kidney is partially obscured.  
Retroperitoneum: Retroperitoneal detail is adequate.
Urogenital: The urinary bladder is normal in size, homogeneous soft tissue, and smoothly marginated.
Peritoneum: Peritoneal detail is adequate.
Gastrointestinal tract: The stomach contains a mild to moderate volume of fluid and gas or is empty. Gastric rugal folds are mildly prominent. The stomach is within normal limits for size.
The small intestine contains mild to moderate fluid, minimal gas, or is empty with a subjectively uniform population for size. 
The colon contains mild fluid and gas or is empty.  The descending colon is spastic in the ventrodorsal image.  The colon is within normal limits for size.  
Musculoskeletal: Moderate bilateral coxofemoral joint osteoarthrosis is present.  Mineral wire/suture in the left caudolateral abdominal body wall superimposes over the caudal abdomen in the lateral images.  The remaining included musculoskeletal structures are normal.</t>
  </si>
  <si>
    <t xml:space="preserve">1. Prominent gastric rugal folds such as from non-specific gastritis versus artifact/normal variation.
2. Non-specific small intestinal and colon changes such as from enteritis, colitis, or individual variation of normal.
- There is no current evidence of small intestinal mechanical ileus.
- Differential diagnoses include dietary indiscretion, toxin ingestion, diet/antibiotic responsive disease, inflammatory bowel disease, pancreatitis, occult systemic disease or unlikely other.
3. Moderate bilateral coxofemoral joint osteoarthrosis.
4. Left caudolateral abdominal body wall metal suture such as from prior surgical intervention.  </t>
  </si>
  <si>
    <t>Empirical therapy for gastroenterocolitis in the interim as needed.  Consider abdominal ultrasonography and thoracic imaging to screen for occult systemic disease, especially if clinical signs fail to improve or worsen in the face of empirical therapy.</t>
  </si>
  <si>
    <t>SPINE/WHOLE-BODY (3 radiographs for review). No previous for comparison._x000D_
_x000D_
- Narrowing of the T11-12 and T12-13 intervertebral disc spaces._x000D_
- Remaining thoracic and lumbar vertebrae normal._x000D_
- Lumbosacral junction is normal._x000D_
- Sacroiliac joints normal._x000D_
- Pelvic bones and coxofemoral joints normal._x000D_
- Included portions of the proximal aspect of the pelvic limbs normal._x000D_
- Cardiac silhouette, pulmonary vasculature, pleural space and treachea normal._x000D_
- Stomach contains moderate gas and soft-tissue opaque material._x000D_
- Small intestine mild multifocal gas and soft-tissue opaque material._x000D_
- The spleen is mildly enlarged, with rounded margins._x000D_
- The liver, kidneys and urinary bladder are normal._x000D_
-</t>
  </si>
  <si>
    <t>1. Narrowing of multiple caudal thoracic (T11-12 and T12-13) intervertebral disc spaces may support intervertebral disc disease at these sites, however radiographic specificity for site of intervertebral disc extrusion can be limited. I would recommend if the patient does not improve or worsens despite medical management to consider consultation with a veterinary neurologist and/or advanced imaging (e.g. CT or MRI) of the spine for further assessment._x000D_
_x000D_
2. Splenomegaly. DDx congestion from sedation, lymphoid hyperplasia, EMH, less likely neoplasia._x000D_
_x000D_
3. Normal thorax and otherwise normal abdomen with aerophagia.</t>
  </si>
  <si>
    <t>Study:_x000D_
Thoracic and abdominal radiography: seven images dated August 14, 2024_x000D_
_x000D_
Findings:_x000D_
The cardiac silhouette and pulmonary vasculature are normal in size. The pulmonary parenchyma is unremarkable. No alveolar disease is present. The pleural space is normal. There is no intrathoracic lymphadenopathy. The trachea is normal in diameter and course. The stomach contains a small volume of gas. The small intestines are normal in size, course and content. The colon contains formed fecal material. The liver is normal in size and margin. The spleen appear is mildly to moderately enlarged with rounded margins on the VD view in the left mid abdomen. The kidneys are normal in size and contour. The urinary bladder is normal in size and opacity. Suture material is present in the caudoventral abdominal body wall. There is mild L4-L5 spondylosis deformans.</t>
  </si>
  <si>
    <t>1. Normal thorax. There is no evidence of pneumonia or intrathoracic neoplasia._x000D_
2. The generalized splenomegaly is nonspecific. Rule out breed normal variation, extramedullary hematopoiesis, lymphoid hyperplasia, splenitis, congestion or infiltrative neoplasia. Sonography can be considered for further evaluation. The remainder the abdomen is unremarkable.</t>
  </si>
  <si>
    <t>Neurology consultation and MRI can be considered for further evaluation of the reported seizures.</t>
  </si>
  <si>
    <t xml:space="preserve">
1.The liver, spleen and abdominal detail are normal._x000D_
2.The gastric rugae are prominent or the gastric lumen contains soft tissue opaque material that mimics the appearance of prominent gastric rugae._x000D_
3.The remainder of the small intestinal tract is normal. A portion of the colon has a questionably rigid appearance._x000D_
4.No abnormal AI findings reported._x000D_
5.No abnormal AI findings reported.</t>
  </si>
  <si>
    <t>Study:_x000D_
Thoracic and abdominal radiography: nine images dated August 14, 2024_x000D_
_x000D_
Findings:_x000D_
There is moderate bilateral pleural effusion. There is associated reduced lung volume/atelectasis. No pulmonary nodules or masses are visualized. The severity of and summation with the aforementioned pleural effusion limits evaluation of the heart. The cardiac silhouette does not appear Overly enlarged on the lateral projection but appears widened on the VD views. The bony vasculature is normal in size There is no apparent intrathoracic lymphadenopathy. The trachea is normal in diameter. There is moderate peritoneal effusion. The stomach contains recently ingested food. The small intestines are normal in size, course and content. The colon contains formed fecal material. The liver extends mildly beyond the costal arch with smooth margins. The spleen is normal in size and margin. The renal silhouettes are normal in size and contour. The urinary bladder is unremarkable. There is no apparent prostatomegaly. The osseous structures are unremarkable.</t>
  </si>
  <si>
    <t>1. Non-specific bicavitary effusion. A definitive cause is not evident. Differentials include infection, inflammation, bile peritonitis and pleuritis, pancreatitis, cardiac disease, neoplasia, hypoproteinemia, and nonneoplastic liver disease._x000D_
2. The generalized hepatomegaly is nonspecific. Rule out metabolic/vacuolar hepatopathy, hyperplasia, hepatitis, congestion or infiltrative neoplasia._x000D_
3. Questionable mild generalized cardiomegaly (based on the wide appearance of the cardiac silhouette on the VD views).</t>
  </si>
  <si>
    <t>Recommend abdominal sonography, abdominocentesis plus/minus thoracocentesis and echocardiography for further evaluation.</t>
  </si>
  <si>
    <t>Study:_x000D_
Thoracic and abdominal radiography: six images dated August 14, 2024_x000D_
_x000D_
Findings:_x000D_
The cardiac silhouette and pulmonary vasculature are normal in size. Multiple punctate mineral opacities thought to represent both endon pulmonary vessels and incidental pulmonary osteomas are scattered throughout the pulmonary parenchyma. On the right lateral projection, there is an indistinct round soft tissue opacity superimposed with the cranial mediastinal soft tissues in between the third ribs. This finding is not seen on the orthogonal view. The pleural space is normal. There is no intrathoracic lymphadenopathy. The trachea is normal in diameter and course. The abdominal serosal detail is normal. The stomach contains a small amount of heterogeneous/granular soft tissue material presumed to be ingesta. Similar material is present in some small intestinal segments. The small intestines are normal in size and course. The colon contains formed fecal material. The liver is normal in size and margin. The spleen is moderately to severely enlarged with smooth margins. The renal silhouettes are normal in size and contour. The urinary bladder is normal in size and opacity. Suture material is present in the caudoventral abdominal body wall. The osseous structures are unremarkable. There is moderate to severe remodeling/thickening of the left femoral head and neck.</t>
  </si>
  <si>
    <t>1. The moderate to severe generalized splenomegaly is nonspecific. Rule out extramedullary hematopoiesis, lymphoid hyperplasia, splenitis, congestion or infiltrative neoplasia. Sonography can be considered for further evaluation._x000D_
2. Questionable pulmonary nodule (neoplasia versus granuloma) versus superimposition artifact (given the lack of repeatability on the orthogonal view). Computed tomography thorax can be considered for further evaluation._x000D_
3. Incidental pulmonary osseous metaplasia._x000D_
4. Moderate left coxofemoral osteoarthrosis.</t>
  </si>
  <si>
    <t xml:space="preserve">
1.The stomach contains small volume gas and scant soft tissue density. The small bowel is diffusely gas- and fluid-filled without segmental small bowel dilation._x000D_
2.The liver is mild to moderately enlarged._x000D_
3.Splenic size, shape and margin are normal._x000D_
4.Abdominal detail is normal.</t>
  </si>
  <si>
    <t>4 images of the abdomen are provided for review.  Serosal detail is adequate in all quadrants.  The stomach contains a small amount of gas and the rugal folds are prominent.  The small intestines are normal in size.  Gas and feces are present in the colon.  The urinary bladder is small.  The remaining abdominal organs are normal.
(amended on 08/14/2024 18:14)
Correction: 6 total images reviewed.  No change to the report otherwise.</t>
  </si>
  <si>
    <t>Prominent rugal folds suggestive of gastritis.  This does not rule out underlying pancreatitis, dietary indiscretion, inflammatory bowel disease, etc.</t>
  </si>
  <si>
    <t xml:space="preserve">
1.Liver size, shape and margin are normal._x000D_
2.Abdominal detail is normal._x000D_
3.The stomach contains a mild amount of gas and soft tissue density. Small intestines are mildly gas filled._x000D_
4.Splenic size, shape and margin are normal.</t>
  </si>
  <si>
    <t>Thorax: The pulmonary parenchyma, cardiac silhouette, and pulmonary vasculature are unremarkable.  There is no evidence of pleural effusion or lymphadenopathy.  There are no abnormalities involving the visible portions of the extrathoracic trachea or larynx._x000D_
_x000D_
Abdomen: There is mild diffuse hepatomegaly.  There is no evidence of a gastrointestinal foreign body or obstruction.  On the ventrodorsal view the descending duodenum is gas-filled and within normal limits for diameter.  There are no abnormalities involving the visible portions of the spleen or urinary tract.  Serosal detail is normal.</t>
  </si>
  <si>
    <t>The appearance of the descending duodenum is most likely incidental however duodenitis or possible pancreatitis cannot be ruled out.</t>
  </si>
  <si>
    <t xml:space="preserve">
1.Splenic size, shape and margin are normal._x000D_
2.Liver size, shape and margin are normal._x000D_
3.Abdominal detail is normal._x000D_
4.The stomach contains small volume gas and scant amorphous soft tissue density material. The small bowel is normal.</t>
  </si>
  <si>
    <t>Thorax: There is mild left-sided cardiomegaly.  There is no evidence of cardiogenic pulmonary edema.  There is mild diffuse bronchointerstitial pattern.  There is no evidence of pleural effusion or lymphadenopathy._x000D_
_x000D_
Abdomen: There is mild diffuse hepatomegaly.  There is a mineral opacity located medial to the left kidney.  The remainder of the abdominal viscera is unremarkable.</t>
  </si>
  <si>
    <t>Mild left-sided cardiomegaly without evidence of decompensation._x000D_
_x000D_
Diffuse bronchointerstitial pattern which may be age-related or bronchitis._x000D_
_x000D_
Mineral opacity medial to the left kidney which may represent a calculus within the renal pelvis or proximal ureter.</t>
  </si>
  <si>
    <t xml:space="preserve">
1.The liver is mildly enlarged with normal shape and smooth margins._x000D_
2.Serosal detail is adequate._x000D_
3.No abnormal AI findings reported._x000D_
4.The stomach appears within normal limits. The small bowel contains a mild amount of gas. No obvious signs of obstruction.</t>
  </si>
  <si>
    <t>Abdomen: There are small mineral opacities (gravel like) within the gastric lumen.  There is no evidence of a gastric outflow obstruction.  There is a small mineral opacity within a segment of jejunum.  There is no evidence of a gastrointestinal obstructive process.  The liver is diffusely enlarged.  The remainder of the abdomen is unremarkable._x000D_
_x000D_
Thorax: The pulmonary parenchyma, cardiac silhouette, and pulmonary vasculature are unremarkable.  There is no evidence of pleural effusion or lymphadenopathy.</t>
  </si>
  <si>
    <t>Gastrointestinal foreign bodies without evidence of obstruction._x000D_
_x000D_
Diffuse hepatomegaly.</t>
  </si>
  <si>
    <t>4 images of the abdomen are provided for review.  Serosal detail is adequate in all quadrants.  The stomach contains a small amount of gas and the rugal folds are prominent.  The small intestines are normal in size.  Gas is present in the colon.  The urinary bladder is small.  The remaining abdominal organs are normal.</t>
  </si>
  <si>
    <t>Study:_x000D_
Abdominal and thoracolumbar spinal radiography: four images dated August 14, 2024_x000D_
_x000D_
Findings:_x000D_
The stomach contains a moderate amount of heterogeneous soft tissue material. The small intestines are normal in size, course and content. The colon contains gas and formed fecal materia with a normal diameter l. The liver and spleen are normal in size and margin. The renal silhouettes are normal in size and contour. The urinary bladder is normal in size and opacity. There is no prostatomegaly. The included thorax is normal. There is mild to moderate multifocal thoracolumbar spondylosis deformans. There is no intervertebral disc space or foraminal narrowing. There is variable mild to severe multifocal lumbar articular facet periarticular bone formation from L1-L2 to L5-L6. There is severe bilateral hip dysplasia and remodeling/thickening of the femoral head and neck, worse on the right. There is a large osteophyte adjacent to the craniolateral margin of the right acetabulum. There are multiple moth-eaten lucencies in the caudal aspect of the right femoral head. Moderate periarticular bone formation is present at the proximal aspect of the right femoral trove groove groove.</t>
  </si>
  <si>
    <t>1. Gastric contents likely represent ingesta. Foreign material cannot be completely excluded. There is no evidence of small intestinal mechanical obstruction. Repeat fasted radiography can be considered to ensure gastric emptying. Alternatively, abdominal sonography can be considered for further evaluation of the reported vomiting persists or worsens in spite of medical management._x000D_
2. Severe bilateral hip dysplasia and coxofemoral osteoarthrosis, worse on the right._x000D_
3. There is concern for concurrent aggressive osseous disease in the right femoral head (primary bone tumor versus osteomyelitis). The possibility that the perceived lucency is created by the severity of the degenerative change cannot be excluded. Recommend a VD view centered on the pelvis/coxofemoral joints plus/minus a lateral projection of the right femoral head to further characterize this finding._x000D_
4. Multifocal variable mild to severe lumbar articular facet osteoarthrosis. There is no intervertebral disc space narrowing. This does not exclude the possibility of intervertebral disc disease. Neurology consultation and MRI can be considered for further evaluation of the ataxia if the patient is exhibiting any proprioceptive deficits._x000D_
5. Moderate right stifle osteoarthrosis. Consider underlying cranial cruciate ligament injury given the reported severe joint effusion/capsular thickening</t>
  </si>
  <si>
    <t xml:space="preserve">
1.Resource: https://platform.v2.vetology.net/doc/microhepatia_and_giulcers_x000D_
2.Splenic size, shape and margin are normal._x000D_
3.Cranial abdominal detail is mildly decreased._x000D_
4.The stomach is mildly to moderately gas distended._x000D_
5.The small bowel is diffusely gas- and fluid-filled with intestinal distention approaching the upper limit of normal. In a small portion of cases, uterine horn distention could mimic small bowel dilation._x000D_
6.Liver size is at the lower limits of normal to slightly small with cranial displacement of the gastric axis.</t>
  </si>
  <si>
    <t>Study:_x000D_
Abdominal radiography: three images dated August 14, 2024_x000D_
_x000D_
Findings:_x000D_
The abdominal serosal detail is adequate. The stomach contains a small volume of gas and a small amount of unstructured heterogeneous soft tissue material. The thickness of the gastric wall and rugae is considered within normal limits for the degree of gastric distention. The colon contains formed fecal material. The liver and spleen are normal in size and margin. The renal silhouettes are normal in size and contour. The urinary bladder is normal in size and opacity. There is no prostatomegaly. The included thorax is normal. The osseous structures are unremarkable.</t>
  </si>
  <si>
    <t>Gastric contents likely represent ingesta. Foreign material cannot be completely excluded. There is no evidence of small intestinal mechanical obstruction.</t>
  </si>
  <si>
    <t>8 images of the thorax, abdomen, and spine are presented for review.  The cardiovascular and pulmonary structures are normal.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Spinal alignment is normal with no consistently narrowed intervertebral disc spaces.  The coxofemoral joints are congruent.  No fractures or aggressive osseous lesions are seen.  The left patella is medially located.</t>
  </si>
  <si>
    <t>Radiographically normal thorax and abdomen.  Left medial patellar luxation.  Otherwise unremarkable osseous structures.</t>
  </si>
  <si>
    <t xml:space="preserve">
1.The liver is borderline small size, although this likely represents artifact or positioning._x000D_
2.The spleen is normal for size, shape and margin._x000D_
3.The abdominal detail is normal._x000D_
4.The stomach contains small-volume gas. Small intestines are minimally fluid-filled.</t>
  </si>
  <si>
    <t>Study:_x000D_
Thoracic and abdominal radiography: four images dated August 14,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renal silhouettes are normal in size and contour. The urinary bladder is normal in size and opacity. As before, there is mild T 12-T 13 and severe L2-L3 spondylosis deformans. The L4-L5 and L5-L6 intervertebral disc spaces appear mildly narrowed in comparison to the adjacent to spaces.</t>
  </si>
  <si>
    <t>1. Suspect L4-L5 and L5-L6 intervertebral disc disease. Neurology consultation and MRI can be considered for further evaluation._x000D_
2. Static T 12-T 13 and L2-L3 spondylosis deformans._x000D_
3. Unremarkable thorax._x000D_
4. Postprandial stomach=ZZ90= otherwise, unremarkable abdomen.</t>
  </si>
  <si>
    <t>Abdomen: There is no evidence of a gastric foreign body or pyloric outflow obstruction.  The majority of the small intestines are gas and fluid-filled and considered on the upper limits of normal for diameter.  A small intestinal foreign body/obstruction is not identified.  There are no abnormalities involving the liver, spleen, or urinary tract.  Serosal detail is normal.</t>
  </si>
  <si>
    <t>The appearance of the gastrointestinal tract may represent enteritis.  Although not identified, a small intestinal foreign body cannot be ruled out.</t>
  </si>
  <si>
    <t>If clinical signs persist, consider further diagnostic imaging such as an upper GI study or abdominal ultrasound.</t>
  </si>
  <si>
    <t>The AI result for this case is most compelling for: Gastroenteritis. While a normal liver, spleen, GI tract and abdominal detail with residual ingesta may have this appearance, gastroenteritis secondary to dietary indiscretion is suspected. 
A partial obstruction could be considered, however there is no evidence of a complete obstruction.</t>
  </si>
  <si>
    <t xml:space="preserve">
Virtual Radiologist Case Difficulty: MODERATE_x000D_
Virtual Radiologist Confidence: MODERATE_x000D_
In a vomiting or anorexic patient, supportive care is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</si>
  <si>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Patient Name : Dexter Morgan Samaniego, Date of study: Aug 14, 2024
4 images are provided for review
There are no previous radiographs for comparison.
Liver: The liver is severely enlarged with a rounded and mass-like caudoventral margin extending past the 13th ribs.  The gastric axis is caudally and dorsally displaced.  The right liver is enlarged in the ventrodorsal image.  Ill-defined mineral is suspected over the right cranioventral liver, presumably in the gallbladder.  
Spleen: The spleen is subjectively normal in the ventrodorsal image.  
Kidneys: The kidneys are normal in size and shape without obvious mineral.
Retroperitoneum: Retroperitoneal detail is adequate.
Urogenital: The urinary bladder is normal in size, homogeneous soft tissue, and smoothly marginated.
Peritoneum: Peritoneal detail is decreased in the cranial abdomen.
Gastrointestinal tract: The stomach contains a moderate gas and mild to moderate soft tissue material.   The stomach is within normal limits for size.
The small intestine contains mild gas with a subjectively uniform population for size. 
The colon contains minimal heterogeneous admixed soft tissue material and gas.  The colon is within normal limits for size.  
Musculoskeletal: L1-2, L2-3 and L7-S1 spondylosis deformans is present.  The remaining included musculoskeletal structures are normal.</t>
  </si>
  <si>
    <t xml:space="preserve">1. Severe hepatomegaly with suspected right cranioventral mass.
- This is suspicious for evolving neoplasia such as a primary hepatic carcinoma or unlikely metastatic disease or other.
- Underlying vacuolar hepatopathy, nodular hyperplasia or other as also considered.
2. Presumed choleliths/choledocoliths or unlikely dytrophic minerali of a hepatic mass or other.
3. Decreased cranial abdominal detail due to peritoneal fluid and suspected malignant effusion, or less likely other.
4.  Non-specific small intestinal and colon appearance due to normal variation versus enteritis/colitis such as from systemic disease versus other.
- There is no current evidence of gastrointestinal mechanical ileus.
</t>
  </si>
  <si>
    <t>Consider abdominal ultrasonography versus computed tomography for further evaluation and pres-surgical planning of hepatic mass incisional/excisional biopsy.  Coagulation testing prior to tissue sampling.  Thoracic imaging with radiographs or computed tomography to screen for occult metastatic disease.  Oncologist consultation depending on results.  Empirical therapy and supportive care in the interim as needed.  Monitoring  as directed, or sooner if clinical signs acutely change, fail to improve or worsen.</t>
  </si>
  <si>
    <t xml:space="preserve">
1.Formed feces is present in the colon._x000D_
2.Small intestines are displaced from the mid-abdomen but the bowel is minimally filled._x000D_
3.Abdominal detail is mildly decreased diffusely._x000D_
4.On the lateral view, an increase in soft tissue opacity is noted in the splenic region. This soft tissue opacity is displacing bowel indicative of a mass or mass effect._x000D_
5.Small volume ingesta is present within the stomach._x000D_
6.The liver is mildly enlarged with smooth margins.</t>
  </si>
  <si>
    <t>Two radiographs of the abdomen dated 14th August 2024 are available for review. There are no previous radiographs available for comparison. _x000D_
_x000D_
Intra-abdominal findings: The stomach is mainly empty with a normal axis. The duodenum is mild to moderately gas and fluid dilated in the ventrodorsal image. Several moderately gas dilated loops are visible in the cranial right aspect of the abdomen, which may be small intestinal or ascending and transverse colon. The descending colon is gas filled and has a corrugated appearance. The majority of the small intestines are empty, and in the caudal right aspect of the abdomen. The urinary bladder is small. The hepatic silhouette is normal in size with smooth borders. The spleen is normal in shape, size and position. The kidneys are partially obscured by gastrointestinal contents, but the visible aspect are normal. There is mild reduced serosal detail in the cranial aspect of the abdomen._x000D_
_x000D_
Extra-abdominal findings: No significant abnormalities are detected._x000D_
_x000D_
Included thorax: The caudal vena cava is tapering.</t>
  </si>
  <si>
    <t>1. The findings are consistent with the clinical diagnosis of colitis. This may be due to dietary indiscretion or infectious-inflammatory origin. Haemorrhagic gastroenteritis should be considered. The dilated loops are most likely part of the transverse colon. A non-radiopaque partial obstructing foreign body cannot be excluded._x000D_
2. The tapering caudal vena cava is most likely due to dehydration, however tapering due to phase of cardiac contraction may be possible.</t>
  </si>
  <si>
    <t>5 images of the thorax and abdomen are provided for review.  The trachea is dorsally deviated, indicating left ventricular enlargement.  The cardiac silhouette is also mildly widened with rounding of the right ventricular margin.  No pulmonary infiltrates are seen.  The pulmonary vasculature is normal in size.  The mediastinal and pleural structures are normal.  Abdominal serosal detail is adequate in all quadrants.  The stomach contains a small amount of gas and the rugal folds are prominent.  The small intestines are normal in size.  Gas is present in the colon.  The urinary bladder is small.  The remaining abdominal organs are normal.</t>
  </si>
  <si>
    <t>Prominent rugal folds suggestive of gastritis.  This does not rule out underlying pancreatitis or infiltrative neoplasia.  Abdominal ultrasound could be considered in further evaluation.  Mild generalized cardiomegaly without current evidence of cardiogenic pulmonary edema.  Echocardiography may be helpful in further evaluation.</t>
  </si>
  <si>
    <t>4 images of the abdomen are presented for review.  Serosal detail is adequate in all quadrants.  The stomach contains a moderate amount of ingesta.  The small intestines are normal in size.  Gas and feces are present in the colon.  The urinary bladder is distended.  No mineral is seen associated with the urinary tract.  The prostate is normal in size for an intact male.  The remaining abdominal organs are normal.</t>
  </si>
  <si>
    <t>Radiographically normal abdomen.  Lack of specific changes does not rule out prostatitis, radiolucent calculi, or urinary tract infection as potential causes for the reported clinical signs.</t>
  </si>
  <si>
    <t>Four radiographs of the thorax, orthogonal views of the abdomen, and a lateral view of the caudal abdomen/pelvis are provided. The cardiac silhouette and pulmonary vessels are normal size and shape. There are no abnormalities in the pulmonary parenchyma. No soft tissue pulmonary nodules or enlarged intrathoracic lymph nodes. Possible redundant dorsal trachealis membrane in the cervical region, of uncertain significance today. Osseous structures are unremarkable._x000D_
_x000D_
In the abdomen there is no peritoneal or retroperitoneal effusion. The gastrointestinal tract is mildly filled. Normal-sized liver, spleen, left kidney. The right kidney is obscured by bowel loops. No radiopaque urolithiasis. No abnormalities in the region of the medial iliac lymph nodes. Normal lumbar spine.</t>
  </si>
  <si>
    <t>Normal thorax and abdomen. There is no evidence of cardiovascular disease on this study. A small valvular regurgitant jet can result in a relatively loud murmur.</t>
  </si>
  <si>
    <t xml:space="preserve">
1.No gastrointestinal abnormalities._x000D_
2.Splenic size, shape and margin are normal._x000D_
3.As mentioned above, cranial abdominal detail is mildly decreased. A global reduction in abdominal detail is NOT present._x000D_
4.The ventral abdominal line is mildly pendulous._x000D_
5.On the lateral projection, the liver is mildly enlarged._x000D_
6.On the VD projection, a mild decrease in cranial abdominal detail is present. This is suspected to be secondary to caudal extension of the liver.</t>
  </si>
  <si>
    <t>Study:_x000D_
Abdominal radiography: three images dated August 14, 2024_x000D_
_x000D_
Findings:_x000D_
The stomach contains a small volume of gas in the small intestines are normal in size, course and content. The colon contains a small volume of gas with a corrugated wall. The liver and spleen are normal in size and margin. The renal silhouettes are normal in size and contour. The urinary bladder is mildly to moderately distended. On the right lateral projection, there is the impression of three mineral opaque calculi within the penile urethra at the level of the base of the os penis. The left femur is superimposed with this region on the left lateral projection. Additionally, on both lateral projections, there is a curvilinear opaque line in the region of the urethra superimposed with the pelvic limb soft tissues The prostate is mildly to moderately enlarged with smooth margin. The included thorax is normal. The osseous structures are unremarkable.</t>
  </si>
  <si>
    <t>1. Urethrolithiasis is suspected. Consider a repeat lateral projection with the pelvic limbs extended forward to prevent superimposition with the region of the urethra to confirm this finding. The concurrent urinary bladder distention is concerning for partial urinary obstruction. Urinalysis and urine culture are recommended._x000D_
2. The radiopaque curvilinear line in the region of the urethra may indicate accumulated mineral sediment or additional calculi. A superimposition artifact created by an inguinal fold cannot be excluded. A repeat lateral projection with the pelvic limbs extended forward would also help in evaluating this finding._x000D_
3. Mild to moderate prostatomegaly. Rule out benign prostatic hyperplasia and/or prostatitis. Concurrent prostatic abscess formation or a para-prostatic cyst are also possible. Sonography can be considered for further evaluation this finding.</t>
  </si>
  <si>
    <t xml:space="preserve">
1.Liver size, shape and margin are normal._x000D_
2.Abdominal detail is normal._x000D_
3.The stomach contains small volume gas and scant amorphous soft tissue density material. The small bowel is normal._x000D_
4.Splenic size, shape and margin are normal.</t>
  </si>
  <si>
    <t>Study:_x000D_
Abdominal, pelvic and pelvic limb radiography: six images dated August 14, 2024_x000D_
_x000D_
Findings:_x000D_
The caudal thoracic and lumbosacral spine are unremarkable with no intervertebral disc space or foraminal narrowing. There is no evidence of discospondylitis. There is severe bilateral hip dysplasia and remodeling/thickening of the femoral head and neck. The patella is in the correct anatomic location bilaterally. The degree of soft tissue opacity within the stifle joint spaces is within normal limits. No degenerative change is present in either stifle. The bones of the tarsus and included portion of the pes are unremarkable bilaterally. The pelvic limb musculature is bilaterally symmetric. The popliteal lymph nodes are bilaterally enlarged (approximately 2 cm)_x000D_
_x000D_
The stomach contains gas with the pylorus appropriately gas-filled on the left lateral image. Some small intestinal segments contain a small amount of granular soft tissue material presumed to be ingesta. The small intestines are normal in size and course. The colon contains formed fecal material. The liver and spleen are normal in size and margin. The kidneys are normal in size and contour. The urinary bladder is normal in size and opacity. The included thorax is normal.</t>
  </si>
  <si>
    <t>1. The image spine is unremarkable. The lack of any apparent intervertebral disc space narrowing does not exclude the possibility of intervertebral disc disease. Neurology consultation and MRI can be considered to further evaluate the reported proprioceptive deficits in the right pelvic limb._x000D_
2. Severe bilateral hip dysplasia and coxofemoral osteoarthrosis. Consider pain management and activity restriction as needed plus/minus joint supplementation._x000D_
3. The bilateral popliteal lymphadenopathy may be reactive or neoplastic. Fine needle aspiration and cytology can be considered for further evaluation if clinically relevant._x000D_
4. Unremarkable abdomen.</t>
  </si>
  <si>
    <t>Study:_x000D_
Thoracic and abdominal radiography: eight images dated August 14,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abdominal serosal detail is adequate. The stomach contains a small amount of heterogeneous soft tissue material presumed to be ingesta. The small intestines are normal in size, course and content. The colon contains formed fecal material. The liver extends mildly beyond the costal arch with a smooth and rounded caudoventral margin. The spleen is moderately enlarged with smooth margins. The renal silhouettes are normal in size and contour. The urinary bladder is normal in size and opacity. There is no prostatomegaly. The osseous structures are unremarkable. There is a lipomatous mass in the subcutaneous tissues of the ventral thorax.</t>
  </si>
  <si>
    <t>1. The mild hepatomegaly is nonspecific. Rule out metabolic/vacuolar hepatopathy, hyperplasia, hepatitis or  neoplasia. Sonography plus/minus adrenal axis testing can be considered for further evaluation._x000D_
2. The generalized splenomegaly is also nonspecific. Rule out extramedullary hematopoiesis, lymphoid hyperplasia, splenitis, congestion or infiltrative neoplasia. Sonography can be considered for further evaluation._x000D_
3. Unremarkable thorax. There is no radiographic evidence of cardiopulmonary disease or intrathoracic neoplasia.</t>
  </si>
  <si>
    <t xml:space="preserve">
1.A soft tissue mass is identified in the cranial abdomen. The liver is enlarged and mass-like, with caudal displacement of the gastric axis._x000D_
2.A soft tissue mass in the splenic region has been identified. This could represent confluence of a single cranial abdominal mass vs. two separate masses affecting the liver and spleen._x000D_
3.Abdominal detail is decreased, particularly in the cranial abdomen. DDx: soft tissue mass only vs. mass and mesenteric inflammation and/or regional abdominal fluid._x000D_
4.The intestinal tract is displaced by the cranial abdominal mass. The displaced bowel is diffusely gas- and fluid-filled but no segmental bowel dilation is noted._x000D_
5.The abdomen is mildly pendulous._x000D_
6.The stomach is displaced by the cranial abdominal mass or infrequently, the cranial abdominal mass could represent a severely distended stomach.</t>
  </si>
  <si>
    <t>Three radiographs of the thorax/abdomen are provided. There is mild generalized cardiomegaly. Pulmonary vessels are normal size. There are no abnormalities in the pulmonary parenchyma. No pleural effusion or soft tissue pulmonary nodules. Mild narrowed caudal cervical trachea. No osseous abnormalities. In the abdomen serosal detail is normal. The spleen, left kidney, and liver are normal size. The right kidney is obscured. The gastrointestinal tract is minimally filled. No radiopaque urolithiasis.</t>
  </si>
  <si>
    <t>1. Mild generalized cardiomegaly consistent with acquired mitral and tricuspid valve disease. There is no evidence of pulmonary venous congestion or heart failure. No other intrathoracic abnormalities._x000D_
2. Probable cervical tracheal collapse._x000D_
3. Normal abdomen.</t>
  </si>
  <si>
    <t>An echocardiogram should be considered to help guide treatment.</t>
  </si>
  <si>
    <t>Three radiographs of the thorax and three views of the abdomen are provided. The heart and pulmonary vessels are normal size and shape. There are no abnormalities in the pulmonary parenchyma or along the plane of the esophagus. Small round soft tissue density in the right 3rd intercostal space on the VD projection is end-on pulmonary vessel. Osseous structures are age-appropriate._x000D_
_x000D_
In the abdomen serosal detail is adequate. There is large volume  soft tissue density with numerous ovoid kibble-like contours, and a few small mineral opaque fragments in the stomach. Small and large bowel are minimally distended. Normal-sized liver and spleen. The kidneys are obscured.</t>
  </si>
  <si>
    <t>Mineralized gastric debris may be a component of normal ingesta or foreign material. Remaining gastric contents appears to be normal ingesta. All or a portion of this could be foreign material causing gastritis and pyloric outflow obstruction. There is no evidence of small bowel obstruction. The thorax is normal.</t>
  </si>
  <si>
    <t>Recommend supportive care and repeat abdominal radiographs following fasting +/- positive contrast gastrogram to rule out gastric foreign material. With the volume of gastric contents, an extended fast may be necessary.</t>
  </si>
  <si>
    <t>Thorax: There is an alveolar pattern with air bronchograms involving the ventral portions of the left cranial lung lobe.  The cardiac silhouette and pulmonary vasculature are unremarkable.  Pleural effusion is not identified.  Lymphadenopathy is not identified.  There are thoracic hemivertebra.  There are no abnormalities involving the visible portions of the abdomen.</t>
  </si>
  <si>
    <t>The appearance of the left cranial lung lobe is consistent with pneumonia.</t>
  </si>
  <si>
    <t>Six lateral radiographs of the abdomen are provided. The prostate is moderately enlarged, smoothly contoured, and soft tissue opaque. No abnormalities are appreciated along the plane of the urethra. The urinary bladder is mildly filled. There are several punctate mineral densities overlying the central aspect of the urinary bladder on the 1st left lateral view. Suspect few punctate mineral densities overlying the urinary bladder and caudoventral to the superimposed colon on the right lateral view. These punctate foci are also noted on the PDF format lateral abdominal radiograph provided. No medial iliac lymphadenomegaly or effusion. The stomach is severely distended with soft tissue opaque ingesta. Moderate volume of formed feces fills the distal colon. Small bowel are minimally filled. Normal size liver, spleen. The kidneys are incompletely visible. Mineralized intervertebral disc material in situ at several sites is an incidental finding.</t>
  </si>
  <si>
    <t>1. Small volume sand-like cystic calculi. These are of a size that should be able to pass the urethra._x000D_
2. Moderate prostatomegaly, unexpected in a neutered patient. With the young age of this patient, this is most likely due to benign hyperplasia and recent/late neuter. Prostatitis or prostatic neoplasia are given much lesser consideration.</t>
  </si>
  <si>
    <t>Recommend diet modification in an effort to dissolve the calculi and prevent further formation.</t>
  </si>
  <si>
    <t>Study:_x000D_
Abdominal radiography: three images dated August 14, 2024_x000D_
_x000D_
Findings:_x000D_
The abdominal serosal detail is normal. The stomach contains a small volume of gas with the pylorus appropriately gas-filled on the left lateral image. The small intestines are normal in size, course and content. The colon contains formed fecal materia with a normal diameter l. The liver and spleen are normal in size and margin. The kidneys are normal in size and contour. The urinary bladder is normal in size and opacity. There is no uterine dilation. The included thorax is normal. No skeletal abnormalities are present.</t>
  </si>
  <si>
    <t>Unremarkable abdomen. A cause of vomiting and hyporexia is not evident. There is no radiographic evidence of gastrointestinal foreign material or small intestinal mechanical obstruction. Abdominal sonography can be considered for further evaluation if clinical signs persist or worsen in spite of medical management.</t>
  </si>
  <si>
    <t>Three radiographs of the abdomen are provided. There is no peritoneal or retroperitoneal effusion. Small volume gas in the stomach. Small intestines are minimally filled. Small volume of formed feces in the colon. No radiopaque foreign material. The liver is normal size for a deep-chested breed. Normal-sized spleen and right kidney. Incidental absent ribs on T13. There is a lobulated ovoid 6.2 x 3.7 cm soft tissue opacity to the left of L2-L4 on the VD, not seen on the lateral views. Normal left kidney possibly seen between the splenic head and T13-L1 on the VD projection. The urinary bladder is mildly filled and soft tissue opaque. The prostate is mildly enlarged, consistent with the reproductive status of this patient. Normal caudal thorax. Butterfly vertebra at T7, likely incidental.</t>
  </si>
  <si>
    <t>Soft tissue opacity in the mid left abdomen is most likely summating loops of bowel. Incidental caudally positioned left kidney with superimposed bowel, or small renal cortical indentation is next on the differential list. A mass lesion is felt to be less likely in a patient of this young age. Otherwise normal abdomen. There is no evidence of gastrointestinal obstruction. A reason for intermittent vomiting is not identified. Gastroenteritis secondary to dietary indiscretion is most likely. Small radiolucent gastric foreign material is not definitively ruled out.</t>
  </si>
  <si>
    <t>Consider either a positive contrast gastrogram, or strictly fasted abdominal ultrasound.</t>
  </si>
  <si>
    <t xml:space="preserve">
1.Resource: https://platform.v2.vetology.net/doc/microhepatia_and_giulcers_x000D_
2.Cranial abdominal detail is mildly decreased._x000D_
3.The stomach is mildly to moderately gas distended._x000D_
4.The small bowel is diffusely gas- and fluid-filled with intestinal distention approaching the upper limit of normal. In a small portion of cases, uterine horn distention could mimic small bowel dilation._x000D_
5.Liver size is at the lower limits of normal to slightly small with cranial displacement of the gastric axis._x000D_
6.Splenic size, shape and margin are normal.</t>
  </si>
  <si>
    <t>Orthogonal radiographs of the thorax, and a lateral view of the abdomen are provided. The cardiac silhouette is normal size and shape. There is soft tissue opacity with faint air bronchograms in the mid and ventral lungs on both sides. The right lungs are most significantly affected. Equivocal scant pleural fluid. Normal tracheal diameter._x000D_
_x000D_
In the abdomen there is no effusion. Normal-sized liver, spleen. The kidneys are partially visible and also appear to be normal size. The gastrointestinal tract is minimally filled. No radiopaque foreign material or cystic calculi. The L2-3 intervertebral foramen is slightly reduced in size.</t>
  </si>
  <si>
    <t>1. Ventral alveolar pattern and equivocal scant pleural effusion, most consistent with aspiration pneumonia. This is worse on the right side._x000D_
2. Normal abdomen._x000D_
3. The appearance of L2-3 may represent a protruding/extruded intervertebral disc. This may be responsible for the apparent abdominal discomfort.</t>
  </si>
  <si>
    <t>Antibiotics are recommended for aspiration pneumonia, with follow-up radiographs (VD and both lateral views) upon completion to monitor for resolution of pneumonia.</t>
  </si>
  <si>
    <t xml:space="preserve">
1.No intestinal abnormalities are appreciated._x000D_
2.The abdomen is pendulous._x000D_
3.Moderate volume ingesta fills the stomach._x000D_
4.The liver is enlarged._x000D_
5.Splenic size, shape and margin are normal._x000D_
6.The cecum is gas filled.</t>
  </si>
  <si>
    <t>Four orthogonal radiographs of the abdomen and 5 upper GI contrast images dated 14th August 2024 are available for review. There are no previous radiographs available for comparison. _x000D_
_x000D_
Intra-abdominal findings: The stomach contains some irregular soft tissue opaque material and has a normal axis. There is mild filling of the cranial duodenum with gas and fluid. The small intestines are overall mildly filled with gas and fluid. No segmental dilation is noted. There is mild to moderate gas dilation of the caecum and transverse colon. The descending colon contains formed faeces. The urinary bladder is normal.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detected._x000D_
_x000D_
Upper GI contrast study: There is good initial filling of the stomach. No filling defects are present. There is mild retention of barium within the stomach for approximately 15 minutes. Approximately 1 hour post administration, there is barium throughout the small intestinal tract. No filling defects are visible. On the final image approximately 2 hours post administration, there is complete filling of the small intestines with some remaining barium within the stomach.</t>
  </si>
  <si>
    <t>1. Relatively unremarkable abdomen. No evidence of colitis._x000D_
2. Unremarkable upper GI contrast study. Slight retention of passage of barium initially, but no pyloric foreign bodies are seen.</t>
  </si>
  <si>
    <t xml:space="preserve">
1.The colon contains gas and has a rigid appearance._x000D_
2.The liver and spleen are normal._x000D_
3.Serosal detail in the abdomen is normal. The abdomen is slightly tucked._x000D_
4.Rugal folds in the stomach appears slightly swollen._x000D_
5.No segmental dilation of the small intestine is seen._x000D_
6.No abnormal AI findings reported.</t>
  </si>
  <si>
    <t>The appearance to the colon is compatible with colitis. The appearance of the stomach may represent a mild or resolving gastritis. No small intestinal obstruction is identified. Normal abdominal detail which does not rule out pancreatitis.</t>
  </si>
  <si>
    <t xml:space="preserve">
Virtual Radiologist Case Difficulty: MODERATE_x000D_
Virtual Radiologist Confidence: MODERATE_x000D_
Supportive care as needed and symptomatic therapy for gastroenterocolitis is recommended._x000D_
Infectious causes of colitis +/- gastritis should be ruled out if clinically indicated._x000D_
Pancreatitis should also be ruled out.</t>
  </si>
  <si>
    <t>A lateral view of the thorax is provided for review.  The trachea is dorsally deviated, indicating left ventricular enlargement.  A bulge is present in the region of the left atrium.  There is overall increased opacity at the hilar region, although the lateral view is obliqued.  The pulmonary vasculature is normal in size.  The trachea is mildly narrowed at the thoracic inlet and the primary bronchi are markedly narrowed.  The mediastinal and pleural structures are normal.  Cranial abdominal detail is adequate.</t>
  </si>
  <si>
    <t>Left-sided cardiomegaly without current evidence of pulmonary venous congestion.  Opacity near the hilus is thought likely to be related to superimposition of structures (oblique view) and superimposition of the enlarged left atrium, but pulmonary edema cannot be completely excluded.  A DV view may be helpful in further evaluation without overly stressing the patient if the patient is dyspneic.  Echocardiography may be helpful in further evaluation.  Tracheobronchial narrowing may indicate tracheal collapse.  Fluoroscopy or bronchoscopy could be considered in confirmation.</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</si>
  <si>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is rounded and extends beyond the costal arch.  The stomach contains a small amount of gas.  The small intestines are normal in size.  Gas and feces are present in the colon.  The urinary bladder is small.  The remaining abdominal organs are normal.</t>
  </si>
  <si>
    <t>Four radiographs of the thorax are provided. Images dated 3/22/24 are available for comparison. The cardiac silhouette is normal size and shape. There is a mild bronchial pattern throughout the lungs. No interstitial infiltrates are appreciated. There are several incidental pulmonary osteomas. No pleural effusion. Moderate narrowed cervical trachea. Normal cranial mediastinal width. Small round increased opacity overlying the 4th intercostal space on both sides of the 2nd VD view is summating normal anatomy. In the cranial abdomen the liver is prominent as before.</t>
  </si>
  <si>
    <t>1. Mild bronchial pattern as before. With the cough, allergic bronchitis is the most likely diagnosis. Age-related changes could be contributing to this appearance. There is no evidence of pneumonia._x000D_
2. Probable cervical tracheal collapse, likely contributing to the cough._x000D_
3. Mild hepatomegaly as before, most likely steroid or other hepatopathy. This should be correlated with history and blood work.</t>
  </si>
  <si>
    <t>Consider treatment for allergic airway disease, and utilization of a body harness in place of a neck lead.</t>
  </si>
  <si>
    <t xml:space="preserve">Patient Name : Pauly Mc Guire, Date of study: Aug 13, 2024
4 images are provided for review
There are no previous radiographs for comparison.
Bones/Joints: T8-9 spondylosis deformans is present.  
The T11-12 intervertebral disc space is narrowed compared to T12-13.
A dens is present.  There is no evidence of atlantoaxial joint subluxation.
There is no evidence of mineral over the intervertebral foramina.  There is no evidence of intervertebral dorsal articulation osteoarthrosis.
The coxofemoral joints are normal.
There is no evidence of medullary sclerosis, osteolysis, endosteal scalloping, or periosteal proliferation.
Soft tissues:  The included soft tissues are normal.
</t>
  </si>
  <si>
    <t>1. T11-12 intervertebral disc disease is suspected.</t>
  </si>
  <si>
    <t>Consider neurologist consultation and MRI for further evaluation, especially if clinical signs acutely change, fail to improve or worsen. Routine blood work and thoracic imaging prior to advanced imaging. Empirical therapy and supportive care in the interim as needed.  Monitoring as directed or sooner if clinical signs acutely change, fail to improve or worsen.</t>
  </si>
  <si>
    <t>4 images of the abdomen are provided for review.  Serosal detail is adequate in all quadrants.  The stomach contains a moderate amount of gas and the rugal folds are prominent.  The small intestines are normal in size.  Gas is present in the colon.  The urinary bladder is small.  The remaining abdominal organs are normal.</t>
  </si>
  <si>
    <t>Prominent rugal folds suggestive of gastritis.  This does not rule out underlying pancreatitis, inflammatory bowel disease, food allergy, dietary indiscretion, etc.</t>
  </si>
  <si>
    <t>With chronic clinical signs, abdominal ultrasound could be considered in further evaluation.</t>
  </si>
  <si>
    <t>THORAX (4 radiographs for review)._x000D_
_x000D_
- Marked left-sided cardiomegaly, with straightening of the caudal cardiac margin and dorsal displacement of the caudal aspect of the thoracic trachea. There is a rounded soft-tissue opacity in the region of the left atrium._x000D_
- Diffuse distention of the pulmonary vasculature._x000D_
- Right caudal lung lobe unstructured interstitial pattern._x000D_
- The included abdominal structures are normal._x000D_
- Minimal multifocal vertebral spondylosis deformans.</t>
  </si>
  <si>
    <t>1. Marked left-sided cardiomegaly, with overt left atrial enlargement, pulmonary vasculature congestion and right caudal lung lobe unstructured interstitial pattern, raising concern for left-sided congestive heart failure secondary to degeneration of the mitral valve. Consider initiation of therapy for CHF and rechecking the abdominal radiographs when more stable to re-evaluate the degree of pulmonary opacification and pulmonary vasculature enlargement.</t>
  </si>
  <si>
    <t>Abdomen: There is no evidence of a gastrointestinal foreign body or obstruction.  There are several segments of jejunum that appear to have diffuse wall thickening.  The liver is small.  There are no abnormalities involving the spleen.  There are no abnormalities involving the visible portions of the urinary tract.  Serosal detail is unremarkable.  There are no abnormalities involving the visible portions of the thorax.</t>
  </si>
  <si>
    <t>Possible diffuse small distal wall thickening.  This is not a definitive finding on survey radiography.  Differential considerations include artifactual, variation of normal, enteritis, or IBD._x000D_
_x000D_
Mild microhepatica.</t>
  </si>
  <si>
    <t>Left thoracic limb: There appears to be mild soft tissue thickening/swelling associated with the dorsal lateral aspect of the carpus.  There is mild osseous remodeling associated with the extensor tendon grooves along the medial aspect of the distal radial metaphysis.  Periarticular osseous remodeling is associated with the third and fourth metacarpal phalangeal joints.  There is soft tissue thickening/swelling along the abaxial aspect of the second metacarpal phalangeal joint.  There is a small osseous body adjacent to the abaxial aspect of the second metacarpal phalangeal joint which may represent dystrophic mineralization of ligamentous structures or possible small avulsion fragment.  There are no abnormalities involving the elbow.  There are no abnormalities involving the visible portions of the shoulder._x000D_
_x000D_
Thoracolumbar spine: There is narrowing of the intervertebral disc space at L1-2.  The endplates at this level are sclerotic and irregular with small lucent areas.  There is spondylosis deformans at this level.  Bridging spondylosis deformans is noted at L6-7 and lumbosacral junction.  There are numerous regions of spondylosis deformans involving the remainder of the lumbar vertebral column._x000D_
_x000D_
Thorax: The pulmonary parenchyma, cardiac silhouette, and pulmonary vasculature are unremarkable.  There is no evidence of pleural effusion or lymphadenopathy._x000D_
_x000D_
Abdomen: The liver is small.  The remainder of the abdominal viscera is unremarkable.</t>
  </si>
  <si>
    <t>Soft tissue thickening/swelling involving the dorsal lateral aspect of the carpus.  This may be secondary to soft tissue trauma._x000D_
_x000D_
Mild degenerative changes involving the extensor tendon grooves._x000D_
_x000D_
Degenerative changes involving the second, third, and fourth metacarpal phalangeal joints._x000D_
_x000D_
Intervertebral disc disease at L1-2.  In light of the appearance of the endplates, previous or current discospondylitis cannot be ruled out._x000D_
_x000D_
Numerous regions of spondylosis deformities._x000D_
_x000D_
Mild microhepatica.</t>
  </si>
  <si>
    <t xml:space="preserve">
1.No abnormal AI findings reported._x000D_
2.No effusion is present._x000D_
3.The stomach and bowel are normal._x000D_
4.The liver and spleen are normal.</t>
  </si>
  <si>
    <t xml:space="preserve">Patient Name : Bella Harosh, Date of study: Aug 13, 2024
6 images are provided for review
There are no previous radiographs for comparison.  Initial image is overexposed and non-diagnostic.  Only one image is labeled but this label is incorrect given position of the descending colon.    Ungloved human extremities in primary beam.  
Bones/Joints:
The coxofemoral joints have no obvious osteoarthrosis.  There is adequate coverage of the femoral heads by the acetabulums.
Bilateral femoral trochlear hypoplasia is suspected without current evidence of patella luxation.
The left stifle has no evidence of osteoarthrosis.  
The included left tarsus is normal.
The right stifle has no evidence of osteoarthrosis.  
The included right tarsus is normal.  
The Included portion of the lumbar spine is normal.
There is no evidence of medullary sclerosis, osteolysis, endosteal scalloping, or periosteal proliferation.
Soft tissues:  The included soft tissues are normal.
</t>
  </si>
  <si>
    <t xml:space="preserve">1. Bilateral femoral trochlear hypoplasia without current evidence of medial patella luxation.
2. No obvious right stifle osteoarthrosis.
3. No obvious left stifle osteoarthrosis.
4. No obvious coxofemoral joint osteoarthrosis.  </t>
  </si>
  <si>
    <t>Consider orthopedist consultation, especially if signs fail to improve or worsen in the face of empirical therapy/supportive care.  This examination does not rule out occult soft tissue strain/sprain injury contributing to reported clinical signs.  Monitoring as directed or sooner if clinical signs acutely change, fail to improve or worsen.</t>
  </si>
  <si>
    <t xml:space="preserve">Patient Name : RIP Sanders, Date of study: Aug 13, 2024
3 images are provided for review
Canine Abdomen (3 Images) - 2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heterogeneous soft tissue admixed with gas.   The stomach is within normal limits for size.
The small intestine contains mild to moderate heterogeneous soft tissue material admixed with gas gas, fluid, or is empty.
The colon contains minimal to mild heterogeneous soft tissue material and gas.  The colon is within normal limits for size.  
Musculoskeletal: The included musculoskeletal structures are normal.
</t>
  </si>
  <si>
    <t>1. Gastric material due to recent meal, versus gastritis/delayed emptying or given lack of vomiting in history, unlikely pyloric outflow tract obstruction.
2. Non-specific small intestinal and colon appearance such as from enteritis, colitis, or individual variation of normal.
- Differential diagnoses include dietary indiscretion, toxin ingestion, diet/antibiotic responsive disease, inflammatory bowel disease, parasitism/primary infectious disease, pancreatitis or occult systemic disease.
- There is no current evidence of gastrointestinal mechanical ileus.</t>
  </si>
  <si>
    <t>Etiology of non-specific abdominal pain is not definitively identified, but occult pancreatitis cannot be ruled out.  Consider GI panel, fecal analysis/deworming, and routine blood work for further evaluation.  Repeat radiographs after 8-12 hours of fasting to monitor for passage of gastric/intestinal material, or consider abdominal ultrasonography for further evaluation. Empirical therapy and supportive care in the interim as needed for gastroenteritis/pancreatitis.  Monitoring as directed or sooner if clinical signs acutely change, fail to improve or worsen.</t>
  </si>
  <si>
    <t>Orthogonal views of the thorax are provided:_x000D_
_x000D_
Thorax:_x000D_
_x000D_
Cardiac silhouette has a normal shape and size._x000D_
Pulmonary vessels are within normal limits of size and shape._x000D_
Pulmonary parenchyma shows multiple small and indistinct pulmonary nodules throughout the different lung lobes leading to a widespread dense alveolo-interstitial lung pattern_x000D_
Pleural space, mediastinum, diaphragm and thoracic wall within normal limits.</t>
  </si>
  <si>
    <t>1) Multiple pulmonary nodules consistent with pulmonary metastases and suspected pulmonary hemorrhage or severe inflammation. Rule out hemangiosarcoma vs carcinoma. A fungal disease is unlikely.</t>
  </si>
  <si>
    <t>Abdominal US and CT of the thorax with US guided FNAs of the lungs with echocardiogram.</t>
  </si>
  <si>
    <t>Patient Name : Beefy Rangel, Date of study: Aug 13, 2024
3 images are provided for review
Canine Abdomen (3 Images) - 2 Lateral, 1 Vd
There are no previous radiographs for comparison.
Liver: The liver is  mildly enlarged with a caudoventral margin extending to the level of the 13th ribs.  The gastric axis is slightly caudally displaced.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Two well-defined metal ballistic foci are in the ventral abdomen.  No peritoneal gas is identified.  
Gastrointestinal tract: The stomach contains a mild to moderate volume of gas and mild soft tissue material  Mild gas is suspected in the pylorus.   The stomach is within normal limits for size.
The small intestine contains mild gas and fluid or is empty with a subjectively uniform population for size. 
The colon contains mild soft tissue, fluid and gas or is empty.  The colon is within normal limits for size.    The colon wall is suspiciously spastic.  
Musculoskeletal: The patient is obese.  The remaining included musculoskeletal structures are normal.</t>
  </si>
  <si>
    <t xml:space="preserve">1. Mild hepatomegaly due to vacuolar change, nodular hyperplasia, hepatitis/cholangiohepatitis, or unlikely other.
2. Non-specific gastrointestinal tract appearance such as from enteritis, colitis, or given reported history, less likely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3. Obesity.  
4. Incidental metal peritoneal foreign bodies.  </t>
  </si>
  <si>
    <t>Consider GI panel, fecal analysis/deworming, and routine blood work for further evaluation.  Empirical therapy and supportive care in the interim as needed.  Monitoring with repeat radiographs if signs fail to improve or worsen.</t>
  </si>
  <si>
    <t>6 views of the thorax and abdomen are submitted for review. The study is compared to a previous study made May 29, 2024._x000D_
In the thorax, there is mild straightening of the caudal cardiac waist.  The heart is subjectively generally enlarged with increased convexity of the right heart (VHS approximately 11.5).  The pulmonary vasculature is within normal limits.  Mild bronchointerstitial markings are noted in the lung fields.  No pleural effusion or intrathoracic lymphadenopathy is noted.  The trachea is normal._x000D_
In the abdomen, the liver is moderately enlarged with rounded serosal margins.  The spleen is normal in size and shape.  The unobscured margins and renal silhouettes and urinary bladder are normal.  The stone contains a moderate amount of ingesta.  The small bowel and colon are within normal limits.  Serosal detail is adequate._x000D_
No aggressive bony changes are seen.</t>
  </si>
  <si>
    <t>The appearance of the lung field is consistent chronic inflammatory airway disease.  No definitive evidence of congestive heart failure is seen.  Thoracic radiographs represent expiratory exposure which accentuates the appearance of the lung fields._x000D_
The appearance of the heart is consistent with mitral and tricuspid insufficiency likely associated with valvular endocardiosis.  Concurrent pulmonary hypertension is not excluded._x000D_
Moderate hepatomegaly.  Differentials include vacuolar hepatopathy, venous congestion, neoplasia, or possibly inflammation.  This may also be multifactorial._x000D_
These changes are essentially similar to previous study.</t>
  </si>
  <si>
    <t>An echocardiogram and abdominal ultrasound are recommended for further evaluation.</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</si>
  <si>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empty_x000D_
Small intestines are mildly gas and fluid filled, not overtly distended. No signs of mechanical ileus._x000D_
Serosal detail is preserved._x000D_
Liver extends beyond the costal arch with mildly rounded  margins._x000D_
Spleen is within normal limits of size and smoothly marginated._x000D_
_x000D_
Extensive multifocal signs of chronic IVDD.</t>
  </si>
  <si>
    <t>1) Unremarkable thorax without signs of pulmonary metastases nor signs of thoracic lymphadenopathy._x000D_
2) Hepatomegaly: Neoplastic /metastatic is the main differential. Other concomitant differentials such as Hepatic nodular hyperplasia vs Metabolic vs Vacuolar infiltration vs Inflammatory vs Toxic or hepatopathies are not excluded.</t>
  </si>
  <si>
    <t>Consider CBC and abdominal US to further evaluate the liver, pancreas and entire abdomen with +/- FNAs from the hepatic parenchyma._x000D_
Consider also a contralateral view of the thorax to completely rule out pulmonary metastases.</t>
  </si>
  <si>
    <t>Study:_x000D_
Thoracic/abdominal radiography: three images dated August 13, 2024_x000D_
_x000D_
Findings:_x000D_
The cardiac silhouette and pulmonary vasculature are normal in size. There is a moderate generalized bronchial pulmonary pattern. The pleural space is normal. There is no intrathoracic lymphadenopathy. The trachea is normal in diameter and course. The stomach contains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moderately distended. The absence of any reported urinary signs come of this finding is likely secondary conscious retention. The osseous structures are unremarkable.</t>
  </si>
  <si>
    <t>1. The moderate generalized bronchial pulmonary pattern may indicate infectious bronchitis given the prior positive testing for Mycoplasma. Allergic/inflammatory bronchitis (asthma), parasitic bronchitis or bronchitis secondary to inhaled irritants cannot be excluded. Airway sampling plus/minus heartworm testing and Baermann fecal flotation can be considered for further evaluation._x000D_
2. Unremarkable abdomen.</t>
  </si>
  <si>
    <t xml:space="preserve">
1.Abdominal detail is normal._x000D_
2.Moderate volume ingesta fills the stomach._x000D_
3.Small intestines are mildly gas filled._x000D_
4.Formed feces is present in the distal colon._x000D_
5.The liver is upper limits of normal for size to mildly enlarged but retains a smooth margins._x000D_
6.The spleen is normal for size.</t>
  </si>
  <si>
    <t>THORAX (3 radiographs for review)._x000D_
_x000D_
- There is a narrowing and opacification of the trachea that begins in the region of the thoracic inlet and extends to the level of the carina, with concurrent bronchial collapse present._x000D_
- A mild, diffuse, bronchointerstitial pulmonary pattern is identified, which is more prominent in the right hemithorax._x000D_
- A mild right sided mediastinal shift is noted._x000D_
- Thin, well-defined, curvilinear metallic foreign body in the right cranioventral abdomen._x000D_
- The remainder of the cranial abdominal structures are normal._x000D_
- Multifocal cervical intervertebral disc space narrowing and spondylosis deformans.</t>
  </si>
  <si>
    <t>1. Radiographically, the most likely cause of the patient=ZZ91=s reported coughing seems to be tracheal collapse, secondary to chondromalacia. I would recommend assessing for and considering empirical therapy for tracheal collapse, with palpation +/- fluoroscopy if clinically indicated._x000D_
_x000D_
2. Diffuse bronchointerstitial pulmonary pattern is common in dogs with tracheal collapse and may indicate concurrent low-grade bronchitis and/or bronchial edema. There is mild right-sided pulmonary atelectasis._x000D_
_x000D_
3. Likely incidental migrating right cranioventral abdominal wire-like peritoneal foreign body, likely present within the liver or less likely gallbladder._x000D_
_x000D_
4. Multifocal mid- and caudal cervical intervertebral disc degeneration.</t>
  </si>
  <si>
    <t>A three view thoracoabdominal study is provided for interpretation. Most of the neck is included._x000D_
_x000D_
There is mild laryngeal mineralization, and mild redundant dorsal tracheal membrane in the cervical trachea. The appearance is within the limits of benign variation. The heart is within normal size and shape limits. Pulmonary vessels are normal. There is mild bronchial mineralization and a mild overall increase in bronchial markings that is within the limits of age related change. No active appearing pulmonary infiltrates or pleural effusion are identified. The intestinal tract has a mildly gassy appearance overall, particularly the large intestine. There are a few loops of small intestine that are mildly gas dilated in the caudal abdomen. The appearance is not concerning for an obstructive pattern. The kidneys are slightly small. The other abdominal organs are within normal size and shape limits. No mass lesions or loss of detail are seen.</t>
  </si>
  <si>
    <t>No significant abnormalities are identified involving the heart or the respiratory tract._x000D_
Functional upper airway pathology such as laryngeal paralysis should still be ruled out._x000D_
_x000D_
The mildly gassy appearance of the intestinal tract is suspected to be a transient incidental finding.</t>
  </si>
  <si>
    <t>No specific explanation for the presenting complaint is identified. Conservative management is recommended._x000D_
Depending on severity of clinical signs, sedated laryngeal/pharyngeal exam should be considered.</t>
  </si>
  <si>
    <t xml:space="preserve">
1.Splenic size, shape and margin are normal._x000D_
2.There is smoothly margined, mild hepatomegaly that is causing caudal displacement of the gastric axis._x000D_
3.Mid-abdominal detail is mildly decreased._x000D_
4.As mentioned above, the stomach is caudally displaced by the mild hepatomegaly. Portions of the colon are gas filled and have a rigid appearance.</t>
  </si>
  <si>
    <t>Patient Name : Boomer Gonshak, Date of study: Aug 13, 2024
3 images are provided for review
Canine Abdomen (3 Images) - 2 Lateral, 1 Vd
There are no previous radiographs for comparison.
Liver: The liver is mildly enlarged with a caudoventral margin extending past the level of the 13th ribs, and caudal displacement of the gastric axis.  
Spleen: The spleen is normal in size with smooth margins and homogeneous soft tissue.
Kidneys: The right kidney is partially obscured without obvious enlargement or mineral.  The left kidney is normal.  
Retroperitoneum: Retroperitoneal detail is adequate.
Urogenital: The urinary bladder is normal in size, homogeneous soft tissue, and smoothly marginated.
Peritoneum: Peritoneal detail is adequate.
Gastrointestinal tract: The stomach contains a moderate gas and fluid.  Gas is in the pylorus in the left lateral image.  The stomach is within normal limits for size.
The small intestine contains minimal gas, mild fluid or is empty with a subjectively uniform population for size. 
The colon contains mild to moderate admixed soft tissue material and gas.  Few small mineral foci are admixed with colon content.  The colon is within normal limits for size.  
Musculoskeletal: The included musculoskeletal structures are normal.</t>
  </si>
  <si>
    <t xml:space="preserve">1. Mild hepatomegaly due to chronic medication administration (phenobarbital) and/or vacuolar change, nodular hyperplasia, hepatitis/cholangiohepatitis, or unlikely other.
2. Non-specific gastrointestinal tract appearance such as from enteritis, colitis, or variation of normal. 
- Differential diagnoses for enteritis/colitis include dietary indiscretion (such as from passing colonic mineral foci), toxin ingestion, diet/antibiotic responsive disease, inflammatory bowel disease, parasitism/primary infectious disease, pancreatitis or occult systemic disease.
- There is no evidence of small intestinal mechanical ileus.  </t>
  </si>
  <si>
    <t>Consider GI panel, fecal analysis/deworming, and phenobarbital level testing, for further evaluation if not recently performed.  Abdominal ultrasonography for further evaluation of the liver, gallbladder and gastrointestinal tract.  Empirical therapy and supportive care in the interim as needed.  Monitoring as directed, or sooner if clinical signs fail to improve or worsen in the face of empirical therapy.</t>
  </si>
  <si>
    <t xml:space="preserve">
1.No abnormal AI findings reported._x000D_
2.The remainder of the small bowel loops are diffusely fluid filled with a max:min small bowel diameter ratio of &lt; 2:1._x000D_
3.Liver and splenic size, shape and margin are unremarkable._x000D_
4.Abdominal detail is satisfactory._x000D_
5.The gastric rugae are prominent._x000D_
6.There are a few gas-distended loops of small bowel.</t>
  </si>
  <si>
    <t>Orthogonal radiographs of the thorax, and three views of the abdomen are provided. The cardiac silhouette is normal size on the lateral view. The right heart appears prominent on the VD projection due to rotation. Increased opacity in the caudal ventral thorax is incidental fat deposition. No abnormalities are appreciated in the pulmonary parenchyma. Narrowed trachea at the thoracic inlet._x000D_
_x000D_
In the abdomen there is large volume fluid and small volume gas in the stomach. Small bowel are moderately fluid-filled. There is gas in the cecum and colon. No radiopaque foreign material. The liver is mildly enlarged with smooth margins. Normal-sized spleen. The left kidney has blunted caudal margin suggestive of previous infarct, of doubtful significance today. The right kidney is partially visible and appears to be normal size. There are punctate nephroliths bilaterally, of doubtful significance today. No radiopaque cystic calculi. Serosal detail is adequate. No osseous abnormalities are appreciated.</t>
  </si>
  <si>
    <t>1. Small intestinal functional ileus. This is a nonspecific finding that may be due to stress/discomfort, metabolic abnormality, enteritis or other primary gastrointestinal disorder._x000D_
2. Mild hepatomegaly, a nonspecific finding that may be steroid or other hepatopathy, acute inflammation, neoplasia. This should be correlated with history and blood work._x000D_
3. Suspect tracheal collapse at the thoracic inlet. Otherwise normal thorax.</t>
  </si>
  <si>
    <t>Recommend CBC, blood chemistry profile, and supportive care. Depending on patient response and blood work results, further investigation with abdominal ultrasound may be indicated.</t>
  </si>
  <si>
    <t xml:space="preserve">
1.The colon is minimally filled._x000D_
2.The gastric axis is deviated caudally indicating an enlarged liver._x000D_
3.The spleen is also questionably enlarged but poorly visible._x000D_
4.Serosal detail is poor._x000D_
5.Small-volume gas is present within the stomach.</t>
  </si>
  <si>
    <t xml:space="preserve">Patient Name : Lexa Corona, Date of study: Aug 13, 2024
3 images are provided for review
There are no previous radiographs for comparison. 
Airway findings: The trachea, carina and mainstem bronchi are within normal limits for width and position. The trachea is mildly elevated at the thoracic inlet however this is most likely due to head positioning. A mild diffuse bronchial pattern is present. No nodules or masses are seen.
Cardiovascular findings: The cardiac silhouette and mainstem pulmonary vessels are within normal limits for size and contour. The vena cava is normal.
Mediastinum and pleural space:  No abnormalities are noted within the pleural space or mediastinum. There is no evidence of thoracic lymphadenomegaly.
Musculoskeletal findings: No significant abnormalities are detected.  
Abdomen: The stomach is moderately distended with granular food material. The gastric axis is still normal. There is some gas visible in the cranial duodenum in the left lateral image. The small intestines are mildly caudal displaced, and are within upper normal limits for shape, size and contents. The descending colon contains gas and some poorly formed faeces. The urinary bladder is small. The spleen is normal. The hepatic silhouette is normal. The kidneys are partially obscured by gastrointestinal contents, but the visible aspect are normal. No distinct tubular soft tissue opacity is seen in the caudal aspect of the abdomen, superimposed on the urinary bladder.
Musculoskeletal findings: No significant abnormalities are detected.
</t>
  </si>
  <si>
    <t xml:space="preserve">1. Overfilled stomach: This may be due to a recent large meal, or dietary indiscretion. This needs to be correlated with time of last feeding. There is no evidence for torsion. Partial outflow obstruction of the pylorus by non-radiopaque foreign material is possible. 
2. Diffuse mild bronchial pattern: Primary consideration should be given to normal ageing/fibrosis from previous disease.   </t>
  </si>
  <si>
    <t>Supportive management including rehydration, gastroprotectants,  full blood work, if clinically indicated is advised, if not already performed. Repeat 3-view post fasting radiographs depending on clinical progression or consider an abdominal ultrasound. An upper GI post fasting contrast study may also be considered.
In absence of any respiratory signs, observational management is advised.</t>
  </si>
  <si>
    <t>A lateral radiograph of the thorax, and two lateral views of the abdomen are provided. The cardiac silhouette and pulmonary vessels are normal size and shape. The lungs are clear. Normal tracheal diameter. No esophageal dilation. Metal opaque ring overlying the cranial thorax is superimposed harness material._x000D_
_x000D_
In the abdomen there is slight wispy appearance to the mid peritoneal space small volume gas in the stomach. Small bowel are minimally distended with gas and fluid. Formed feces in the descending colon. No radiopaque gastrointestinal foreign material. The liver, spleen, and kidneys are normal sized. The urinary bladder is minimally filled. No osseous abnormalities.</t>
  </si>
  <si>
    <t>Suspect scant peritoneal effusion, otherwise no abdominal abnormalities are appreciated. Gastroenteritis is suspected. There is no evidence of an obstructive process. The thorax is normal.</t>
  </si>
  <si>
    <t>Recommend supportive care, CBC, and blood chemistry profile. Depending on patient response and lab work results, further investigation with abdominal ultrasound may be indicated.</t>
  </si>
  <si>
    <t xml:space="preserve">Patient Name : Italian Greyhound R-7228 C-6328 Petland, Date of study: Aug 13, 2024
4 images are provided for review
Canine Thorax (4 Images) - 2 Lateral, 2 Vd
Prior images dated July 25, 2024 are available.
Pulmonary parenchyma: In the right cranial lung lobe, best identified in the left lateral image, is a well-defined alveolar pattern with well-defined air bronchograms and lobar margination between the right cranial and middle lung lobes.   This is progressive from prior.  The interstitial to alveolar pattern in the left cranial lung is resolved. A minimal to mild diffuse bronchial pattern is present.
Pulmonary vasculature: The pulmonary vasculature is subjectively normal in size and tapers in the periphery of the lungs.
Cardiac silhouette: The cardiac silhouette is normal in size and shape.
Mediastinum: A mild rightward mediastinal shift is present.  The cranial mediastinum is subjectively normal.
Trachea: The trachea is normal.
Esophagus: The esophagus contains mild gas or is empty.
Pleural space: The pleural space is normal.
Musculoskeletal: The included musculoskeletal structures are normal.
</t>
  </si>
  <si>
    <t>1. Progressive alveolar pattern in the right cranial lung lobe.
- This may be due to persistent bronchopneumonia/aspiration pneumonia, chronic pneumonia with lung volume loss, atelectasis from recumbency with/without residual bronchopneumonia, or unlikely other.
2. Resolved left cranial lung lobe interstitial/alveolar and diffuse interstitial pattern compared to prior.
3. Similar underlying minimal-mild diffuse bronchial pulmonary pattern such as from infectious/immune-mediated lower airway disease (mycoplasma spp., bordetella spp., parasitism such as lung worms, or less likely other), or fibrosis from prior disease, or unlikely other.
4. Rightward mediastinal shift due to right cranial lung lobe atelectasis/reduced size or unlikely other.</t>
  </si>
  <si>
    <t>Continue empirical therapy/supportive care for suspected pneumonia with broad-spectrum antibiotics for 1-2 weeks and consider recheck radiographs given improvement of the pulmonary pattern in most of the lung.  If the alveolar pattern persists in recheck radiographs and/or clinical signs persist/worsen, consider computed tomography and/or bronchoscopy for further evaluation and airway sampling.  Consider respiratory PCR panel, and fecal analysis/deworming for further evaluation if not recently performed.  Monitoring as directed or sooner if clinical signs acutely change, fail to improve or worsen.</t>
  </si>
  <si>
    <t xml:space="preserve">
1.No abnormal AI findings reported._x000D_
2.Cranial abdominal detail is decreased. This may be secondary to a confluence of soft tissues and/or regional inflammation or abdominal fluid._x000D_
3.The gastric axis is caudally displaced._x000D_
4.Soft tissue opacity extending caudoventral to the stomach may represent enlarged liver or splenic tail.</t>
  </si>
  <si>
    <t>3 views of the entire body are provided for review. The cardiovascular structures are normal. There is a diffuse interstitial pattern that is considered appropriate for the age of the patient. No pulmonary nodules or enlarged intrathoracic lymph nodes are seen. The pleural and mediastinal structures are normal. The trachea is variably narrowed in the cervical region. Abdominal serosal detail is adequate. The stomach contains a moderate amount of gas and the rugal folds are prominent. The small intestines are normal in size. Gas is present in the colon and cecum. The remaining abdominal organs are normal.</t>
  </si>
  <si>
    <t>Radiographically normal thorax for a patient of this age. Variable tracheal diameter suggestive of dynamic tracheal collapse. Prominent rugal folds suggestive of gastritis. This does not rule out underlying pancreatitis or infiltrative neoplasia.</t>
  </si>
  <si>
    <t>Orthogonal views of the thorax and abdomen are provided:_x000D_
_x000D_
Thorax:_x000D_
_x000D_
The entire esophagus is moderately gas distended._x000D_
Cardiac silhouette has a normal shape and size._x000D_
Pulmonary vessels are within normal limits of size and shape._x000D_
Pulmonary parenchyma is within normal limits. No signs of aspiration pneumonia._x000D_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</si>
  <si>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1) Generalized megaesophagus. Causes for this include idiopathic megaesophagus, myastenia gravis, hypothyroidism, polymyopathy, polyneuropathy, esophagitis, some toxins, the effects of sedatives (if used) vs esophagitis._x000D_
2) Unremarkable abdomen.</t>
  </si>
  <si>
    <t>Consider work up for megaesophagus starting with an abdominal US and upper airway exam under sedation.</t>
  </si>
  <si>
    <t xml:space="preserve">
1.No abnormal AI findings reported._x000D_
2.The liver and spleen appear within normal limits._x000D_
3.Serosal detail is normal._x000D_
4.The stomach contains small volume fluid and gas._x000D_
5.Small intestines are diffusely mild to moderately filled with fluid and gas. No convincing obstruction.</t>
  </si>
  <si>
    <t>Lateral and VD views of the thoracolumbar spine and pelvis are provided. There are five images total._x000D_
_x000D_
The heart is at the upper end of normal size range. No pulmonary abnormalities are identified. There is marked chronic remodeling involving the left shoulder._x000D_
_x000D_
There is severe intervertebral disc space narrowing involving multiple locations throughout the spine. This is seen primarily in the thoracolumbar region from T11 to L2 and at L4-L5._x000D_
L1-L2 and L4-L5 have the most severe narrowing and also have moderate spondylosis deformans. No lumbosacral abnormalities are identified. The pelvis is unremarkable._x000D_
_x000D_
There is an unusual slightly defined round lucency associated with the caudal aspect of the right femoral head. This appears as if it could be artifactual, but some version of this lucency is visible in both of the VD pelvis views provided. Hip joint congruity is good, and no periarticular remodeling changes are seen._x000D_
_x000D_
The abdominal organs are all within normal size and shape limits. There is a subtle round opacity superimposed over the urinary bladder in the left lateral view that is suspicious for a minimally radiopaque calculus, but this cannot be confirmed in the other views.</t>
  </si>
  <si>
    <t>There is severe disc space narrowing involving many locations in the caudal thoracic and lumbar spine consistent with chronic disc degeneration. Disc disease is a likely explanation for the clinical signs._x000D_
_x000D_
The heart does not appear significantly enlarged._x000D_
_x000D_
There is an unusual lucency associated with the right femoral head and neck in the VD view. The lesion does not appear entirely typical of a tumor or cyst, but remains concerning. Follow up imaging is recommended.</t>
  </si>
  <si>
    <t>Cross sectional imaging such as MRI or CT would be ideal to better define the severity of the disc disease and to verify the suspicion of a destructive or cystic bone lesion involving the right femoral head._x000D_
If this is not an option, a recheck a VD pelvis hip extended view is recommended in 3 to 4 weeks.</t>
  </si>
  <si>
    <t>Patient Name : Ollie Coombs, Date of study: Aug 13, 2024
4 images are provided for review
There are no previous radiographs for comparison.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Gastric rugal folds are prominent.   The stomach is within normal limits for size.
The small intestine contains moderate gas and fluid or is empty with a subjectively uniform population for size.   Minimal mineral is in some small intestinal segments.  The duodenum contains moderate gas in one of the ventrodorsal images.  
The colon contains minimal soft tissue material and gas.  Mild granular mineral is admixed with colon content. The colon is within normal limits for size.  
Musculoskeletal: L7-S1 spondylosis deformans is present.  The remaining included musculoskeletal structures are normal.</t>
  </si>
  <si>
    <t xml:space="preserve">1. Prominent gastric rugal folds such as from non-specific gastritis versus variation of normal.
2. Prominent duodenum from duodenitis and/or occult pancreatitis.
3. Minimal small intestinal mineral such as from dietary indiscretion and suspected enteritis.
4. Mild colonic granular mineral material due to dietary indiscretion and suspected colitis.
5. Microhepatia versus individual variation of normal.
- If present, consider occult portosystemic shunt or unlikely other.  
6. No current evidence of small intestinal mechanical ileus.  </t>
  </si>
  <si>
    <t>Consider GI panel, fecal analysis/deworming, and routine blood work for further evaluation.  Empirical therapy and supportive care in the interim as needed for presumed dietary indiscretion and gastroenterocolitis/possible pancreatitis.  Consider repeat radiographs after 8-12 hours of fasting to monitor for passage of gastrointestinal material, and/or ultrasonography.  Monitoring as directed or sooner if clinical signs acutely change, fail to improve or worsen.</t>
  </si>
  <si>
    <t xml:space="preserve">
1.There is at least one segment of rigid appearing bowel in the mid-abdomen. This segment may represent colon versus small bowel dilation._x000D_
2.The liver is normal._x000D_
3.The spleen is at the upper limits of normal to mildly enlarged on the lateral projection._x000D_
4.There is a focal loss of serosal detail in the cranial abdomen._x000D_
5.The gastric lumen contains a mild amount of soft tissue and gas opacity._x000D_
6.The gastric rugae are prominent._x000D_
7.Portions of the small intestine are dilated with gas or soft tissue opacity.</t>
  </si>
  <si>
    <t>Three radiographs of the abdomen, VD pelvis, and lateral view of each stifle are provided. There is no abdominal effusion. Small volume gas in the stomach. There is gas in the cecum and proximal colon. Small bowel are minimally distended. Normal size kidney, liver, spleen. No radiopaque cystic calculi. The L2-3 intervertebral disc space and foramen are reduced in size. No endplate lysis. The coxofemoral joints are congruent. The appearance of rounded soft tissue opacity overlying the caudal aspect of the caudal vena cava on the left lateral view is not seen on other projections and is likely due to summating pulmonary vessel and rib. The pelvic limb musculature is possibly reduced on the right. Patellar location is normal. Small volume fluid in the cranial aspect of the right stifle joint. No definitive left stifle joint abnormalities, although evaluation is limited by rotation.</t>
  </si>
  <si>
    <t>1. Mild right stifle effusion suggestive of partial cranial cruciate ligament tear. No coxofemoral joint or left stifle abnormalities are appreciated._x000D_
2. The appearance of L2-3 may represent an intervertebral disc protrusion/extrusion._x000D_
3. No intra-abdominal abnormalities.</t>
  </si>
  <si>
    <t>Recommend palpation for stifle discomfort/instability, and a neurologic examination.</t>
  </si>
  <si>
    <t>Five radiographs of the thorax, and three views of the abdomen are provided. The cardiac silhouette is normal size and shape on the lateral views. The right heart appears prominent on the VD projections due to rotation. There are no abnormalities in the pulmonary parenchyma. No pleural effusion. The plane of the esophagus is unremarkable. Tracheal diameter and position are normal. Normal larynx._x000D_
_x000D_
In the abdomen there is no effusion. The stomach contains gas, small volume fluid, and a few small mineral opaque fragments measuring up to 0.9 x 0.1 cm. Small bowel are minimally filled. Moderate volume semi-formed feces in the colon. No severe intestinal distention. The spleen, liver, and kidneys are normal size and shape. The urinary bladder is mildly filled and soft tissue opaque.</t>
  </si>
  <si>
    <t>Scant mineral opaque debris in the stomach is likely incidental. Otherwise normal abdomen and thorax. A reason for the gagging behavior is not identified.</t>
  </si>
  <si>
    <t>Consider sedation and visual inspection of the oropharyngeal/laryngeal region.</t>
  </si>
  <si>
    <t xml:space="preserve">
1.Splenic size, shape and margin are normal._x000D_
2.Abdominal detail is normal._x000D_
3.The stomach and intestinal tract are normal._x000D_
4.The liver is mildly enlarged but with a normal shape and smooth margins. No hepatic mass has been identified.</t>
  </si>
  <si>
    <t>Four lateral radiographs of the thorax, and nine six views of the abdomen are provided. The cardiac silhouette and pulmonary vessels are normal size and shape. There are no abnormalities in the pulmonary parenchyma. No pleural effusion. Adequate tracheal diameter._x000D_
_x000D_
In the abdomen there is moderate volume of gas in the stomach. There is no gastric malrotation. Small and large bowel are minimally distended. There is no radiopaque gastrointestinal foreign material. Wispy soft tissue density overlying the midabdomen is due to superimposed hair artifact. There is no effusion. The kidneys, liver, and spleen are normal size and shape. The urinary bladder is minimally distended and soft tissue opaque. The uterus is not visible. There is mild thickened femoral necks bilaterally, worse on the right. This is of doubtful clinical significance today.</t>
  </si>
  <si>
    <t>Normal thorax and abdomen. A reason for intermittent gastrointestinal signs is not identified. Gastroenteritis secondary to dietary change/indiscretion is suspected.</t>
  </si>
  <si>
    <t xml:space="preserve">
1.The stomach contains a small amount of gas and ingesta. The gastric rugae are prominent. The small bowel is diffusely gas- and fluid-filled without segmental small bowel dilation._x000D_
2.The colon is gas filled and a portion of the colon has a rigid appearance._x000D_
3.Liver size, shape and margin are normal._x000D_
4.Splenic size is at the upper limits of normal to mildly enlarged but no mass is noted in the region of the spleen._x000D_
5.Abdominal detail is normal.</t>
  </si>
  <si>
    <t xml:space="preserve">
If GI signs and soft tissue material is present within the gastric lumen, withhold food for 12-15 hours followed by repeat abdominal radiographs to assess for retention of the gastric contents. If the gastric contents persist after withholding food or if there is non-productive vomiting, the concern for gastric foreign material increases._x000D_
Blood work +/- pancreatic testing, if GI signs are present._x000D_
Supportive care, including treatment for potential gastritis, in the interim as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</si>
  <si>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 xml:space="preserve">Patient Name : Sebastian Rivera, Date of study: Aug 13, 2024
8 images are provided for review
There are no previous radiographs for comparison.
Pulmonary parenchyma:  A moderate alveolar pattern is present in the caudal subsegment of the left cranial lung lobe in the right lateral image, with well-defined air-bronchograms.  This corresponds to interstitial pattern in the left cranial lung caudal subsegment in the ventrodorsal image.  A minimal diffuse interstitial and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Moderate pleural gas is present, with rounding and retraction of the caudodorsal lung margins from the diaphragmatic recess in the lateral image.  Gas admixes with retrosternal fat and there is apparent cardiac silhouette elevation in the lateral image.  Thin pleural fissure line that does not widen in the periphery between the right cranial/middle lung lobes in the ventrodorsal image.
Liver: The liver is mildly enlarged with a caudoventral tip extending to the level of the 13th ribs.  
Spleen: The spleen is normal in size with smooth margins and homogeneous soft tissue.
Kidneys: The kidneys are normal in size and shape without obvious mineral.
Retroperitoneum: Retroperitoneal detail is adequate.
Urogenital: The prostate gland is enlarged and rounded with homogeneous soft tissue. The prostate gland occupies approximately 60% the height of the pelvic canal. The urinary bladder is normal in size, homogeneous soft tissue, and smoothly marginated.
Peritoneum: Peritoneal detail is adequate.
Gastrointestinal tract: The stomach contains a moderate gas and fluid. Gas is in the pylorus in the left lateral image.   The stomach is within normal limits for size.
The small intestine contains mild gas and fluid or is empty with a subjectively uniform population for size. 
The colon contains mild heterogeneous soft tissue material and gas.  The colon is within normal limits for size.  
Musculoskeletal: T4-5 spondylosis deformans is present.   Site of dorsal extra-thoracic soft tissue wound is not definitively identified.  The remaining included musculoskeletal structures are normal.
</t>
  </si>
  <si>
    <t>1. Moderate pneumothorax is likely secondary to reported trauma (BBQ skewer recently removed from dorsal thorax).gas and suspected minimal pleural effusion such as from hemorrhage or pleuritis.
2. Left cranial lung lobe caudal subsegment alveolar pattern due to pneumonia/pneumonitis, hemorrhage, secondary to trauma/lung lobe rupture and/or ruptured pulmonary bulla or least likely neoplasia such as from histiocytic sarcoma or other.  
3. Mild hepatomegaly due to vacuolar change, nodular hyperplasia, hepatitis/cholangiohepatitis, or less likely individual variation of normal or evolving neoplasia.
4. Moderate prostatomegaly such as from benign prostatic hyperplasia given intact status, or less likely other.</t>
  </si>
  <si>
    <t xml:space="preserve">No obvious evidence of cardiomegaly, but this does not rule out evolving disease, versus flow murmur such as from underlying anemia or other.  Consider echocardiography, eCG and blood pressure.  Consider computed tomography of the thorax and consider specialist referral/chest tube placement versus thoracocentesis for therapy for pneumothorax, especially if dyspnea or hyperpnea manifests. This may also be beneficial to evaluate the tract from reported dorsal thoracic foreign body (BBQ skewer).  Consider routine blood work if not recently performed.  Computed tomography versus ultrasonography of the abdomen for further evluation of the liver and prostate gland may be contributory.  Empirical therapy and supportive care in the interim as needed.  Monitoring with serial thoracic radiographs, especially if clinical signs fail to improve or worsen. </t>
  </si>
  <si>
    <t>Opposite lateral and VD thoracoabdominal views are provided for interpretation._x000D_
_x000D_
There is mild dynamic narrowing of the cervical trachea. No laryngeal abnormalities are identified. The intrathoracic trachea is normal. The heart is at the upper end of normal range to slightly enlarged. The caudal waist of the current excellent has a slightly straight appearance. These are subtle and equivocal changes. VHS is mildly increased at 11.6. The pulmonary vessels are normal. There is mild to moderate bronchial mineralization, which has progressed slightly relative to the previous radiographs dated one-12-22. The liver is moderately enlarged, although less prominent than it was previously. The spleen is also enlarged, more prominent than what was seen previously. There are calculi in both kidneys, and two irregular moderately sized calculi in the urinary bladder. The other abdominal organs are within normal limits.</t>
  </si>
  <si>
    <t>1) There is mild cardiomegaly, suspected to be left-sided. The appearance is much less severe than what would typically be expected for patient with clinical CHF. The appearance of the lungs is typical of age related change. No evidence of heart failure or active inflammatory/infectious pulmonary disease is identified._x000D_
_x000D_
2) There is mild dynamic narrowing of the cervical trachea. The appearance is less prominent than what would typically be expected for clinical tracheal collapse. However, collapsing trachea cannot be definitively excluded on the basis of survey radiographs as a possible cause of coughing._x000D_
_x000D_
3) The spleen is enlarged. Reactive splenomegaly or benign variation is most likely in the absence of significant clinical illness, but lymphoreticular neoplasia should also be ruled out._x000D_
The liver enlargement is most likely secondary to the diabetes._x000D_
_x000D_
4) Calculi in the kidneys and bladder are confirmed</t>
  </si>
  <si>
    <t>Symptomatic therapy for the cough is recommended._x000D_
CBC, serum chemistry, and urinalysis is recommended due to the hepatomegaly, splenomegaly, and urinary calculi.</t>
  </si>
  <si>
    <t xml:space="preserve">
1.A soft tissue mass is identified in the cranial abdomen. The liver is enlarged and mass-like, with caudal displacement of the gastric axis._x000D_
2.A soft tissue mass in the splenic region has been identified. This could represent confluence of a single cranial abdominal mass vs. two separate masses affecting the liver and spleen._x000D_
3.Abdominal detail is decreased, particularly in the cranial abdomen. DDx: soft tissue mass only vs. mass and mesenteric inflammation and/or regional abdominal fluid._x000D_
4.The abdomen is mildly pendulous._x000D_
5.The stomach is displaced by the cranial abdominal mass or infrequently, the cranial abdominal mass could represent a severely distended stomach._x000D_
6.The intestinal tract is displaced by the cranial abdominal mass. The displaced bowel is diffusely gas- and fluid-filled but no segmental bowel dilation is noted.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</si>
  <si>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are within normal limits._x000D_
A metallic bebe is seen in the dorsal aspect of the left hemithorax at the level of the 8th intercostal space._x000D_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Questionable narrowing of T11-T12 and of the caudal lumbar IVDS. No signs of disc herniation, aggressive bone lesions, vertebral fractures or subluxations.</t>
  </si>
  <si>
    <t>1) Unremarkable thorax without signs of pulmonary metastases nor signs of thoracic lymphadenopathy. Incidental metallic bebe in the dorsal aspect of the left hemithorax at the level of the 8th intercostal space._x000D_
2) Unremarkable abdomen.</t>
  </si>
  <si>
    <t>Consider a neuro exam with MRI if necessary.</t>
  </si>
  <si>
    <t>Prominent rugal folds suggestive of gastritis.  This does not rule out underlying pancreatitis, inflammatory bowel disease, dietary indiscretion, etc.</t>
  </si>
  <si>
    <t xml:space="preserve">
1.There is adequate serosal margin detail._x000D_
2.The stomach is normal. Small intestinal bowel loops are normal in size and distribution and have a mixed pattern. No signs of obstruction._x000D_
3.The liver and spleen are within normal limits._x000D_
4.No abnormal AI findings reported.</t>
  </si>
  <si>
    <t>Patient Name : Birdie Blaser, Date of study: Aug 13, 2024
3 images are provided for review
Canine Thorax (2 Images) - 1 Lateral, 1 Vd
Canine Abdomen (1 Images) - 1 Lateral
There are no previous radiographs for comparison. These images are submitted for assessment of the vertebral column.
Vertebral column: The vertebral body alignment is normal. No mineral opaque material is seen within, or dorsal to the intervertebral disc spaces. The intervertebral disc width is within normal limits. The size of the lateral foramina is within normal limits. The C6-C7 intervertebral disc space is poorly visible on the lateral image due to superimposition of the scapula, however is normal in the ventrodorsal.</t>
  </si>
  <si>
    <t xml:space="preserve">1. Normal vertebral column: Occult intervertebral disease such as intervertebral disk protrusion or other spinal cord pathology including embolic (FCE), high velocity disk, inflammatory or neoplastic disease or degenerative myelopathy is not excluded . </t>
  </si>
  <si>
    <t>Full neurologic examination if not already performed. If no proprioceptive deficits or patients neck pain is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can be considered</t>
  </si>
  <si>
    <t>Orthogonal views of the abdomen are provided:_x000D_
_x000D_
Abdomen:_x000D_
_x000D_
The stomach is empty._x000D_
Small intestines are mildly gas and fluid filled, not overtly distended. No signs of mechanical ileus._x000D_
Serosal detail is decreased due to exposure. The cranial and central abdomen are therefore poorly exposed/visualized with poor contrast._x000D_
Liver and spleen are within normal limits of size and smoothly marginated._x000D_
Kidneys and urinary bladder WNL._x000D_
The prostate gland is enlarged protruding in the caudal abdomen pushing the bladder cranially.</t>
  </si>
  <si>
    <t>1) Unremarkable GI tract (given the poor exposure). _x000D_
2) Prostatomegaly compatible with BPH.</t>
  </si>
  <si>
    <t>Consider abdominal US to further evaluate causes of leukocytosis, vomition and diarrhea.</t>
  </si>
  <si>
    <t xml:space="preserve">
1.Splenic size is at the upper limits of normal to mildly enlarged but no mass is noted in the region of the spleen._x000D_
2.Abdominal detail is normal._x000D_
3.The stomach contains a small amount of gas and ingesta. The gastric rugae are prominent. The small bowel is diffusely gas- and fluid-filled without segmental small bowel dilation._x000D_
4.The colon is gas filled and a portion of the colon has a rigid appearance._x000D_
5.Liver size, shape and margin are normal.</t>
  </si>
  <si>
    <t xml:space="preserve">Patient Name : Sonny Cepeda, Date of study: Aug 13, 2024
7 images are provided for review
There are no previous radiographs for comparison.
Liver: The liver is slightly enlarged with a rounded caudoventral margin.  
Spleen: The spleen is normal in size with smooth margins and homogeneous soft tissue.
Kidneys: The right kidney is obscured without obvious enlargement or mineral.  The left kidney is normal.  
Retroperitoneum: Retroperitoneal detail is adequate.
Urogenital: The urinary bladder is normal in size, homogeneous soft tissue, and smoothly marginated.
Peritoneum:   Arising from the caudodorsal abdomen in the region of the sublumbar lymph nodes is ovoid to lobular increased soft tissue.  This results in ventral displacement of the descending colon.  Peritoneal detail is adequate.
Gastrointestinal tract: The stomach contains a moderate volume of heterogeneous soft tissue admixed with gas.   The stomach is within normal limits for size.
The small intestine contains mild to moderate gas and fluid with a subjectively uniform population for size. 
The colon contains mild to moderate heterogeneous soft tissue material and gas.  The colon is within normal limits for size.  
Musculoskeletal: 
Minimal L7-S1 spondylosis deformans is present.  Suspected subluxation and focal kink of the tail at the Cd6-7 vertebrae.  The remaining included musculoskeletal structures are normal.
</t>
  </si>
  <si>
    <t xml:space="preserve">1. Caudodorsal abdominal soft tissue mass due to sublumbar lymphadenomegaly (metastatic/multicentric neoplasia or unlikely other), versus cranial extension of AGASACA, or unlikely other.
2. Mild hepatomegaly due to vacuolar change, nodular hyperplasia, hepatitis/cholangiohepatitis, or evolving neoplasia (metastatic/multicentric or unlikely other).
3. Gastric material due to recent meal versus gastritis/delayed gastric emptying.  </t>
  </si>
  <si>
    <t>Consider abdominal ultrasonography versus computed tomography of the abdomen/pelvic canal and perineal region for further evaluation and pre-surgical planning of excisional/incisional biopsy for a definitive diagnosis.  Oncologist consultation depending on results.  Thoracic imaging to screen for occult systemic disease prior to advanced imaging.  Routine blood work and urinalysis with urine culture/sensitivity testing may be contributory.  Empirical therapy and supportive care in the interim as needed.  Monitoring with routine blood work and thoracic/abdominal imaging as directed or sooner if clinical signs acutely change, fail to improve or worsen.</t>
  </si>
  <si>
    <t xml:space="preserve">
1.The liver is at the upper normal limits for size._x000D_
2.Splenic size, shape and margin are normal._x000D_
3.Abdominal detail is normal._x000D_
4.The stomach is normal. The small bowel is diffusely gas- and fluid-filled without segmental small bowel dilation.</t>
  </si>
  <si>
    <t>Abdomen:_x000D_
_x000D_
The stomach island colon is empty. No signs of radiopaque foreign bodies._x000D_
Small intestines are fluid filled, not overtly distended. No signs of mechanical ileus._x000D_
The cecum is filled with foreign mineral particles._x000D_
Serosal detail is preserved._x000D_
Liver and spleen are within normal limits of size and smoothly marginated._x000D_
Kidneys and urinary bladder WNL.</t>
  </si>
  <si>
    <t>1) Foreign mineral particles in the cecum compatible with dietary indiscretion and foreign material ingested.</t>
  </si>
  <si>
    <t>Consider abdominal US to further evaluate causes of acute vomiting and bloody diarrhea.</t>
  </si>
  <si>
    <t xml:space="preserve">
1.No abnormal AI findings reported._x000D_
2.The liver and spleen are normal._x000D_
3.There is a focal loss of serosal detail in the cranial abdomen on the VD projection._x000D_
4.The pyloroduodenal is widened and the proximal duodenum contains a mild amount of air._x000D_
5.The gastric lumen contains a mild amount of soft tissue and gas opacity._x000D_
6.The gastric rugae are prominent._x000D_
7.The small bowel is diffusely fluid distended with a mild disparity in small bowel diameter._x000D_
8.Portions of the colon are gas filled and have a rigid appearance.</t>
  </si>
  <si>
    <t>4 images of the thorax are provided for review.  The lung lobes are retracted from the thoracic wall and fluid is present in the pleural space, worse on the right.  The cardiac silhouette cannot be fully visualized due to silhouetting but appears grossly normal in size.  The visible pulmonary vasculature is normal in size.  No distinct pulmonary infiltrates are seen.  The trachea is variable in diameter.  The mediastinal structures are normal cranial abdominal detail is adequate.</t>
  </si>
  <si>
    <t>Pleural effusion.  Echocardiography and/or thoracic ultrasound may be helpful in further evaluation.  Variable tracheal diameter suggestive of dynamic tracheal collapse.  Fluoroscopy or bronchoscopy could be considered.</t>
  </si>
  <si>
    <t>9 images of the thorax and abdomen are provided for review and compared with the study dated 7/18/2024.  The cardiovascular structures are normal.  There is a moderate bronchial pattern in all lung lobes, similar to previous images.  Focal alveolar opacity is present in the right middle lung lobe.  The mediastinal and pleural structures are normal.  Abdominal serosal detail is adequate in all quadrants.  The stomach contains a moderate amount of mottled soft tissue material.  The small intestines are normal in size.  Gas and feces are present in the colon.  The urinary bladder is small.  The remaining abdominal organs are normal.</t>
  </si>
  <si>
    <t>Material within the stomach may represent residual ingesta or foreign material.  Consider repeat radiographs following strict fasting (8 to 12 hours minimum) to determine if gastric contents persist.  Persistent moderate bronchial pulmonary pattern=ZZ90= consider bronchitis, response to inhaled irritants, response to circulating parasites, eosinophilic bronchopneumopathy.  Alveolar pulmonary pattern concerning for concurrent pneumonia.  Airway sampling may be helpful in further evaluation.</t>
  </si>
  <si>
    <t>Orthogonal views of the thorax are provided:_x000D_
_x000D_
Thorax:_x000D_
_x000D_
Cervical trachea no completely included (no abnormalities noticed)._x000D_
Cardiac silhouette has a normal shape and size._x000D_
Pulmonary vessels are within normal limits of size and shape._x000D_
Pulmonary parenchyma is within normal limits. No evidence of pneumonia nor signs of pulmonary nodules/masses._x000D_
Pleural space, mediastinum, diaphragm and thoracic wall within normal limits._x000D_
_x000D_
Liver extends beyond the costal arch with sharp margins.</t>
  </si>
  <si>
    <t>1) Unremarkable thorax without signs of cardiomegaly (this does not exclude a cardiac disease), pulmonary metastases nor signs of thoracic lymphadenopathy. _x000D_
2) Unremarkable lungs do not exclude a bronchitis of allergic origin vs inflammatory/infectious or parasitic origin. _x000D_
3) Hepatomegaly: Metabolic vs Vacuolar infiltration vs Hepatic nodular hyperplasia vs Inflammatory vs Toxic vs Neoplastic or a combination of these differentials.</t>
  </si>
  <si>
    <t>Given the lack of cardiomegaly but audible murmur, consider a cardiology consultation with ECG and echocardiogram along with an abdominal US to further evaluate the liver prior to an empirical treatment for chronic bronchitis evaluating response to treatment. If clinical signs persist, consider a bronchoscopy with BAL, culture, cytology, Baermann test and deworming.</t>
  </si>
  <si>
    <t xml:space="preserve">
1.The abdomen is pendulous._x000D_
2.The small bowel is diffusely gas- and fluid-filled without segmental small bowel dilation._x000D_
3.The stomach contains granular food material, with a moderately caudally displaced axis._x000D_
4.The overall peritoneal serosal detail is mildly reduced._x000D_
5.The caudoventral margin of the liver is enlarged and rounded._x000D_
6.The spleen has a slightly rounded, well-defined margin, and is normal in overall size.</t>
  </si>
  <si>
    <t>3 views of the abdomen are presented for review.  Serosal detail is adequate in all quadrants.  The stomach contains a small amount of gas.  The small intestines are normal in size.  Gas and feces are present in the colon.  The urinary bladder is small.  The remaining abdominal organs are normal._x000D_
_x000D_
Numerous additional images of an upper GI series are also provided for review.  Initial images show good contrast filling of the stomach with no abnormal filling defects.  There is no thickening or irregularity of the gastric walls.  Progressive movement of contrast through the small intestines to the colon is seen with no abnormalities at multiple time points.  Minimal contrast remains in the stomach outlining the rugal folds at the time of entry of contrast to the colon.  This minimal contrast remains adherent to the gastric mucosa through multiple time points but has resolved by the final images.</t>
  </si>
  <si>
    <t>Adherence of contrast to the gastric mucosa is consistent with inflammation in the mucosa (gastritis).  This is likely secondary to previously diagnosed pancreatitis.  A discrete gastrointestinal mass is not identified.  Diffuse mild infiltrates such as secondary to lymphoma cannot be completely excluded, but there is no evidence of irregular thickening throughout the gastrointestinal tract to highly suggest lymphoma.</t>
  </si>
  <si>
    <t>If clinical signs persist with supportive therapy, abdominal ultrasound may be helpful in further evaluation of the pancreas and gastrointestinal tract.</t>
  </si>
  <si>
    <t xml:space="preserve">
1.The peritoneal serosal detail is normal._x000D_
2.The liver has a normal shape, size and margination._x000D_
3.The spleen is normal._x000D_
4.Mineral dense material and distended viscus are present in the region of the uterine horns._x000D_
5.In cases of pregnancy, fetal mineralization indicates fetal age of &gt;45 days._x000D_
6.IMPORTANT: This AI evaluation currently DOES NOT assess for the presence of fetal mummification and/or abnormal gas within or around the fetus (fetal viability) and/or fetal number._x000D_
7.The stomach contains a mild volume of gas and fluid._x000D_
8.The small intestines are mainly fluid-filled, and mild-to moderately dilated._x000D_
9.The colon contains gas and feces.</t>
  </si>
  <si>
    <t xml:space="preserve">
Virtual Radiologist Case Difficulty: MODERATE_x000D_
Virtual Radiologist Confidence: MODERATE_x000D_
In a vomiting or anorexic patient, supportive care and therapy for gastroenteritis/colitis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material._x000D_
Evaluate fetal skeletal structures on radiographs, via ultrasound or submit for radiology review if fetal number and/or evaluation of fetal viability is needed.</t>
  </si>
  <si>
    <t>Patient Name : Briar Mitchell, Date of study: Aug 12, 2024
5 images are provided for review
There are no previous radiographs for comparison.
Intra-abdominal findings: The stomach is empty with a mildly cranially displaced axis. Some mineral opaque material is visible in the region of the pylorus. There is appropriate gas in the pylorus on the left lateral image. The small intestines are mainly empty, or have some gas and fluid. No segmental dilation is present. There is moderate distension of the acsending and transverse colon with granular, mineral opaque material. This material is dense, and surrounded by some gas. The urinary bladder is normal. The serosal detail is normal. There hepatic silhouette is mildly small. The spleen is normal. The kidneys are partially obscured by gastrointestinal contents, but the visible aspect are normal.
Extra-abdominal findings: The T13-L1 intervertebral disc is mildly irregular, with lateralising and ventral spondylosis, and mild kyphosis in the region.
Included thorax: Multiple small irregular bowel marginated calcifications are present in the caudal lung regions.</t>
  </si>
  <si>
    <t>1. The findings are consistent with dietary indiscretion with mineral opaque material, likely causing a physical enteritis/colitis and mild constipation.
2. Pulmonary osteomata. Incidental finding.
3. The apparent microhepatica is most likely positional/due to conformation. Cirrhosis or microvascular dysplasia is considered unlikely.
4. T13-L1 intervertebral disc disease.</t>
  </si>
  <si>
    <t>Supportive management including rehydration, gastroprotectants,  full blood work,  if clinically indicated is advised, if not already performed. Repeat 3-view post treatment radiographs depending on clinical progression or consider an abdominal ultrasound.</t>
  </si>
  <si>
    <t xml:space="preserve">
1.No abnormal AI findings reported._x000D_
2.No abnormal AI findings reported._x000D_
3.Liver and splenic size, shape and margin are unremarkable._x000D_
4.The stomach is empty._x000D_
5.The small bowel is diffusely fluid- and gas-filled with a semi-rigid appearance._x000D_
6.On the VD projection, right cranial abdominal detail is decreased and the individual bowel loops cannot be distinguished.</t>
  </si>
  <si>
    <t>Abdomen: On the left lateral view there is a somewhat unusual fragmented gas pattern associated with the ventral portions of the gastric lumen.  On the ventrodorsal view there is an unusual gas pattern located within the left cranial abdomen that has parallel soft tissue opacities.  The remainder of the abdomen is unremarkable.</t>
  </si>
  <si>
    <t>The unusual opacity within the ventral portion of the gastric lumen on the left lateral view may be incidental and represent thickening of gastric folds or possible normal ingesta.  Alternatively foreign material cannot be ruled out._x000D_
_x000D_
The unusual gas pattern within the left cranial abdomen on the ventrodorsal view may represent a summation artifact however a foreign body within a segment of bowel cannot be ruled out.</t>
  </si>
  <si>
    <t xml:space="preserve">
1.Liver size, shape and margin are normal._x000D_
2.The spleen is mildly enlarged overall with smooth, well-defined margins and homogeneous soft tissue._x000D_
3.Mid-abdominal detail is decreased._x000D_
4.The gastric rugae are mildly prominent or the stomach contains material that mimics the appearance of prominent gastric rugae._x000D_
5.The small intestine contains a mild volume of gas, fluid or is empty._x000D_
6.Overall, the small intestine is normal in size._x000D_
7.A portion of the colon is gas filled and has a rigid appearance.</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</si>
  <si>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WNL._x000D_
_x000D_
Visible spine is unremarkable without signs of disc herniation, aggressive bone lesions, vertebral fractures or subluxations (thoracic spine is poorly visualized due to rotation and exposure)._x000D_
In the visible pelvis there is a collapsed left femoral head being abnormally shaped with widening of the acetabulum and som free fragments._x000D_
Both stifles show abnormal medial bowing of the proximal tibiae with at least slight medial patellar luxation in the left stifle.</t>
  </si>
  <si>
    <t>1) Unremarkable thorax and abdomen._x000D_
2) Unremarkable visible spine does not exclude extradural, intramural nor intramedullary conditions._x000D_
3) Left coco-femroal joint changes most consistent with an old avascular necrosis of the left femoral head and neck (Legg Calve Perthes)_x000D_
4) Bilateral medial bowing of the proximal tibiae with at least slight medial patellar luxation in the left stifle. Rule out also right MPL.</t>
  </si>
  <si>
    <t>Consider a neuro exam with MRI if necessary: if the neuro exam is negative, consider an orthopedic exam under sedation with radiographs of the affected region.</t>
  </si>
  <si>
    <t xml:space="preserve">
1.The small bowel is diffusely gas- and fluid-filled without segmental small bowel dilation._x000D_
2.The stomach contains a mild to moderate volume of gas and soft tissue material. The gastric axis is cranially positioned due to the microhepatia._x000D_
3.The colon contains mild to moderate heterogeneous soft tissue material and gas._x000D_
4.Splenic size, shape and margin are normal._x000D_
5.Mild microhepatia is present with cranial positioning to the gastric axis._x000D_
6.Resource: https://platform.v2.vetology.net/doc/microhepatia_and_giulcers_x000D_
7.Abdominal detail is normal.</t>
  </si>
  <si>
    <t>A three view thoracoabdominal study is provided for interpretation._x000D_
_x000D_
There is a mild reduction in overall detail and a subtle appearance of nodular shadows in the area of the pancreas in the right lateral and VD views. This is not appreciated in the left lateral view. The stomach and intestine appear normal. The liver is slightly enlarged, with normal shape and smooth margins. The kidneys, spleen, and bladder are unremarkable. There is normal appearing fecal material in the colon._x000D_
_x000D_
The cardiovascular structures are within normal limits. No pulmonary infiltrates or pleural abnormalities are identified. No esophageal abnormalities are seen.</t>
  </si>
  <si>
    <t>There is subtle nodular opacity with slightly reduced detail in the area of the pancreas and two of the three views, but this is a subtle and equivocal change overall. No definitive mass lesion is seen, and artifactual causes of the suspicious appearance cannot be excluded._x000D_
No foreign bodies or obstructive pattern are identified._x000D_
_x000D_
There is slight liver enlargement. This is a nonspecific change that could be associated with significant diffuse liver disease, but is also sometimes seen as an incidental finding.</t>
  </si>
  <si>
    <t>There are mild changes in the pancreatic area, primary differentials include pancreatitis and early pancreatic neoplastic infiltration._x000D_
The radiographic changes are subtle, so gastroenteritis or metabolic disease should also be ruled out, since the radiographic pancreatic area changes are not definitive._x000D_
_x000D_
Symptomatic therapy and supportive care is recommended._x000D_
If clinical signs are not responding adequately to medical management over the next 48 hours, more definitive anatomic imaging such as ultrasound is recommended.</t>
  </si>
  <si>
    <t xml:space="preserve">
1.The small intestines are mainly fluid-filled, and mild-to moderately dilated._x000D_
2.The colon contains gas and feces._x000D_
3.The spleen is normal._x000D_
4.The stomach contains a mild volume of gas and fluid._x000D_
5.The peritoneal serosal detail is normal._x000D_
6.The liver has a normal shape, size and margination.</t>
  </si>
  <si>
    <t>Opposite lateral views of the abdomen are provided:_x000D_
_x000D_
Abdomen:_x000D_
_x000D_
The stomach is empty. No evidence of radiopaque foreign bodies in the GI tract._x000D_
Small intestines are mildly gas and fluid filled, not overtly distended. No signs of mechanical ileus._x000D_
Serosal detail is preserved._x000D_
Liver and spleen are within normal limits of size and smoothly marginated._x000D_
Kidneys and urinary bladder WNL.</t>
  </si>
  <si>
    <t>1) Unremarkable abdomen (incomplete exam without a VD view).</t>
  </si>
  <si>
    <t>Consider abdominal US for further evaluation of the clinical signs.</t>
  </si>
  <si>
    <t xml:space="preserve">
1.The stomach contains a small amount of gas._x000D_
2.Splenic size, shape and margin are normal._x000D_
3.Abdominal detail is normal._x000D_
4.The small bowel is diffusely gas- and fluid-filled without segmental small bowel dilation._x000D_
5.The liver is mildly enlarged but retains a smooth margin.</t>
  </si>
  <si>
    <t>Study:_x000D_
Pelvic and pelvic limb radiography: three images dated August 11, 2024_x000D_
_x000D_
Findings:_x000D_
The included lumbosacral spine is unremarkable with no intervertebral disc space or foraminal narrowing. The coxofemoral joints are normal with good coverage of the femoral head by the acetabulum bilaterally. The patella is in the correct anatomic location bilaterally. There is increased soft tissue opacity within the left stifle joint space in comparison to the right stifle. There is a simple, short oblique, fracture of the proximal diaphysis of the left fibula. The margins of the fracture are rounded suggesting chronicity. There is a moderate decrease in left pelvic limb muscle mass in comparison to the contralateral limb. The included abdomen is unremarkable._x000D_
_x000D_
A human digit is present in the primary beam on the right lateral view.</t>
  </si>
  <si>
    <t>1. Left stifle joint effusion/capsular thickening suggestive of cranial cruciate and/or meniscal injury._x000D_
2. Chronic left fibular fracture._x000D_
3. Left pelvic limb muscle atrophy, likely disuse.</t>
  </si>
  <si>
    <t>Orthopedic consultation plus/minus left stifle surgical stabilization can be considered if the lameness persists in spite of ongoing pain management and activity restriction.</t>
  </si>
  <si>
    <t>Consider abdominal US to further evaluate the liver and entire abdomen. Given the clinical signs and age of the patient consider also a cardiology consultation with ECG and echocardiogram.</t>
  </si>
  <si>
    <t>A two view study of the abdomen is provided for interpretation._x000D_
_x000D_
There is a mild increase in overall intestinal gas. No dilation or plication the intestine is seen. The stomach appears empty and contracted. In the lateral view, there is an unusual coverture of the path of the rectum in the pelvic canal. Deviates dorsally at the caudal aspect of the pelvic canal, then ventrally. The bladder appears empty and is not clearly visible. It may be partially within the pelvic canal. The spleen is prominent but still felt to be within normal limits. The other organs are unremarkable. Serosal detail is adequate given the fairly thin body condition of the patient.</t>
  </si>
  <si>
    <t>We upper GI tract appears empty and mildly gassy. The appearance is compatible with gastroenteritis._x000D_
_x000D_
There is focal deviation of the rectum in the pelvic canal, the appearance of which is unusual. Clinical significance is unknown=ZZ90= the displacement appears suspicious for extramural mass effect. Transient artifactual causes cannot be ruled out. Relevance to the acute clinical signs is probably limited. This might be an incidental finding.</t>
  </si>
  <si>
    <t>Supportive care and symptomatic therapy for gastroenteritis/pancreatitis is recommended._x000D_
Infectious causes of enteritis should be ruled out._x000D_
_x000D_
If clinical signs not resolve over the next few days, or persistent abnormalities of defecation are seen, a follow-up lateral view of the pelvic canal region is recommended.</t>
  </si>
  <si>
    <t>Left lateral and VD thoracoabdominal views are provided for interpretation._x000D_
_x000D_
The cardiovascular structures are within normal limits. The caudal esophagus is faintly visible as a subtle band of opacity in the lateral view. It does not appear dilated or significantly abnormal. No pulmonary infiltrates or pleural effusion are seen. The trachea is normal._x000D_
_x000D_
There is a small quantity of granular and fragmented mineral density in the stomach and in the colon. No dilation of the stomach or intestine is seen. The gastric wall appears mildly thickened. The small intestine appears empty and unremarkable. Serosal detail in the abdomen is normal. The other organs are within normal limits.</t>
  </si>
  <si>
    <t>The caudal thoracic esophagus is visible in the lateral view. The caudal esophagus is not normally visible, but is transiently visible occasionally, with variable clinical significance. This could be seen incidentally, or secondary to gastroesophageal reflux or distal esophageal thickening. Clinical significance in this case is unknown._x000D_
_x000D_
The stomach has a mildly thickened appearance. This is not severe enough to be considered a reliable survey radiographic finding, but more advanced follow up imaging is indicated. The small quantity of mineral dense foreign material in the GI tract could be considered evidence of dietary indiscretion but does not appear to present obstruction hazard. The rest of the abdomen is unremarkable.</t>
  </si>
  <si>
    <t>Endoscopy or ultrasound examination of the stomach should be considered.</t>
  </si>
  <si>
    <t xml:space="preserve">
1.The stomach is contains a mild amount of food material, and has a mildly caudally displaced axis._x000D_
2.The small intestines contain an increased amount of gas for a feline patient._x000D_
3.The transverse colon is moderately gas dilated._x000D_
4.The descending colon contained some poorly formed faeces and gas._x000D_
5.The spleen is positioned along the left body wall._x000D_
6.The peritoneal serosal detail is normal._x000D_
7.The hepatic silhouette is mildly enlarged, with smooth margins.</t>
  </si>
  <si>
    <t xml:space="preserve">Patient Name : daisy mae matthews, Date of study: Aug 12, 2024
4 images are provided for review
There are no previous radiographs for comparison.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fluid and mild gas.  Mild mineral is in the pylorus in the right lateral image.   Gas is in the pylorus in the left lateral image. The stomach is within normal limits for size.
The small intestine contains mild gas and minimal to mild fluid or is empty with a subjectively uniform population for size.   Few segments of small intestine contain small mineral foci.  
The colon contains minimal heterogeneous soft tissue material and gas.  The colon is within normal limits for size.  
Musculoskeletal: The included musculoskeletal structures are normal.
</t>
  </si>
  <si>
    <t xml:space="preserve">1. Gastric mineral material due to dietary indiscretion and gastritis/delayed gastric emptying.
- No current evidence of pyloric outflow tract obstruction.  
2. Non-specific small intestinal and colon appearance such as from enteritis/colitis, or given reported history unlikely individual variation of normal.
- There is no current evidence of gastrointestinal mechanical ileus.
- Differential diagnoses include dietary indiscretion (such as from gastric and intestinal mineral material) versus, toxin ingestion, diet/antibiotic responsive disease, inflammatory bowel disease, pancreatitis, occult systemic disease or unlikely other.
3. Microhepatia versus variation of normal.
- If present, consider occult portosystemic shunting vessel or unlikely other.
</t>
  </si>
  <si>
    <t>Consider GI panel, bile acid testing, fecal analysis/deworming, and routine blood work for further evaluation.  Empirical therapy and supportive care in the interim as needed.  Monitoring as directed or sooner if clinical signs acutely change, fail to improve or worsen.</t>
  </si>
  <si>
    <t>Opposite lateral and VD views of the thorax and abdomen are provided._x000D_
_x000D_
In the right lateral thorax view, the caudal waist of the cardiac silhouette has a slight bulge that was not seen in the previous radiographs dated 2-2-24. This is not appreciated in the other views. Overall heart size is still within normal limits at the upper end of normal range. The pulmonary vessels and parenchyma are within normal limits for patient age._x000D_
_x000D_
There is a small quantity of amorphous soft tissue dense ingesta in the stomach. Tiny mineral density compatible with a small piece of gravel is also seen. Similar small granular and fragmented mineral densities are present within the fecal material in the colon. No dilation of the stomach or intestine is seen. Abdominal serosal detail is normal. A linear metal foreign body compatible with a short segment of fine wire is identified superimposed over the liver in the lateral views. This cannot be localized in the VD view, and was present in the previous radiographs six months ago. The other abdominal organs are unremarkable._x000D_
_x000D_
There are changes at L1-L2 consistent with the history of previous hemi laminectomy.</t>
  </si>
  <si>
    <t>The small quantity of granular and fragmented mineral density in the GI tract is minimal, and not expected to be clinically significant. No obstructive pattern or foreign objects of significant size are identified. No findings concerning for neoplasia or peritonitis are seen._x000D_
_x000D_
The small wire segment in the area of the liver is presumed to be an incidental finding of limited significance._x000D_
_x000D_
The shape of the heart suggests that slight left atrial dilation might be present, this could still be benign variation or artifact. Convincingly significant cardiac chamber dilation is not appreciated. Significant.</t>
  </si>
  <si>
    <t xml:space="preserve">
1.Abdominal detail is normal._x000D_
2.Small small-volume amorphous soft tissue opacity is present within the stomach. The small bowel is diffusely gas- and fluid-filled without segmental small bowel dilation._x000D_
3.Liver size, shape and margin are normal._x000D_
4.Splenic size, shape and margin are normal.</t>
  </si>
  <si>
    <t>Three radiographs of the abdomen are provided. The liver is mildly enlarged with smooth margins. Mid abdominal detail is reduced. There is a curvilinear 2.0 cm metal opaque wire object in the cranioventral peritoneal space, likely incidental chronic migrated gastric foreign material. The splenic head has smoothly lobulated margins on the VD projection. The kidneys are obscured. The gastrointestinal tract is mildly filled. The prostate is mildly enlarged, consistent with the reproductive status of the patient. Normal caudal thorax.</t>
  </si>
  <si>
    <t>Mild hepatomegaly and lobulated spleen. Neoplasia such as lymphoma is of concern. An inflammatory process or steroid hepatopathy with concurrent splenic lymphoid hyperplasia are next on the differential list. Reduced abdominal detail may be due to scant effusion versus scatter artifact.</t>
  </si>
  <si>
    <t>6 images of the thorax and abdomen are presented for review.  The trachea is dorsally deviated, indicating left ventricular enlargement.  The cardiac silhouette is also mildly widened with rounding of the right ventricular border.  The trachea is narrowed in the caudal cervical region.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and spleen are overall normal in size mildly rounded.  The stomach contains a moderate amount of ingesta.  The small intestines are normal in size.  Gas and feces are present in the colon.  The cecum is gas-filled.  The urinary bladder is small.  The remaining abdominal organs are normal.</t>
  </si>
  <si>
    <t>Mild rounding of the liver and spleen are nonspecific but may be seen with autoimmune disease, congestion, inflammation, neoplasia.  Abdominal ultrasound could be considered if clinically indicated.  Mild generalized cardiomegaly.  Echocardiography may be helpful.  Tracheal narrowing suggestive of tracheal collapse.</t>
  </si>
  <si>
    <t xml:space="preserve">Patient Name : Cooper Thompson, Date of study: Aug 12, 2024
4 images are provided for review
There are no previous radiographs for comparison. Respiratory motion in the ventrodorsal image.
Liver: The liver is small with cranial displacement of the gastric axis.
Spleen: The spleen is normal in size with smooth margins and homogeneous soft tissue.
Kidneys: The kidneys are obscured without obvious enlargement or mineral.
Retroperitoneum: Retroperitoneal detail is adequate.
Urogenital: The urinary bladder is partially obscured without obvious enlargement or mineral.
Peritoneum: Peritoneal detail is adequate.
Gastrointestinal tract: The stomach contains a moderate volume of gas.   The stomach is within normal limits for size.
The small intestine contains mild  fluid or is empty with a subjectively uniform population for size. 
The colon contains moderate heterogeneous admixed soft tissue material and gas.  The colon is within normal limits for size.  
Musculoskeletal: L7 vertebra is transitional and sacralized bilaterally.  The remaining included musculoskeletal structures are normal.
</t>
  </si>
  <si>
    <t>1. Non-specific gastrointestinal tract appearance such as from enteritis, or unlikely given reported history individual variation of normal.
- There is no current evidence of gastrointestinal mechanical ileus.
- Differential diagnoses include dietary indiscretion and passing foreign material (especially given reported history), toxin ingestion,  or unlikely diet/antibiotic responsive disease, inflammatory bowel disease, pancreatitis, occult systemic disease or unlikely other.
2. Microhepatia versus artifact from positioning/technique and phase of respiration.
- If present, consider occult portosystemic shunt or unlikely other.</t>
  </si>
  <si>
    <t xml:space="preserve"> Empirical therapy and supportive care in the interim as needed for reported dietary indiscretion.  Repeat abdominal radiographs or consider ultrasonography if signs fail to improve or worsen.  Consider GI panel, bile acid testing, fecal analysis/deworming, and routine blood work if signs fail to improve and imaging is inconclusive. Monitoring as directed or sooner if clinical signs acutely change, fail to improve or worsen.</t>
  </si>
  <si>
    <t xml:space="preserve">
1.The liver and spleen are normal size._x000D_
2.The right cranial quadrant has a hazy appearance on the VD projection otherwise serosal detail is adequate._x000D_
3.No abnormal AI findings reported._x000D_
4.In the abdomen the stomach contains small volume gas, soft tissue and mildly prominent rugae._x000D_
5.Small intestines are minimally filled. No small intestinal segmental dilation is noted._x000D_
6.The colon contains gas and scant semiformed feces.</t>
  </si>
  <si>
    <t>Patient Name : Waffles Preston, Date of study: Aug 12, 2024
2 images are provided for review
Canine Abdomen (2 Images) - 1 Vd, 1 Lateral
There are no previous radiographs for comparison. These images are submitted for assessment of the vertebral column.
Vertebral column: There is minimal narrowing at T11-T12 with normal vertebral endplates. There is ventral spondylosis deformans at L2-L3, with normal intervertebral disc and normal vertebral and plates. There is mild narrowing of the intervertebral disc space at L4-5, with smooth vertebral and plates and ventral spondylosis. No mineralised material is seen anywhere dorsal to the intervertebral disc spaces.</t>
  </si>
  <si>
    <t>1. Mild intervertebral disc disease at T11-T12, and L4-L5. Occult intervertebral disease such as intervertebral disk protrusion or other spinal cord pathology including embolic (FCE), high velocity disk, inflammatory or neoplastic disease or degenerative myelopathy is not excluded .
2. Multisite spondylosis deformans.</t>
  </si>
  <si>
    <t>No site of clear extradural compression is seen. Full neurologic examination if not already performed. Considering patient has proprioceptive deficits and is worsening in general, referral to a neurologist for discussion regarding feasibility of MRI vs. CT of the spine is advised.</t>
  </si>
  <si>
    <t>Orthogonal views of the thorax, abdomen, and pelvis are provided. There are six images total._x000D_
_x000D_
The pelvis and hip joints are within normal limits. No spinal abnormalities are identified. No fractures or soft tissue swelling are seen._x000D_
Serosal detail in the abdomen is within normal limits considering the young age of the patient. The liver appears mildly enlarged, but this is also a typical age related variant in juvenile patients._x000D_
The cardiovascular structures are unremarkable. No pulmonary infiltrates or pleural effusion are identified.</t>
  </si>
  <si>
    <t>No significant anatomic abnormalities are identified._x000D_
There is no radiographic evidence of significant traumatic injury.</t>
  </si>
  <si>
    <t>Symptomatic therapy and restricted activity for possible soft tissue injury not visible in the radiographs is recommended.</t>
  </si>
  <si>
    <t xml:space="preserve">
1.Abdominal detail is normal._x000D_
2.Liver size, shape and margin are normal._x000D_
3.The stomach contains gas and ingesta or prominent rugae. The small bowel is diffusely fluid filled but without segmental small bowel dilation._x000D_
4.Splenic size, shape and margin are normal.</t>
  </si>
  <si>
    <t>Opposite lateral views of the thorax that include the cranial abdomen are provided. A previous study assisting of opposite lateral thoracoabdominal views dated 5-21-24 is available for comparison. This study showed a moderate bronchial pattern._x000D_
_x000D_
A mild bronchial pattern is suspected in the current radiographs. Interpretation is hindered by respiratory motion artifact. The appearance of bronchial markings is less prominent than in the previous study. No alveolar infiltrates are identified. No pleural effusion or mass effect is seen. The trachea is within normal limits. The cardiovascular structures are unremarkable. No abnormalities are seen in the cranial abdomen.</t>
  </si>
  <si>
    <t>There is a mild to moderate bronchial pattern. The appearance is less prominent than the previous radiographs and is within the limits of what might be seen on the basis of breed associated bronchial markings and hypoinflation artifact. No evidence of pneumonia is seen._x000D_
 No cardiovascular abnormalities are identified.</t>
  </si>
  <si>
    <t>No additional treatment or diagnostics are recommended at this time.</t>
  </si>
  <si>
    <t>Two views of the abdomen are provided for review.  Serosal detail is adequate in all quadrants.  The stomach contains a small amount of gas and the rugal folds are prominent.  The small intestines are normal in size.  Gas and feces are present in the colon.  The urinary bladder is small.  The remaining abdominal organs are normal.  Hemivertebrae are present in the thoracic and caudal spine.  There is spondylosis deformans of the thoracolumbar and lumbosacral spine.</t>
  </si>
  <si>
    <t>Five radiographs of the spine are provided. No cervical spinal abnormalities. Mild narrowed T9-10 and T10-11 intervertebral disc spaces. Incidental hypoplastic left 13th rib. No lumbar spinal abnormalities. There is no endplate lysis. Cardiovascular structures are normal size. The lungs are clear. No pleural effusion. Adequate tracheal diameter. In the abdomen there is no effusion or organomegaly. Thin curved mineral density dorsal to the ilial wings is incidental apophysis.</t>
  </si>
  <si>
    <t>Narrowed T10-11 intervertebral disc space is an incidental anatomic variant. Narrowed T9-10 is unexpected and could represent a protruding/extruded intervertebral disc, however is uncommon in this area due to presence of the dorsal longitudinal ligament. No other spinal abnormalities are appreciated. Non-mineralized intervertebral disc protrusion/extrusion remains possible. The thorax and abdomen are normal.</t>
  </si>
  <si>
    <t>If the patient does not continue to improve, advanced spinal imaging with MRI should be considered.</t>
  </si>
  <si>
    <t xml:space="preserve">Patient Name : Thila Cruz, Date of study: Aug 12, 2024
4 images are provided for review
There are no previous radiographs for comparison.
Findings:
Airway findings: A smoothly marginated soft tissue opacity is variably present overlying the dorsal aspect of the trachea at the thoracic inlet. This opacity reduces approximately 50% of the dorsoventral diameter of the trachea. The intrathoracic tracheal diameter is variable. Throughout the lung parenchyma there is a mild interstitial opacification.
Cardiovascular findings: There is a small smoothly marginated soft tissue opacity contiguous with the caudal dorsal border of the cardiac silhouette. A soft tissue opacity is superimposed on the caudal cardiac silhouette in the dorsoventral image.  The overall cardiac silhouette is mildly enlarged. The pulmonary vessels as well as the mainstem vasculature are normal.
Mediastinum and pleural space: There is mild ventral and cranial mediastinal fat.
Musculoskeletal findings: There is compression and dorsal displacement of the vertebral body of T5, with surrounding smoothly marginated bony modelling and ventral spondylosis.
Included abdomen: The urinary bladder appears distended. The several masslike lesions are visible superimposed on the urinary bladder. The caudal aspect of the urinary bladder is not included.
</t>
  </si>
  <si>
    <t>1. The dorsal attenuation of the trachea is consistent with tracheomalacia, and/or redundant trachealis membrane. The extent of attenuation would be expected to cause coughing.
2. Left atrial dilation with mild left-sided cardiomegaly. This is most likely due to mixoid degeneration of the mitral valve. There is no evidence for cardiac insufficiency. 
3. The mild homogenous interstitial opacification is most likely due to body habitus. Cardiogenic pulmonary oedema is considered less likely.
4. Caudal abdominal mass lesions: Considering neutered state, this is likely due to a reproductive tract neoplasm. A urinary bladder neoplasm should be considered.
5. Likely  congenital vertebral abnormalities, or historic vertebral body fracture.</t>
  </si>
  <si>
    <t>Consider evaluation for airway collapse (fluoroscopy vs. right lateral inspiratory and expiratory radiographs vs. CT with virtual bronchoscopy). Alternatively consider medical management. 
Radiography is insensitive for early cardiac insufficiency, therefore ECG, blood pressure measurements, and echocardiography may be considered for further evaluation, or baseline measurements.
Three view abdominal series and a complete abdominal ultrasonographic examination is advised, with a view to FNA of abnormal organs, after complete blood work, and a normal coagulation panel.</t>
  </si>
  <si>
    <t xml:space="preserve">
1.Abdominal detail is satisfactory_x000D_
2.Splenic size, shape and margin are normal._x000D_
3.The small intestines are predominantly fluid-filled._x000D_
4.No segmental small bowel dilation is identified._x000D_
5.There is a moderate amount of soft-tissue dense material present in the stomach._x000D_
6.The liver is mildly enlarged with rounding to the caudoventral liver margin.</t>
  </si>
  <si>
    <t xml:space="preserve">
1.No gastrointestinal abnormalities are appreciated. No signs of obstruction._x000D_
2.No abnormal AI findings reported._x000D_
3.The liver and spleen are normal size with smooth margins._x000D_
4.In the abdomen there is no effusion.</t>
  </si>
  <si>
    <t>Study:_x000D_
Abdominal radiography: four images dated August 12, 2024_x000D_
_x000D_
Findings:_x000D_
The stomach contains a small volume of gas. The thickness of the gastric wall and rugae are considered within normal limits for the degree of gastric distention.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There is no prostatomegaly. The included thorax is normal.</t>
  </si>
  <si>
    <t xml:space="preserve">
1.The stomach contains gas and ingesta or prominent rugae. The small bowel is diffusely fluid filled but without segmental small bowel dilation._x000D_
2.Splenic size, shape and margin are normal._x000D_
3.Abdominal detail is normal._x000D_
4.Liver size, shape and margin are normal.</t>
  </si>
  <si>
    <t>3 images of the abdomen are presented for review.  Serosal detail is adequate in all quadrants.  The stomach contains a moderate amount of mottled soft tissue material.  Multiple small intestinal segments are dilated with gas and plicated.  These are above normal limits for size and larger than other segments.  Gas and feces are present in the colon.  The urinary bladder is small.  The remaining abdominal organs are normal.</t>
  </si>
  <si>
    <t>Segmental small intestinal dilation with plication consistent with linear foreign body obstruction.  Gastric contents suggest additional foreign material.</t>
  </si>
  <si>
    <t xml:space="preserve">
1.The liver is enlarged with rounded borders._x000D_
2.There is decreased detail in the cranial abdomen._x000D_
3.The spleen is within normal limits._x000D_
4.The small intestinal track is mostly fluid filled uniform in diameter._x000D_
5.The stomach is partially distended with food material and fluid._x000D_
6.The colon is gas filled in corrugated.</t>
  </si>
  <si>
    <t>Three radiographs of the thorax/abdomen, and three views of the pelvic limbs are provided. The cardiac silhouette and pulmonary vessels are normal size and shape. There are no abnormalities in the pulmonary parenchyma. No pleural effusion. Normal tracheal diameter. Small volume fluid in the caudal esophagus is transient and incidental. In the abdomen formed feces fills the colon. The stomach and small bowel are minimally filled. Serosal detail is adequate. Normal-sized liver and spleen. The kidneys are obscured by superimposed bowel loops. The urinary bladder is mildly filled and soft tissue opaque. No lumbar spinal abnormalities. Both coxofemoral joints are congruent. Pelvic limb musculature is approximately symmetric. Patella location is normal. No stifle joint effusion is appreciated. There is moderate soft tissue thickening encircling the distal tibias and extending into the pes bilaterally. No osseous lysis, radiopaque foreign material, or emphysema.</t>
  </si>
  <si>
    <t>Distal pelvic limb soft tissue swelling, with no underlying osseous abnormalities. A reason for the edema is not identified. The thorax and abdomen are normal.</t>
  </si>
  <si>
    <t>Three radiographs of the abdomen are provided. There is no peritoneal or retroperitoneal effusion. The stomach contains a large amount of soft tissue density that is stippled with gas. Small intestines are mildly filled with fluid and gas. There is gas in the cecum and colon. No radiopaque foreign material. Normal-sized liver, spleen, left kidney. The right kidney is incompletely visible. The prostate is not enlarged. There is a small pocket of stippled gas lucencies in the caudoventral right extra-abdominal tissues. No intra-abdominal free gas. Normal caudal thorax.</t>
  </si>
  <si>
    <t>Gas in the caudoventral right extra-abdominal tissue consistent with recent surgery. No intra-abdominal abnormalities. Gastric contents appears to be normal ingesta. All or a portion of gastric contents could be foreign material causing gastritis and intermittent pyloric outflow obstruction. There is no evidence of small bowel obstruction.</t>
  </si>
  <si>
    <t>Recommend supportive care and fasted abdominal radiographs +/- positive contrast gastrogram to rule out gastric foreign material. With the volume of gastric contents, extended fast may be necessary.</t>
  </si>
  <si>
    <t xml:space="preserve">
1.No abnormal AI findings reported._x000D_
2.The liver is at the upper limits of normal for size and retains a smooth margin. The spleen appears within normal limits._x000D_
3.Abdominal detail is normal._x000D_
4.The stomach is mildly gas and fluid filled with some soft tissue density material. The small bowel is gas and fluid-containing. No obvious obstruction.</t>
  </si>
  <si>
    <t>The AI result for this case is most compelling for: Borderline hepatomegaly. This is a nonspecific finding that may be due to fat deposition, steroid, or endocrine hepatopathy.</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</si>
  <si>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remaining abdominal organs are normal.  There is spondylosis deformans at the lumbosacral space and at L1-2.  The vertebral endplates are sclerotic and mildly irregular at the lumbosacral space.</t>
  </si>
  <si>
    <t>Radiographically normal abdomen.  Radiographically normal thorax for patient of this age.  Lumbosacral changes may be degenerative or indicate chronic discospondylitis.</t>
  </si>
  <si>
    <t>3 views of the abdomen are provided for review.  Thin-walled mineral is seen in the right ventral liver.  Serosal detail is adequate in all quadrants.  The stomach contains a small amount of gas and the rugal folds are prominent.  The small intestines are normal in size.  Gas and feces are present in the colon.  The urinary bladder is small.  The remaining abdominal organs are normal.</t>
  </si>
  <si>
    <t>Prominent rugal folds suggestive of gastritis.  This does not rule out underlying pancreatitis or infiltrative neoplasia.  Mineral in the right ventral liver may represent cholelithiasis.  Secondary consideration is given to porcelain gallbladder (mineralization gallbladder wall secondary to chronic cholecystitis).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</si>
  <si>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is present in the colon.  The urinary bladder is moderately distended.  Tubular soft tissue structures overlying the cranial dorsal aspects of the urinary bladder and extends along the lateral aspects of the abdomen.  The remaining abdominal organs are normal.</t>
  </si>
  <si>
    <t>Suspect enlarged uterus. Consider pyometra, mucometra, hydrometram neoplasia.  Consider abdominal exploratory.  Radiographically normal thorax for patient of this age.</t>
  </si>
  <si>
    <t xml:space="preserve">
1.The liver is enlarged with rounded borders._x000D_
2.There is decreased detail in the cranial abdomen._x000D_
3.The stomach is partially distended with food material and fluid._x000D_
4.The small intestinal track is mostly fluid filled uniform in diameter._x000D_
5.The colon is gas filled in corrugated._x000D_
6.The spleen is within normal limits.</t>
  </si>
  <si>
    <t>Three radiographs of the thorax, and two views of the abdomen are provided. Images dated 2/22/22 are available for comparison. The cardiac silhouette and pulmonary vessels are normal size and shape. The lungs are clear. There is no pleural effusion. Normal tracheal diameter. No definitive cervicothoracic spinal abnormalities._x000D_
_x000D_
In the abdomen there is no effusion or organomegaly. The gastrointestinal tract is minimally filled. Round 0.5 cm mineral density in the distal colon is incidental. No radiopaque urolithiasis. Generalized intervertebral disc material in situ at several sites in the lumbar spine is incidental. Punctate mineral density overlies the L3-4 intervertebral foramen. Increased opacity overlying the L6-7 intervertebral foramen is likely superimposed ilial wing. The coxofemoral joints are congruent. Patellar location is normal.</t>
  </si>
  <si>
    <t>The appearance of L3-4 is suggestive of a protruding/extruded intervertebral disc. Such a lesion at this or another site is the most likely cause for discomfort. No cervicothoracic spinal abnormalities are appreciated, however intervertebral disc disease at this level remains possible. The thorax and abdomen are normal.</t>
  </si>
  <si>
    <t>If there are no significant neurologic deficits, consultation with a neurologist and advanced spinal imaging with CT/MRI should be considered. Otherwise, this patient may benefit from anti-inflammatories and strict rest.</t>
  </si>
  <si>
    <t xml:space="preserve">
1.The stomach is normal. The small bowel is diffusely gas- and fluid-filled without segmental small bowel dilation._x000D_
2.Mild microhepatia is present on the VD projection, either due to the appearance or cropping of the cranial aspect of the liver on the VD projection. However, true microhepatia is not suspected based on the lateral projection._x000D_
3.Splenic size, shape and margin are normal._x000D_
4.Abdominal detail is normal.</t>
  </si>
  <si>
    <t>Three orthogonal radiographs of the abdomen dated 11th August 2024 are available for review. There are no previous radiographs available for comparison. _x000D_
_x000D_
Intra-abdominal findings: The stomach is empty with a normal axis. The small intestines are diffusely variably filled with gas and some irregular a mix of soft tissue opaque material and gas loculations. The descending colon contains poorly formed faeces. The hepatic silhouette is normal in size with smooth borders. The spleen is normal in shape, size and position. The kidneys are partially obscured by gastrointestinal contents, but the visible aspect are normal. The urinary bladder is small. The serosal detail is normal._x000D_
_x000D_
Extra-abdominal findings: No significant abnormalities are detected._x000D_
_x000D_
Included thorax: No significant abnormalities are detected.</t>
  </si>
  <si>
    <t>The overall impression is one of gastroenteritis/colitis.  This may be due to dietary indiscretion, or infectious-inflammatory causes. There is no evidence of a mineral opaque foreign body, or complete mechanical obstruction.  A partial obstruction by non-mineral opaque foreign material is unlikely.   Hemorrhagic gastroenteritis, or pancreatitis cannot be excluded.</t>
  </si>
  <si>
    <t>Supportive management including rehydration, gastroprotectants,  full blood work, faecal analysis if clinically indicated is advised, if not already performed. Depending on clinical progression consider an abdominal ultrasound.</t>
  </si>
  <si>
    <t>Five orthogonal radiographs of the caudal thoracic and lumbar vertebral column are available for review. There are no previous radiographs available for comparison. _x000D_
_x000D_
Vertebral column: There is minor mineralisation of the ventral aspect of the T12-T13 intervertebral disc. The intervertebral disc width is minimally reduced. The vertebral end platesf are smooth. Mild spondylosis is present at the lumbosacral junction. Both sacroiliac joints are normal.</t>
  </si>
  <si>
    <t>Mild T12-13 intervertebral disc disease. This can be associated with some back pain, unlikely the presenting clinical signs. Occult intervertebral disease such as intervertebral disk protrusion or other spinal cord pathology including embolic (FCE), high velocity disk, inflammatory or neoplastic disease or degenerative myelopathy is not excluded .</t>
  </si>
  <si>
    <t>Full neurologic and orthopaedic examination if not already performed. If no proprioceptive deficits or patients back pain is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can be considered</t>
  </si>
  <si>
    <t>Three orthogonal radiographs of the abdomen dated 11th August 2024 are available for review. There are no previous radiographs available for comparison. _x000D_
_x000D_
Intra-abdominal findings: The stomach is empty with some gas. There is appropriate gas in the pylorus on the left lateral image. The small intestines are variably filled/mildly dilated with some gas, fluid and soft tissue opaque material. No segmental dilation is noted. The descending colon contains fluid and gas. The urinary bladder is small. The serosal detail is normal.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</si>
  <si>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Pancreatitis cannot be excluded.</t>
  </si>
  <si>
    <t xml:space="preserve">
1.Abdominal detail is normal._x000D_
2.Liver size, shape and margin are normal._x000D_
3.Splenic size, shape and margin are normal._x000D_
4.The stomach contains gas and ingesta or prominent rugae, suggestive of gastritis. The small bowel is diffusely fluid filled but without segmental small bowel dilation.</t>
  </si>
  <si>
    <t>Four orthogonal radiographs of the abdomen dated 11th August 2024 are available for review. There are no previous radiographs available for comparison. _x000D_
_x000D_
Intra-abdominal findings: The stomach contains some gas and has a normal axis. The rugal folds are subjectively prominent. The small intestines are distributed evenly and are mainly empty. The ascending, transverse and descending colon have a normal position and are mainly empty. The serosal detail is normal. The urinary bladder is filled.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</si>
  <si>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Hemorrhagic gastroenteritis, or pancreatitis is unlikely.</t>
  </si>
  <si>
    <t xml:space="preserve">
1.No abnormal AI findings reported._x000D_
2.Small intestines are minimally filled._x000D_
3.The colon contains gas and scant semiformed feces._x000D_
4.The liver and spleen are normal size._x000D_
5.The cranial right quadrant has a hazy appearance on the VD projection otherwise serosal detail is adequate._x000D_
6.In the abdomen the stomach contains small volume gas, soft tissue and mildly prominent rugae.</t>
  </si>
  <si>
    <t>Study:_x000D_
Abdominal radiography: three images dated August 11, 2024_x000D_
_x000D_
Findings:_x000D_
The serosal detail is normal. The stomach contains a small amount of unstructured heterogeneous soft tissue material. The pylorus is probably gas-filled on the left lateral image. The small intestines are normal in size, course and content. The colon contains poorly formed fecal material with a normal diameter. The liver is normal in size and margin. The spleen is mildly to moderately enlarged coursing along the ventral abdomen on both lateral projections.. The kidneys are normal in size and contour. The urinary bladder is normal in size and opacity. The included thorax is normal. The osseous structures are unremarkable.</t>
  </si>
  <si>
    <t>1. Gastric contents likely represent ingesta. Foreign material can=ZZ91=t be completely excluded given the possible dietary indiscretion. There is no evidence of small test mechanical obstruction. Repeat fasted radiography can be considered to ensure gastric emptying. Alternatively, sonography can be considered if clinical signs persist or worsen in spite of medical management._x000D_
2. The generalized splenomegaly is nonspecific. Rule out extramedullary hematopoiesis, lymphoid hyperplasia, splenitis, congestion (of highest priority if sedated for radiographs) or infiltrative neoplasia. Sonography can be considered for further evaluation.</t>
  </si>
  <si>
    <t xml:space="preserve">
1.The liver and spleen are normal size and shape._x000D_
2.Serosal detail caudal to the stomach is mildly decreased on the lateral projection._x000D_
3.The stomach contains small-volume gas._x000D_
4.Small intestines are mildly filled with fluid and scant gas._x000D_
5.The colon is minimally filled._x000D_
6.No abnormal AI findings reported.</t>
  </si>
  <si>
    <t>Four orthogonal radiographs of the abdomen dated 11th August 2024 are available for review. These are compared with previous radiographs dated 10th August 2024._x000D_
_x000D_
Intra-abdominal findings: The previously described linear mineral opaque foreign body (bone fragment, other ) is still present within the pylorus and the right lateral image. The gastric axis is normal. There is no small intestinal diffuse or segmental dilation. The descending colon contains formed faeces. The urinary bladder is small. The hepatic silhouette is normal in size with smooth borders. The spleen is normal in shape, size and position. The kidneys are partially obscured by gastrointestinal contents, but the visible aspect are normal._x000D_
_x000D_
Extra-abdominal findings: A healed left femoral fracture with a long DCP plate and cerclage wire is present._x000D_
_x000D_
Included thorax: No significant abnormalities are detected.</t>
  </si>
  <si>
    <t>1. Retention of linear a mineral opaque foreign body in the stomach.</t>
  </si>
  <si>
    <t>The linear foreign body is unlikely to be causing obstruction, however a foreign body induced gastritis may be present. Endoscopic retrieval may be considered. Alternatively, continue monitoring.</t>
  </si>
  <si>
    <t xml:space="preserve">
1.Liver size, shape and margin are normal._x000D_
2.Splenic size, shape and margin are normal._x000D_
3.Serosal detail is adequate._x000D_
4.The small intestines have a diffuse fragmented gas pattern. No segmental small bowel dilation is identified.</t>
  </si>
  <si>
    <t>Primary differential consideration for the appearance of the gastric lumen include normal ingesta. However, if vomiting or anorexia are present, gastric foreign material becomes a consideration. Fragmented gas pattern associated with the small intestines which may be secondary to enteritis. No small intestinal obstruction is identified. The AI result for this case is most compelling  for:  normal post-prandial GI tract in a patient WITHOUT GI signs. In a patient WITH GI signs, gastric foreign material or low grade gastroenteritis is a consideration.</t>
  </si>
  <si>
    <t>Four orthogonal radiographs of the abdomen dated 11th August 2024 are available for review. There are no previous radiographs available for comparison. _x000D_
_x000D_
Intra-abdominal findings: The stomach contains gas and some granular material in the fundus. The gastric axis is normal. There is appropriate gas in the pylorus on the left lateral image. The small intestines are variable in shape and size, some are small with some gas and fluid, whereas there are other small intestinal segments which are mildly gas dilated. The ascending, transverse and descending colon contains an increased amount of compacted faeces with gas. In the central caudal aspect of the abdomen there is severe colonic dilation with compacted faeces. The distal descending colon contains only gas. The urinary bladder is small.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</si>
  <si>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1. Segmental colonic distension with compacted faeces: Differentials include partial colonic obstruction by non-radiopaque foreign material, unlikely colonic stricture or mural mass. Colonic torsion is also considered unlikely. The vomiting is likely due to reflux. A secondary gastritis is likely.</t>
  </si>
  <si>
    <t>Abdominal ultrasound is advised. Careful treatment for impaction may be considered. Repeat radiographs as clinically indicated. Depending on clinical progression, an explorative laparotomy may be considered, accepting the risk a nonsurgical lesion may be found.</t>
  </si>
  <si>
    <t xml:space="preserve">
1.Liver size, shape and margin are normal._x000D_
2.Splenic size is at the upper limits of normal to mildly enlarged but no mass is noted in the region of the spleen._x000D_
3.Abdominal detail is normal._x000D_
4.The stomach contains a small amount of gas and ingesta. The gastric rugae are prominent. The small bowel is diffusely gas- and fluid-filled without segmental small bowel dilation._x000D_
5.The colon is gas filled and a portion of the colon has a rigid appearance.</t>
  </si>
  <si>
    <t>Study:_x000D_
Abdominal radiography: three images dated August 11, 2024_x000D_
_x000D_
Findings:_x000D_
The stomach contains gas with the pylorus appropriately gas-filled on the left lateral image. There is a small amount of granular mineral scattered throughout the small intestines. The small intestines are normal in size and course. The colon contains formed fecal material. The liver and spleen are normal in size and margin. The renal silhouettes are are normal in size and contour. There is a 1 cm mineral opaque calculus in the urinary bladder. No calculi present in the region of the urethra. The included thorax is normal. The osseous structures are unremarkable.</t>
  </si>
  <si>
    <t>Cystolith. Recommend urinalysis for further evaluation. Consider dissolution versus cystotomy.</t>
  </si>
  <si>
    <t xml:space="preserve">
1.The liver is mildly enlarged._x000D_
2.Splenic size, shape and margin are normal._x000D_
3.Abdominal detail is within normal limits._x000D_
4.The stomach is mildly gas and fluid filled with some soft tissue density material. The small bowel is gas and fluid-containing. No findings to indicate obstruction.</t>
  </si>
  <si>
    <t>Study:_x000D_
Abdominal radiography: left lateral and orthogonal views (two images) dated August 10, 2024_x000D_
_x000D_
Findings:_x000D_
The serosal detail is normal. The stomach contains a small volume of gas the pylorus appropriately gas-filled on the left lateral image. The small intestines are normal in size, course and content. The colon contains a small volume of gas with a normal diameter. The liver and spleen are normal in size and margin. The kidneys are normal in size and contour. The urinary bladder is small poorly visualized just cranial to the pelvic inlet. The included thorax is normal. The T 13 vertebra is transitional with a hypoplastic rib on the right.</t>
  </si>
  <si>
    <t>Unremarkable abdomen. A cause of vomiting and anorexia is not evident. There is no radiographic evidence of gastrointestinal foreign material or small intestinal mechanical obstruction. Abdominal sonography can be considered for further evaluation if clinical signs persist or worsen in spite of medical management.</t>
  </si>
  <si>
    <t>Spine: Evaluation of the cervical intervertebral disc spaces on the lateral views is compromised by mild obliquity however there is no evidence of disc space collapse identified on the ventrodorsal views.  There are no abnormalities involving the cervical, thoracic, or lumbar vertebral columns.  _x000D_
_x000D_
Pelvis: There are no significant abnormalities identified.  There are no abnormalities involving either stifle._x000D_
_x000D_
Thorax: There is a mild diffuse bronchial interstitial pattern.  The cardiac silhouette and pulmonary vasculature are unremarkable._x000D_
_x000D_
Abdomen: There are no abnormalities identified.</t>
  </si>
  <si>
    <t>Mild bronchointerstitial pattern which may be age-related or bronchitis.</t>
  </si>
  <si>
    <t>Study:_x000D_
Abdominal radiography: three images dated August 10, 2024_x000D_
_x000D_
Findings:_x000D_
The serosal detail is normal. The stomach is empty. There is a small amount of indistinct granular soft tissue material in some small intestinal segments. The small intestines are normal in size and course. The colon contains formed fecal material. The liver and spleen are normal in size and margin. The kidneys are normal in size and contour. The urinary bladder is normal in size and opacity. There is no uterine dilation. The included thorax is normal. The osseous structures are unremarkable/age appropriate.</t>
  </si>
  <si>
    <t>Consider abdominal sonography for further evaluation if clinical signs persist or worsen in spite of medical management.</t>
  </si>
  <si>
    <t>Three radiographs of the thorax, two views of the abdomen, VD pelvis, and lateral view of each stifle are provided. The left ventricle is prominent. Pulmonary vessels are normal size. Mild unstructured interstitial pattern in the lungs is normal for the age of this patient. Narrowed cervical trachea on the left lateral view, of uncertain clinical significance today._x000D_
_x000D_
In the abdomen the stomach contains a moderate amount of amorphous soft tissue density, several small ovoid kibble-like contours, and a small accumulation of thin flat mineral densities that measure up to 2.0 x 0.3 cm. Normal size liver, spleen, kidneys. The small and large bowel are minimally distended. Narrowed T12-13 and spondylosis deformans at L6-7 are likely incidental. The coxofemoral joints are congruent. Pelvic limb musculature is symmetric. Both patellas appear medially displaced but may be exaggerated by positioning. There is small volume fluid in the cranial aspect of the stifle joints, worse on the right side.</t>
  </si>
  <si>
    <t>1. Bilateral mild stifle effusion most consistent with cranial cruciate ligament tear/rupture. This is worse on the right side, and is the most likely cause for lameness. Possible bilateral medial patellar luxation versus positional artifact. This should be correlated with palpation. Normal coxofemoral joints._x000D_
2. Gastric foreign material, of doubtful significance in the absence of vomiting. Otherwise normal abdomen._x000D_
3. Prominent left ventricle suggestive of chronic mitral valve disease. In the absence of a murmur, arrhythmia, or other cardiovascular abnormalities, this is likely incidental. No other thoracic abnormalities.</t>
  </si>
  <si>
    <t>Study:_x000D_
Thoracic/abdominal radiography: three images dated August 10, 2024_x000D_
_x000D_
Findings:_x000D_
The cardiac silhouette and pulmonary vasculature are normal in size. There is a moderate alveolar pattern in the caudal segment of the left cranial lung lobe. The pleural space is normal. There is no intrathoracic lymphadenopathy. The trachea is normal in diameter and course. There is a small volume of gas in the esophagus. The stomach contains a small volume of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 prostate is mildly enlarged with smooth margins. The patient has multiple, breed associated, congenitally anomalous thoracic vertebrae.</t>
  </si>
  <si>
    <t>1. The moderate alveolar pattern in the caudal segment of the left cranial lung lobe likely indicates pneumonia. Recommend empiric antibiotic therapy with repeat radiography in 10 to 14 days to monitor for response to treatment._x000D_
2. Mild prostatomegaly. Rule out intact normal variant, benign prostatic hyperplasia and/or prostatitis. The abdomen is otherwise unremarkable.</t>
  </si>
  <si>
    <t xml:space="preserve">
1.No abnormal AI findings reported._x000D_
2.The liver and spleen are normal for size, shape and contour._x000D_
3.The cranial peritoneal serosal detail is mildly reduced._x000D_
4.The stomach has a normal axis._x000D_
5.The small intestinal tract contains normal volumes of fluid, gas and ingesta._x000D_
6.The ascending, transverse and descending colon are in a normal position and contain gradually more formed feces.</t>
  </si>
  <si>
    <t>Study:_x000D_
Abdominal radiography: three images dated August 10, 2024_x000D_
_x000D_
Findings:_x000D_
The stomach contains a small volume of gas with the pylorus are probably gas-filled on the left lateral image. The small intestines are normal in size, course and content. The colon contains gas and a small amount of poorly formed fecal material with a normal diameter. The liver is normal in size and margin. The spleen is moderately enlarged coursing along the ventral abdomen on the right lateral view. The renal silhouettes are normal in size and contour. The urinary bladder is normal in size and opacity. The prostate is not clearly visualized. The included thorax is normal. No skeletal abnormalities are present.</t>
  </si>
  <si>
    <t>1. The generalized splenomegaly is nonspecific. Rule out juvenile or individual normal variant, extramedullary hematopoiesis, lymphoid hyperplasia, splenitis, congestion (of higher priority if sedated for radiography) or infiltrative neoplasia. Sonography can be considered for further evaluation._x000D_
2.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t>
  </si>
  <si>
    <t xml:space="preserve">
1.The liver and spleen are normal._x000D_
2.Serosal detail in the abdomen is normal. The abdomen is slightly tucked._x000D_
3.Rugal folds in the stomach appears slightly swollen._x000D_
4.No segmental dilation of the small intestine is seen._x000D_
5.The colon contains gas and has a rigid appearance._x000D_
6.No abnormal AI findings reported.</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</si>
  <si>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There is hypoplasia of the left 13th rib.  Spinal alignment is normal with no consistently narrowed intervertebral disc spaces.  The coxofemoral joints are congruent.  No fractures or aggressive osseous lesions are seen.</t>
  </si>
  <si>
    <t>Radiographically normal abdomen.  Radiographically normal thorax for patient of this age.  Hypoplastic rib.  Radiographically normal thoracolumbar spine.  This does not rule out intervertebral disc herniation or other causes of spinal cord compression.</t>
  </si>
  <si>
    <t>Study:_x000D_
Abdominal radiography: three images dated August 10, 2024_x000D_
_x000D_
Findings:_x000D_
The abdominal serosal detail is normal. There is a small linear mineral opacity in the pylorus on the right lateral projection.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 included thorax is normal. A metallic bone plate, associated screws and two cerclage wires constructs are present along the left distal femur. There is no peri-implant lucency There is widening of the mid-diaphysis of the left distal femur from fracture healing</t>
  </si>
  <si>
    <t>The mineral opacity pylorus likely indicates a foreign body. There is no evidence of secondary pyloric outflow obstruction. There is no evidence of small test mechanical obstruction.</t>
  </si>
  <si>
    <t>Repeat fasted radiography can be considered to monitor for persistence or resolution/passage of the mineral opacity in the stomach. Alternatively, sonography can be considered if clinical signs persist or worsen in spite of medical management.</t>
  </si>
  <si>
    <t>Study:_x000D_
Nine images that include the thorax, abdomen, pelvis and pelvic limbs dated August 10, 2024_x000D_
_x000D_
Findings:_x000D_
The imaged spine is unremarkable. There is no intervertebral disc space or foraminal narrowing. There is no evidence of discospondylitis. There are no vertebral fractures or luxations. There is good coverage of the femoral head by the acetabulum bilaterally. The patella is in the correct anatomic location bilaterally. The degree of soft tissue opacity within the stifle joint spaces appears within normal limits. No degenerative change is present in either stifle. The bones of the tarsus and pes are unremarkable bilaterally. The pelvic limb musculature is bilaterally symmetric. The included portions of the thoracic limbs are unremarkable.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One of the liver lobes has a rounded caudoventral margin. The spleen is normal in size and margin. The kidneys are normal in size and contour. The urinary bladder is normal in size and opacity. Ill-defined mineral foci representing suture granulomas from prior ovariohysterectomy are present caudal to each kidney and situated between the descending colon/urinary bladder.</t>
  </si>
  <si>
    <t>1. The spine is unremarkable. Lack of any apparent intervertebral disc space or foraminal narrowing does not exclude the possibility of intervertebral disc disease. Consider neurology consultation and MRI if the clinical signs persist or worsen in spite of activity restriction and pain management._x000D_
2. Unremarkable coxofemoral joints and pelvic limbs._x000D_
3. The rounding of the caudoventral margin of one of the liver lobes can be an indicator of nonspecific hepatomegaly. Rule out metabolic/vacuolar hepatopathy, hyperplasia, hepatitis or neoplasia. Sonography can be considered for further evaluation._x000D_
4. Normal thorax.</t>
  </si>
  <si>
    <t>Study:_x000D_
Abdominal radiography: three images dated August 10, 2024_x000D_
_x000D_
Findings:_x000D_
The serosal detail is normal. The stomach contains a small volume of gas. The pylorus is probably gas-filled on the left lateral image. The thickness of the gastric wall rugae is considered within normal limits for the degree of gastric distention. The small intestines are normal in size, course and content. The colon contains a small volume of gas and non-formed fecal matter with a normal diameter. The liver is normal in size and margin. The spleen is moderately to severely enlarged with smooth margins. The renal silhouettes are normal in size and contour. The urinary bladder is normal in size and opacity. On the right lateral projection, there is increased amorphous soft tissue opacity overlying the ventral aspect of the cardiac silhouette. No air bronchograms are appreciated in this region. No skeletal abnormalities are present.</t>
  </si>
  <si>
    <t>1.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2. The generalized splenomegaly is nonspecific. Rule out extramedullary hematopoiesis, lymphoid hyperplasia, splenitis, congestion or infiltrative neoplasia. Sonography can be considered for further evaluation._x000D_
3. The increased soft tissue opacity overlying the ventral aspect of the cardiac silhouette on the right lateral projection may be artifact created by superposition of mediastinal/pericardial fat. Pneumonia or trace pleural effusion cannot be completely excluded. A complete three view thoracic study can be considered for further evaluation.</t>
  </si>
  <si>
    <t xml:space="preserve">
1.The stomach contains a small amount of amorphous soft tissue density._x000D_
2.Small intestines are minimally filled._x000D_
3.The colon contains scant minimally formed feces._x000D_
4.The colon is slightly corrugated on the lateral view._x000D_
5.No abnormal AI findings reported._x000D_
6.Normal-sized liver and spleen._x000D_
7.Abdominal detail is adequate.</t>
  </si>
  <si>
    <t>The AI result for this case is most compelling for: Normal post-prandial GI, versus gastric foreign material secondary to dietary indiscretion. The appearance of the stomach is likely related to normal ingesta in the ABSENCE of GI symptoms. However, if GI symptoms are PRESENT, gastroenteritis secondary to dietary indiscretion or infectious etiology could be considered. There is no evidence of intestinal obstruction.</t>
  </si>
  <si>
    <t>4 images of the abdomen are provided for review.  Serosal detail is adequate in all quadrants.  A large soft tissue mass is present in the mid abdomen in the area of the splenic body.  Based on the gas and the borders of stomach visible, and this does not appear to be distended stomach.  The small intestines are displaced dorsally and caudally by this mass.  The stomach contains a small amount of mottled soft tissue material.  The small intestines are normal in size.  Gas and feces are present in the colon.  The urinary bladder is small.  The remaining abdominal organs are normal.</t>
  </si>
  <si>
    <t>Mid abdominal mass concerning for splenic origin neoplasia or hematoma.  Splenic torsion cannot be excluded.  Abdominal ultrasound including color Doppler evaluation may be helpful.  Material within the stomach may represent residual ingesta or foreign material.  Consider repeat radiographs following strict fasting to determine if gastric contents persist.</t>
  </si>
  <si>
    <t xml:space="preserve">
1.Formed feces fills the colon._x000D_
2.The liver is normal size._x000D_
3.There is a mid-ventral abdominal soft tissue mass._x000D_
4.Small intestines are mildly filled._x000D_
5.This mass causes deviation of bowel loops._x000D_
6.Mid abdominal peritoneal detail is decreased._x000D_
7.The stomach contains a moderate amount of soft tissue opacity.</t>
  </si>
  <si>
    <t>Seven radiographs of the thorax and abdomen are provided. There is slight prominence of the left atrium. Cardiac to thoracic ratio and pulmonary vessel size is normal. A mild bronchial pattern is normal for the age of this patient. No pleural effusion or soft tissue pulmonary nodules._x000D_
_x000D_
In the abdomen there is no peritoneal or retroperitoneal effusion. Small volume amorphous soft tissue opaque ingesta in the stomach. Small bowel are minimally distended with gas. The cecum is gas dilated. No radiopaque foreign material. The liver, spleen, and kidneys are normal size. Narrowed L4-5 intervertebral disc space, of doubtful significance today.
(amended on 08/12/2024 06:49)
The rounded appearance of the stomach on the VD views is due to mild gastric distension by the small volume ingesta. No mass lesion is present on this study.</t>
  </si>
  <si>
    <t>Prominent left atrium consistent with acquired mitral valve disease. There is no pulmonary venous congestion or evidence of heart failure. This is of doubtful clinical significance today. The abdomen is normal.</t>
  </si>
  <si>
    <t>Cranial nerve assessment is recommended. Abdominal ultrasound should be considered.</t>
  </si>
  <si>
    <t xml:space="preserve">Patient Name : Sora Overstreet, Date of study: Aug 10, 2024
3 images are provided for review
Prior images dated August 3, 2023 are available.  
Liver: The liver is subjectively normal in size.
Spleen: The spleen is mildly enlarged and extends into the caudoventral abdomen, with smooth, well-defined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gas and soft tissue material.   The stomach is within normal limits for size.
The small intestine contains mild gas with a subjectively uniform population for size. 
The colon contains mild to moderate heterogeneous admixed soft tissue material and gas.  The colon is within normal limits for size.  
Musculoskeletal: T12-13, T13-L1, L1-2, L2-3 and L3-4 in situ intervertebral disc mineralization.  The remaining included musculoskeletal structures are normal.
</t>
  </si>
  <si>
    <t>1. Mild splenomegaly due to passive congestion from sedation (if administered), extramedullary hematopoiesis, lymphoid hyperplasia, or less likely splenitis, or unlikely other.
2. Non-specific gastrointestinal tract appearance such as from enteritis/colitis versus variation of normal.
- There is no current evidence of gastrointestinal mechanical ileus.
- Differential diagnoses include dietary indiscretion, toxin ingestion, diet/antibiotic responsive disease, inflammatory bowel disease, pancreatitis, occult systemic disease or unlikely other.
3. Multifocal in situ intervertebral disc mineralization as above.</t>
  </si>
  <si>
    <t>Consider GI panel and routine blood work for further evaluation.  Depending on exposure history, consider 4DX testing for mild splenomegaly.  Empirical therapy and supportive care in the interim as needed. Repeat abdominal radiographs or consider abdominal ultrasonography if signs fail to improve or worsen in the face of empirical therapy.  Monitoring with repeat abdominal radiographs if signs fail to improve or worsen.</t>
  </si>
  <si>
    <t>Patient Name : Mickey Saucedo, Date of study: Aug 9, 2024
2 images are provided for review
There are no previous radiographs for comparison.
Bones/Joints:
 The T11-12 intervertebral disc space is narrow in the ventrodorsal image.  No obvious L7-S1 intervertebral disc space narrowing in the oblique lateral image.
In situ intervertebral disc mineral at T4-5 and T5-6.
There is no evidence of mineral over the intervertebral foramina.  There is no evidence of intervertebral dorsal articulation osteoarthrosis.
There is no evidence of medullary sclerosis, osteolysis, endosteal scalloping, or periosteal proliferation.
Soft tissues:  The included soft tissues are normal.</t>
  </si>
  <si>
    <t>1.  Suspected T11-12 intervertebral disc space narrowing, such as from intervertebral disc disease.
2.  In situ intervertebral disc mineral at T4-5 and T5-6.
.</t>
  </si>
  <si>
    <t>Consider neurologist consultation and possibly thoracolumbar versus lumbosacral MRI for further evaluation.   This examination does not rule out a dynamic L7-S1 lesion contributing to reported clinical signs.   Routine blood work if not recently performed.  Empirical therapy and supportive care in the interim as needed. Monitoring as directed or sooner if clinical signs acutely change, fail to improve or worsen.</t>
  </si>
  <si>
    <t xml:space="preserve">Patient Name: Zoei Conrad, Date of study: Aug 9, 2024
3 images are provided for review
Canine Thorax (3 Images) - 2 Lateral, 1 VD
There are no previous radiographs for comparison.
Thorax:
Airway/pulmonary parenchyma: The lungs are hypoinflated and all lobar bronchi are narrowed. On the VD projection, the right crania and left cranial lung lobes appear lucent/oligemic. The caudal lung lobes have a mild interstitial pattern, particularly the right caudal lung lobe. 
Cardiovascular: Mild cardiomegaly is present with rounding to the right heart on the lateral projection, an increase in soft tissue opacity in the heart base region and CVC distention. Additionally, the left cranial pulmonary artery appears smaller than the corresponding vein. The pulmonary vasculature to the caudal lung lobes appears distended, particularly to the right caudal lung lobe on the VD projection. 
Mediastinum: The cranial mediastinum is normal. The caudal mediastinum has increased soft tissue opacity on the VD projection. 
Pleural space: Thin pleural fissure lines overlie the heart on the right lateral projection. 
Cranial abdomen: Microhepatia is present. Cranial abdominal detail is mildly decreased with a wispy appearance consistent with abdominal fluid. Increased soft tissue is noted caudal to the dorsal aspect of the stomach on the lateral projections. Questionable gastric wall thickening is also present. 
Msk: Bone density appears decreased diffusely consistent with renal secondary hyperparathyroidism. There is also an atypical lucent appearance to the cranial aspect of the T11 and T12 pedicles on the lateral projection. On the VD projection, the left 11th rib has a mottled appearance axially and the T13 rib heads are thickened bilaterally. </t>
  </si>
  <si>
    <t xml:space="preserve">1) Right sided cardiomegaly with suspected PTE or other cause for arterial flow obstruction to the right and left cranial lung lobes. Caudal lung lobe overcirculation with suspected overcirculation edema. Protein-losing nephropathy is a primary consideration given the potential PTEs.
2) Right heart failure resulting in abdominal fluid.
3) Potential gastritis. Rule out uremic gastritis. 
4) Diffuse osteopenia. Rule out renal secondary hyperparathyroidism. An alternative cause for the more lytic appearing changes to T11 and T12 pedicles cannot be excluded.  
5) Increased soft tissue opacity caudodorsal to the stomach. DDx: splenic silhouette vs. renal silhouette or less likely, adrenal enlargement. 
6) Microhepatia. This may be indirectly related to the renal disease via chronic uremia and intestinal inflammation. Alternatively, this may be unrelated to the renal disease. DDx: microvascular dysplasia vs. congenital portosystemic shunt vs. chronic hepatopathy. </t>
  </si>
  <si>
    <t xml:space="preserve">Referral to a 24-hour facility for ongoing monitoring. Oxygen therapy as needed. Cardiac ultrasound as soon as possible. Oxygen therapy if needed. Bloodwork and urinalysis with culture. Abdominal ultrasound to assess the liver and kidneys as well as for abdominal fluid. 
Thoracic CT with contrast would be necessary to confirm PTEs. </t>
  </si>
  <si>
    <t>The small bowel is fluid filled but without significant distention. Findings would be most consistent with a normal post-prandial intestinal tract or enteritis. A small intestinal obstruction is NOT suspected.</t>
  </si>
  <si>
    <t xml:space="preserve">Patient Name: Willow drake, Date of study: Aug 9, 2024
5 images are provided for review
There are no previous radiographs for comparison. Two region review (abdomen and pelvic limbs) has been requested.
Image evaluation: The cranial abdomen is not included on the VD projection.  
Abdomen:
Liver: The liver is minimally enlarged but retains a smooth margin. 
Spleen: The spleen is minimally enlarged but considered normal for breed (German Shepherd).
Kidneys and urinary bladder: Normal
GI: On the right lateral projection, a rectangular lucent region overlies the caudal half of the stomach, overlies the gastric wall and overlies the cranial aspect of the mid-abdomen, at and ventral to the renal silhouette. The overall length of this structure is 8.9 cm. The stomach is moderately gas distended and contains minimal soft tissue opaque material that has the appearance of normal ingesta. The gastric rugae are prominent. On the left lateral projection, the descending duodenum is gas filled and has a rigid appearance. The small bowel is displaced caudally away from the cranial abdomen and the small bowel loops are empty. The distal half of the descending colon contains formed feces. 
Abdominal detail: Mid-abdominal detail on all lateral projections is decreased and this region has a wispy opacity consistent with fluid collection and/or mesenteric inflammation. No free abdominal air is noted. Caudal abdominal detail, cranial to the ventral pubis appears focally decreased secondary to an increased soft tissue opacity in this region. 
Caudal thorax: The CVC is slightly small. 
Lumbar spine: L7/S1 is transitional resulting in 8 lumbar shaped vertebrae. Minimal ventral spondylosis is present at L2-3 and at L7-8. The right L8 transverse process is attached to the sacrum. Lateral spondylosis is present at L7-8 and L8-S1. Increased opacity overlies the L-S foramen on the lateral projection. No end-plate or vertebral lysis is noted. 
Pelvis and pelvic limbs: 
Pelvis: On the VD projection, the right acetabulum has a mottled appearance. Irregularity also affects the right acetabular margin. The ischium caudal to the right obturator foramen is mottled and subtle periosteal reaction is present along this margin. Subtle periosteal irregularity is also present along the caudal aspect of the right acetabulum. The left lateral pubis appears thickened on the VD projection. On the lateral projection, mild osseous proliferation is present along the cranial and ventral aspects of the pubis.  The right femoral head has a mottled and irregular appearance. Alignment of the right femoral head and neck is concerning for a fracture. The proximal aspect of both femurs has a mottled appearance.
Stifles: The joint space is overexposed. 
Long bones: The femoral diaphyses and visible tibias appear normal. 
Soft tissues: Soft tissue swelling/soft tissue mass affects the right proximal thigh resulting in convex margins affecting the cranial and caudal aspects of the right thigh musculature on the VD projection. </t>
  </si>
  <si>
    <t>Pertaining to the historical left pelvic limb lameness: 
1) Caudal lumbar lateralized foraminal stenosis could be the cause for the left pelvic limb lameness. Other considerations are a pubic and/or left proximal femoral lesion.
Other: 
2) Right proximal thigh soft tissue swelling/mass with osseous irregularity that affects the hemipelvis and right proximal femur. DDx: soft tissue tumor that extends across the joint vs. infection.
3) Appearance to the right femoral neck is concerning for a fracture, likely acute and pathologic, as a chronic fracture would be associated with right thigh muscle atrophy.
4) Radiolucent structure overlying the stomach and cranial abdomen. A gastric foreign body with a component that extends into the small intestine is likely present as the remainder of the small bowel is empty and lacks intestinal gas. 
5) Decreased cranial to mid-abdominal detail. Ddx: non-septic vs. septic peritonitis. No overt free abdominal air noted.   
6) Slightly small CVC. A component of dehydration suspected.</t>
  </si>
  <si>
    <t>Abdominal ultrasound with abdominocentesis for fluid analysis and cytology if a septic process is suspected. Three view thoracic radiographs to assess for pulmonary metastasis. 
Further evaluation of the right proximal thigh soft tissue mass affect via ultrasound guided FNA or biopsy.
Alternatively, consider thoracic, abdominal and pelvic CTs, both pre- and post-contrast.</t>
  </si>
  <si>
    <t>Study:_x000D_
Thoracic/abdominal radiography: four images dated August 9, 2024_x000D_
_x000D_
Findings:_x000D_
The cardiac silhouette is normal in size and shape. The pulmonary vasculature is normal in size. There is a moderate generalized bronchial pulmonary pattern. On the VD views, there is an interstitial to alveolar pattern in the left cranial lung lobe with ipsilateral shifting of the cardiac silhouette. The pleural space is normal. There is no intrathoracic lymphadenopathy. The trachea is normal in diameter. The esophagus is gas dilated. The abdominal serosal detail is age appropriate. The stomach is empty. The small intestines are normal in size, course and content. The colon contains gas, poorly formed fecal material and few small mineral foci. The liver and spleen are normal in size and margin. The kidneys are poorly visualized due to visceral crowding. There is no overt renomegaly. The urinary bladder is also not visualized and is likely small/empty. The osseous structures are unremarkable/age appropriate._x000D_
_x000D_
Human digits are present just outside the primary beam on all projections.</t>
  </si>
  <si>
    <t>1. Gas dilation of the esophagus may indicate aerophagia or an esophageal motility disorder. Recommend further investigation into the patient=ZZ91=s history to delineate vomiting versus regurgitation. An esophagogram can be considered for further evaluation if the history is more consistent with regurgitation._x000D_
2. The mild generalized bronchial pulmonary pattern may indicate infectious allergic, inflammatory, infectious or inhaled irritant. Correlate with any respiratory signs. Infectious respiratory disease PCR testing can be considered for further evaluation._x000D_
3. The interstitial to alveolar pattern in the left cranial lung lobe on the VD views is thought to represent atelectasis given the ipsilateral shifting the cardiac silhouette. Pneumonia cannot be completely excluded. Antibiotic therapy with repeat radiography to monitor for response to treatment can be considered._x000D_
4. The abdomen is unremarkable. There is no evidence of gastrointestinal foreign material or small intestinal mechanical obstruction. Abdominal sonography can be considered for further evaluation if the patient=ZZ91=s history is more consistent with vomiting rather than regurgitation.</t>
  </si>
  <si>
    <t xml:space="preserve">
1.The liver has a normal shape, size and margination._x000D_
2.The spleen is normal._x000D_
3.The peritoneal serosal detail is normal._x000D_
4.The stomach contains a mild volume of gas and fluid._x000D_
5.The small intestines are mainly fluid-filled, and mild-to moderately dilated._x000D_
6.The colon contains gas and feces.</t>
  </si>
  <si>
    <t>4 images of the entire body are presented for review.  The cardiovascular structures are normal.  Focal alveolar opacity is seen superimposed over the apex of the heart on the left lateral views, consistent with localization to the right middle lung lobe.  The pleural and mediastinal structures are normal.  Abdominal serosal detail is poor in all quadrants.  The stomach contains a moderate amount of gas.  The small intestines are gas-filled.  Gas and scant feces are present in the colon.  The remaining abdominal organs are not visible a hemivertebrae is present at T12.  Open physes are present..</t>
  </si>
  <si>
    <t>Focal alveolar pulmonary pattern concerning for bronchopneumonia.  Underlying viral or Bordetella type pneumonitis, cleft palate, or other underlying cause cannot be excluded.  Airway sampling may be helpful.  Radiographically normal pediatric abdomen.  Congenital hemivertebra.</t>
  </si>
  <si>
    <t>Study:_x000D_
Abdominal radiography: three images dated August 9, 2024_x000D_
_x000D_
Findings:_x000D_
There is a 2.5 cm mineral opaque structure in the pyloric region of the stomach. The stomach also contains a small amount of unstructured heterogeneous soft tissue material presumed to be ingesta. The small intestines are normal in size, course and content. The colon contains formed fecal material. The liver and spleen are normal in size and margin. The renal silhouettes are normal in size and contour. The urinary bladder is normal in size and opacity. There is no prostatomegaly. The included thorax is normal. No skeletal abnormalities are present.</t>
  </si>
  <si>
    <t>Gastric mineral opaque foreign body. There is no evidence of small intestinal mechanical obstruction.</t>
  </si>
  <si>
    <t>Given that a foreign body was produced during induced emesis, repeat radiography can be considered to ensure no foreign material remains within the stomach.</t>
  </si>
  <si>
    <t>8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</si>
  <si>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soft tissue material.  The small intestines are normal in size.  Gas and feces are present in the colon.  The urinary bladder is small.  The remaining abdominal organs are normal.  Hemivertebrae are present in the thoracolumbar and sacrocaudal spine.</t>
  </si>
  <si>
    <t>Material within the stomach may represent residual ingesta or foreign material.  Consider repeat radiographs following strict fasting to determine if gastric contents persist.  Congenital hemivertebrae.  Radiographically normal thorax for patient of this age.</t>
  </si>
  <si>
    <t>Mild bronchial pulmonary pattern=ZZ90= consider bronchitis, response to inhaled irritants, response to circulating parasites, eosinophilic bronchopneumopathy.</t>
  </si>
  <si>
    <t>Patient Name : Petey Esparza, Date of study: Aug 9, 2024
3 images are provided for review
Canine Abdomen (3 Images) - 2 Lateral, 1 Vd
There are no previous radiographs for comparison.
Bones/Joints:
A dens is present.  There is no evidence of atlantoaxial joint subluxation. The T13-L1 intervertebral disc space is narrow slightly.  The T11-12 intervertebral disc space is slightly narrow in the ventrodorsal image.
There is no evidence of intervertebral disc space narrowing, or mineral over the intervertebral foramina.  There is no evidence of intervertebral dorsal articulation osteoarthrosis.
There is no evidence of medullary sclerosis, osteolysis, endosteal scalloping, or periosteal proliferation.
Soft tissues:  The included soft tissues are normal.</t>
  </si>
  <si>
    <t xml:space="preserve">1. Suspected T13-L1 intervertebral disc space narrowing.
2. Possible T11-12 intervertebral disc space narrowing versus artifact from positioning/patient conformation.
</t>
  </si>
  <si>
    <t>Consider neurologist consultation and MRI for further evaluation.  Radiographs of the pelvic limbs may be contributory if not recently performed.  Consider thoracic imaging and routine blood work prior to advanced imaging and referral.  Empirical therapy and supportive care in the interim as needed.  Monitoring as directed or sooner if clinical signs acutely change, fail to improve or worsen.</t>
  </si>
  <si>
    <t xml:space="preserve">
1.The liver and spleen are normal in size._x000D_
2.The stomach is minimally distended with minimal heterogeneous material._x000D_
3.The small intestine is both fluid and gas filled and mildly distended, but no obstructive lesion is identified._x000D_
4.There is gas and some fecal material within the colon._x000D_
5.No abnormal AI findings reported._x000D_
6.No abnormal AI findings reported.</t>
  </si>
  <si>
    <t>Five radiographs of the thorax and abdomen are provided. Two of the images have a patient name of =ZZ92=Urgent, Patient=ZZ92=. The cardiac silhouette and pulmonary vessels are normal size and shape. The lungs are clear. There is no pleural effusion. The plane of the esophagus is unremarkable._x000D_
_x000D_
In the abdomen there is no effusion. The stomach contains small volume gas. Small bowel are minimally filled with fluid and gas. There is gas in the cecum and colon. No radiopaque foreign material for severe intestinal distention. Normal size liver, spleen, kidneys. No radiopaque cystic calculi. Osseous structures are unremarkable.</t>
  </si>
  <si>
    <t>Normal thorax and abdomen. Gastroenteritis secondary to dietary indiscretion is most likely. Small radiolucent gastric foreign material is not definitively ruled out.</t>
  </si>
  <si>
    <t>Recommend supportive care. If the patient does not improve, strictly fasted abdominal ultrasound would be recommended. Based on patient temperament, sedation will likely be necessary. For this reason, other imaging such as a positive contrast gastrogram would not be feasible.</t>
  </si>
  <si>
    <t xml:space="preserve">Patient Name : Bentley Haynes, Date of study: Aug 9, 2024
9 images are provided for review
There are no previous radiographs for comparison.
Ungloved human digits primary beam.
Bones/Joints:
A dens is present.  There is no evidence of atlantoaxial joint subluxation. 
Variable intervertebral disc narrowing due to patient obliquity/positioning.  Best identified in the ventrodorsal images, there is suspected persistent narrowing of the T11-12, T12-13 and L1-2 intervertebral disc spaces.  
There is no evidence of mineral over the intervertebral foramina.  There is no evidence of intervertebral dorsal articulation osteoarthrosis.
There is no evidence of medullary sclerosis, osteolysis, endosteal scalloping, or periosteal proliferation.
Soft tissues:  The included soft tissues are normal.
</t>
  </si>
  <si>
    <t xml:space="preserve">1. Possible intervertebral disc space narrowing at T11-12, T12-13 and L1-2, versus artifact.
</t>
  </si>
  <si>
    <t>Depending on clinical signs, consider neurologist consultation and MRI for further evaluation.  Consider routine blood work and focused abdominal imaging for further evaluation depending on clinical signs.  Empirical therapy and supportive care in the interim as needed.  Monitoring as directed or sooner if clinical signs acutely change, fail to improve or worsen.</t>
  </si>
  <si>
    <t xml:space="preserve">Patient Name : Zoey Day, Date of study: Aug 9, 2024
10 images are provided for review
There are no previous radiographs for comparison.
Pulmonary parenchyma: In the left lateral image, over the ventral aspect of the lungs in the 6th intercostal space is a round, soft tissue nodule.  This nodule is suspected over the right 6-7th intercostal space and right caudal lung in the ventrodorsal images.   A mild diffuse bronchial pattern is present.  A minimal diffuse interstitial pattern is present and the lungs are mildly hypoinflated.
Pulmonary vasculature: The pulmonary vasculature is subjectively normal in size and tapers in the periphery of the lungs.
Cardiac silhouette: Rounded increased soft tissue is suspected in the region of the left atrium in the ventrodorsal image.
Mediastinum: The cranial mediastinum is normal.
Trachea: The trachea is normal.
Esophagus: The esophagus is not well-identified.
Pleural space: The pleural space is normal.
Musculoskeletal: A well-defined ovoid and slightly pedunculated soft tissue mass arises from the left ventrolateral extra-thoracic soft tissues, partially superimposing over the left caudal thorax at the 9 through 11th intercostal spaces in the ventrodorsal images.  The remaining included musculoskeletal structures are normal.
</t>
  </si>
  <si>
    <t>1. Small right caudal lung lobe soft tissue nodule is most likely from evolving metastatic neoplasia.
2. Mild diffuse bronchial and minimal interstitial patterns such as from fibrosis from prior disease, age-related changes, or unlikely atypical metastatic neoplasia or infectious/immune-mediated lower airway disease or other.
3. Equivocal left atrial enlargement versus artifact from phase of the cardiopulmonary cycle and patient positioning.
- Consider myxomatous mitral valvular disease versus other.
- There is no current evidence of left-sided congestive heart failure.
4. Left extra-thoracic soft tissue mass such as from malignancy (possible mammary gland carcinoma, versus soft tissue sarcoma) or papilloma, versus other.</t>
  </si>
  <si>
    <t>Consider computed tomography of the thorax for further evaluation of the suspected pulmonary nodule for pre-surgical planning of suspected mammary associated neoplasia. Echocardiography, eCG and blood pressure prior to advanced imaging given reported heart murmur. Oncologist consultation depending on results of advanced imaging and histopathology of the mammary associated mass.  Empirical therapy and supportive care in the interim as needed.  Monitoring as directed, or sooner if clinical signs acutely change, fail to improve or worsen.</t>
  </si>
  <si>
    <t xml:space="preserve">
1.The colon is normal._x000D_
2.The small intestines are a combination of gas-filled and fluid-filled/collapsed, and all are within normal limits for diameter._x000D_
3.On the lateral projection, there is increased soft tissue opacity in the cranial abdomen. This likely represents confluence of the liver and stomach on the lateral projection. True hepatomegaly is a lesser consideration._x000D_
4.On the lateral projection, there is increased soft tissue opacity in the splenic region._x000D_
5.Mid-abdominal detail is decreased on the lateral projection.</t>
  </si>
  <si>
    <t>Increased soft tissue opacity in the splenic region on the lateral projection. DDx: splenomegaly (secondary to sedation, lymphoid hyperplasia, extramedullary hematopoiesis) vs. confluence of normal soft tissue structures vs. less suspected, infiltrative splenic neoplasia (lymphoma), splenic mass or other mid-abdominal mass, such as lymphadenopathy or pancreatic origin. Decreased mid-abdominal detail. DDx: secondary to superimposition of soft tissues, including splenomegaly vs. less suspected, mesenteric inflammation and/or free abdominal fluid. Increased soft tissue in the cranioventral abdomen. DDx: confluence of the liver and stomach vs. less suspected, mild hepatomegaly on the lateral projection.</t>
  </si>
  <si>
    <t xml:space="preserve">
Virtual Radiologist Case Difficulty: MODERATE_x000D_
Virtual Radiologist Confidence: MODERATE_x000D_
Blood work. Consider abdominal ultrasound if there is a CBC abnormality, physical exam is concerning for splenomegaly, abdominal mass or abdominal fluid.</t>
  </si>
  <si>
    <t>Four radiographs of the abdomen, and a lateral view of the thorax are provided. The heart is a normal size and shape. There are no abnormalities in the pulmonary parenchyma. No pleural effusion. The trachea is normal diameter. No esophageal dilation. In the abdomen there is small volume gas in the stomach. Formed feces and gas fills the colon. Stippled soft tissue density overlying the pylorus on the left lateral view is superimposed colon. Small intestines are mildly filled with fluid, small volume gas, and small volume stippled soft tissue density. No radiopaque foreign material or severe intestinal distention is appreciated. The liver, spleen, and left kidney are normal size. The right kidney is incompletely visible.</t>
  </si>
  <si>
    <t>Normal thorax and abdomen. There is no evidence of gastrointestinal obstruction. The reason for coughing is not identified. Inhaled irritant/allergens should be considered. There is no evidence of cardiovascular disease or pneumonia on this study, however subtle pneumonia on the opposite side remains possible.</t>
  </si>
  <si>
    <t>If coughing persists despite supportive care, a ventral dorsal and both lateral radiographs of the thorax should be considered to rule out pneumonia. If the patient has gastrointestinal signs, consider an upper GI series.</t>
  </si>
  <si>
    <t xml:space="preserve">
1.Splenic size, shape and margin are normal._x000D_
2.The liver is mildly enlarged but retains a smooth margin._x000D_
3.The small bowel is diffusely gas- and fluid-filled without segmental small bowel dilation._x000D_
4.The stomach contains a small amount of gas._x000D_
5.Abdominal detail is normal.</t>
  </si>
  <si>
    <t>6 images of the thorax and abdomen are provided for review.  The cardiovascular structures are normal.  There is a moderate bronchial pattern in all lung lobes.  No esophageal dilation or foreign material is seen.  The mediastinal and pleural structures are normal.  Abdominal serosal detail is adequate in all quadrants.  The stomach contains a moderate amount of mottled soft tissue material.  The small intestines are normal in size.  Gas and feces are present in the colon.  The urinary bladder is small.  The remaining abdominal organs are normal.</t>
  </si>
  <si>
    <t>Material within the stomach may represent normal ingesta or foreign material.  Consider repeat radiographs following strict fasting to determine if gastric contents persist.  Moderate bronchial pulmonary pattern=ZZ90= consider bronchitis, response to inhaled irritants, response to circulating parasites, eosinophilic bronchopneumopathy.  Airway sampling may be helpful in further evaluation.</t>
  </si>
  <si>
    <t>6 views of the thorax and abdomen are submitted for review._x000D_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A moderate amount of heterogeneous soft tissue opacity ingesta is noted in the stomach.  The small bowel is normal and uniform in diameter and contains a mild amount of gas and ingesta.  A mild amount of stool is noted throughout the colon.  The liver and spleen are normal in size, shape, and margination.  The bilateral renal silhouettes are within normal limits.  The urinary bladder is unremarkable.  Serosal detail is normal._x000D_
No osseous abnormalities are seen.</t>
  </si>
  <si>
    <t>The material in the stomach is nonspecific and could be associated with food, radiolucent foreign material, or possibly admixture of both.  No evidence of mechanical obstruction of the small bowel is seen.  Acute gastroenteritis and/or pancreatitis is considered most likely.</t>
  </si>
  <si>
    <t>Correlation with blood work may be helpful.  Empirical medical management appears appropriate in the short-term.</t>
  </si>
  <si>
    <t>Study:_x000D_
Thoracic/abdominal radiography: three images dated August 9, 2024_x000D_
_x000D_
Findings:_x000D_
There is moderate left ventricular and left atrial enlargement. The pulmonary vasculature is normal in size. The pulmonary parenchyma is unremarkable. The pleural space is normal. There is no intrathoracic lymphadenopathy. The trachea is normal in diameter. There is no lobar bronchi narrowing. The stomach contains a small amount of ill-defined soft tissue material presumed to be ingesta. There is a thin linear metallic opacity in the mesentery adjacent to the pylorus. The small intestines are gas and fluid-filled and normal in size and course. The liver extends moderately beyond the costal arch with smooth margins. The spleen is normal in size and margin. The renal silhouettes are normal in size and contour. There are multiple indistinct punctate mineral foci in the kidneys. Four mineral opaque calculi measuring up to 0.6 cm present in the urinary bladder. No calculi present in the region of the urethra. There is no prostatomegaly. There is mild bilateral stifle periarticular bone formation. The patient is of overweight body condition.</t>
  </si>
  <si>
    <t>1. Moderate left-sided cardiomegaly, indicative of mitral valve disease, without evidence of decompensation. Echocardiography and ECG should be considered for further evaluation._x000D_
2. A cause of coughing is not evident. Lack of a definitive bronchial pulmonary pattern does not exclude the possibility of allergic/inflammatory, infectious, irritant or parasitic bronchitis. Normal diameter of the trachea does not exclude the possibility of dynamic airway disease. Fluoroscopy, airway sampling plus/minus heartworm testing and Baermann fecal flotation can be considered to further evaluate the reported coughing._x000D_
3. The generalized hepatomegaly is nonspecific. Rule out vacuolar hepatopathy (possibly secondary to Temaril-P/corticosteroid therapy), hyperplasia, hepatitis or infiltrative neoplasia. Sonography can be considered for further evaluation._x000D_
4. Bilateral nephrolithiasis and/or nephrocalcinosis._x000D_
5. Cystolithiasis. Recommend urinalysis for further evaluation. Consider dissolution versus cystotomy._x000D_
6. Peritoneal linear metallic (possibly wire or brush bristle) foreign body. This is a relatively common incidental finding._x000D_
7. Mild bilateral stifle osteoarthrosis.</t>
  </si>
  <si>
    <t>7 images of the thorax and abdomen are presented for review.  The trachea is mildly dorsally deviated.  There is straightening of the caudal cardiac waist in the region of the left atrium.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rounded soft tissue structure protrudes from the dorsal aspect of the tail of the spleen.  The stomach contains a moderate amount of soft tissue material.  The small intestines are normal in size.  Gas and feces are present in the colon.  The urinary bladder is moderately distended.  The remaining abdominal organs are normal.  Opacity masses are present in the subcutaneous tissues, most notable along the left</t>
  </si>
  <si>
    <t>Mild left-sided cardiomegaly without current evidence of cardiogenic pulmonary edema.  Echocardiography may be helpful in further evaluation.  Consistently visible small splenic mass=ZZ90= consider regeneration, extramedullary hematopoiesis, inflammation, hematoma, neoplasia.  Abdominal ultrasound may be helpful.  Material within the stomach may represent residual ingesta or foreign material.  Consider repeat radiographs following strict fasting to determine if gastric contents persist.</t>
  </si>
  <si>
    <t>3 views of the entire body are provided for review. There is a severe bronchial pattern in all lung lobes.  The cardiovascular structures are normal.  The mediastinal and pleural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</si>
  <si>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Radiographically normal abdomen.  Severe bronchial pulmonary pattern.  Considerations include asthma, heartworm, lungworm, atypical infection, bronchitis.</t>
  </si>
  <si>
    <t>Consider empiric therapy versus further diagnostics such as heartworm testing, Baermann fecal, airway sampling.</t>
  </si>
  <si>
    <t xml:space="preserve">
1.No abnormal AI findings reported._x000D_
2.The liver is borderline small._x000D_
3.The spleen appears within normal limits._x000D_
4.The stomach contains mild soft tissue and gas. The small intestines are gas and fluid filled, without signs of obstruction.</t>
  </si>
  <si>
    <t>The appearance of the stomach is likely related to normal ingesta in the ABSENCE of GI symptoms. However, if GI symptoms are PRESENT, gastroenteritis secondary to dietary indiscretion or infectious etiology could be considered. No signs of obstruction are noted.</t>
  </si>
  <si>
    <t xml:space="preserve">
Virtual Radiologist Case Difficulty: LOW_x000D_
Virtual Radiologist Confidence: HIGH_x000D_
If the potential microhepatia is of clinical concern, pre- and post-prandial bile acid testing could be considered in addition to blood work and abdominal ultrasound.</t>
  </si>
  <si>
    <t>Thoracolumbar spine: There is narrowing of the intervertebral disc space at T2-3.  There is mild narrowing of intervertebral to space T3-4 and T4-5.  Spondylosis deformans is noted at T2-3, T3-4, and T4-5.  There are no abnormalities involving the visible portions of the thoracic vertebral column._x000D_
_x000D_
Thorax: There are no abnormalities identified._x000D_
_x000D_
Abdomen: There are no abnormalities identified._x000D_
_x000D_
Pelvis: There are no abnormalities involving the pelvis or coxofemoral joints.  On the visible portions of the stifles there is medial subluxation/luxation of the left patella.</t>
  </si>
  <si>
    <t>Intervertebral disc disease at T2-3, T3-4, and T4-5._x000D_
_x000D_
Medial subluxation/luxation of the left patella.</t>
  </si>
  <si>
    <t xml:space="preserve">
1.The liver is at the upper end of normal range for size._x000D_
2.Abdominal serosal detail is normal._x000D_
3.On the VD projection, the stomach contains a small amount of gas and has slightly prominent rugal folds or a small amount of soft tissue. Additionally, there is a round soft tissue shadow in the region of the splenic head which likely represents superimposition of the spleen and left kidney._x000D_
4.The small bowel is gas filled._x000D_
5.No segmental small bowel dilation is noted to suggest obstruction._x000D_
6.No abnormal AI findings reported.</t>
  </si>
  <si>
    <t xml:space="preserve">Patient Name : Ruger Gomez-Nieto, Date of study: Aug 9, 2024
3 images are provided for review
There are no previous radiographs for comparison.  Ventrodorsal image is mislabeled given position of the spleen.  
Liver: The liver is mildly small with cranial displacement of the gastric axis.  
Spleen: The spleen is normal in size with smooth margins and homogeneous soft tissue.
Kidneys: The kidneys are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gas and mild fluid/soft tissue.   The stomach is within normal limits for size.
The small intestine contains mild fluid or is empty with a subjectively uniform population for size. 
The colon contains moderate heterogeneous admixed soft tissue material and gas.  The colon is within normal limits for size.  
Musculoskeletal: The included musculoskeletal structures are normal.
</t>
  </si>
  <si>
    <t>1. Mild microhepatia versus artifact from positioning/technique or individual variation of normal.
- If present, consider occult portosystemic shunt or unlikely other.  
2. Non-specific gastrointestinal tract appearance such as from enteritis, colitis, or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t>
  </si>
  <si>
    <t xml:space="preserve"> Empirical therapy and supportive care in the interim as needed for clinical signs.  Consider routine blood work and bile acid testing if clinically indicated.  Monitoring as directed, or sooner if clinical signs acutely change, fail to improve or worsen.</t>
  </si>
  <si>
    <t xml:space="preserve">Patient Name : Abby Beer, Date of study: Aug 9, 2024
3 images are provided for review
Canine Abdomen (3 Images) - 2 Lateral, 1 Vd
There are no previous radiographs for comparison.
Liver: The liver is equivocal enlarged with a caudoventral margin extending to the level of the 13th ribs and slight caudal displacement of the gastric axis.  
Spleen: The spleen is normal in size with smooth margins and homogeneous soft tissue.
Kidneys: The kidneys are normal in size and shape without obvious mineral.
Retroperitoneum: Retroperitoneal detail is adequate.
Urogenital: The urinary bladder is small in size, homogeneous soft tissue, and smoothly marginated.
Peritoneum:  No discrete mass or mass-effect is identified.  Peritoneal detail is adequate.
Gastrointestinal tract: The stomach contains a moderat gas and mild soft tissue material.  Gas is in the pylorus in the left lateral image.   The stomach is within normal limits for size.
The small intestine mild fluid and gas or is empty with a subjectively uniform population for size. 
The colon contains moderate well-defined soft tissue material and gas.  The colon is within normal limits for size.  
Musculoskeletal: The included musculoskeletal structures are normal.
</t>
  </si>
  <si>
    <t>1. Equivocal hepatomegaly versus variation of normal.
- If present, consider vacuolar change, nodular hyperplasia, hepatitis/cholangiohepatitis, or unlikely evolving neoplasia or other.
2. No discrete abdominal mass/mass effect is identified.</t>
  </si>
  <si>
    <t xml:space="preserve">Consider palpation of the liver and/or colon as etiology of reported physical exam findings.  Consider abdominal ultrasonography for further evaluation of an occult mass, such as from small intestinal or mesenteric origin, which may be masked by normal structures in survey radiographs.  Empirical therapy and supportive care for clinical signs as needed.  Monitoring as directed, or sooner if signs acutely change or worsen in the face of empirical therapy/supportive care.  </t>
  </si>
  <si>
    <t xml:space="preserve">
1.The liver is within normal limits for size._x000D_
2.The spleen is within normal limits._x000D_
3.Detail in the abdomen is normal._x000D_
4.The stomach is mildly gas and fluid filled with some soft tissue density material. The small bowel is gas and fluid-containing. No obvious obstruction.</t>
  </si>
  <si>
    <t>Orthogonal views of the abdomen are provided:_x000D_
_x000D_
Abdomen:_x000D_
_x000D_
The stomach is filled with some gas and fluid._x000D_
Small intestines are mildly fluid filled, not overtly distended. No signs of mechanical ileus._x000D_
Unformed feces in the colon._x000D_
Serosal detail is preserved._x000D_
Liver and spleen are within normal limits of size and smoothly marginated._x000D_
Kidneys and urinary bladder WNL._x000D_
_x000D_
Unremarkable visible spine._x000D_
Questionable thickening of one of the distal femur at the level of the stifle.</t>
  </si>
  <si>
    <t>1) Unremarkable abdomen. _x000D_
2) Rule out thickening of one of the distal femur at the level of the stifle.</t>
  </si>
  <si>
    <t>Consider IV fluids with glucose boluses if necessary along with abdominal US for further evaluation and three views of the thorax._x000D_
Orthogonal views of the affected stifle if palpates thickened.</t>
  </si>
  <si>
    <t>Four orthogonal radiographs of the abdomen dated 9th August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is mainly empty, with a normal axis. The rugal folds are subjectively prominent. There is appropriate gas in the pylorus on the left lateral image. The small intestines are distributed evenly and are within normal limits for shape, size and contents. The ascending, transverse and descending colon have a normal position and contain gradually more formed faeces. The urinary bladder is small. The serosal detail is normal._x000D_
_x000D_
Extra-abdominal findings: No significant abnormalities are detected._x000D_
_x000D_
Included thorax: No significant abnormalities are detected.</t>
  </si>
  <si>
    <t>Relatively unremarkable abdomen. The prominent rugal folds may support a mild gastritis. Pancreatitis is unlikely.</t>
  </si>
  <si>
    <t>Supportive management including rehydration, gastroprotectants,  full blood work,  if clinically indicated is advised, if not already performed. Repeat 3-view post fasting radiographs depending on clinical progression or consider an abdominal ultrasound. If vomiting continues without development of diarrhea, an upper GI contrast study may also be considered.</t>
  </si>
  <si>
    <t xml:space="preserve">
1.The spleen is visible and within normal limits._x000D_
2.The liver is normal in shape, size and opacity._x000D_
3.The stomach has a normal axis, with subjectively thickened mucosal folding._x000D_
4.There is a mildly reduced cranial abdominal serosal detail._x000D_
5.The small intestines are mildly dilated with a mixture of gas and fluid, and have a mild turgid appearance._x000D_
6.The ascending, transverse and descending colon contain gradually more formed faeces.</t>
  </si>
  <si>
    <t xml:space="preserve">Patient Name : Zero Smith, Date of study: Aug 9, 2024
3 images are provided for review
There are no previous radiographs for comparison.
Peritoneum:  Centered in the caudal and ventral abdomen is a large, ovoid suspected fat opaque mass.  This mass results in dorsal displacement of the colon, suspected caudal displacement of the urinary bladder, and sever cranial/dorsal displacement of the intestine.  In the right lateral image, the spleen is suspected displaced and partially superimposed over this mass in the mid-ventral abdomen.  Peritoneal detail is adequate.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Gastrointestinal tract: The stomach contains a moderate gas and mild soft tissue. The stomach is within normal limits for size.
The small intestine contains mild gas, minimal fluid or is empty with a subjectively uniform population for size. 
The colon contains minimal gas, soft tissue, or is empty.  The colon is within normal limits for size.  
Musculoskeletal: L5-6 and L6-7 in situ intervertebral disc mineral.  The remaining included musculoskeletal structures are normal.
</t>
  </si>
  <si>
    <t>1. Large suspected caudal to mid-ventral abdominal fat opaque mass/mass effect such as from evolving peritoneal lipoma or less likely other.
2. No obvious evidence of peritoneal fluid/effusion.</t>
  </si>
  <si>
    <t>Consider abdominal computed tomography for further evaluation and pre-surgical planning of presumed peritoneal lipoma/fat opaque mass excisional biopsy.   Surgeon and oncologist consultation depending on results.  Thoracic imaging to screen for occult systemic disease prior to advanced imaging.   Monitoring as directed, or sooner if clinical signs acutely change, fail to improve or worsen.</t>
  </si>
  <si>
    <t xml:space="preserve">
1.Formed feces fills the colon._x000D_
2.Small intestines are mildly filled._x000D_
3.There is a mid-ventral abdominal soft tissue mass._x000D_
4.Mid abdominal peritoneal detail is decreased._x000D_
5.The stomach contains a moderate amount of soft tissue opacity._x000D_
6.This mass causes deviation of bowel loops._x000D_
7.The liver is normal size.</t>
  </si>
  <si>
    <t>A three view study of the thorax is provided for interpretation._x000D_
_x000D_
Severe heart enlargement is identified. The carina is markedly elevated, and there is a large bulge at the caudal heart base. The shape of the heart is consistent with left ventricular and left atrial dilation. Pulmonary vessels are within normal limits. No alveolar infiltrates or bronchial thickening are seen. Thin pleural fissure lines are faintly visible. No tracheal or laryngeal abnormalities are identified. There are many punctate mineral density throughout the lungs consistent with benign pulmonary osteomas._x000D_
_x000D_
The liver is moderately enlarged, with normal shape and smooth margins. The other cranial abdominal organs are within normal limits._x000D_
Mild chronic remodeling changes are seen involving the elbows. No other musculoskeletal abnormalities are identified.</t>
  </si>
  <si>
    <t>There is severe left side cardiomegaly. Associated syncope is likely responsible for the recent collapse episode._x000D_
Degenerative mitral valve disease with severe chronic mitral regurgitation would be the most likely explanation for the cardiomegaly._x000D_
No pulmonary edema that would indicate congestive heart failure is seen in this study._x000D_
_x000D_
Significance of the thin pleural fissure lines is unknown. Concurrent non-cardiac disease such as infectious/inflammatory disease or lymphoreticular neoplasia should be ruled out considering the labwork abnormalities and hepatomegaly.</t>
  </si>
  <si>
    <t>Pimobendan therapy is indicated based on the severity of cardiomegaly in this patient._x000D_
Echocardiography and ultrasound of the abdomen is recommended.</t>
  </si>
  <si>
    <t xml:space="preserve">
1.The gastric axis is caudally displaced._x000D_
2.Cranial abdominal detail is decreased. This may be secondary to a confluence of soft tissues and/or regional inflammation or abdominal fluid._x000D_
3.Soft tissue opacity extending caudoventral to the stomach may represent enlarged liver or splenic tail._x000D_
4.No abnormal AI findings reported.</t>
  </si>
  <si>
    <t>Orthogonal radiographs of the thorax and of the abdomen are provided. The cardiac silhouette and pulmonary vessels are normal size and shape. Her lungs are clear. There is no pleural effusion or intrathoracic lymphadenomegaly._x000D_
_x000D_
In the abdomen there is a smoothly lobulated round 16.2 cm soft tissue opaque mass in the mid-ventral abdomen. This appears to originate from the splenic tail, and there is scant adjacent effusion. Normal-sized liver and kidneys. The gastrointestinal tract is minimally filled. Intestines are deviated dorsally and caudally by the mass.</t>
  </si>
  <si>
    <t>Large ventral abdominal mass, most likely originating from the spleen. Hemangiosarcoma is the top differential. Hematoma or hemangioma are next on the differential list. There is scant effusion which may be hemorrhage. No other abdominal abnormalities. Thorax is normal.</t>
  </si>
  <si>
    <t>Abdominal ultrasound is recommended to confirm origin of the mass, and rule out additional intra-abdominal lesions that may preclude surgical intervention.</t>
  </si>
  <si>
    <t xml:space="preserve">
1.The spleen is also enlarged with a smooth outline._x000D_
2.The hepatic silhouette is enlarged, with a smooth round and borders._x000D_
3.Peritoneal detail is decreased._x000D_
4.The ventral abdominal line is pendulous._x000D_
5.The stomach contains a moderate amount of food material, but has a normal axis._x000D_
6.The small intestines are within normal limits for shape, size and contents._x000D_
7.The large colon contains a minor amount of poorly formed faeces._x000D_
8.Mineral dense material and distended viscus are present in the region of the uterine horns._x000D_
9.In cases of pregnancy, fetal mineralization indicates fetal age of &gt;45 days._x000D_
10.IMPORTANT: This AI evaluation currently DOES NOT assess for the presence of fetal mummification and/or abnormal gas within or around the fetus (fetal viability) and/or fetal number.</t>
  </si>
  <si>
    <t>Hepatomegaly: This is a radiographic nonspecific finding, and has endocrine (diabetes mellitus, Cushings), infectious-inflammatory (hepatitis-viral-parasitic), hemodynamic (right heart failure), and infiltrative origins (nodular hyperplasia-round cell infiltration-lymphoma-adenoma-adenocarcinoma). Generalized splenomegaly: This is a nonspecific finding but given the hepatomegaly, infiltrative neoplasia needs to be considered in an older animal along with more benign causes such as extramedullary hematopoiesis or lymphoid hyperplasia. Tick borne disease is an additional consideration. Decreased abdominal detail. DDx: secondary to organomegaly and a confluence of soft tissue structures vs. abdominal fluid vs. mid-abdominal lymphadenopathy.</t>
  </si>
  <si>
    <t xml:space="preserve">
Virtual Radiologist Case Difficulty: MODERATE_x000D_
Virtual Radiologist Confidence: MODERATE_x000D_
Abdominal ultrasound is advised._x000D_
FNA of liver and spleen may be considered after normal blood work, and coagulation panel._x000D_
Evaluate fetal skeletal structures on radiographs, via ultrasound or submit for radiology review if fetal number and/or evaluation of fetal viability is needed.</t>
  </si>
  <si>
    <t xml:space="preserve">Patient Name : Hannah Feick, Date of study: Aug 9, 2024
4 images are provided for review
Canine Abdomen (4 Images) - 2 Lateral, 2 Vd
There are no previous radiographs for comparison.
Liver: The liver is subjectively normal in size.
Spleen: The spleen is normal in size with smooth margins and homogeneous soft tissue.
Kidneys: Small ovoid or linear well- and ill-defined mineral is consistently over the right and left kidney in orthogonal images.  The kidneys are normal in size and smoothly marginated.
Retroperitoneum: Retroperitoneal detail is adequate.
Urogenital: Approximately nine small ovoid smoothly marginated mineral foci are superimposed centrally over the urinary bladder.  The urinary bladder is otherwise normal in size and smoothly marginated.  
Peritoneum: Peritoneal detail is adequate.
Gastrointestinal tract: The stomach contains a moderate volume of gas.   Gastric rugal folds are mildly prominent. The stomach is within normal limits for size.
The small intestine contains mild gas or is empty with a subjectively uniform population for size. 
The colon contains moderate well-defined soft tissue material and gas.  The colon is within normal limits for size.  
Musculoskeletal:  Bilateral medial patella luxation in the ventrodorsal image. The remaining included musculoskeletal structures are normal.
</t>
  </si>
  <si>
    <t xml:space="preserve">1. Multiple small urocystoliths and presumed underlying cystitis.
2. Bilateral nephroliths and suspected chronic renal disease.
3. Prominent gastric rugal folds such as from normal variation or given reported history unlikely non-specific gastritis.
4. Bilateral medial patella luxation.  </t>
  </si>
  <si>
    <t>Urinalysis, urine culture/sensitivity testing,  SDMA, blood pressure and routine blood work for further evaluation if not recently performed.  Consider ultrasonography for further evaluation of the kidneys and urinary bladder.  Therapy for cystitis and possible diet dissolution protocol may be beneficial. Monitoring as directed or sooner if clinical signs acutely change, fail to improve or worsen.</t>
  </si>
  <si>
    <t xml:space="preserve">Patient Name : Noah Crane, Date of study: Aug 9, 2024
7 images are provided for review
There are no previous radiographs for comparison.
Bones/Joints:
The T12-13, T13-L1 and L1-2 intervertebral disc spaces are narrowed.  Spondylosis deformans is lateral and ventral to T12-13, T13-L1 and L1-2.
There is no evidence of mineral over the intervertebral foramina.  There is no evidence of intervertebral dorsal articulation osteoarthrosis.
There is no evidence of medullary sclerosis, osteolysis, endosteal scalloping, or periosteal proliferation.
Soft tissues:  The included soft tissues are normal.
Limited thorax:  Increased soft tissue in the region of the middle tracheobronchial lymph node with suspected ventral caudal bronchi displacement in the lateral image.
</t>
  </si>
  <si>
    <t xml:space="preserve">1. T12-13, T13-L1 and L1-2 intervertebral disc disease.
2. Suspected middle tracheobronchial lymphadenopathy such as from metastatic/multicentric versus primary neoplasia or less likely evolving granulomatous/fungal disease, or unlikely left atrial enlargement or other.
</t>
  </si>
  <si>
    <t>Consider routine blood work and focused thoracic imaging with radiographs or computed tomography for further evaluation of the suspicious tracheobronchial lymphadenomegaly versus other. Fungal serology depending on exposure/travel history.  Abdominal imaging for further evaluation of occult systemic disease. Consider MRI for further evaluation of the thoracolumbar spine.  Empirical therapy and supportive care in the interim as needed.  Monitoring with serial radiographs if signs fail to improve or worsen.</t>
  </si>
  <si>
    <t xml:space="preserve">
1.The liver and spleen appear within normal limits for size._x000D_
2.Serosal detail is normal._x000D_
3.There is small-volume gas and soft tissue density present within the stomach._x000D_
4.Small intestines are diffusely mildly filled with gas and fluid._x000D_
5.Formed feces is present in the descending colon._x000D_
6.No abnormal AI findings reported.</t>
  </si>
  <si>
    <t>Three radiographs of the abdomen are provided. Peritoneal and retroperitoneal detail is adequate. There is soft tissue opacity overlying the urinary bladder on the right lateral view, not definitively seen on the left lateral projection. There is suspect mildly fluid dilated soft tissue opacity in the caudal lateral aspect of the abdomen on both sides of the VD view. Formed feces in the descending colon. The stomach in small bowel are mildly filled. Normal-sized liver, spleen. The kidneys are obscured. Normal caudal thorax. Mammary tissue is thickened, of uncertain significance.</t>
  </si>
  <si>
    <t>Probable mildly dilated uterus. Pyometra is of concern. Mucometra, hydrometra, early pregnancy are not ruled out.</t>
  </si>
  <si>
    <t>Abdominal ultrasound should be considered.</t>
  </si>
  <si>
    <t xml:space="preserve">
1.Splenic size is at the upper limits of normal to mildly enlarged but no mass is noted in the region of the spleen._x000D_
2.Cranial abdominal detail is mildly decreased. DDx: confluence of soft tissue structures vs. less suspected, regional inflammation._x000D_
3.Liver size is at the upper limits of normal to mildly enlarged but no mass is noted in the region of the liver._x000D_
4.The stomach contains a small amount of gas and ingesta. The small bowel is diffusely gas- and fluid-filled without segmental small bowel dilation._x000D_
5.The colon is gas filled and a portion of the colon has a rigid appearance.</t>
  </si>
  <si>
    <t xml:space="preserve">Patient Name : Panda rubio, Date of study: Aug 9, 2024
3 images are provided for review
Canine Thorax (3 Images) - 2 Lateral, 1 Vd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Multiple round metal ballistic pellets (BBs) are present in the right extra-thoracic soft tissues and left caudal thorax.  Arising from the left mid-ventral abdominal body wall is a nodule with multiple internal mineral foci.  healed fractures of the right 5th and 6th ribs are present.  The remaining included musculoskeletal structures are normal.
</t>
  </si>
  <si>
    <t>1. Mild diffuse bronchial pulmonary pattern.
- Differential diagnoses include fibrosis from prior disease/injury, age-related changes, or unlikely infectious/immune-mediated lower airway disease or other.
2. No obvious intra-thoracic lymphadenomegaly or pulmonary nodules.  
3. Multiple extra-thoracic and left caudal thoracic BBs.
4. Left mid-ventral abdominal body wall mass with internal mineral.
- This is consistent with suspected mammary gland malignancy/neoplasm.</t>
  </si>
  <si>
    <t>Consider computed tomography of the thorax/abdomen for pre-surgical planning and a more sensitive evaluation of the thorax.  Empirical therapy and supportive care in the interim as needed.  Oncologist consultation depending on results of histopathology.  Monitoring as directed or sooner if clinical signs acutely change, fail to improve or worsen.</t>
  </si>
  <si>
    <t>Three radiographs of the thorax, and three views of the abdomen are provided. The heart is a normal size and shape. Pulmonary vessels are normal size. There are mild age-related changes in the lungs. Mild narrowed caudal cervical trachea. No pleural effusion._x000D_
_x000D_
In the abdomen the liver is mildly enlarged with smooth margins. The kidneys and spleen are normal size. There is no effusion. Formed feces in the descending colon. The stomach and small bowel are minimally distended. There are no radiopaque cystoliths. Osseous structures are unremarkable.</t>
  </si>
  <si>
    <t>1. Probable dynamic cervical tracheal collapse. No intrathoracic abnormalities._x000D_
2. Mild hepatomegaly, a nonspecific finding and may be steroid or other hepatopathy, acute inflammation, or least likely neoplasia. This should be correlated with history and blood work. Otherwise normal abdomen.</t>
  </si>
  <si>
    <t xml:space="preserve">
1.The liver is prominent with smooth margins._x000D_
2.The spleen is within normal limits for size._x000D_
3.No abnormal AI findings reported._x000D_
4.The stomach and small bowel are minimally filled. No signs of obstruction.</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</si>
  <si>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contain a well defined mildly curved mineral foreign body in the jejunum of the left hemiabdomen caudoventral to the spleen. Rest o the small intestines are mildly gas and fluid filled, not overtly distended. _x000D_
Serosal detail is preserved._x000D_
Liver and spleen are within normal limits of size and smoothly marginated._x000D_
Kidneys and urinary bladder WNL._x000D_
_x000D_
Unremarkable pelvis.</t>
  </si>
  <si>
    <t>1) Unremarkable thorax_x000D_
2) Jejunal foreign body without signs of mechanical ileus.</t>
  </si>
  <si>
    <t>Consider CBC and abdominal US to further evaluate this foreign body and the relationship with the clinical presentation (hyporexia and lethargy).</t>
  </si>
  <si>
    <t xml:space="preserve">
1.The small intestine is uniform in diameter containing both fluid and gas. No segmental small bowel dilation is noted._x000D_
2.Liver size, shape and margin are normal._x000D_
3.There is formed fecal material within the colon._x000D_
4.The stomach is minimally distended._x000D_
5.Splenomegaly is present but a splenic mass is NOT detected._x000D_
6.Cranial abdominal detail is mildly decreased.  If this is the only finding, this is more likely due to normal overlying structures or radiographic technique. If this finding is part of a larger group of findings, cranial abdominal inflammation becomes a stronger consideration.</t>
  </si>
  <si>
    <t>Orthogonal views of the thorax and abdomen are provided:_x000D_
_x000D_
Thorax:_x000D_
_x000D_
Cardiac silhouette shows a mild enlargement of the left atrium dorsally displacing the carina._x000D_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WNL._x000D_
_x000D_
Visible spine is unremarkable without signs of disc herniation, aggressive bone lesions, vertebral fractures or subluxations._x000D_
Bilateral abnormal medial bowiong of both tibiae with the calcaneus bones places laterally in the VD view of the pelvis with mild bilateral MPL.</t>
  </si>
  <si>
    <t>1) Left atrial enlargement secondary to chronic mitral endocardiosis without signs of CHF._x000D_
2) Unremarkable abdomen._x000D_
3) Mild bilateral MPL due to marked medial bowing o the tibiae with external rotation of the tarsi.</t>
  </si>
  <si>
    <t>Consider a cardiology consultation with ECG and echocardiogram with abdominal US._x000D_
Consider a neuro exam with MRI if necessary: if negative, consider an orthopedic exam under sedation.</t>
  </si>
  <si>
    <t xml:space="preserve">Patient Name : omelette chong, Date of study: Aug 8, 2024
5 images are provided for review
There are no previous radiographs for comparison.
Liver: The liver is slightly small with cranial dispalcement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to moderate gas and mild fluid or is empty.  Gas is in the pylorus in the left lateral image. Gastric rugal folds are prominent in the ventrodorsal image.  The stomach is within normal limits for size.
The small intestine contains mild fluid or is empty with a subjectively uniform population for size.  Minimal pin-point mineral is in a small intestinal segment in the caudoventral abdomen.  
The colon contains moderate to large volume of well-defined soft tissue material and mild admixed gas.  Moderate similar material is in the rectum.  
Musculoskeletal: The included musculoskeletal structures are normal.
</t>
  </si>
  <si>
    <t>1. Prominent gastric rugal folds such as from non-specific gastritis, or variation of normal.  
2. Minimal small intestinal mineral material due to dietary indiscretion with/without resultant enteritis and colitis.
- There is no current evidence of gastrointestinal mechanical ileus.
3. Mild microhepatia versus artifact from positioning/technique or normal variation.  
- If present, consider occult portosystemic shunt or unlikely other.
4. No radiopaque urocystoliths are identified.</t>
  </si>
  <si>
    <t>This examination does not rule out renal idiopathic hematuria or occult urethritis versus other contributing to reported clinical signs.  Consider abdominal ultrasonography and/or contrast vagioncystourethrography (radiographs versus computed tomography) or urethroscopy/cystoscopy for further evaluation.  Internist consultation may be contributory.  coagulation testing to rule out occult coagulopathy contributing to reported signs.   Empirical therapy and supportive care in the interim as needed.  Monitoring as directed or sooner if clinical signs acutely change, fail to improve or worsen.</t>
  </si>
  <si>
    <t>Study:_x000D_
Thoracic/abdominal radiography: four images dated August 8,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with the pylorus probably gas-filled on the left lateral image. The small intestines are normal in size, course and content. The colon is gas and fluid-filled. The liver and spleen are normal in size and margin. The kidneys are normal in size and contour. The urinary bladder is normal in size and opacity. The L1 vertebra is transitional with bilateral hypoplastic ribs. There is mild L3-L4 spondylosis deformans.</t>
  </si>
  <si>
    <t>1. The fluid in the colon is suggestive of incipient diarrhea. The abdomen is otherwise unremarkable. There is no radiographic evidence of gastrointestinal foreign material or small intestinal mechanical obstruction. Abdominal sonography can be considered for further evaluation if clinical signs persist or worsen in spite of medical management._x000D_
2. Normal thorax.</t>
  </si>
  <si>
    <t>Two radiographs of the abdomen dated 8th August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contains some gas and has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Extra-abdominal findings: No significant abnormalities are detected._x000D_
_x000D_
Included thorax: No significant abnormalities are detected.</t>
  </si>
  <si>
    <t>Normal abdomen. This does not preclude the presence of non-radiopaque foreign material. There is no evidence for segmental obstruction or a radiopaque foreign body.</t>
  </si>
  <si>
    <t>Observational management is advised.</t>
  </si>
  <si>
    <t xml:space="preserve">Patient Name : Kylo Ren Burroughs, Date of study: Aug 8, 2024
3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and mild soft tissue or fluid.  The stomach is within normal limits for size.
The small intestine contains mild fluid or is empty with a subjectively uniform population for size. 
The colon contains mild gas and soft tissue material.  The colon is mildly spastic in the ventrodorsal image. The colon is within normal limits for size.  
Musculoskeletal: L2-3 and L3-4, L4-5 and L7-S1 spondylosis deformans is present.  The remaining included musculoskeletal structures are normal.
</t>
  </si>
  <si>
    <t>1. Non-specific gastrointestinal tract appearance such as from enteritis, colitis, or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t>
  </si>
  <si>
    <t>Empirical therapy and supportive care for enterocolitis/gastritis in the interim as needed.  Routine blood work, GI panel and abdominal ultrasonography may be contributory.  Monitoring as directed, or sooner if clinical signs acutely change, fail to improve or worsen.</t>
  </si>
  <si>
    <t xml:space="preserve">
1.Splenic size, shape and margin are normal._x000D_
2.Abdominal detail is normal._x000D_
3.The small bowel is diffusely gas- and fluid-filled without segmental small bowel dilation._x000D_
4.The stomach contains gas and soft tissue material._x000D_
5.The liver is mildly enlarged but retains a smooth margin.</t>
  </si>
  <si>
    <t>Opposite lateral and VD views of the thorax and abdomen are provided for interpretation._x000D_
_x000D_
The cardiovascular structures are within normal limits. No pulmonary infiltrates or pleural effusion are identified. No tracheal or esophageal abnormalities are seen._x000D_
_x000D_
There is persistent mild gas dilation of the duodenum in all three of the abdomen views. No foreign bodies are identified in the GI tract. The stomach is not dilated, and the rest of the intestinal tract is unremarkable. There is subtle mottled opacity in the cranial abdomen just caudal to the stomach=ZZ90= this is presumed to represent fecal material in the transverse colon, although radiolucent foreign material in the intestine cannot be entirely excluded. No obstructive pattern is seen. Serosal detail in the abdomen is normal. The other organs are within normal limits.</t>
  </si>
  <si>
    <t>No foreign bodies or obstructive pattern are identified. There is mild gas dilation of the duodenum which is persistent. There is still potential that this could be due to obstruction at the distal duodenum with radiolucent for material, but this is speculative. Inflammation with secondary physiologic ileus could cause a similar appearance._x000D_
_x000D_
No thoracic abnormalities are identified.</t>
  </si>
  <si>
    <t>No definitive explanation for the vomiting is seen in the radiographs. Symptomatic therapy and supportive care for gastroenteritis/pancreatitis is recommended._x000D_
Follow up imaging such as a barium upper GI study or ultrasound of the abdomen could be considered if clinical signs are not improving with medical management over the next 48 hours.</t>
  </si>
  <si>
    <t xml:space="preserve">
1.Abdominal detail is satisfactory._x000D_
2.The gastric rugae are prominent._x000D_
3.Liver and splenic size, shape and margin are unremarkable._x000D_
4.No abnormal AI findings reported._x000D_
5.There are a few gas-distended loops of small bowel._x000D_
6.The remainder of the small bowel loops are diffusely fluid filled with a max:min small bowel diameter ratio of &lt; 2:1.</t>
  </si>
  <si>
    <t xml:space="preserve">Patient Name : Hunter Sarabia, Date of study: Aug 8, 2024
3 images are provided for review
There are no previous radiographs for comparison.
Bones/Joints: T13-L1, L1-2, L2-3 and L7-S1 spondylosis deformans is present.  The S1 segment is suspected to be partially lumbarized on the right, with a transverse process that is widened and partially fused to the ilial wing.
There is no evidence of intervertebral disc space narrowing, or mineral over the intervertebral foramina.  There is no evidence of intervertebral dorsal articulation osteoarthrosis.
Minimal left coxofemroal joint osteoarthrosis is suspected.
There is no evidence of medullary sclerosis, osteolysis, endosteal scalloping, or periosteal proliferation.
Soft tissues:  The included soft tissues are normal.
</t>
  </si>
  <si>
    <t xml:space="preserve">1. No evidence of intervertebral disc space narrowing.
2. Minimal left coxofemoral joint osteoarthrosis is suspected.
3. Suspected transitional S1 segment with right-sided lumbarization.  </t>
  </si>
  <si>
    <t>Consider neurologist consultation and MRI for further evaluation  of paraparesis, especially if clinical signs persist or worsen.  Empirical therapy and supportive care for left coxofemoral joint disease maybe contributory.  Stifle radiographs may be contributory.   Monitoring as directed, or sooner if clinical signs acutely change, fail to improve or worsen.</t>
  </si>
  <si>
    <t xml:space="preserve">
1.Hepatomegaly._x000D_
2.Splenomegaly._x000D_
3.Decreased mid-abdominal and diffuse detail._x000D_
4.The stomach contains gas and soft tissue density material. The small bowel is diffusely gas- and fluid-filled without segmental small bowel dilation.</t>
  </si>
  <si>
    <t>Four orthogonal radiographs of the abdomen dated 8th August 2024 are available for review. There are no previous radiographs available for comparison. _x000D_
_x000D_
Intra-abdominal findings: The fundus of the stomach contains some granular food material. There is mild gas in the duodenum on the left lateral image. The small intestines contain mainly gas and fluid, within normal limits for size. The descending colon is gas dilated. The urinary bladder is small.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The caudal vena cava is tapering.</t>
  </si>
  <si>
    <t>1. The overall impression is one of enteritis/colitis.  This may be due to dietary indiscretion, or infectious-inflammatory causes. There is no evidence of a mineral opaque foreign body, or complete mechanical obstruction.  A partial pyloric outflow obstruction by non-mineral opaque foreign material cannot be excluded.   Hemorrhagic gastroenteritis, or pancreatitis cannot be excluded._x000D_
2. The tapering caudal vena cava is most likely due to dehydration, however tapering due to phase of cardiac contraction may be possible.</t>
  </si>
  <si>
    <t xml:space="preserve">
1.There is gas and mild fluid dilation noted within the descending duodenum._x000D_
2.The stomach is mildly gas and fluid dilated._x000D_
3.Abdominal detail is normal._x000D_
4.The small bowel contains gas and fluid but is largely normal in diameter throughout._x000D_
5.There is also gas and fluid distention of the cecum and the entire length of the colon._x000D_
6.View GI resource: https://platform.v2.vetology.net/doc/GI_x000D_
7.The liver and spleen are normal for size._x000D_
8.No abnormal AI findings reported.</t>
  </si>
  <si>
    <t>Orthogonal views of the thorax and abdomen are provided (rotated radiographs):_x000D_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WNL._x000D_
_x000D_
Visible spine shows L4-L5 IVDS moderately narrow. No signs of disc aggressive bone lesions, vertebral fractures or subluxations.</t>
  </si>
  <si>
    <t>1) Unremarkable thorax and abdomen._x000D_
2) L4-L5: Rule out old change vs current change due to acute disc herniation.</t>
  </si>
  <si>
    <t>Opposite lateral and VD abdomen views are provided._x000D_
_x000D_
There is a speckled mineral density in the right liver, presumed to be within the gallbladder. This was not seen in previous radiographs 12-4-23. The liver is slightly enlarged, slightly larger than it was in the previous study. The other abdominal organs are within normal size and shape limits. There is a slight reduction in detail in the abdomen. There is normal appearing ingesta in the stomach. Small intestinal gas is mildly increased but still within the limits of benign variation.</t>
  </si>
  <si>
    <t>There is abnormal gallbladder content that is more prominent than the appearance in the previous study. Granular mineral density within the gallbladder is not uncommon as an incidental finding, but cholangitis or gallbladder mucocele should be ruled out in light of the clinical history. Liver size is also increased slightly over the past eight months, such that the liver is considered mildly enlarged._x000D_
There is also a slight reduction in detail in the abdomen. Although this is a subtle change, it is concerning for pathologic inflammatory process.</t>
  </si>
  <si>
    <t>Ultrasound of the abdomen is recommended due to the slight reduction in serosal detail and hepatobiliary abnormalities. Gallbladder mucocele or other sources of inflammation should be ruled out._x000D_
_x000D_
CBC and serum chemistry is recommended.</t>
  </si>
  <si>
    <t>Three orthogonal thoracoabdominal survey radiographs dated 8th August 2024 are unavailable for review. There are no previous radiographs available for comparison. _x000D_
_x000D_
Vertebral column: There is mild intervertebral disc narrowing at C5-C6, with smooth vertebral and plates. No mineralised material is seen dorsal to the intervertebral disc spaces, however there is obliquity and superimposition of the shoulder joints. There is kyphosis at the thoracoabdominal junction. There is mild narrowing at T12-13 with smooth vertebral endplates. Both sacro joints are normal. There is very poor coverage of the presumed right coxofemoral joint with extensive acetabular modelling and femoral head and neck modelling. The femoral head is dorsally displaced on the lateral image. Both patella are proximally displaced.</t>
  </si>
  <si>
    <t>1. C6-C7 intervertebral disc disease. There is no evidence for a mineralised disc extrusion, however nonmineralised disc protrusion may be present. Other spinal cord pathology including embolic (FCE), high velocity disk, inflammatory or neoplastic disease or degenerative myelopathy is not excluded . _x000D_
2. Mild T12-T13 intervertebral disc disease._x000D_
3. Right coxofemoral joint luxation with severe osteoarthritis._x000D_
4. Bilateral patella alta._x000D_
5. Kyphosis likely secondary to the pelvic limb pathology.</t>
  </si>
  <si>
    <t>Full neurologic examination if not already performed. If no proprioceptive deficits or patients neck pain is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can be considered.</t>
  </si>
  <si>
    <t>A three view study of the abdomen is provided for interpretation._x000D_
_x000D_
No foreign bodies are identified in the GI tract. The small intestine appears gassy overall, but no dilation or plication the intestine is seen. A few small bowel loops in the colon appear mildly hyperperistaltic. Rugal folds in the stomach are slightly prominent. The stomach is not distended or malpositioned. Serosal detail in the abdomen is normal. The other organs are within normal limits._x000D_
_x000D_
There is moderate narrowing of the T13-L1 disc space and mild thoracolumbar spondylosis. There is severe lumbosacral spondylosis. No destructive bone lesions are seen.</t>
  </si>
  <si>
    <t>The appearance of the GI tract is compatible with gastroenteritis. No foreign bodies or obstructive pattern are identified. The other organs are within normal limits._x000D_
_x000D_
There is an incidental finding of disc degeneration at the thoracolumbar junction.</t>
  </si>
  <si>
    <t>Supportive care and symptomatic therapy is recommended.</t>
  </si>
  <si>
    <t>Study:_x000D_
Thoracic and abdominal radiography: six images dated August 8, 2024_x000D_
_x000D_
Findings:_x000D_
The cardiac silhouette and pulmonary vasculature are normal in size. Multiple punctate mineral foci consistent with incidental pulmonary osteomas are scattered throughout the pulmonary parenchyma. The pulmonary parenchyma is otherwise unremarkable. The pleural space is normal. There is no intrathoracic lymphadenopathy. There is a large soft tissue opaque mass effect in the retropharyngeal region causing ventral displacement of the larynx and proximal trachea. There is also severe soft tissue swelling in the submandibular region likely secondary to the reported mandibular lymphadenopathy. The trachea is normal in diameter and course. The abdominal serosal detail is normal. The stomach contains a small volume of gas with the pylorus appropriately gas-filled on the left lateral image.. The small intestines are normal in size, course and content. The colon contains a small volume of gas. The liver extends mildly beyond the costal arch with smooth and sharp margins. The spleen is moderately enlarged with smooth margins. The renal silhouettes are normal in size and contour. The urinary bladder is normal in size and opacity. There is variable mild to severe multifocal cervical, thoracolumbar and lumbosacral spondylosis deformans. There is narrowing of the C5-C6, L3-L4, L4-L5 and L5-L6 intervertebral disc spaces There is moderate bilateral remodeling/thickening of the femoral head and neck.</t>
  </si>
  <si>
    <t>1. Submandibular swelling. As stated above, this finding is likely secondary to the reported mandibular lymphadenopathy. Rule out round cell neoplasia (prioritized) versus reactivity. Fine needle aspiration and cytology is recommended._x000D_
2. The retropharyngeal soft tissue opaque mass effect likely indicates the retropharyngeal lymphadenopathy. Given the concurrent mandibular lymphadenopathy and reported left superficial cervical lymphadenopathy, multicentric round cell neoplasia is prioritized._x000D_
3. Incidental pulmonary osseous metaplasia=ZZ90= otherwise, unremarkable thorax. There is no radiographic evidence of cardiopulmonary disease or intrathoracic neoplasia._x000D_
4. The mild hepatomegaly is nonspecific. Rule out multicentric round cell neoplasia, metabolic/vacuolar hepatopathy, hepatitis or hyperplasia. Sonography should be considered for further evaluation._x000D_
5. Similarly, the splenomegaly is also nonspecific. Rule out multicentric round cell neoplasia, extramedullary hematopoiesis, lymphoid hyperplasia, splenitis or congestion. Sonography should be considered for further evaluation._x000D_
6. Multifocal intervertebral disc disease._x000D_
7. Moderate bilateral coxofemoral osteoarthrosis.</t>
  </si>
  <si>
    <t xml:space="preserve">Patient Name : Winnie taylor, Date of study: Aug 8, 2024
3 images are provided for review
Canine Abdomen (3 Images) - 2 Lateral, 1 Vd
There are no previous radiographs for comparison.
Liver: The liver is mildly enlarged with a slightly rounded caudoventral margin extending to the level of the 13th ribs.  
Spleen: The spleen is normal in size with smooth margins and homogeneous soft tissue.
Kidneys: Suspected right nephroliths in the lateral image.  The left kidney is obscured without obvious enlargement.
Retroperitoneum: Retroperitoneal detail is adequate.
Urogenital: In the caudoventral abdomen is a severely enlarged tubular and redundant soft tissue structure.  This tubular structure is in the right mid to caudal and left mid-abdomen in the ventrodorsal image.  This tubular structure results in severe cranial and dorsal displacement of the small intestine.  The urinary bladder is partially obscured by the superimposed tubular structure, but the urinary bladder has no obvious mineral.
Peritoneum: Peritoneal detail is adequate.
Gastrointestinal tract: The stomach contains a moderate to large volume of gas.   The stomach is within normal limits for size.
The small intestine contains fluid or is empty with a subjectively uniform population for size. 
The colon contains minimal soft tissue material and gas.  The colon is within normal limits for size.  
Musculoskeletal: Bilateral severe coxofemoral joint osteoarthrosis and subluxation of the femoral heads, more severe on the right.  The remaining included musculoskeletal structures are normal.
</t>
  </si>
  <si>
    <t>1. Severe bilateral uterine horn enlargement, worse on the right.
- This is most likely due to evolving  pyometra or unlikely other.
2. Mild hepatomegaly due to vacuolar change, nodular hyperplasia, hepatitis/cholangiohepatitis, or unlikely evolving neoplasia or other.
3. Suspected right nephroliths versus superimposed normal structures.
4. Severe bilateral coxofemoral joint osteoarthrosis and subluxation.</t>
  </si>
  <si>
    <t>Consider confirmation of uterine enlargement/fluid with ultrasonography, and evaluation of systemic disease with routine blood work if not recently performed. Thoracic imaging to screen for occult systemic disease may be contributory.  Consider ovariohysterectomy for suspected pyometra.  Empirical therapy and supportive care in the interim as needed.  Monitoring as directed, or sooner if clinical signs acutely change, fail to improve or worsen.</t>
  </si>
  <si>
    <t>Three radiographs of the abdomen are provided. There is no abdominal effusion. The stomach is severely distended with granular soft tissue opaque ingesta. Small bowel are mildly filled with fluid and gas. Small volume of formed feces in the colon. The liver and spleen are normal size. The kidneys are obscured. The urinary bladder is not definitively seen, likely due to minimal distention. The prostate is also not visible. No abnormalities along the visible urethral plane. Osseous structures are unremarkable.</t>
  </si>
  <si>
    <t>Normal postprandial abdomen. There is no evidence of radiopaque urolithiasis. Cystitis is most likely.</t>
  </si>
  <si>
    <t>Current diagnostics are appropriate. If further evaluation of the urinary tract is desired, ultrasound would be recommended. Full urinary bladder would be recommended at the time of ultrasound.</t>
  </si>
  <si>
    <t>Orthogonal views of the thorax and abdomen are provided:_x000D_
_x000D_
Thorax:_x000D_
_x000D_
No abnormalities seen in the trachea._x000D_
Cardiac silhouette shows a questionable mild enlargement of the left atrium dorsally displacing the carina._x000D_
Pulmonary vessels are within normal limits of size and shape._x000D_
Pulmonary parenchyma is within normal limits. No signs of pneumonia nor signs of pulmonary nodules._x000D_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WNL._x000D_
The prostate gland is enlarged protruding in the caudal abdomen pushing the bladder cranially .</t>
  </si>
  <si>
    <t>1) Rule out mild left atrial enlargement secondary to chronic mitral endocardiosis without signs of CHF._x000D_
2) Unremarkable lungs do not exclude a bronchitis of allergic vs inflammatory/infectious or parasitic origin._x000D_
3) Prostatomegaly compatible with BPH. Prostatitis less likely. Prostatic neoplasia unlikely.</t>
  </si>
  <si>
    <t>Consider a cardiology consultation with ECG and echocardiogram prior to a laryngeal exam under sedation evaluating the benefit of an empirical treatment for chronic bronchitis evaluating response to treatment._x000D_
Consider abdominal US to further evaluate the urinary tract with renal function test, urinalysis, UPC and urine culture.</t>
  </si>
  <si>
    <t xml:space="preserve">Patient Name : Ginger Pessel, Date of study: Aug 8, 2024
2 images are provided for review
Canine Abdomen (2 Images) - 1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moderate gas and fluid.  Gastric rugal folds are prominent.   The stomach is within normal limits for size.
In the right mid-ventral abdomen is a segment of small intestine that is moderately enlarged and contains heterogeneous soft tissue material admixed with gas or fluid.  Segments of small intestine in the mid-dorsal and caudal abdomen contain moderate gas.  Segments of small intestine in the caudal abdomen contains moderate fluid.  Some small intestinal segments in the caudal abdomen contain only mild gas.  
The colon contains mild soft tissue material and gas.  The colon is within normal limits for size.  
Musculoskeletal: The included musculoskeletal structures are normal.
</t>
  </si>
  <si>
    <t xml:space="preserve">1. Suspicious small intestinal segment in the right mid-ventral abdomen for foreign material (cloth versus other) and evolving mechanical ileus, or unlikely functional ileus/enteritis.
2. Prominent gastric rugal folds due to non-specific gastritis or unlikely individual variation of normal.
</t>
  </si>
  <si>
    <t xml:space="preserve">Consider abdominal ultrasonography for further evaluation of the suspicious small intestinal segments, versus compression radiographs for confirmation of suspected mechanical ileus.  Exploratory celiotomy for decompression/retrieval of small intestinal foreign material.  Routine blood work if not recently performed.  Empirical therapy and supportive care as needed in the interim. </t>
  </si>
  <si>
    <t>Orthogonal views of the abdomen are provided:_x000D_
_x000D_
Abdomen:_x000D_
_x000D_
The stomach is filled with food._x000D_
Small intestines are mildly gas and fluid filled, not overtly distended. No signs of mechanical ileus._x000D_
Unformed feces in the colon._x000D_
Serosal detail is preserved._x000D_
Liver and spleen are within normal limits of size and smoothly marginated._x000D_
Kidneys and urinary bladder WNL.</t>
  </si>
  <si>
    <t>1) Unformed feces in the colon. Rule out colitis of allergic/inflammatory/idiopathic origin vs colitis secondary to dietary indiscretion/diet change vs IBD flare up.</t>
  </si>
  <si>
    <t>Consider empirical treatment for colitis followed by abdominal US.</t>
  </si>
  <si>
    <t xml:space="preserve">
1.The small intestines are a combination of gas-filled and fluid-filled/collapsed, and all are within normal limits for diameter._x000D_
2.The colon contains a combination of gas and granular fecal material._x000D_
3.The liver and abdominal serosal detail are within normal limits._x000D_
4.On the lateral projection, the spleen is prominent but retains a normal shape and has a smooth margin._x000D_
5.The ventral abdominal line is minimally pendulous._x000D_
6.The stomach contains amorphous, soft-tissue-opaque material, most consistent with food.</t>
  </si>
  <si>
    <t>Patient Name : Ellie Ward, Date of study: Aug 8, 2024
6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to large volume of fluid and gas.   Gas is in the pylorus in the left lateral image.  The stomach is within normal limits for size.
The small intestine contains mild fluid or is empty with a subjectively uniform population for size. 
The colon contains moderate to large volume of soft tissue or fluid.  In the left lateral image, the colon wall is spastic.  The colon is within normal limits for size.  
Musculoskeletal: L3-4, L4-5 and L5-6 spondylosis deformans is present.  The remaining included musculoskeletal structures are normal.</t>
  </si>
  <si>
    <t xml:space="preserve">1. Colonic appearance is consistent with reported hematochezia and suspected large bowel diarrhea.
2. Non-specific gastrointestinal tract appearance such as from gastritis, enteritis, colitis, or unlikely individual variation of normal given reported history.
- There is no current evidence of gastrointestinal mechanical ileus.
- Differential diagnoses include dietary indiscretion, toxin ingestion, diet/antibiotic responsive disease, inflammatory bowel disease, pancreatitis, occult systemic disease or unlikely other.
</t>
  </si>
  <si>
    <t>Consider GI panel, fecal analysis/deworming, coagulation testing and abdominal ultrasonography for further evaluation of the colon and gastrointestinal tract.  Continue empirical therapy and supportive care in the interim as needed for suspected hemorrhagic gastroenterocolitis/colitis and hematochezia.  Monitoring as directed or sooner if clinical signs acutely change, fail to improve or worsen.</t>
  </si>
  <si>
    <t>Study:_x000D_
Abdominal radiography: three images dated August 8, 2024_x000D_
_x000D_
Findings:_x000D_
The stomach contains a small volume of gas. The small intestines are normal in size, course and content. The colon contains gas and formed fecal material. The liver is normal in size with smooth and sharp margins. There is a mild amount of indistinct granular mineral in the region of the gallbladder. The spleen is normal in size and margin. The renal silhouettes are normal in size and contour. Multiple indistinct mineral foci are present in each kidney. The urinary bladder is normal in size and opacity. No mineral opaque calculi are present in the bladder or region the urethra. The uterus is not visualized. The included thorax is normal. The L1 vertebra is transitional with a hypoplastic rib on the right.</t>
  </si>
  <si>
    <t>1. Bilateral nephrolithiasis and/or nephrocalcinosis. There is no cystolithiasis._x000D_
2. There is no radiographic uterine dilation. This does not exclude the possibility of open pyometra._x000D_
3. Cholelithiasis.</t>
  </si>
  <si>
    <t>Consider urinalysis and urine culture to further evaluate for a possible urinary tract infection. Abdominal sonography can be considered for further evaluation of the uterus.</t>
  </si>
  <si>
    <t xml:space="preserve">
1.Liver size is normal and retains a smooth margin._x000D_
2.The spleen is prominent but retains a smooth margin._x000D_
3.Abdominal detail is normal._x000D_
4.The stomach contains a small amount of air and either has prominent gastric rugae or contains a small amount of soft tissue material mimicking the appearance of prominent gastric rugae._x000D_
5.A portion of the small bowel has a rigid appearance on the VD projection. No segmental small bowel dilation is noted._x000D_
6.A portion of the colon is gas filled and has a rigid appearance on the VD projection.</t>
  </si>
  <si>
    <t>8 images of the thorax and abdomen are provided for review.  The cardiovascular structures are normal.  There is a moderate bronchial pattern in all lung lobes.  The mediastinal and pleural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</si>
  <si>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Moderate bronchial pulmonary pattern=ZZ90= consider bronchitis, response to inhaled irritants, response to circulating parasites, eosinophilic bronchopneumopathy.</t>
  </si>
  <si>
    <t>Orthogonal views of the thorax are provided:_x000D_
_x000D_
Thorax:_x000D_
_x000D_
Cardiac silhouette has a normal shape and size._x000D_
Pulmonary vessels are within normal limits of size and shape._x000D_
Pulmonary parenchyma show a pulmonary nodule ion the periphery off. the left cuddle lung lobe medial to the 8th left rib. Other smaller nodules are seen superimposed with the cardiac apex in the lateral view._x000D_
Pleural space, mediastinum, diaphragm and thoracic wall within normal limits._x000D_
_x000D_
Liver extends beyond the costal arch</t>
  </si>
  <si>
    <t>1) Multiple pulmonary nodules consistent with pulmonary metastases._x000D_
2) Hepatomegaly: Neoplastic vs Metabolic vs Vacuolar infiltration vs Hepatic nodular hyperplasia vs Inflammatory vs Toxic or a combination of these differentials.</t>
  </si>
  <si>
    <t>Abdominal US to try find a primary neoplasia (ruling out hepatic neoplasm) with CT of the thorax and US guided FNAs from some of the pulmonary nodules along with oncologist consultation.</t>
  </si>
  <si>
    <t>Six radiographs of the thorax and abdomen are provided. The cardiac silhouette is normal size. Fat deposition separates the heart from the sternum on the lateral views. There is increased opacity in the mid and caudal right thorax on the VD projection, with loss of right diaphragm margin visibility. There is increased opacity overlying the heart and caudoventral thorax on the left lateral view, but no definitive air bronchograms. In the abdomen there is small volume peritoneal fluid. There is a small focus of gas overlying the craniodorsal abdomen on the lateral views, possibly seen in the region of the pylorus on the VD projection. The liver is mildly enlarged. The gastric axis is mildly caudally deviated. Normal size kidneys and spleen. The gastrointestinal tract is minimally distended. The urinary bladder is mildly filled and soft tissue opaque.</t>
  </si>
  <si>
    <t>1. Mild peritoneal effusion and scant peritoneal free gas. Gastric or proximal small intestinal perforation, with secondary septic peritonitis is of concern. This could occur due to intraluminal foreign material versus gastrointestinal wall lesion._x000D_
2. Mild hepatomegaly, a nonspecific finding that may be due to acute inflammation, hepatopathy, or neoplasia._x000D_
3. Soft tissue opacity in the caudal right thorax, significantly concerning for neoplasia originating from the lung. Pneumonia is given secondary consideration. A right-sided diaphragmatic hernia, with extension of fat into the thorax is felt to be much less likely.</t>
  </si>
  <si>
    <t>Ideally, the caudal thorax could be evaluated with ultrasound to rule in/out a mass. Since there is free peritoneal gas, immediate surgical intervention is recommended.</t>
  </si>
  <si>
    <t xml:space="preserve">
1.The liver and spleen appear within normal limits._x000D_
2.No abnormal AI findings reported._x000D_
3.No abnormal AI findings reported._x000D_
4.No abnormal AI findings reported.</t>
  </si>
  <si>
    <t>The AI result for this case is most compelling for: Gastritis. This may be secondary to dietary indiscretion or infectious/inflammatory etiologies. Appearance of the bowel could suggest ileus, with no convincing findings of complete obstruction.</t>
  </si>
  <si>
    <t>A single right lateral thoracic and abdominal radiographs dated 8th August 2024 is available for review. There are no previous radiographs available for comparison. A minimum of 2 view orthogonal images are required for a a diagnostic interpretation._x000D_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_x000D_
_x000D_
Mediastinum and pleural space: No significant abnormalities are detected._x000D_
_x000D_
Abdomen: The hepatic silhouette is normal in size with smooth borders. The spleen is normal in shape, size and position. The kidneys are partially obscured by gastrointestinal contents, but the visible aspect are normal. The stomach contains granular food material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 There is mild enlargement of the prostate._x000D_
_x000D_
Musculoskeletal system: There is extensive mid thoracic intervertebral disc narrowing with smooth vertebral endplates, and bridging or near bridging spondylosis deformans. There is intervertebral disc narrowing at is T12-T13 with smooth vertebral endplates and ventral spondylosis. There is ventral spondylosis deformans at T13-L3. There is spondylosis deformans at L7 S1.</t>
  </si>
  <si>
    <t>.1. Normal thorax and abdomen. The study is non-diagnostic due to single view series._x000D_
2. Extensive intervertebral disc disease with ventral spondylosis. This may cause some back pain. There is no evidence for extrusion of mineralised disc material. Protrusion of nonmineralised disc material is possible._x000D_
3. Mild prostatomegaly, most likely due to benign prostatic hyperplasia.</t>
  </si>
  <si>
    <t>Full neurologic examination if not already performed. If no proprioceptive deficits or patients clinical signs are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can be considered</t>
  </si>
  <si>
    <t xml:space="preserve">
1.There is a oval soft tissue opaque mass lesion noted within the mid abdomen._x000D_
2.The gastrointestinal tract is within normal limits._x000D_
3.The liver is enlarged._x000D_
4.The spleen is mildly enlarged with a focal bulge in the splenic capsular margin._x000D_
5.Within the abdomen, there is reduced abdominal serosal detail.</t>
  </si>
  <si>
    <t>Opposite lateral and VD thoracoabdominal views are provided for interpretation._x000D_
_x000D_
There is a soft tissue shadow with lobular margins in the cranioventral abdomen is concerning for a mass lesion. The location and appearance would be compatible with a mass involving the liver or spleen. A normal spleen shadow cannot be identified in the lateral views. There is a moderate quantity of free gas in the abdomen consistent with the history of laparotomy. The other abdominal organs are within normal limits._x000D_
The cardiovascular structures are within normal limits. No pulmonary infiltrates or pleural effusion are identified._x000D_
There is moderate spondylosis deformans involving the lumbar spine. There is moderate chronic remodeling involving both elbows. The right 13th rib arises from the transverse process, and the left 13th rib is hypoplastic and barely visible. No destructive bone lesions are seen.</t>
  </si>
  <si>
    <t>There is a mass effect in the cranioventral abdomen. The appearance is concerning for neoplastic lesion involving the liver or spleen. The organ of origin cannot be determined in the radiographs. There is also a generally irregular appearance to the entire area because of the free gas in the abdomen that can alter the appearance of the organs. Benign hyperplastic changes involving the liver or spleen, superimposition of GI structures on mildly abnormal liver and spleen cannot be entirely excluded._x000D_
_x000D_
No thoracic abnormalities are identified.</t>
  </si>
  <si>
    <t>There is concern for a mass lesion that is potentially neoplastic._x000D_
No evidence of pulmonary metastases or significant cardiopulmonary disease is identified._x000D_
Follow up imaging such as ultrasound should be considered for more definitive evaluation.</t>
  </si>
  <si>
    <t xml:space="preserve">
1.The large colon contains a minor amount of poorly formed faeces._x000D_
2.Prominent spleen._x000D_
3.The peritoneal serosal detail is normal._x000D_
4.The stomach contains a moderate amount of food material, but has a normal axis._x000D_
5.The small intestines are within normal limits for shape, size and contents._x000D_
6.The hepatic silhouette is enlarged, with smooth, rounded borders.</t>
  </si>
  <si>
    <t>Three radiographs of the thorax, and three views of the abdomen are provided. The heart is upper normal size on the lateral views. The heart appears larger on the VD projection, likely due to partial expiration and adjacent fat deposition. There is a mild bronchial pattern throughout the lungs consistent with age. There is hazy increased opacity in the cranial lungs on both sides of the VD projection, possibly seen cranial to the heart on the right lateral view. No pleural effusion._x000D_
_x000D_
In the abdomen the liver is mildly enlarged with smooth margins. Normal size kidneys and spleen. The gastrointestinal tract is minimally filled. The urinary bladder is markedly distended and soft tissue opaque. Small round increased opacity overlying the urinary bladder on the VD projection is superimposed intestinal debris or nipple. There is narrowed T13-L1, L1-2 intervertebral disc spaces and foramina. The coxofemoral joints are congruent.</t>
  </si>
  <si>
    <t>1. The appearance of T13-L1 and L1-2 are both suggestive of intervertebral disc disease. This is the most likely cause for the clinical signs._x000D_
2. Mild hepatomegaly consistent with steroid hepatopathy. Otherwise normal abdomen._x000D_
3. Possible small area of severe interstitial pattern in the cranial lungs, concerning for aspiration pneumonia. If this patient does not have associated current clinical signs, significance is doubtful. The thorax is otherwise normal.</t>
  </si>
  <si>
    <t>It appears the patient is improving, therefore consider supportive care with anti-inflammatories and strict rest. If the patient does not continue to improve, consultation with a neurologist and advanced spinal imaging with CT/MRI would be recommended.</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</si>
  <si>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  Numerous hemivertebrae are present in the thoracolumbar and sacrocaudal spine.  Multiple mineral opaque intervertebral discs are seen in situ, most notable at L1-3 and L4-6.</t>
  </si>
  <si>
    <t>Radiographically normal abdomen.  Radiographically normal thorax for patient of this age.  Congenital hemivertebrae.  Multiple sites of intervertebral disc disease.</t>
  </si>
  <si>
    <t xml:space="preserve">
1.There is questionable microhepatia on the lateral projection._x000D_
2.Abdominal detail is normal._x000D_
3.The stomach contains gas and the gastric axis is mildly displaced cranially._x000D_
4.The small intestines are a combination of gas-filled and fluid-filled/collapsed, and all are within normal limits for diameter._x000D_
5.The colon contains a combination of gas and fecal material._x000D_
6.Splenic size, shape and margin are normal.</t>
  </si>
  <si>
    <t>Equivocal microhepatia which could be normal for this patient. Other possibilities include causes such as microvascular dysplasia or portosystemic shunting.</t>
  </si>
  <si>
    <t xml:space="preserve">
Virtual Radiologist Case Difficulty: MODERATE_x000D_
Virtual Radiologist Confidence: MODERATE_x000D_
Pre- and post-prandial bile acid testing could be considered if the potential microhepatia is of any clinical concern._x000D_
Also consider an abdominal ultrasound.</t>
  </si>
  <si>
    <t>Five radiographs of the abdomen are provided. There is no peritoneal or retroperitoneal effusion. The stomach contains a moderate amount of soft tissue density that is stippled with gas. Small intestines are diffusely minimally distended. Moderate volume gas and small volume of formed feces in the colon. No radiopaque foreign material. Normal-sized liver, spleen, kidneys. The urinary bladder is minimally filled and soft tissue opaque. No spinal abnormalities are appreciated. Curved mineral density dorsal to the ilial wings is normal apophysis.</t>
  </si>
  <si>
    <t>Normal postprandial abdomen. The gastric contents appears to be normal ingesta. Foreign material is not definitively ruled out that given much lesser consideration in the absence of persistent vomiting. A reason for discomfort is not identified.</t>
  </si>
  <si>
    <t>If hyporexia continues or vomiting recurs, strictly fasted abdominal ultrasound should be considered.</t>
  </si>
  <si>
    <t xml:space="preserve">
1.The stomach contains gas and small amount of amorphous soft tissue density. Small intestines are diffusely, minimally distended._x000D_
2.Splenic size, shape and margin are normal._x000D_
3.Liver size, shape and margin are normal._x000D_
4.Abdominal detail is normal.</t>
  </si>
  <si>
    <t>Four radiographs of the thorax/abdomen are provided. The cardiac silhouette and pulmonary vessels are normal size. The left ventricle is shifted to the left on the VD projection due to thoracic conformation. There is peripheral pulmonary vascular mineralization in the caudodorsal right lung, incidental. No pleural effusion. Adequate tracheal diameter. No esophageal dilation. In the abdomen serosal detail is poor consistent with mild effusion. The stomach is severely distended with amorphous soft tissue density and diffuse fluid-like mineral density. Small bowel are poorly delineated but appear to be diffusely mildly filled with similar mineral density. The colon contains minimally formed and fluid-like mineral opaque feces. The liver and spleen are normal size. The kidneys are obscured. No radiopaque urolithiasis.</t>
  </si>
  <si>
    <t>1. Peritoneal effusion, most likely due to hypoproteinemia. Etiology is uncertain._x000D_
2. Mineral content throughout the gastrointestinal tract is presumably due to barium administration. Ingested foreign material is not ruled out._x000D_
3. Normal thorax.</t>
  </si>
  <si>
    <t xml:space="preserve">
1.No abnormal AI findings reported._x000D_
2.The stomach contains a small amount of gas._x000D_
3.The colon contains a combination of gas and granular fecal material._x000D_
4.There is possible loss of abdominal serosal detail._x000D_
5.Mild hepatomegaly._x000D_
6.The small intestines are a combination of gas-filled and fluid-filled/collapsed, and all are within normal limits for diameter.</t>
  </si>
  <si>
    <t>Study:_x000D_
Thoracic radiography: three images dated August 8, 2024_x000D_
_x000D_
Findings:_x000D_
There is a severe amount of subcutaneous emphysema along the right aspect of the cervical region and both the left and right lateral aspects of the thorax. A small volume of gas dissects through the fascial planes of the neck and extends into the cranial mediastinum. On the VD view, there is a small region of lucency devoid of pulmonary markings in the left caudal thorax. The cardiac silhouette is normal in size and shape. The pulmonary vasculature is normal in size. On the VD view, there is a mild unstructured interstitial pattern in the right middle lung lobe. The larynx is unremarkable. The trachea is normal diameter. There is no apparent intrathoracic lymphadenopathy. The stomach contains unstructured heterogeneous soft tissue material presumed to be ingesta. The included abdomen is otherwise unremarkable. No skeletal abnormalities are present. There are no apparent fractures or luxations.</t>
  </si>
  <si>
    <t>1. Severe extensive cervical and thoracic subcutaneous emphysema secondary to the reported coyote bite wounds with dissection through the fascial planes of the neck and mild pneumomediastinum._x000D_
2. There is concern for a small volume pneumothorax. It is unclear if this finding is secondary to lung trauma or penetrating thoracic wall injury._x000D_
3. The mild interstitial pattern in the right middle lung lobe may indicate mild pulmonary contusions.</t>
  </si>
  <si>
    <t>The patient=ZZ91=s superficial wounds should be probed to evaluate for any communication with the thoracic cavity. Repeat radiography in 48 to 72 hours (sooner if the patient=ZZ91=s respiratory status decompensates) should be considered to monitor the pneumomediastinum and suspected pneumothorax.</t>
  </si>
  <si>
    <t xml:space="preserve">
1.No effusion is present._x000D_
2.No abnormal AI findings reported._x000D_
3.The liver and spleen are normal size._x000D_
4.No segmental small intestinal distention is present._x000D_
5.Small intestines are mildly filled with a mixture of fluid and gas._x000D_
6.Moderate volume soft tissue opacity and/or gas fills the stomach.</t>
  </si>
  <si>
    <t>Study:_x000D_
Eight images that include the cervical region, thoracic limbs, thorax and abdomen dated August 8, 2024_x000D_
_x000D_
Findings:_x000D_
The cardiac silhouette and pulmonary vasculature are normal in size. The pulmonary parenchyma is unremarkable. The pleural space is normal. There is no intrathoracic lymphadenopathy. There is a broad-based soft tissue opaque band superimposed with the cervical trachea lumen representing either a redundant dorsal tracheal membrane or superimposition of the esophagus. The trachea is normal in diameter and course. The stomach contains heterogeneous/granular soft tissue material presumed to be ingesta. The small intestines are normal in size, course and content. The colon contains formed fecal material. The liver and spleen are normal in size and margin. The kidneys are normal in size and contour. The urinary bladder is not visualized and is likely small/empty. There is no uterine dilation. There is narrowing of the C3-C4 through C5-C6, T 13-L1 and L1-L2 intervertebral disc spaces with sclerotic endplates and variable mild to severe spondylosis deformans. The C2-C3 intervertebral disc base also appears mildly narrowed=ZZ90= however, this finding may be artifact created by beam distortion. Mild periarticular bone formation is present at the caudodistal aspect of the humeral head and infraglenoid process of the scapula bilaterally. There is moderate bilateral elbow periarticular new bone formation. The coxofemoral joints are unremarkable with good coverage of the femoral head by the acetal bilaterally. There is moderate bilateral stifle periarticular bone formation. There is a small amount of linear mineral which appears to be at the continues margin along the dorsal cervical region. The patient is of overweight body condition.</t>
  </si>
  <si>
    <t>1. C3-C4 through C5-C6, T 13-L1, L1-L2 plus/minus C2-C3 intervertebral disc disease. Neurology consultation and MRI can be considered for further evaluation if the spinal pain persists or worsens in spite of activity restriction and pain management._x000D_
2. Mild bilateral shoulder osteoarthrosis._x000D_
3. Moderate bilateral elbow osteoarthrosis._x000D_
4. Moderate bilateral stifle osteoarthrosis. Consider underlying cranial cruciate and/or meniscal injury._x000D_
5. Normal thorax._x000D_
6. Unremarkable abdomen._x000D_
7. The small amount of cutaneous mineral along the dorsal cervical region may indicate calcinosis cutis secondary to the reported Cushing=ZZ91=s disease.</t>
  </si>
  <si>
    <t>Four radiographs of the abdomen are provided. There is no abdominal effusion. The stomach contains small volume of gas and a sharply marginated 3.0 x 2.8 cm mineral density. There is an ovoid 3.3 x 2.6 cm, and 3.2 x 2.0 cm soft tissue opacity overlying the gastric body on the VD projection but is not definitively seen on the lateral view. Small bowel are minimally filled. The cecum is gas dilated. Large volume of formed feces fills the distal colon. Normal-sized liver, spleen, left kidney. The right kidney is obscured. Normal coxofemoral joints.</t>
  </si>
  <si>
    <t>Mineral opaque gastric foreign object. This may be causing gastritis and intermittent pyloric outflow obstruction, and is of a size that may or may not pass successfully. Curved soft tissue densities overlying the stomach only on the VD projection may be normal rugal folds, summating normal anatomy, or residual ingesta/treat-like material. Additional foreign material is given lesser consideration.</t>
  </si>
  <si>
    <t>Recommend repeat radiographs in 24-48 hours to determine if the gastric foreign object is persistent. If so, gastroscopic retrieval would be recommended.</t>
  </si>
  <si>
    <t>Study:_x000D_
Abdominal radiography: three images dated August 8, 2024_x000D_
_x000D_
Findings:_x000D_
The abdominal serosal detail is within normal limits for the amount of intra-abdominal fat. The stomach contains a small volume of gas. The pylorus is probably gas-filled on the left lateral image. The small intestines are normal in size, course and content. The colon contains formed fecal material. The liver and spleen are normal in size and margin. The kidneys are normal in size and contour. The urinary bladder is not clearly visualized and is likely small/empty. There is no apparent prostatomegaly. The included thorax is unremarkable. No skeletal abnormalities are present.</t>
  </si>
  <si>
    <t xml:space="preserve">
1.The liver and spleen are normal._x000D_
2.The stomach contains a small to moderate amount of amorphous soft tissue density._x000D_
3.Small intestines and the colon are minimally filled._x000D_
4.No abnormal AI findings reported._x000D_
5.There is no effusion.</t>
  </si>
  <si>
    <t>The AI result for this case is most compelling for: Normal post-prandial or in a vomiting or anorexic animal, this could be indicative of gastric foreign material, delayed gastric emptying and enteritis. No small intestinal obstruction is identified. Gastric contents appears to be normal ingesta however this finding must be correlated to clinical signs and time since last food ingestion. If vomiting and/or anorexia are present, gastric foreign material becomes a consideration. No small intestinal obstruction is noted. The appearance to the intestines could be normal post-prandial or associated with enteritis.</t>
  </si>
  <si>
    <t xml:space="preserve">
If this patient is vomiting or anorexic, supportive care and repeat abdominal radiographs following no food for 12-15 hours, access to water or IV fluid therapy is recommended. If material persists in the stomach, concern for gastric foreign material increases and an abdominal ultrasound, a positive contrast gastrogram or endoscopy could be considered to assess for gastric foreign material._x000D_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</si>
  <si>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Study:_x000D_
Thoracic and abdominal radiography: six images dated August 7, 2024_x000D_
_x000D_
Findings:_x000D_
The cardiac silhouette and pulmonary vasculature are normal in size. The pulmonary parenchyma is unremarkable. A thin pleural fissure joint is seen between the segments of the left cranial lung lobe on the VD view.. There is no intrathoracic lymphadenopathy. The trachea is normal in diameter and course. There is gas dilation of the esophagus. There is a small amount of granular mineral in the pylorus and a small intestinal segment in the cranioventral abdomen. The small intestines are normal in size and courseThe colon contains formed fecal material and five mineral opacities measuring up to 1.3 cm. The liver and spleen are normal in size and margin. The kidneys are normal in size and contour. The urinary bladder is normal in size and opacity. There is no prostatomegaly. The osseous structures are unremarkable/age appropriate.</t>
  </si>
  <si>
    <t>1. Gas dilation of the esophagus may be secondary to aerophagia or may indicate an esophageal motility disorder. An esophagogram can be considered for further evaluation._x000D_
2. There is no evidence of pneumonia. Infectious respiratory disease PCR testing can be considered to further evaluate for possible infectious trachea bronchitis._x000D_
3. The thin pleural fissure lines seen between the segments of the left cranial lung lobe on the VD view may indicate incidental tangential visualization, pleural thickening or trace nonspecific pleural effusion._x000D_
4. The mineral material in the gastrointestinal tract is suggestive of dietary indiscretion. There is no evidence of small intestinal mechanical obstruction.</t>
  </si>
  <si>
    <t>Orthogonal views of the abdomen dated 8-6-24 and a follow-up two view study dated 8-8-24 are provided for interpretation and comparison._x000D_
_x000D_
In the original radiographs, a discrete foreign object with roughly rectangular shape that measures approximately 1 x 5 cm in the lateral view can be seen within the lumen of the stomach. This structure is not visible in the VD view. The stomach is not dilated. The appearance of the small intestine is unremarkable. There is a large volume of normal appearing fecal balls in the colon. The other organs are unremarkable. Serosal detail is normal._x000D_
_x000D_
In the follow up radiographs made two days later, the small intestine has a diffusely gassy appearance, but no pathologic dilation or plication is seen. There is a similar stool in the colon but the colon is also gassy appearance. The foreign body previously identified in the stomach is not definitively present but there is still some unusual opacity with a linear and slightly irregular appearance that could represent foreign material. The rest of the abdomen is unremarkable.</t>
  </si>
  <si>
    <t>The original radiographs demonstrate a definitive small foreign body in the stomach. There is no evidence of obstruction._x000D_
In the follow up radiograph, there is still some unusual opacity in the same area, but the appearance is subtle and suspicious but equivocal in this view. The gassy appearance of the intestinal tract is most typical of aerophagia. Physiologic ileus could appear similar but is unlikely in the absence of clinical signs.</t>
  </si>
  <si>
    <t>There is some suspicion that there may still be foreign material the stomach, but the radiographic appearance is not definitive. A contrast study is recommended for more definitive evaluation._x000D_
_x000D_
A double contrast gastrogram after fasting at least 18 hours is recommended.</t>
  </si>
  <si>
    <t>Four orthogonal radiographs of the abdomen dated 7th August 2024 are available for review. There are no previous radiographs available for comparison. _x000D_
_x000D_
Intra-abdominal findings: The stomach contains a mild amount of gas and soft tissue opaque material and has a normal axis. The small intestines are within normal limits for shape, size and contents. Some small intestinal loops are present at the cranial aspect of the urinary bladder. On the ventrodorsal image, there are some fluid filled loops left and right to the urinary bladder, which not visible on the lateral images. The descending colon has a mildly corrugated appearance with only gas present.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</si>
  <si>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1. The intestinal loops in the caudal abdomen are most likely small intestinal, however minimally dilated uterine horns is possible. This may be due to an open pyometra. A vaginitis, trauma could also be the cause for the reported bleeding.</t>
  </si>
  <si>
    <t>Ultrasonographic examination is advised. alternatively, treat empirically and repeat radiographs.</t>
  </si>
  <si>
    <t xml:space="preserve">
1.Liver size, shape and margin are normal._x000D_
2.There is a large soft tissue mass effect in the mid abdomen causing bowel displacement._x000D_
3.The soft tissue mass is causing regional loss of detail._x000D_
4.Some bowel segments have a rigid appearance. No segmental small bowel dilation is noted.</t>
  </si>
  <si>
    <t>Mid abdominal mass. DDx: splenomegaly vs. splenic mass vs. less suspected, pedunculated hepatic mass vs. severe gastric distention vs. severe uterine horn distention in an intact female. Severe urinary bladder distention extending to the mid-abdomen is also a lesser consideration. Intestinal appearance suggestive of functional ileus secondary to enteritis. Aerophagia is a lesser consideration.</t>
  </si>
  <si>
    <t xml:space="preserve">
Virtual Radiologist Case Difficulty: MODERATE_x000D_
Virtual Radiologist Confidence: MODERATE_x000D_
Abdominal ultrasound._x000D_
Thoracic radiographs for met. check if neoplasia is identified in the abdomen.</t>
  </si>
  <si>
    <t>Study:_x000D_
Thoracic radiography: three images dated August 7, 2024_x000D_
_x000D_
Findings:_x000D_
The cardiac silhouette and pulmonary vasculature are normal in size. The pulmonary parenchyma is unremarkable. The pleural space is normal. There is no intrathoracic lymphadenopathy. There is an indistinct broad-based soft tissue opaque band superimposed with the cervical trachea lumen representing other redundant dorsal tracheal membrane or superimposition of the esophagus. There is dilation of the cervical trachea lumen on the left lateral view. The liver extends mildly bound the costal arch with smooth margins. The included abdomen is otherwise unremarkable. The osseous structures are unremarkable. The patient is of overweight body condition.</t>
  </si>
  <si>
    <t>1. While there is no trachea lumen narrowing, the relative dilation of the cervical trachea lumen on the left lateral projection is suggestive of chondromalacia. Fluoroscopy can be considered to further evaluate for possible dynamic airway disease._x000D_
2. Normal thorax. There is no radiographic evidence of cardiopulmonary disease. The lack of a bronchial pulmonary pattern does not exclude the possibility of lower airway disease._x000D_
3. The generalized hepatomegaly is nonspecific. Rule out metabolic/vacuolar hepatopathy, hyperplasia, hepatitis or infiltrative neoplasia. Sonography can be considered for further evaluation.</t>
  </si>
  <si>
    <t xml:space="preserve">
If this result is inconsistent with the clinical picture or if you would like another opinion, this study can be submitted to Vetology for further evaluation._x000D_
Consider an abdominal ultrasound if a CBC abnormality is present or there is unexplained illness._x000D_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</si>
  <si>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 xml:space="preserve">Patient Name : Biggles Coleman, Date of study: Aug 7, 2024
3 images are provided for review
Canine Abdomen (3 Images) - 2 Lateral, 1 Vd
Liver: The liver is small with cranial dispalcement of the gastric axis.  
Spleen: The spleen is normal in size with smooth margins and homogeneous soft tissue.
Kidneys: The left kidney is normal.  the right kidney is obscured without obvious enlargement or mineral.  
Retroperitoneum: Retroperitoneal detail is adequate.
Urogenital: The urinary bladder is small in size, homogeneous soft tissue, and smoothly marginated.
Peritoneum: Peritoneal detail is adequate.
Gastrointestinal tract: The stomach contains a moderate volume of gas and fluid.  Gas is in the pylorus and descending duodenum in the left lateral image.     The stomach is within normal limits for size.
The small intestine contains minimal gas, mild fluid or is empty with a subjectively uniform population for size. 
The colon contains minimal fluid and gas or is empty.  The colon is within normal limits for size.  
Musculoskeletal: Multiple small and narrowed caudal vertebrae consistent with breed (screw tail anomaly).  The remaining included musculoskeletal structures are normal.
</t>
  </si>
  <si>
    <t>1. Non-specific gastrointestinal tract appearance such as from gastritis, enteritis, colitis, or unlikely individual variation of normal/recent bowel movement given reported history.
- There is no current evidence of gastrointestinal mechanical ileus.
- Differential diagnoses include dietary indiscretion, parasitism/primary infectious disease (round worms, whip worms versus other), or less likely toxin ingestion, diet/antibiotic responsive disease, inflammatory bowel disease, pancreatitis, occult systemic disease or unlikely other.
2. Microhepatia versus artifact from positioning/technique and phase of respiration.
- If present, consider occult portosystemic shunt, or unlikely chronic hepatitis/cirrhosis.</t>
  </si>
  <si>
    <t xml:space="preserve">Consider GI panel, fecal analysis/deworming, bile acid testing, and routine blood work for further evaluation.  Empirical therapy and supportive care in the interim as needed.  Monitoring as directed or sooner if clinical signs fail to improve or worsen in the face of empirical therapy.  Consider ultrasonography if signs fail to improve or worsen and repeat radiographs are inconclusive.  </t>
  </si>
  <si>
    <t>Study:_x000D_
Thoracic radiography: three images dated August 7, 2024_x000D_
_x000D_
Findings:_x000D_
The cardiac silhouette and pulmonary vasculature are normal in size. The pulmonary parenchyma is unremarkable. The pleural space is normal. There is no intrathoracic lymphadenopathy. Superimposition of a human digit limits evaluation of the pharynx/larynx. The larynx appears unremarkable. The trachea is normal in diameter and course. The included abdomen is unremarkable. There is mild spondylosis deformans from T 13 to L4. Mild periarticular bone formation is present at the caudodistal aspect the humeral head bilaterally. The patient is of overweight body condition._x000D_
_x000D_
Human digits are present in the primary beam on the right lateral projection.</t>
  </si>
  <si>
    <t>1. Unremarkable thorax and cervical region. There is no radiographic evidence of cardiopulmonary disease. A cause of coughing is not evident. Lack of a definitive bronchial pulmonary pattern does not exclude the possibility of allergic/inflammatory, infectious, irritant or parasitic bronchitis. Normal diameter of the trachea does not exclude the possibility of dynamic airway disease. Sedated laryngeal exam, fluoroscopy, airway sampling plus/minus heartworm testing and Baermann fecal flotation can be considered to further evaluate the reported coughing._x000D_
2. Mild bilateral shoulder osteoarthrosis.</t>
  </si>
  <si>
    <t>Study:_x000D_
Abdominal radiography: four images dated August 7, 2024_x000D_
_x000D_
Findings:_x000D_
There is mild to moderate peritoneal effusion. The liver extends moderately beyond the costal arch with smooth and sharp margins. There is a mild amount of indistinct unstructured mineral in the region of the gallbladder. The spleen is moderately enlarged with smooth margins. The stomach contains a small volume of gas. The small intestines are normal in size, course and content. The colon contains a small volume of gas. The renal silhouettes are normal in size and contour. The urinary bladder is normal in size and opacity there is no prostatomegaly. The included thorax is unremarkable. No skeletal abnormalities are present.</t>
  </si>
  <si>
    <t>1. Mild to moderate nonspecific peritoneal effusion. A definitive cause is not radiographically evident. A hemoabdomen should be considered given the reported anemia._x000D_
2. The moderate hepatomegaly is nonspecific. Rule out metabolic/vacuolar hepatopathy, hyperplasia, hepatitis or neoplasia._x000D_
3. The generalized splenomegaly is nonspecific. Rule out extramedullary hematopoiesis, lymphoid hyperplasia, splenitis or infiltrative neoplasia.</t>
  </si>
  <si>
    <t>Recommend abdominal sonography and abdominocentesis for further evaluation.</t>
  </si>
  <si>
    <t>6 images of the thorax and abdomen are provided for review.  The caudal lobar arteries are dilated.  The cardiac silhouette is mildly widened with rounding of the right ventricular border.  There is a marked bronchial pattern in all lung lobes.  The mediastinal and pleural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</si>
  <si>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Severe bronchial pulmonary pattern=ZZ90= consider bronchitis, response to inhaled irritants, response to circulating parasites, eosinophilic bronchopneumopathy.  Right-sided cardiomegaly and pulmonary arterial enlargement may indicate heartworm disease, cor pulmonale, or pulmonary hypertension.  Radiographically normal abdomen.</t>
  </si>
  <si>
    <t>Heartworm testing, echocardiography, and airway sampling may be helpful in further evaluation.</t>
  </si>
  <si>
    <t>Study:_x000D_
Abdominal radiography: orthogonal views (two images) dated August 7, 2024_x000D_
_x000D_
Findings:_x000D_
There is a small volume of gas and a small amount of small amount of granular mineral in the stomach. A small amount of granular mineral is present in some small intestinal segments in the caudal abdomen. The small intestines are normal in size and course. The colon is gas filled. The liver and spleen are normal in size and margin. The renal silhouettes are normal in size and contour. The urinary bladder is normal in size and opacity. There is no apparent prostatomegaly. The included thorax is normal. No skeletal abnormalities are present.</t>
  </si>
  <si>
    <t>The small amount of granular mineral the gastrointestinal tract may indicate dietary indiscretion or may be an incidental finding depending on the contents of the patient=ZZ91=s normal diet and treats. The abdomen is otherwise unremarkable. There is no evidence small intestinal mechanical obstruction.</t>
  </si>
  <si>
    <t xml:space="preserve">
1.The small bowel contains gas and fluid but is largely normal in diameter throughout._x000D_
2.There is also gas and fluid distention of the cecum and the entire length of the colon._x000D_
3.View GI resource: https://platform.v2.vetology.net/doc/GI_x000D_
4.Abdominal detail is normal._x000D_
5.The liver and spleen are normal for size._x000D_
6.No abnormal AI findings reported._x000D_
7.The stomach is mildly gas and fluid dilated._x000D_
8.There is gas and mild fluid dilation noted within the descending duodenum.</t>
  </si>
  <si>
    <t>Three radiographs of the thorax, and three views of the abdomen are provided. The heart is a normal size and shape. The cardiac apex is shifted to the left on the VD projection due to thoracic conformation. Mild bronchial pattern is present. No pleural effusion or soft tissue pulmonary nodules. Normal tracheal diameter. Fat deposition in the cranial mediastinum. Osteoarthritis in both elbows._x000D_
_x000D_
In the abdomen there is no effusion. The urinary bladder is mildly filled and soft tissue opaque. The prostate is not enlarged. No medial iliac lymphadenomegaly. Normal size liver, spleen, kidneys. Formed feces fills the distal colon. The stomach and small bowel are mildly gas-filled. There is a single punctate mineral opaque focus in the stomach, likely incidental. Mild spondylosis deformans at the lumbosacral junction is likely incidental.</t>
  </si>
  <si>
    <t>1. Mild bronchial pattern is most likely normal age-related change. Chronic airway inflammation such as allergic bronchitis is given lesser consideration in the absence of a chronic cough. Otherwise normal thorax._x000D_
2. Normal abdomen. There is no evidence of radiopaque urolithiasis. A reason for intermittent vomiting is not identified.</t>
  </si>
  <si>
    <t>Recommend routine blood work and supportive care. If vomiting persists, fasting abdominal ultrasound would be recommended.</t>
  </si>
  <si>
    <t>Study:_x000D_
Abdominal radiography: three images dated August 7, 2024_x000D_
_x000D_
Findings:_x000D_
The abdominal serosal detail is normal. The stomach contains a small volume of gas. The thickness of the gastric wall and rugae are considered within normal limits for the degree of gastric distention. There is smoothly marginated fragmented gas in some small intestinal segments. The small intestines are normal in size and course. The colon contains small volume of gas with a normal diameter. The liver and spleen are normal in size and margin. The kidneys are normal in size and contour. The urinary bladder is not visualized and is likely small/empty. There is no uterine dilation. The included thorax is normal. The osseous structures are unremarkable.</t>
  </si>
  <si>
    <t>The smoothly marginated fragmented gas pattern seen in some small intestinal segments can be an indicator of nonspecific enteritis. The abdomen is otherwise unremarkable. There is no radiographic evidence of gastrointestinal foreign material or small intestinal mechanical obstruction.</t>
  </si>
  <si>
    <t>Abdominal sonography plus/minus a resting cortisol level (for Addison=ZZ91=s disease screening) can be considered for further evaluation if clinical signs persist or worsen in spite of medical management.</t>
  </si>
  <si>
    <t xml:space="preserve">
1.The small intestinal tract is gas and fluid filled. No evidence of obstruction._x000D_
2.Resource: https://platform.v2.vetology.net/doc/gi_protectants_1_x000D_
3.The stomach is minimally distended._x000D_
4.The liver and spleen appear within normal limits for size and contour._x000D_
5.No abnormal AI findings reported._x000D_
6.No abnormal AI findings reported.</t>
  </si>
  <si>
    <t>Study:_x000D_
Abdominal radiography: three images dated August 7, 2024_x000D_
_x000D_
Findings:_x000D_
The stomach contains unstructured heterogeneous soft tissue material presumed to be ingesta with a small amount of interspersed granular mineral. The small intestines are normal in size, course and content. The colon contains gas and poorly formed fecal material. The liver is small with associated cranial rotation of the gastric axis. The spleen is normal in size and margin. The renal silhouettes are normal in size and contour. The urinary bladder is normal in size and opacity. The uterus is gravid containing three well mineralized fetuses. There is no radiographic evidence of fetal death. The fetal size relative to the pelvic inlet is within normal limits. The included thorax is normal. The osseous structures are unremarkable. The mammary glands are enlarged.</t>
  </si>
  <si>
    <t>1. Gravid uterus containing three radiographically viable fetuses._x000D_
2. Microhepatia. Rule out normal variant, vascular anomaly or chronic hepatitis/cirrhosis. Correlate with any liver enzyme abnormalities. Abdominal sonography and bile acid testing can be considered for further evaluation if clinically relevant.</t>
  </si>
  <si>
    <t>Study:_x000D_
Abdominal radiography: three images dated August 7, 2024_x000D_
_x000D_
Findings:_x000D_
The stomach contains unstructured heterogeneous soft tissue material presumed to be ingesta with a small amount of interspersed granular mineral. The small intestines are normal in size, course and content. The colon contains poorly formed fecal material. The liver and spleen are normal in size and margin. The renal silhouettes are normal in size and contour. The urinary bladder is normal in size and opacity. The uterus is gravid containing two well mineralized fetuses. There is no radiographic evidence fetal death. The fetal size relative to the pelvic inlet is within normal limits. The included thorax is normal. There is in situ mineralization of the T 12-T 13 intervertebral disc. The mammary glands are enlarged.</t>
  </si>
  <si>
    <t>1. Gravid uterus containing two radiographically viable fetuses._x000D_
2. T 12-T 13 in situ degenerative disc disease.</t>
  </si>
  <si>
    <t xml:space="preserve">
1.On the lateral projection, the hepatic serosal margins are mildly rounded in the liver is mildly enlarged._x000D_
2.Equivocal splenomegaly is present._x000D_
3.The stomach contains a small volume of fluid and gas._x000D_
4.The small bowel contains fluid and gas diffusely. No segmental small bowel dilation is noted._x000D_
5.The colon is largely empty with only scant gas._x000D_
6.No abnormal AI findings reported.</t>
  </si>
  <si>
    <t>Three radiographs of the thorax, and orthogonal views of the abdomen are provided. Images dated 7/15/24 and earlier are available for comparison. The left atrium appears prominent on the left lateral view, not definitively seen on the other projections. Cardiac to thoracic ratio and pulmonary vessel size is normal. There are mild bronchial markings in the lungs. No pleural effusion. Increased opacity dorsal to the 2nd sternal segment is superimposed skin fold. Mild narrowed cervical trachea on the right lateral view._x000D_
_x000D_
In the abdomen the liver is upper normal size. Normal-sized kidneys and spleen. The gastrointestinal tract is moderately filled. Punctate mineral density overlying the dorsal aspect of the urinary bladder is likely superimposed incidental fecal debris. No lumbar spinal abnormalities. Small stippled lucencies in the lateral aspect of the right thigh musculature is presumably recent injection site.</t>
  </si>
  <si>
    <t>1. The appearance of the cervical trachea is consistent with dynamic collapse. This is the most likely cause for coughing._x000D_
2. Faint bronchial markings as before, most likely normal age-related change. Chronic airway inflammation due to inhaled irritants/allergens could cause a similar appearance, and could be contributing to the cough. No other intrathoracic abnormalities._x000D_
3. Normal abdomen.</t>
  </si>
  <si>
    <t>Current diagnostics and treatment are appropriate. Recommend weight management.</t>
  </si>
  <si>
    <t>Three radiographs of the thorax, and two views of the abdomen are provided. Images dated 7/8/23 were reviewed for comparison. There is severe left atrial enlargement today, the left ventricle is elongated. There is further dorsal displacement of the caudal thoracic trachea and mainstem bronchi. The mainstem bronchi are compressed. There is a moderate interstitial pattern in the right perihilar region. No other pulmonary parenchymal abnormalities. No pleural effusion. Moderate narrowed cervical trachea._x000D_
_x000D_
In the abdomen the liver, spleen, and kidneys are normal size and shape. The stomach and small bowel are minimally filled. There is large volume formed and mineral opaque feces filling the colon. The distal fecal column measures up to 3.0 cm diameter. There are several sharply marginated mineral opaque fragments measuring up to 2.3 x 0.6 cm within the colon. No radiopaque urolithiasis. Osseous structures are unremarkable.</t>
  </si>
  <si>
    <t>1. Moderate to severe left-sided cardiomegaly, progressed since the previous study and consistent with acquired mitral valve disease. There is pulmonary edema indicating left-sided heart failure. Concurrent mainstem bronchial compression._x000D_
2. Cervical tracheal collapse._x000D_
3. Constipation with several bone-like mineral fragments in the colon that are expected to pass successfully. No other abdominal abnormalities.</t>
  </si>
  <si>
    <t>Recommend treatment for heart failure, and follow-up echocardiogram. Due to the large size of the heart, recommend obtaining a dorsoventral thoracic view on all future studies of this patient. This will allow for maximum dorsal lung aeration to help rule in/out pulmonary edema.</t>
  </si>
  <si>
    <t>Two radiographs of the abdomen dated 7th August 2024 are available for review. There are no previous radiographs available for comparison. _x000D_
_x000D_
Intra-abdominal findings: The hepatic silhouette is enlarged with smooth borders. The head of the spleen is normal. The tail of the spleen is positioned along the left body wall. The kidneys are partially obscured by gastrointestinal contents, but the visible aspect are normal. The stomach contains gas and some heterogenous soft tissue opaque material. The gastric axis is normal. The small intestines are distributed evenly and are within normal limits for shape, size and contents. The ascending, transverse and descending colon have a normal position and contain gradually poorly formed faeces. The urinary bladder is filled. The serosal detail is normal._x000D_
_x000D_
Extra-abdominal findings: The patient is morbidly obese._x000D_
_x000D_
Included thorax: No significant abnormalities are detected.</t>
  </si>
  <si>
    <t>1. The moderate amount of heterogenous material within the stomach may be indicative of a recent meal. Alternatively, dietary indiscretion, soft tissue foreign material may be present. This needs to be correlated with time of feeding. Pancreatitis is possible._x000D_
2. The hepatomegaly is most likely due to vacuolar hepatopathy, or underlying endocrine disease.</t>
  </si>
  <si>
    <t>CPL testing, abdominal ultrasonography is advised. Consider repeat post fasting radiographs or an upper GI contrast study. Supportive management including rehydration, gastroprotectants,  full blood work, faecal analysis if clinically indicated is advised, if not already performed.</t>
  </si>
  <si>
    <t xml:space="preserve">
1.Moderate volume gas fills the stomach._x000D_
2.Small intestines are mildly fluid-filled._x000D_
3.Segments of the colon have a rigid appearance._x000D_
4.The liver is moderately enlarged with potential for a hepatic mass._x000D_
5.Abdominal detail is diffusely decreased and the abdomen is pendulous._x000D_
6.The spleen is enlarged with potential for a splenic mass.</t>
  </si>
  <si>
    <t>A three view study of the abdomen is provided for interpretation._x000D_
_x000D_
There is a thin linear but irregular metal dense foreign object in the stomach consistent with a segment of fine wire or metal thread. There is also a small to moderate quantity of normal appearing amorphous soft tissue dense ingesta in the stomach. No dilation the stomach is seen. The intestinal tract is normal. The colon is moderately full with soft appearing feces. The organs are within normal size and shape limits. Serosal detail is normal. No mass lesions are seen._x000D_
There is moderate thoracolumbar spondylosis. No lumbosacral abnormalities are identified. There is severe chronic remodeling involving the left hip joint. Minimal remodeling changes are present involving the right hip. No destructive bone lesions are identified.</t>
  </si>
  <si>
    <t>There is metal foreign material in the stomach. This is an incidental finding in most cases, and is not necessarily relevant to the presenting complaint. No other abdominal abnormalities are identified._x000D_
The lumbar spinal changes are minimal and not indicative of significant pathology._x000D_
There is severe osteoarthrosis involving the left hip.</t>
  </si>
  <si>
    <t>Conservative management is recommended._x000D_
Fasting overnight or approximately 18 hours with repeat radiographs is suggested, to see if the metal foreign material the stomach is persistent.</t>
  </si>
  <si>
    <t>Three orthogonal radiographs of the abdomen dated 7th August 2024 are available for review. There are no previous radiographs available for comparison. _x000D_
_x000D_
Intra-abdominal findings: The urinary bladder is filled. There caudal serosal detail is normal. No mineral opacities are seen superimposed on the urinary bladder. The stomach contains some soft tissue opaque material. The small intestines are distributed evenly and are within normal limits for shape, size and contents. The ascending, transverse and descending colon have a normal position and contain gradually more formed faeces.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</si>
  <si>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No evidence of mineral cystoliths. Non radiopaque (urate, cysteine), cystoliths may be present. Alternatively, cystitis (stress induced, polypoid, infectious), urinary bladder neoplasia (transitional cell carcinoma, squamous cell carcinoma) may be considered as alternate differentials.</t>
  </si>
  <si>
    <t>A pelvic extended vd and lateral image dated 31st July 2024 are available for review. There are no previous radiographs available for comparison. _x000D_
_x000D_
Pelvis: The included lumbar vertebral column is normal. The iliosacral joints are symmetric. There is approximately 50% coverage of the left femoral head and slightly more of the right femoral head. No degenerative modelling is noted at the acetabular rim and femoral heads. There is bilateral widening of the coxofemoral joint space, however the limbs are mildly abducted and outward rotated. _x000D_
_x000D_
Joints and long bones: The patella are positioned laterally, however there is outward rotation of the limbs. There is severe soft tissue attenuation of the left stifle joint space, causing infrapatellar fat pad compression and caudal fascial bulging. Mild modelling of the distal patella is present._x000D_
_x000D_
Soft tissues: The left caudal thigh slightly smaller than the right.</t>
  </si>
  <si>
    <t>1. These findings are consistent with left stifle osteoarthritis most likely caused by a cranial cruciate partial or complete rupture.  Other intra-articular soft tissue pathology such as meniscal damage cannot be excluded._x000D_
2. Bilateral mild coxofemoral laxity with mild hip dysplasia. The findings may be exacerbated due to limb positioning._x000D_
_x000D_
.</t>
  </si>
  <si>
    <t>This is to be correlated with manipulation under sedation or anaesthesia. Depending on outcome, a surgical consultation may be considered. Comparative contralateral stifle radiographs are advised. Consider repeat extended VD pelvic images with correct limb placement._x000D_
Careful empirical management, including controlled exercise, non-steroidal anti-inflammatories, or multimodal analgesia, after normal blood work may be considered in the meantime</t>
  </si>
  <si>
    <t>Opposite lateral and ventrodorsal abdominal radiographs with a right lateral compression view (5 images) dated August 7, 2024.
The liver and spleen are unremarkable in size and shape. The kidneys are only partially visible due to superimposed bowel with no abnormalities appreciated. The urinary bladder is small and homogeneously fluid opaque. No radiopaque stones are identified in the urinary tract. The stomach contains a mild volume of gas and a small amount of soft-tissue content. The small intestine is unremarkable in diameter and course with most segments empty or containing gas. The colon contains normal appearing stool and has a normal course. Retroperitoneal and peritoneal detail are normal. No regional lymphadenopathy is evident.
No aggressive or clinically significant osseous pathology is identified.
The included caudal thorax is unremarkable.</t>
  </si>
  <si>
    <t>Unremarkable abdomen and urinary tract. The cause for the lower urinary tract issues is not radiographically apparent. Rule out UTI and/or urinary incontinence vs. less likely radiolucent stones, bladder neoplasia, sterile or granulomatous cystitis, etc.</t>
  </si>
  <si>
    <t>Urinary ultrasound, urinalysis and culture via cystocentesis.</t>
  </si>
  <si>
    <t>Study:_x000D_
Abdominal radiography: three images dated August 7, 2024_x000D_
_x000D_
Findings:_x000D_
The abdominal serosal detail is normal. The stomach contains a small volume of gas. The thickness of the gastric wall is within normal limits for the degree of gastric distention. The small intestines are normal in size, course and content. The colon contains formed fecal material. The liver and spleen are normal in size and margin. The kidneys are normal in size and contour. The urinary bladder is normal in size and opacity. There is no prostatomegaly. The included thorax is normal. No skeletal abnormalities are present.</t>
  </si>
  <si>
    <t>Unremarkable abdomen. A cause of vomiting is not evident.There is no radiographic evidence of gastrointestinal foreign material or small intestinal mechanical obstruction. Abdominal sonography can be considered for further evaluation if clinical signs persist or worsen in spite of medical management.</t>
  </si>
  <si>
    <t xml:space="preserve">
1.Abdominal detail is normal._x000D_
2.The stomach contains gas and ingesta or prominent rugae. The small bowel is diffusely fluid filled but without segmental small bowel dilation._x000D_
3.Splenic size, shape and margin are normal._x000D_
4.Liver size, shape and margin are normal.</t>
  </si>
  <si>
    <t>Three orthogonal radiographs of the abdomen dated 7th August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mildly dilated with mainly fluid and a little gas, and have a mildly turgid appearance. The colon contains gradually more formed faeces. The urinary bladder is empty. The serosal detail is normal._x000D_
_x000D_
Extra-abdominal findings: No significant abnormalities are detected._x000D_
_x000D_
Included thorax: No significant abnormalities are detected.</t>
  </si>
  <si>
    <t>Relatively unremarkable abdomen. The mildly distended small intestines may be due to a mild enteritis secondary to dietary indiscretion or infectious-inflammatory origin. Pancreatitis is possible.</t>
  </si>
  <si>
    <t>Observational management is advised. Supportive management including rehydration, gastroprotectants,  full blood work, faecal analysis if clinically indicated may be considered, if not already performed. Repeat 3-view post fasting radiographs depending on clinical progression or consider an abdominal ultrasound.</t>
  </si>
  <si>
    <t xml:space="preserve">
1.Small intestines are minimally distended. No evidence of obstruction._x000D_
2.The liver and spleen are normal size and shape._x000D_
3.No abnormal AI findings reported._x000D_
4.Abdominal detail is normal._x000D_
5.The stomach contains small volume gas and equivocal scant soft tissue density.</t>
  </si>
  <si>
    <t>Four images of the abdomen are presented for review.  Serosal detail is adequate in all quadrants.  The stomach contains a moderate amount of gas and the rugal folds are prominent.  Several small intestinal segments in the caudal abdomen are dilated with gas and mottled soft tissue material.  These are above normal limits for size and larger than other segments.  Gas and feces are present in the colon.  The urinary bladder is small.  The remaining abdominal organs are normal.</t>
  </si>
  <si>
    <t>Segmental small intestinal dilation consistent with mechanical obstruction.  Intraluminal contents suggest foreign material.</t>
  </si>
  <si>
    <t xml:space="preserve">
1.On the lateral projection, the liver size is at the lower limits of normal to slightly small or a portion of the liver has been cut-off from the image._x000D_
2.The spleen is normal._x000D_
3.There is a focal loss of serosal detail in the cranial abdomen on the lateral projection._x000D_
4.The gastric rugae are prominent._x000D_
5.The small intestine is of uniform population size and is diffusely of soft tissue and gas opacity with a rigid appearance to several loops._x000D_
6.No mechanical ileus is visualized._x000D_
7.The colon is gas filled and has a rigid appearance.</t>
  </si>
  <si>
    <t>Three radiographs of the thorax are provided. The abdomen is included on two of the views. Previous images dated 5/13/24 were reviewed. There is severe generalized cardiac silhouette enlargement, increased in size compared to the previous study. The cranial pulmonary vein is enlarged. Severe interstitial to alveolar pattern in the perihilar region and radiating distally. The caudal thoracic trachea and mainstem bronchi are dorsally deviated. The mainstem bronchi are compressed. No pleural effusion. Possible redundant dorsal trachealis membrane in the cervical region, of uncertain significance. In the abdomen the liver is mildly enlarged as before. Hepatic margins remain smooth. There is no effusion. Normal-sized left kidney. The spleen and right kidney are obscured. No gastrointestinal or urinary bladder abnormalities.</t>
  </si>
  <si>
    <t>1. Severe, progressive generalized cardiomegaly consistent with acquired mitral and tricuspid valve disease. There is pulmonary edema indicating left-sided heart failure. Concurrent mainstem bronchial compression._x000D_
2. Unchanged mild hepatomegaly, consider hepatopathy or venous congestion primarily. Inflammation or hepatic neoplasia are given lesser consideration.</t>
  </si>
  <si>
    <t>Three radiographs of the thorax/abdomen are provided. The cardiac silhouette is normal size and shape. Pulmonary vessels are normal size. There are mild bronchial markings consistent with the age of this patient. No soft tissue pulmonary nodules or pleural effusion. Moderate narrowed cervical trachea. In the abdomen there is no effusion or organomegaly. The gastrointestinal tract is mildly filled. Normal-sized liver, spleen, left kidney. The right kidney is obscured. Narrowed L1-2 intervertebral disc space, of doubtful significance today.</t>
  </si>
  <si>
    <t>Normal thorax and abdomen. No evidence of cardiovascular disease is identified on this study. Small valvular regurgitant jet can result in a relatively loud murmur.</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</si>
  <si>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empty._x000D_
Small intestines are mildly gas and fluid filled, not overtly distended. No signs of mechanical ileus._x000D_
Serosal detail is preserved._x000D_
Liver is within normal limits of size and smoothly marginated._x000D_
There is an irregular soft tissue mass silhouetting with the ventral extremity of the spleen._x000D_
Kidneys and urinary bladder WNL.</t>
  </si>
  <si>
    <t>1) Unremarkable thorax without signs of pulmonary metastases nor signs of thoracic lymphadenopathy._x000D_
2) Findings compatible with splenic mass: rule out neoplasia (HS vs round cell neoplasia felt far less likely) vs benign such as lymphoid hyperplasia or hematoma. Other differentials such as a pedunculate hepatic mass are less likely.</t>
  </si>
  <si>
    <t>The AI result for this case is most compelling for: Mild hepatomegaly. This is a nonspecific finding that may be due to steroid hepatopathy or venous congestion. Less likely considerations include metabolic  hepatopathy, infiltrative neoplasia, or acute inflammation.</t>
  </si>
  <si>
    <t>Two orthogonal survey radiographs of the thorax and abdomen dated 6th August 2024 are available for review. There are no previous radiographs available for comparison. _x000D_
_x000D_
Thorax:_x000D_
Airway findings: The trachea is elevated within the thorax. There is narrowing of the mainstem bronchi. There is widening of the tracheal bifurcation. Throughout the lung parenchyma there is a severe interstitial opacification, most prominent in the perihilar region. In the right caudal dorsal lung field, there is an alveolar pattern. Thin pleural fissure lines are present. No nodules or masses are seen._x000D_
_x000D_
Cardiovascular findings: There is a large smoothly marginated soft tissue opacity contiguous with the caudal dorsal border of the cardiac silhouette. A smoothly marginated soft tissue opacity is superimposed on the caudal cardiac silhouette in the dorsoventral image. The overall cardiac silhouette is enlarged.  The cardiac silhouette occupies over 70% of the width of the thoracic volume. The cranial and caudal pulmonary vasculature are enlarged. The caudal vena cava is poorly visible._x000D_
_x000D_
Mediastinum and pleural space: No significant abnormalities are detected._x000D_
Musculoskeletal findings: No significant abnormalities are detected._x000D_
_x000D_
Abdomen: There is significant hepatomegaly with rounded borders. The stomach contains a moderate amount of granular food material and has a normal axis. The head of the spleen is normal. The spleen is mildly caudal displaced. Caudal to the stomach and dorsal to the enlarged liver there is another soft tissue opacity, which may be splenic or hepatic in origin. The small intestines are caudally displaced they are within normal limits for shape, size and contents. The descending colon contains mainly gas. The urinary bladder is small. The serosal detail is normal.</t>
  </si>
  <si>
    <t>1.Mainly left sided cardiomegaly with pulmonary venous distension and cardiogenic pulmonary edema consistent with left sided congestive heart failure. Ddx: myxomatous degeneration of the mitral (+- tricuspid) valves with post-capillary pulmonary hypertension vs systolic dysfunction (DCM)._x000D_
2. The interstitial opacification is most likely due to cardiogenic pulmonary oedema. Lower airway infectious/inflammatory disease is less likely._x000D_
3. The hepatomegaly may be due to venous congestion secondary to cardiac insufficiency, however hepatic neoplasia, endocrine disease, vacuolar hepatopathy, or other parenchymal disease is possible._x000D_
4. The soft tissue opacity caudal to the stomach may be a splenic mass (haematoma, haemangioma, haemangiosarcoma, primary or metastatic neoplasia) or hepatic (adenocarcinoma prioritised).</t>
  </si>
  <si>
    <t>Complete bloodwork if not already performed. Management for left sided congestive heart failure including diuretic therapy with oxygen support as needed. ECG and systemic blood pressure monitoring. Recommend repeat thoracic radiographs after 24-48 hours of therapy, sooner if clinically indicated. Continued monitoring of renal values and urinalysis._x000D_
Once stabilized, an echocardiogram is recommended._x000D_
A complete abdominal ultrasonographic examination is advised, with a view to FNA of abnormal organs, after complete blood work, and a normal coagulation panel.</t>
  </si>
  <si>
    <t>Study:_x000D_
Thoracic and abdominal radiography: six images dated August 6, 2024_x000D_
_x000D_
Findings:_x000D_
The cardiac silhouette and pulmonary vasculature are normal in size there is a mild generalized bronchial pulmonary pattern. The pleural space is normal. There is no intrathoracic lymphadenopathy. The patient has redundant dorsal tracheal membrane. The trachea is normal in diameter and course. There is dilation and retraction of the larynx. The stomach contains a small volume of gas. The small intestines are normal in size, course and content. The colon contains formed fecal material. The liver extends mildly bound the costal arch with smooth and sharp margins. The spleen is normal in size and margin. The kidneys are normal in size and contour. The urinary bladder is normal in size and opacity. The prostate is severely enlarged with smooth margins. There is narrowing of the T 12-T 13 and L2-L3 intervertebral disc spaces. There is mild to moderate multifocal thoracolumbar spondylosis deformans.</t>
  </si>
  <si>
    <t>1. The mild generalized bronchial pulmonary pattern may indicate allergic, inflammatory, infectious, parasitic or irritant bronchitis. Airway sampling, heartworm testing and Baermann fecal flotation can be considered for further evaluation._x000D_
2. Redundant dorsal tracheal membrane. Normal diameter of the trachea does not exclude concomitant tracheal collapse. Fluoroscopy can be considered to further evaluate for possible dynamic airway disease._x000D_
3. The dilation retraction of the larynx is a nonspecific finding. This can be secondary to laryngeal dysfunction, dynamic airway disease, chronic lower airway disease or nasal disease._x000D_
4. If patient signalment is correct and the patient is neutered, the severe prostatomegaly is concerning for prostatic neoplasia. If intact, rule out benign prostatic hyperplasia plus/minus para-prostatic cyst or abscess. Abdominal sonography can be considered for further evaluation._x000D_
5.  The generalized hepatomegaly is nonspecific. Rule out metabolic/vacuolar hepatopathy, hyperplasia, hepatitis or infiltrative neoplasia. Sonography can be considered for further evaluation._x000D_
6. T 12-T 13 and L2-L3 intervertebral disc disease.</t>
  </si>
  <si>
    <t xml:space="preserve">
1.The liver and spleen are normal size and shape._x000D_
2.The stomach appears within normal limits._x000D_
3.The small intestines are mildly gas and fluid filled._x000D_
4.No abnormal AI findings reported._x000D_
5.No abnormal AI findings reported.</t>
  </si>
  <si>
    <t>Study:_x000D_
Thoracic/abdominal radiography: three images dated August 6,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The liver is normal in size and margin. There is a small amount of indistinct granular mineral in the region of the gallbladder. The spleen is normal in size and shape. The kidneys are normal in size and contour. The urinary bladder is normal in size and opacity. The prostate is mildly to moderately enlarged with smooth margins. There is a large ovoid soft tissue opaque mass in the right inguinal region, consistent with the reported cryptorchid testicle. The osseous structures are unremarkable. There is no intervertebral disc space or foraminal narrowing.</t>
  </si>
  <si>
    <t>1. Normal thorax. There is no radiographic evidence of cardiopulmonary disease or intrathoracic neoplasia._x000D_
2. Cholelithiasis._x000D_
3. Mild to moderate prostatomegaly, likely indicating benign prostatic hyperplasia._x000D_
4. Enlarged right inguinal cryptorchid testicle. Consider seminoma, Leydig cell tumor or Sertoli cell tumor. _x000D_
5. A cause of the reported proprioceptive deficits is not evident. Lack of any apparent intervertebral disc space narrowing does not exclude the possibility of intervertebral disc disease. Neurology consultation and MRI can be considered for further evaluation.</t>
  </si>
  <si>
    <t>Opposite lateral and VD views of the thorax and orthogonal abdomen views are provided._x000D_
_x000D_
The cardiovascular structures are within normal limits. There is a moderate diffuse bronchial pattern and mildly increased interstitial lung opacity. No alveolar infiltrates or pleural effusion are identified. There is mild narrowing of the caudal cervical trachea that is within the limits of benign variation._x000D_
_x000D_
The stomach is mildly gas dilated. There is an irregular mineral opacity in the ventral aspect of the stomach in the lateral views that cannot be localized in the VD view. It is unclear whether this is something in the gastric lumen or whether it could represent mineralization of the gastric wall. The intestinal tract is gas filled, but no intestinal distention is identified. The other abdominal organs are within normal limits. No mass lesions or loss of detail are seen._x000D_
_x000D_
There is severe narrowing of disc spaces and moderate spondylosis involving the thoracolumbar spine. C2-C3 is also suspected to be narrowed. No destructive bone lesions are seen.</t>
  </si>
  <si>
    <t>The appearance of the lungs is consistent with the history of chronic bronchitis. No evidence of pneumonia or heart failure is seen._x000D_
_x000D_
The cause of the recent onset respiratory distress is not apparent=ZZ90= upper airway pathology involving the larynx/pharynx should still be ruled out. Viral infection or allergic reaction aggravating the pre-existing chronic bronchitis should also be considered._x000D_
_x000D_
The gassy appearance of the GI tract is consistent with aerophagia secondary to the respiratory distress._x000D_
There is an unusual mineral opacity associated with the stomach. Clinical significance of this is unclear. It may represent a transient finding of something ingested, vs. an area of pathologic gastric mural mineralization._x000D_
_x000D_
There is evidence of chronic disc degeneration in the thoracolumbar spine.</t>
  </si>
  <si>
    <t>Sedated laryngeal/pharyngeal exam should be considered._x000D_
A straight lateral radiographic view of the larynx may be helpful._x000D_
CBC and serum chemistry is also recommended.</t>
  </si>
  <si>
    <t xml:space="preserve">
1.The stomach contains a small amount of gas and ingesta._x000D_
2.Splenic size, shape and margin are normal._x000D_
3.Abdominal detail is normal._x000D_
4.Liver size is at the lower limits of normal._x000D_
5.The small bowel is diffusely fluid filled without segmental small bowel dilation.</t>
  </si>
  <si>
    <t>5 images of the thorax and abdomen are provided for review.  The trachea is dorsally deviated, indicating left ventricular enlargement.  There is straightening of the caudal cardiac waist in the region of the left atrium.  No pulmonary infiltrates are seen.  The pulmonary vasculature is normal in size.  The mediastinal and pleural structures are normal.  Abdominal serosal detail is adequate in all quadrants.  The stomach contains a small amount of ingesta.  The small intestines are normal in size.  Gas and feces are present in the colon.  The urinary bladder is small.  The kidneys are small with irregular margins.  The remaining abdominal organs are normal.</t>
  </si>
  <si>
    <t>Radiographically normal abdomen.  Mild left-sided cardiomegaly without current evidence of cardiogenic pulmonary edema.  Echocardiography may be helpful in further evaluation.  Chronic renal changes.  Correlation with serum biochemistry, SDMA, and urinalysis may be helpful.</t>
  </si>
  <si>
    <t>Patient Name : CHIP RAQUENIO, Date of study: Aug 6, 2024
5 images are provided for review (3 lateral, 2 VD).
There are no previous radiographs for comparison.
Findings:
Gastrointestinal tract: The stomach is empty and normal in position. The small intestines are diffusely within normal limits of diameter and are primarily soft tissue opaque. The colon is filled with loosely formed feces and gas.
Liver: The liver is normal in size and shape.
Spleen: The spleen is unremarkable.
Urinary: The visible margins of the kidneys are within normal limits. The urinary bladder is normal in size, shape, and opacity.
Peritoneal space: There is adequate serosal detail.
Cardiac silhouette: The cardiac silhouette is normal in size and shape.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Musculoskeletal: The included skeletal and superficial soft tissue structures of the study are within normal limits.</t>
  </si>
  <si>
    <t>1. Normal abdomen. There is no evidence of a mechanical gastrointestinal obstruction or mineral/metal opaque foreign body. Gastroenteritis and pancreatitis are not excluded.
2. Normal thorax.</t>
  </si>
  <si>
    <t>Medical management and supportive care are recommended. If clinical signs persist despite treatment, repeated abdominal radiographs or an abdominal ultrasound would be recommended.</t>
  </si>
  <si>
    <t xml:space="preserve">
1.The stomach is partially distended with gas, some fluid and some soft tissue opaque debris._x000D_
2.The liver and spleen are within normal limits for size, with smooth margins._x000D_
3.The small intestine is normal in diameter. No obvious signs of obstruction._x000D_
4.No abnormal AI findings reported._x000D_
5.No abnormal AI findings reported.</t>
  </si>
  <si>
    <t>Study:_x000D_
Abdominal radiography: three images dated August 3, 2024_x000D_
_x000D_
Findings:_x000D_
The stomach contains a small amount of heterogeneous soft tissue material. The small intestines are gas and fluid-filled and normal in size and course. The colon contains a small volume of gas with a normal diameter. The liver and spleen are normal in size and margin. The renal silhouettes are normal in size and contour. The urinary bladder is normal in size and opacity. Suture material from prior ovariohysterectomy is present caudal to each kidney, situated between the descending colon/urinary bladder and in the mid-ventral abdominal body wall. The included thorax is normal with no evidence of cardiomegaly. The osseous structures are unremarkable.</t>
  </si>
  <si>
    <t>1. Gastric contents likely represent ingesta. Foreign material cannot be completely excluded. The abdomen is otherwise unremarkable. Repeat fasted radiography can be considered to ensure gastric emptying if clinically relevant based on recent dietary history. Alternatively, sonography can be considered if clinical signs persist or worsen in spite of medical management._x000D_
2. There is no radiographic evidence of heart disease. Consider echocardiography for further evaluation of the reported heart murmur.</t>
  </si>
  <si>
    <t xml:space="preserve">
1.The small intestines are distributed evenly and are within normal limits for shape, size and contents._x000D_
2.The ascending, transverse and descending colon have a normal position and gas and some poorly formed faeces._x000D_
3.The hepatic silhouette is mildly enlarged, with smooth borders._x000D_
4.The visible spleen is within normal limits._x000D_
5.Mid abdominal detail is mildly decreased._x000D_
6.The stomach is empty, and has a normal axis.</t>
  </si>
  <si>
    <t>Opposite lateral and VD abdomen views are provided for interpretation._x000D_
_x000D_
There is an ovoid soft tissue mass measuring 6 x 8 cm (not accounting for radiographic magnification) in the cranioventral abdomen, visible in both lateral views. No corresponding mass effect is seen in the lateral views. This shadow is seen in the general area of the spleen. A separate spleen shadow cannot be identified. The other abdominal organs are within normal size and shape limits. There is a moderate volume of gas throughout the intestinal tract. None of the intestines appear pathologically distended or plicated. No foreign bodies are identified in the GI tract. The colon wall in the wall the duodenum both appear slightly thickened. The colon is empty.</t>
  </si>
  <si>
    <t>There is a cranial ventral mass effect, suspected to be involving the spleen. Splenic neoplasia should be ruled out. Relevance to the presenting complaint of diarrhea is unknown. The GI tract is gassy, but no foreign bodies are seen. There is no obstructive pattern._x000D_
The colon wall appear slightly thickened, but this is not considered a reliable radiographic finding. Colitis is still a consideration.</t>
  </si>
  <si>
    <t>Symptomatic therapy and supportive care for gastroenteritis/colitis is recommended. Pancreatitis should also be ruled out._x000D_
_x000D_
Follow up imaging of the spleen such as ultrasound is recommended.</t>
  </si>
  <si>
    <t>Two views of the abdomen are provided for review.  Serosal detail is adequate in all quadrants.  The stomach contains a small amount of gas and the rugal folds are prominent.  The small intestines are normal in size.  Gas is present in the colon.  The urinary bladder is small.  The remaining abdominal organs are normal.</t>
  </si>
  <si>
    <t>Roxz: There is moderate left-sided cardiomegaly.  There is a diffuse interstitial pattern associated with the caudal dorsal aspect of the right and left caudal lung lobes.  On the ventrodorsal view there is a somewhat circular soft tissue opacity located at the ninth right intercostal space.  There is no evidence of lymphadenopathy or pleural effusion.  On the lateral view there appears to be collapse of the mainstem bronchi._x000D_
_x000D_
Abdomen: There are no abnormalities identified.</t>
  </si>
  <si>
    <t>Left-sided cardiomegaly.  The described pulmonary pattern may represent congestive heart failure._x000D_
_x000D_
The soft tissue opacity located at the ninth right intercostal space most likely represents a summation artifact.  The pulmonary nodule cannot definitively be ruled out.</t>
  </si>
  <si>
    <t xml:space="preserve">
1.The liver is normal in size and shape._x000D_
2.The spleen is within normal limits._x000D_
3.The peritoneal serosal detail is normal._x000D_
4.Small intestines are mildly fluid and gas filled. No signs of complete obstruction.</t>
  </si>
  <si>
    <t>The AI result for this case is most compelling for: gastroenteritis/colitis. Although less likely, an associated pancreatitis could be considered. This may be due to dietary indiscretion, or infectious-inflammatory causes.</t>
  </si>
  <si>
    <t xml:space="preserve">
Virtual Radiologist Case Difficulty: MODERATE_x000D_
Virtual Radiologist Confidence: MODERATE_x000D_
If GI signs are present, supportive and symptomatic therapy for gastroenteritis/pancreatitis can be considered. Repeat radiographs to assess for passage of gastric contents or obstruction, and abdominal ultrasound could be performed for further evaluation.</t>
  </si>
  <si>
    <t>Three radiographs of the abdomen are provided. Serosal detail is mildly reduced in the cranial abdomen. The stomach contains a moderate amount of amorphous soft tissue density and small accumulation of mineral opaque debris. Small bowel are diffusely minimally distended, and there is semi-formed feces in the descending colon. Numerous punctate mineral densities throughout the intestines. No severe intestinal distention. Normal-sized liver, spleen, left kidney. The right kidney is obscured. Normal caudal thorax.</t>
  </si>
  <si>
    <t>Gastric contents may represent normal ingesta. With the intermittent vomiting, all or a portion of gastric contents could be foreign material causing gastritis and intermittent pyloric outflow obstruction. Reduced abdominal detail may be due to scant effusion versus inflammation due to gastroenteritis. There is no evidence of small bowel obstruction.</t>
  </si>
  <si>
    <t>Recommend a CBC, blood chemistry profile, and repeat abdominal radiographs following a confirmed fast +/- positive contrast gastrogram to rule out gastric foreign material.</t>
  </si>
  <si>
    <t>Thorax: Today=ZZ91=s study is compared to a study dated 7/30/2024.  There is moderate to severe left-sided cardiomegaly and mild right-sided cardiomegaly as previous.  The cardiac silhouette has not changed for shape or size.  There is mild diffuse bronchointerstitial pattern as previous.  Faint pleural fissure lines are again noted.  There is no evidence of lymphadenopathy._x000D_
_x000D_
Abdomen: There is diffuse hepatomegaly as previous.  Bilateral nephroliths are again noted.</t>
  </si>
  <si>
    <t>Static cardiomegaly without evidence of decompensation._x000D_
_x000D_
Static faint pleural fissure lines which may be incidental or possible trace pleural effusion._x000D_
_x000D_
Static diffuse hepatomegaly._x000D_
_x000D_
Static bilateral nephroliths.</t>
  </si>
  <si>
    <t>Thorax: The cardiac silhouette and pulmonary vasculature are unremarkable.  There is a mild bronchointerstitial pattern.  There is no evidence of pleural effusion or lymphadenopathy.  On the visible portions of the abdomen there is a large fat opacity which appears to be associated with the spleen.  The remainder of the visible portions of the abdomen are unremarkable.</t>
  </si>
  <si>
    <t>Mild bronchointerstitial pattern which may be age-related or bronchitis._x000D_
_x000D_
Suspect lipoma associated with the spleen.</t>
  </si>
  <si>
    <t xml:space="preserve">
1.There is a mildly asymmetric mass effect in the cranial abdomen. This is attributed to asymmetric liver enlargement._x000D_
2.The splenic size, shape and margin are normal._x000D_
3.Abdominal detail is normal._x000D_
4.The stomach is minimally filled with gas and soft tissue opacity. The intestines are mildly filled._x000D_
5.There is formed feces in the colon.</t>
  </si>
  <si>
    <t>The AI result for this case is most compelling for: Mild cranial abdominal mass effect, likely secondary to asymmetric hepatomegaly or a lateralized liver lobe enlargement/mass. Nonspecific hepatomegaly etiologies include steroid induced hepatopathy, endocrine disease such as hyperadrenocorticism, infectious/inflammatory causes such as hepatitis, and neoplasia, such as hepatic lymphoma. A splenic mass or gastric distention are lesser considerations.</t>
  </si>
  <si>
    <t>Four orthogonal survey radiographs of the thorax and abdomen dated 6th August 2024 are available for review. There are no previous radiographs available for comparison. _x000D_
_x000D_
Thorax:_x000D_
Airway findings: The trachea is elevated within the thorax. There is narrowing of the mainstem bronchi. There is widening of the tracheal bifurcation. Throughout the lung parenchyma there is a moderate interstitial opacification, most prominent in the perihilar region. Thin pleural fissure lines are present. No nodules or masses are seen._x000D_
_x000D_
Cardiovascular findings: There is a moderate sized smoothly marginated soft tissue opacity contiguous with the caudal dorsal border of the cardiac silhouette. A smoothly marginated soft tissue opacity is superimposed on the caudal cardiac silhouette in the dorsoventral image. The overall cardiac silhouette is enlarged.  The cardiac silhouette occupies over 80% of the width of the thoracic volume. There is increased cardiac sternal contact. The cranial and caudal pulmonary vasculature are enlarged. The caudal vena cava is enlarged._x000D_
_x000D_
Mediastinum and pleural space: There is mild ventral soft tissue attenuation consistent with mild pleural effusion._x000D_
_x000D_
Musculoskeletal findings: No significant abnormalities are detected._x000D_
_x000D_
Abdomen: There is loss of serosal detail. The hepatic silhouette is enlarged. The stomach is mainly empty. The small intestines are diffusely mildly filled with fluid and gas and soft tissue opaque material. The descending colon is gas-filled. The urinary bladder is small. The spleen is normal. The kidneys are partially obscured by gastrointestinal contents, but the visible aspect are normal.</t>
  </si>
  <si>
    <t>1.Mainly left sided cardiomegaly with pulmonary venous distension and cardiogenic pulmonary edema consistent with left sided congestive heart failure. Ddx: myxomatous degeneration of the mitral (+- tricuspid) valves with post-capillary pulmonary hypertension vs systolic dysfunction (DCM)._x000D_
2. The interstitial opacification is most likely due to cardiogenic pulmonary oedema. Lower airway infectious/inflammatory disease is less likely._x000D_
3. The loss of serosal detail is likely due to ascites due to increased central venous pressures._x000D_
4. The hepatomegaly is most likely due to congestion secondary to right-sided failure. Alternatively, the hepatomegaly may be due to vacuolar hepatopathy, or underlying endocrine disease.</t>
  </si>
  <si>
    <t>Complete bloodwork if not already performed. Management for left sided congestive heart failure including diuretic therapy with oxygen support as needed. ECG and systemic blood pressure monitoring. Recommend repeat thoracic radiographs after 24-48 hours of therapy, sooner if clinically indicated. Continued monitoring of renal values and urinalysis._x000D_
_x000D_
Once stabilized, an echocardiogram is recommended.</t>
  </si>
  <si>
    <t>3 views of the abdomen are provided for review.  Serosal detail is reduced in all quadrants.  Small amounts of free peritoneal gas are visible in the right cranioventral abdomen on the VD and right lateral views.  The stomach contains a small amount of soft tissue material.  The small intestines are normal in size.  Gas and feces are present in the colon.  The urinary bladder is moderately distended.  The remaining abdominal organs are normal.</t>
  </si>
  <si>
    <t>Poor serosal detail consistent with free fluid.  Small volume of free peritoneal gas concerning for gastrointestinal perforation.  Abdominal ultrasound may be helpful to aid in fluid sampling and rule out an underlying neoplasm prior to abdominal exploratory.  Material within the stomach may represent residual ingesta or foreign material.  Consider repeat radiographs following strict fasting to determine if gastric contents persist.</t>
  </si>
  <si>
    <t>Seven radiographs of the thorax and abdomen are provided. The cardiac silhouette and pulmonary vessels are normal size and shape. On the edge of the VD abdominal view and on the 1st VD thoracic view, there is a small area of well delineated soft tissue opacity in the right 4th intercostal space. This is not definitively seen on the left lateral view. No other pulmonary parenchymal abnormalities. Tracheal diameter is adequate and uniform. There is no pleural effusion. No esophageal dilation._x000D_
_x000D_
In the abdomen the prostate is mildly enlarged and soft tissue opaque. No radiopaque urolithiasis. Small round soft tissue density ventral to L5-6 is end-on deep circumflex iliac vessel. Normal-sized kidneys, spleen, liver. The gastrointestinal tract is mildly filled. No osseous abnormalities.</t>
  </si>
  <si>
    <t>1. Increased right cranial lung opacity only on the VD projections. Focal/mild pneumonia is most likely. Artifact caused by superimposed extrathoracic tissue is next on the differential list. Otherwise normal thorax._x000D_
2. Mild prostatomegaly, likely due to benign hyperplasia and relatively recent neuter. No other abdominal abnormalities.</t>
  </si>
  <si>
    <t>Consider airway cytology. With the epistaxis, there is also concern for intranasal disease (foreign material, rhinitis, less likely neoplasia), therefore additional imaging of the head such as nasal computed tomography should be considered.</t>
  </si>
  <si>
    <t>Study:_x000D_
Thoracic and abdominal radiography: five images dated August 6, 2024_x000D_
_x000D_
Findings:_x000D_
The cardiac silhouette and pulmonary vasculature are normal in size. There is moderate bilateral pleural effusion. There is associated reduced lung volume/atelectasis. No pulmonary nodules or masses are present. The pleural space is normal. There is no apparent intrathoracic lymphadenopathy. There is a broad-based soft tissue opaque band superimposed with the dorsal aspect of the trachea lumen representing superposition of the esophagus, superimposition of the hypaxial musculature or a redundant dorsal tracheal membrane. There is a moderate amount of peritoneal effusion. The stomach contains a small volume of gas. The small intestines are normal in size, course and content. The colon contains formed fecal material. The liver is severely enlarged with smooth margins. The spleen is normal in size and margin. The renal silhouettes are normal in size and contour. The urinary bladder is normal in size and opacity. There is mild multifocal thoracolumbar spondylosis deformans. There is mild bilateral stifle periarticular bone formation.</t>
  </si>
  <si>
    <t>1. Non-specific bicavitary effusion. A cause is not radiographically evident. Differentials include infection, inflammation, bile peritonitis and pleuritis, pancreatitis, cardiac disease (unlikely in the absence of any cardiomegaly), neoplasia, hypoproteinemia, coagulopathy and nonneoplastic liver disease._x000D_
2. The generalized hepatomegaly is nonspecific. Rule out metabolic/vacuolar hepatopathy, hyperplasia, hepatitis or neoplasia. Sonography can be considered for further evaluation._x000D_
3. Mild bilateral stifle osteoarthrosis.</t>
  </si>
  <si>
    <t>Recommend abdominal sonography, abdominocentesis and/or thoracocentesis with fluid analysis for further evaluation.</t>
  </si>
  <si>
    <t xml:space="preserve">
1.There is increased soft tissue opacity in the splenic region. DDx: secondary to caudal extension of the liver vs. loss of detail due to abdominal fluid vs. splenomegaly or a splenic mass._x000D_
2.There is poor detail identified in the abdomen. DDx: secondary to hepatomegaly causing crowding of the abdominal organs and/or abdominal fluid._x000D_
3.The small intestine is diffusely fluid filled._x000D_
4.The liver is enlarged with rounded borders._x000D_
5.The stomach contains fluid and some gas._x000D_
6.The abdomen is mildly pendulous.</t>
  </si>
  <si>
    <t>Opposite lateral and VD views of the thorax and abdomen are provided._x000D_
_x000D_
There is moderate dynamic narrowing of the cervical trachea. No esophageal abnormalities are identified. There is a mild diffuse bronchial pulmonary pattern. The cardiovascular structures are within normal limits._x000D_
_x000D_
The liver is moderately enlarged, with normal shape and smooth margins. The other abdominal organs are unremarkable. The GI tract appears empty and otherwise normal. No mass effect or loss of detail are seen in the abdomen._x000D_
_x000D_
No spinal abnormalities are identified. No destructive or productive bone lesions are seen.</t>
  </si>
  <si>
    <t>The liver is enlarged. Possible etiologies would include endocrine associated hepatopathies or other metabolic liver disease, neoplasia such as hepatic lymphoma, or hepatitis. Relevance to the presenting complaint is unknown. The rest of the abdomen is unremarkable._x000D_
_x000D_
There is a mild bronchial pulmonary pattern which would be most compatible with prominent age related change or chronic bronchitis of and idiopathic or allergic nature. Relevance to the presenting complaint is probably limited in the absence of significant coughing._x000D_
The moderate dynamic narrowing of the cervical trachea could also be contributing to cough, if present._x000D_
_x000D_
The patient has overweight, but no other significant musculoskeletal abnormalities are identified.</t>
  </si>
  <si>
    <t>Relevance of the reported anatomic abnormalities to the clinical signs is unknown, but liver pathology is a concern._x000D_
_x000D_
Ultrasound evaluation cytology of the liver may be indicated depending on lab results and response to therapy.</t>
  </si>
  <si>
    <t xml:space="preserve">
1.The liver is mildly enlarged but retains a smooth margin._x000D_
2.Splenic size, shape and margin are normal._x000D_
3.Abdominal detail is normal._x000D_
4.The GI tract is normal. No signs of obstruction.</t>
  </si>
  <si>
    <t xml:space="preserve">Patient Name : Azula Caranante, Date of study: Aug 6, 2024
1 images are provided for review
Canine Abdomen (1 Images) - 1 Lateral
Previous images dated [08/06/2024 Case#2728609] are available for comparison.
Liver: The liver is small with cranial displacement of the gastric axis.
Spleen: The spleen is not identified without obvious enlargement.
Kidneys: The kidneys are partially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mild volume of gas.   The stomach is within normal limits for size.
The small intestine contains mild gas, fluid or is empty with a subjectively uniform population for size. 
The colon contains moderate well-defined soft tissue material and gas.  The colon is within normal limits for size.  
Bones/Joints:
It is suspected that the T13 vertebra is transitional with thin ribs.
The T11-T13 and L2-3 intervertebral disc spaces are narrowed, more severe at L2-3.  Spondylosis deformans is ventral to L2-3.
There is no evidence of mineral over the intervertebral foramina.  There is no evidence of intervertebral dorsal articulation osteoarthrosis.
There is no evidence of medullary sclerosis, osteolysis, endosteal scalloping, or periosteal proliferation.
Soft tissues:  The included soft tissues are normal.
</t>
  </si>
  <si>
    <t>1. Microhepatia versus artifact from positioning/technique and phase of respiration.
2. T13 transitional vertebra with presumed hypoplastic ribs.
3. L2-3 and T12-13 intervertebral disc disease.</t>
  </si>
  <si>
    <t>Consider bile acid testing, routine blood work, and thoracic imaging prior to referral and MRI.  Empirical therapy and supportive care in the interim as needed.  Monitoring with routine blood work and thoracic/abdominal imaging as directed, or sooner if clinical signs acutely change, fail to improve or worsen.</t>
  </si>
  <si>
    <t>Study:_x000D_
Abdominal radiography: three images dated August 6, 2024_x000D_
_x000D_
Findings:_x000D_
The serosal detail is normal. There is a smoothly marginated fragmented gas pattern in some small intestinal segments. The small intestines are normal in size and course. The colon contains a small volume of gas with a normal diameter. The liver and spleen are normal in size and margin. The renal silhouettes are normal in size and contour. The urinary bladder is normal in size and opacity. There is no prostatomegaly. The included thorax is normal. The osseous structures are unremarkable.</t>
  </si>
  <si>
    <t>The smoothly marginated fragmented gas pattern seen in the small intestines can be an indicator of nonspecific enteritis. There is no radiographic evidence of gastrointestinal foreign material or small intestinal mechanical obstruction. Abdominal sonography can be considered for further evaluation if clinical signs persist or worsen in spite of medical management.</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</si>
  <si>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beyond the costal arch.  The stomach contains a moderate amount of ingesta.  The small intestines are normal in size.  Gas and feces are present in the colon.  The urinary bladder is small.  The remaining abdominal organs are normal.</t>
  </si>
  <si>
    <t>Opposite lateral and VD views of the thorax and abdomen are provided._x000D_
_x000D_
Heart is at the upper limit of normal range to slightly enlarged overall. VHS is equivocal at 11.2. The caudal waist of the cardiac silhouette has a straight appearance suggesting mild left atrial dilation could be present. Pulmonary vessels are normal. Interstitial lung opacity is mildly increased compatible with age related change. No pulmonary nodules or pleural effusion are identified._x000D_
_x000D_
There is a discrete round mass in the left caudal abdomen that measures approximately 7 cm. A specific organ of origin cannot be determined, although the mass approximates the edge of the spleen in the lateral views._x000D_
There is also a rounded soft tissue shadow concerning for another mass in the range of 6 cm in the right cranial abdomen. This mass appears as if it might be arising from the right side of the liver. The liver is enlarged overall. The other organs are within normal limits. Serosal detail in the abdomen is normal._x000D_
_x000D_
The patient has overweight body condition. There is metal hardware in the right distal humerus consistent with a previous surgery. Moderate to severe chronic remodeling is evident involving both elbows. No destructive bone lesions are seen.</t>
  </si>
  <si>
    <t>There is a discrete round mass in the left caudal abdomen. Although a definitive organ of origin cannot be determined from the radiographs, this mass most likely arises from the spleen. Intestinal origin should also be ruled out._x000D_
_x000D_
There is a mass-like shadow in the right cranial abdomen that is slightly smaller and also compatible with a mass lesion. This appears as if it might be arising from the right side liver, but splenic origin still cannot be entirely excluded._x000D_
_x000D_
No loss of detail to suggest abdominal hemorrhage is identified. The other organs are within normal limits._x000D_
_x000D_
Heart size is borderline. Mild left atrial dilation is suspected._x000D_
No evidence of neoplasia is seen in the thorax.</t>
  </si>
  <si>
    <t>Additional imaging of the abdomen such as CT or specialty ultrasound should be considered to further define the origin of reported mass lesions. Neoplasia involving more than one organ may be present._x000D_
_x000D_
Echocardiography should also be considered. The need for cardiac medications is equivocal based on the radiographic appearance of the heart.</t>
  </si>
  <si>
    <t xml:space="preserve">
1.A soft tissue mass in the splenic region has been identified. This could represent confluence of a single cranial abdominal mass vs. two separate masses affecting the liver and spleen._x000D_
2.Abdominal detail is decreased, particularly in the cranial abdomen. DDx: soft tissue mass only vs. mass and mesenteric inflammation and/or regional abdominal fluid._x000D_
3.The abdomen is mildly pendulous._x000D_
4.The stomach is displaced by the cranial abdominal mass or infrequently, the cranial abdominal mass could represent a severely distended stomach._x000D_
5.The intestinal tract is displaced by the cranial abdominal mass. The displaced bowel is diffusely gas- and fluid-filled but no segmental bowel dilation is noted._x000D_
6.A soft tissue mass is identified in the cranial abdomen. The liver is enlarged and mass-like, with caudal displacement of the gastric axis.</t>
  </si>
  <si>
    <t>Orthogonal views of the thorax and abdomen dated 8-5-24 and follow up fasted abdomen radiographs made 8-6-24 are provided for interpretation and comparison._x000D_
_x000D_
The cardiovascular structures are within normal limits. Bronchial markings are mildly increased above average but within the limits of what might be expected as a breed associated appearance. No tracheal or esophageal abnormalities are identified. There are multiple congenital hemivertebrae in the cranial thoracic and caudal thoracic spine. The lumbar spine and pelvis are within normal limits._x000D_
Small quantity of amorphous soft tissue dense ingesta is present in the stomach in the initial radiographs. There is a small quantity of soft appearing fecal material in the colon as well as one small mineral density compatible with a tiny rock in the descending colon. The appearance of the urinary tract and the other organs is unremarkable._x000D_
_x000D_
In the follow up fasted radiographs made the next day, the upper GI tract appears empty. There is a small quantity of soft appearing fecal material in the colon. The tiny rocks seen in the previous study is no longer present. No dilation of the stomach or intestine is identified. The other organs are unremarkable. Serosal detail is normal.</t>
  </si>
  <si>
    <t>No significant anatomic abnormalities are identified involving the esophagus or the gastrointestinal tract. The urinary tract is also unremarkable._x000D_
There are breed associated congenital vertebral deformities in the thoracic spine which are presumed incidental._x000D_
_x000D_
No findings that would explain the presenting complaint of regurgitation are identified.</t>
  </si>
  <si>
    <t>Symptomatic therapy for possible gastritis/gastroenteritis or pancreatitis is recommended.</t>
  </si>
  <si>
    <t xml:space="preserve">
1.Splenic size, shape and margin are normal._x000D_
2.Liver size, shape and margin are normal._x000D_
3.Abdominal detail is normal._x000D_
4.The stomach contains gas and small amount of amorphous soft tissue density. Small intestines are diffusely, minimally distended.</t>
  </si>
  <si>
    <t>3 images of the thorax and abdomen are presented for review.  The trachea is narrowed in the cervical region, worse on the left lateral view.  The cardiac silhouette is mildly generally enlarged.  There is a diffuse interstitial pulmonary pattern that is considered appropriate for the age of the patient.  No pulmonary nodules or enlarged intrathoracic lymph nodes are seen.  Thin pleural fissure lines present.  The mediastinal structures are normal.  Abdominal serosal detail is mildly reduced in the right cranial quadrant.  The stomach contains a moderate amount of ingesta.  The small intestines are normal in size.  Gas and feces are present in the colon.  The urinary bladder is small.  The kidneys are small with irregular margins.  The remaining abdominal organs are normal.  There is narrowing of the intervertebral disc space and spondylosis deformans at L2-3.</t>
  </si>
  <si>
    <t>Chronic renal changes.  Reduced serosal detail in the right cranial abdomen may indicate focal peritonitis such as secondary to pancreatitis or other causes such as neoplasia.  Abdominal ultrasound may be helpful.  Scant pleural effusion.  Mild generalized cardiomegaly.  Echocardiography and thoracic ultrasound for fluid sampling may be helpful.  Lumbar changes consistent with chronic intervertebral disc herniation.</t>
  </si>
  <si>
    <t xml:space="preserve">
1.No abnormal AI findings reported._x000D_
2.No abnormal AI findings reported._x000D_
3.The stomach contains a small volume of gas._x000D_
4.No dilated or plicated small bowel loops are noted._x000D_
5.The colon contains scant fecal material and gas._x000D_
6.The liver and spleen are within normal limits in size and shape.</t>
  </si>
  <si>
    <t>7 images of the abdomen are provided for review.  Serosal detail is adequate in all quadrants.  An ovoid mineral structures present in the right liver.  The stomach contains a small amount of gas and the rugal folds are prominent.  The small intestines are normal in size.  Gas is present in the colon.  The urinary bladder is small.  Mineral is present in the right renal pelvis.  The remaining abdominal organs are normal.</t>
  </si>
  <si>
    <t>Prominent rugal folds suggestive of gastritis.  This does not rule out underlying pancreatitis, dietary indiscretion, etc.  Right nephrolith.  Right hepatic mineral is likely a cholilith.</t>
  </si>
  <si>
    <t>Opposite lateral and ventrodorsal abdominal radiographs (3 images) dated August 6, 2024._x000D_
_x000D_
The liver and spleen are unremarkable in size and shape. Both kidneys are normal in size and shape. The urinary bladder is distended with a large amount of homogeneous fluid opacity. The stomach is empty/collapsed. The small intestine is uniformly normal in diameter, has a normal course, and is mostly empty/collapsed and soft-tissue opaque or contains a scant amount of fluid. A few small bowel segments have an irregular linear coalescing gas pattern. The colon contains poorly formed stool mixed with gas. Retroperitoneal and peritoneal detail are normal. No regional lymphadenopathy is evident._x000D_
No aggressive or clinically significant osseous pathology is identified._x000D_
The included caudal thorax is unremarkable.</t>
  </si>
  <si>
    <t>Non-obstructive gastroenteritis and colitis.  Rule out dietary indiscretion or toxin vs. food allergy/intolerance vs. flareup of a chronic enteropathy (ex: IBD) vs. GI infectious vs. systemic/extra GI causes (liver or kidney injury/disease, pancreatitis, endocrine disorder, systemic infection, non-GI neoplasia).</t>
  </si>
  <si>
    <t>Supportive care with fluid rehydration, antiemetics, gastroprotectants/omeprazole or pantoprazole, antidiarrheal with probiotic and bland diet.  General health profile (CBC, chemistry, UA, fecal) +/- spec cPL and baseline cortisol could be considered to screen for underlying causes. Abdominal ultrasound if the patient fails medical management.</t>
  </si>
  <si>
    <t xml:space="preserve">
1.No abnormal AI findings reported._x000D_
2.The spleen and liver silhouettes are within normal limits._x000D_
3.Serosal detail is normal._x000D_
4.The stomach contains small-volume amorphous soft tissue opacity and gas. Small intestines are diffusely mildly filled with fluid.</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</si>
  <si>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Hemivertebrae are present in the thoracic and sacrocaudal spine.  There is spondylosis deformans of the thoracolumbar and lumbosacral spine.</t>
  </si>
  <si>
    <t xml:space="preserve">
1.The stomach contains gas and small amount of amorphous soft tissue density. Small intestines are diffusely, minimally distended._x000D_
2.Liver size, shape and margin are normal._x000D_
3.Splenic size, shape and margin are normal._x000D_
4.Abdominal detail is normal.</t>
  </si>
  <si>
    <t>5 images of the thorax, abdomen, and thoracolumbar spine are provided for review.  The cardiovascular structures are normal.  There is a moderate bronchial pattern in all lung lobes.  There is focal widening of the cranial mediastinum at the heart base.  The pleural structures are normal.  Abdominal serosal detail is adequate in all quadrants.  The liver margins are rounded and extend beyond the costal arch, causing caudal displacement of the gastric axis.  The stomach contains a moderate amount of gas.  A poorly defined soft tissue mass is seen caudal to the pylorus on the VD view.  The small intestines are normal in size.  Gas and feces are present in the colon.  The urinary bladder contains an irregular mineral structure.  Mild mineral is seen in the renal diverticula.  The remaining abdominal organs are normal.  Spinal alignment is normal with no consistently narrowed intervertebral disc spaces.  No fractures or aggressive osseous lesions are seen.  Osteophytes are present on the femoral necks bilaterally.</t>
  </si>
  <si>
    <t>Cranial abdominal mass=ZZ90= similar neoplasia or hematoma is considered most likely based on the location.  Hepatomegaly=ZZ90= this is a nonspecific finding that may be seen with congestion, vacuolar hepatopathy, inflammation, neoplasia, etc.  Abdominal ultrasound may be helpful in further evaluation.  Chronic renal changes.  Cystic calculus.  _x000D_
_x000D_
Widening of the cranial mediastinum concerning for a heart base mass in this region.  No lymphadenopathy or aortic enlargement could also be considered.  Echocardiography or thoracic CT may be helpful.  Moderate bronchial pulmonary pattern=ZZ90= consider bronchitis, response to inhaled irritants, response to circulating parasites, eosinophilic bronchopneumopathy.  Airway sampling may be helpful in further evaluation.  _x000D_
_x000D_
Bilateral coxofemoral DJD.</t>
  </si>
  <si>
    <t>Orthogonal radiographs of the thorax/abdomen are provided. Images dated 5/30/24 and earlier are available for comparison. There is severe narrowed caudal cervical trachea. Thoracic tracheal diameter is adequate. The heart and pulmonary vessels are normal size. There are mild age-related changes in the lungs. Mediastinal fat deposition causes the triangular increased opacity in the cranial left thorax on the VD view. In the abdomen the liver is upper normal size, and is increased in size compared to the previous study dated 10/4/21. Curved soft tissue opacity overlying the ventral liver is likely distended gallbladder. There is no abdominal effusion. Normal-sized kidneys and spleen. The gastrointestinal tract is minimally filled. Possible narrowed T12-13 intervertebral disc space, of doubtful clinical significance today.</t>
  </si>
  <si>
    <t>1. Severe cervical tracheal collapse as before. No intrathoracic abnormalities._x000D_
2. The liver is at the upper limits of normal size, but is increased in size compared to the previous abdominal study. Steroid or other hepatopathy should be considered. An acute inflammatory process or neoplasia are next on the differential list. No other abdominal abnormalities.</t>
  </si>
  <si>
    <t>There is no contraindication for general anesthesia based on this study. If further evaluation of the liver is desired, abdominal ultrasound would be recommended.</t>
  </si>
  <si>
    <t>Three orthogonal survey radiographs of the thorax and abdomen dated 5th August 2024 are available for review. There are no previous radiographs available for comparison. These images are submitted for assessment of the vertebral column._x000D_
_x000D_
Vertebral column: There is mild narrowing at T12-T13. There is lateralising spondylosis, which is visible on the lateral image as a small mineral opacity superimposed on the caudal vertebral endplate of T12. There is lateralising spondylosis at T13-L1 without intervertebral disc narrowing. The vertebral and plates are smooth. The remainder of the included vertebral column is normal. Both included coxofemoral joints are normal.</t>
  </si>
  <si>
    <t>1. Mild T12-13 intervertebral disc disease with lateralising spondylosis: This could cause some back pain. Occult intervertebral disease such as intervertebral disk protrusion or other spinal cord pathology including embolic (FCE), high velocity disk, inflammatory or neoplastic disease or degenerative myelopathy is not excluded .</t>
  </si>
  <si>
    <t xml:space="preserve">
1.No abnormal AI findings reported._x000D_
2.The small intestinal tract contains normal volumes of fluid, gas and ingesta._x000D_
3.The ascending, transverse and descending colon are in a normal position and contain gradually more formed feces._x000D_
4.The liver and spleen are normal for size, shape and contour._x000D_
5.The cranial peritoneal serosal detail is mildly reduced._x000D_
6.The stomach has a normal axis.</t>
  </si>
  <si>
    <t>Opposite lateral and VD views of the thorax and abdomen are provided._x000D_
_x000D_
The heart is at the smaller end of normal size range. The caudal vena cava appears mildly diminished. The pulmonary vessels and parenchyma are within normal limits. No tracheal or laryngeal abnormalities are identified._x000D_
_x000D_
The spleen is prominent, but still felt to be within normal limits. The liver is at the small end of acceptable size range. The other abdominal organs are unremarkable.</t>
  </si>
  <si>
    <t>No evidence of cardiac chamber dilation is identified._x000D_
_x000D_
The appearance of the respiratory tract is unremarkable. Viral tracheobronchitis or allergic lung disease could still be present without significant radiographic changes._x000D_
_x000D_
The liver is smaller than expected for patient size. This may still be normal for this patient. Pathologic causes such as a shunting defect should still be considered.</t>
  </si>
  <si>
    <t>Symptomatic therapy for the cough is recommended._x000D_
CBC and heartworm testing is recommended._x000D_
_x000D_
Recheck radiograph of the thorax are recommended if the cough worsens or does not improve over the next few weeks.</t>
  </si>
  <si>
    <t xml:space="preserve">
1.The stomach is normal. The small bowel is diffusely fluid filled but without segmental small bowel dilation._x000D_
2.Abdominal detail is normal._x000D_
3.Liver size is normal to minimally enlarged._x000D_
4.The spleen is mildly enlarged but with normal shape and smooth margins._x000D_
5.There is mild widening of the pyloroduodenal angle.</t>
  </si>
  <si>
    <t>Hepatomegaly. Differential diagnoses include individual variation of normal, artifact and/or vacuolar hepatopathy (such as from hyperadrenocorticism or diabetes mellitus), nodular hyperplasia, hepatitis/cholangiohepatitis, or evolving neoplasia (metastatic versus primary). Mild splenomegaly. No splenic mass noted. Widening of the pyloroduodenal angle can be seen with pancreatitis though there is no loss of serosal detail in this area to make this a more convincing finding. Therefore, this appearance may be due to the minimal hepatomegaly.</t>
  </si>
  <si>
    <t xml:space="preserve">
Blood work._x000D_
Abdominal ultrasound._x000D_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</si>
  <si>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Six orthogonal survey radiographs of the thorax and abdomen dated 5th August 2024 are available for review. There are no previous radiographs available for comparison. _x000D_
_x000D_
Thorax: _x000D_
Airway findings: A smoothly marginated soft tissue opacity is variably present overlying the dorsal aspect of the trachea at the thoracic inlet. This opacity reduces approximately 50% of the dorsoventral diameter of the trachea. The intrathoracic trachea is normal. The pulmonary parenchyma is normal. There is no evidence for aspiration._x000D_
_x000D_
Cardiovascular findings: There is a small smoothly marginated soft tissue opacity contiguous with the caudal dorsal border of the cardiac silhouette. A soft tissue opacity is superimposed on the caudal cardiac silhouette in the dorsoventral image.  The overall cardiac silhouette is still within normal limits. The pulmonary vessels as well as the mainstem vasculature are normal.._x000D_
_x000D_
Mediastinum and pleural space: No significant abnormalities are detected._x000D_
_x000D_
Abdomen: There is moderate fluid and gas filling of the stomach. There is gas in the pylorus on the left lateral image. The small intestines are within upper normal limits for shape and size, and contain mainly fluid. The descending colon contains gradually more formed faeces. The urinary bladder is small. The hepatic silhouette is normal in size with smooth borders. The spleen is normal in shape, size and position. The kidneys are partially obscured by gastrointestinal contents, but the visible aspect are normal._x000D_
_x000D_
Musculoskeletal findings: There is mild multisite spondylosis deformans.</t>
  </si>
  <si>
    <t>1. The dorsal attenuation of the trachea is consistent with redundant trachealis membrane or overlying musculature._x000D_
2. Left atrial dilation. This is most likely due to mixoid degeneration of the mitral valve. There is no evidence for cardiac insufficiency. _x000D_
3. The mildly dilated fluid-filled stomach is suggestive of a gastritis. This may be due to dietary indiscretion. Partial pyloric outflow obstruction by non-radiopaque foreign material is possible. Pancreatitis is possible. Infectious-inflammatory gastroenteritis is also possible.</t>
  </si>
  <si>
    <t>Supportive management including rehydration, gastroprotectants,  full blood work,  if clinically indicated is advised, if not already performed. Repeat 3-view radiographs depending on clinical progression or consider an abdominal ultrasound. If vomiting continues without development of diarrhea, an upper GI contrast study may also be considered.</t>
  </si>
  <si>
    <t xml:space="preserve">
1.Increased soft tissue is present in the cranial abdomen. Splenomegaly with a mass vs. pedunculated hepatic mass are most common causes for this finding. See conclusions above for additional considerations._x000D_
2.Cranial abdominal detail is decreased. DDx: superimposition of the spleen vs. regional abdominal fluid/hemorrhage and/or mesenteric inflammation._x000D_
3.The stomach appears empty._x000D_
4.The small intestine is diffusely gas- and fluid-filled. No segmental bowel dilation is noted._x000D_
5.The colon contains gas and portions of the colon have a rigid appearance._x000D_
6.No abnormal AI findings reported.</t>
  </si>
  <si>
    <t>5 images of the spine are provided for review.  No fractures, luxations, or aggressive osseous lesions are seen.  There is spondylosis deformans in the cranial lumbar spine.  No mineralized intervertebral discs or overtly narrowed intervertebral disc spaces are seen.  The soft tissue structures included are normal.</t>
  </si>
  <si>
    <t>Degenerative change of the lumbar spine.  This does not rule out intervertebral disc herniation or other causes of spinal cord compression.</t>
  </si>
  <si>
    <t>Three orthogonal thoracic radiographs dated 5th August 2024 are available for review. There are no previous radiographs available for comparison. _x000D_
_x000D_
Airway findings: The caudal cervical and cranial thoracic trachea is variable in dimension, and reduced. The tracheal bifurcation is widened. A minimal bronchial pattern is present._x000D_
_x000D_
Cardiovascular findings: There is a small smoothly marginated soft tissue opacity contiguous with the caudal dorsal border of the cardiac silhouette. A soft tissue opacity is superimposed on the caudal cardiac silhouette in the dorsoventral image.  The overall cardiac silhouette is still within normal limits. The pulmonary vessels as well as the mainstem vasculature are normal._x000D_
_x000D_
Mediastinum and pleural space: Thin pleural fissure lines are present._x000D_
_x000D_
Musculoskeletal findings: Multisite mild spondylosis is present._x000D_
_x000D_
Included abdomen: The hepatic silhouette is enlarged with smooth margins.</t>
  </si>
  <si>
    <t>1. The dorsal attenuation of the trachea is consistent with tracheomalacia, and/or redundant trachealis membrane. The extent of attenuation would be expected to cause coughing._x000D_
2. Diffuse mild bronchial pattern: Primary consideration should be given to normal ageing/fibrosis from previous disease. Allergic bronchitis, chronic bacterial /viral bronchitis +/- parasitic bronchitis should also be considered._x000D_
3. Left atrial dilation. This is most likely due to mixoid degeneration of the mitral valve. There is no evidence for cardiac insufficiency.</t>
  </si>
  <si>
    <t>Consider evaluation for airway collapse (fluoroscopy vs. right lateral inspiratory and expiratory radiographs vs. CT with virtual bronchoscopy). Alternatively consider medical management. Consider surgical consultation depending on clinical progression._x000D_
Respiratory workup including CBC, serum chemistry, urinalysis, Baermann faecal testing, 4DX, +/- respiratory panel as indicated may be considered.</t>
  </si>
  <si>
    <t>Three radiographs of the thorax are provided. The abdomen is included on one of the lateral views. The cardiac silhouette is normal size and shape. The cranial pulmonary artery is larger than the vein on the left lateral view, otherwise no pulmonary vascular abnormalities are appreciated. Caudal vena cava size is normal. There are no abnormalities in the pulmonary parenchyma. No pleural effusion. Normal tracheal diameter. Mineralized intervertebral disc material in situ at T10-11 is incidental. Incidental ribs on L1, and eight lumbar vertebrae. Narrowed T12-13 intervertebral disc space, of doubtful significance today. In the abdomen the prostate is mildly enlarged with smooth margins. There is no effusion. Normal-sized liver and spleen. The kidneys are obscured. The gastrointestinal tract is moderately filled.</t>
  </si>
  <si>
    <t>1. Prominent cranial lobar artery on one of the images, otherwise the thorax is radiographically normal. This is class I heartworm disease._x000D_
2. Mild prostatomegaly. In a neutered patient this is concerning for prostatic neoplasia or prostatitis. Recent/late neuter could also cause this appearance. No other abdominal abnormalities.</t>
  </si>
  <si>
    <t>If further evaluation of the prostate is desired, ultrasound would be recommended.</t>
  </si>
  <si>
    <t>Nine radiographs are provided, with images of the thorax, abdomen, pelvis, and stifles. Images dated 1/22/24 and earlier are available for comparison. There is slight prominence of the left atrium as before. The left auricle is not definitively seen today. Pulmonary vessels and caudal vena cava size are normal. There are a few incidental pulmonary osteomas. No pleural effusion or soft tissue pulmonary nodules. Adequate tracheal diameter. Small volume fat deposition in the cranial mediastinum._x000D_
_x000D_
In the abdomen there is no effusion or organomegaly. The gastrointestinal tract is moderately filled. No radiopaque cystic calculi. Reduced size of the L2-3 intervertebral disc space and foramen as before. Punctate mineral density overlying the L1-2 intervertebral foramen. Reduced size of the T11-12, T12-13 intervertebral disc spaces, possibly present before. The coxofemoral joints are congruent. Pelvic limb musculature is adequate and symmetric. Patellar location is normal. There is scant fluid in the cranial aspect of both stifle joints, similar to the previous study.</t>
  </si>
  <si>
    <t>1. Bilateral scant stifle effusion as before suggestive of partial cranial cruciate ligament tear. Normal coxofemoral joints._x000D_
2. Possible intervertebral disc disease at several sites in the caudal thoracic and cranial lumbar spine as before. This may be contributing to discomfort._x000D_
3. Mild left atrial enlargement, unchanged. This is consistent with acquired mitral valve disease and is of doubtful clinical significance today. Otherwise normal thorax._x000D_
4. Normal abdomen.</t>
  </si>
  <si>
    <t>Recommend palpate for spinal discomfort and a neurologic examination.</t>
  </si>
  <si>
    <t>A ventral dorsal radiograph of the thorax, three views of the abdomen, VD pelvis, and lateral view of each stifle are provided. The cardiac silhouette is prominent. Pulmonary vessels are normal size. There are no abnormalities in the pulmonary parenchyma. No pleural effusion._x000D_
_x000D_
In the abdomen the liver, spleen, and kidneys are normal size. There is a faint curved 2.4 cm soft tissue contour overlying the caudal lateral aspect of the spleen on the VD projection. The gastrointestinal tract is minimally filled. No radiopaque cystic calculi. Normal lumbar spine. There is mild degenerative change in the left coxofemoral joint. Smooth osseous proliferation medial to the left acetabulum appears as chronic change due to osteoarthritis or trauma. Patella location is normal. Pelvic limb musculature is reduced on the left. There is small volume fluid in the cranial aspect of the left stifle joint. Mild left stifle degenerative change. No abnormalities in the right stifle or either tarsus.</t>
  </si>
  <si>
    <t>1. Mild left stifle effusion most consistent with cranial cruciate ligament tear/rupture. This is the most likely cause for lameness. There is mild left coxofemoral osteoarthritis which could be contributing to discomfort. No spinal abnormalities are appreciated on this study, however an intervertebral disc lesion remains possible._x000D_
2. Prominent heart, concerning for underlying cardiomyopathy. A lateral view would be necessary for thorough cardiac evaluation. No other thoracic abnormalities._x000D_
3. Soft tissue contour overlying the spleen is concerning for a splenic nodule. This could be summating normal anatomy. Otherwise normal abdomen.</t>
  </si>
  <si>
    <t>Recommend a right lateral radiograph of the thorax to evaluate the heart, and palpation for left stifle instability. If further evaluation of the spleen is desired, ultrasound would be recommended. With the neurologic deficits, consultation with a neurologist and advanced spinal imaging such as MRI should be considered.</t>
  </si>
  <si>
    <t>Abdomen: There are numerous urinary bladder calculi.  Urethral calculi are not identified.  The remainder of the abdominal viscera is unremarkable.  There are no abnormalities involving the visible portions of the thorax._x000D_
_x000D_
Pelvis: There is bilateral coxofemoral joint incongruency.  Both acetabular are shallow.  There is bilateral femoral neck osseous remodeling.</t>
  </si>
  <si>
    <t>Urinary bladder calculi._x000D_
_x000D_
Bilateral coxofemoral osteoarthrosis.</t>
  </si>
  <si>
    <t>Study:_x000D_
Abdominal radiography: four images dated April 5, 2024_x000D_
_x000D_
Findings:_x000D_
The stomach contains a small volume of gas. The small intestines are gas and fluid-filled and normal in size and course. The colon contains formed fecal material with a normal diameter. Multiple small indistinct mineral opacities are clustered in the region of the gallbladder. The liver is normal in size and margin. The spleen is normal in size and shape. The renal silhouettes are normal in size and contour. There is a 0.5 cm mineral opaque calculus in the urinary bladder. Another, round, somewhat disc shaped 0.8 cm heterogeneous mineral opacity is present in the urinary bladder ventral to the aforementioned calculus. No calculi are present in the bladder or region the urethra. There is no prostatomegaly. There is narrowing of the L1-L2 intervertebral disc space on both lateral projections. The included thorax is normal.</t>
  </si>
  <si>
    <t>1. There is at least one cystolith present. The additional mildly heterogeneous mineral opacity in the urinary bladder may represent another calculus or pooled/conglomerated mineral sediment. Mural mineralization is less likely. Recommend urinalysis for further evaluation. Consider dissolution versus cystotomy._x000D_
2. L1-L2 intervertebral disc disease. Neurology consultation and MRI can be considered if the patient=ZZ91=s lumbar pain persists or worsens in spite of strict activity restriction and pain management.</t>
  </si>
  <si>
    <t>Three orthogonal radiographs of the abdomen dated 5th August 2024 are available for review. There are no previous radiographs available for comparison. _x000D_
_x000D_
Intra-abdominal findings: The stomach contains some gas and fluid and has a normal axis. There is appropriate gas in the pylorus on the left lateral image. There is mild gas and fluid distension of the duodenum in the ventrodorsal image. The small intestines contain a mixture of gas, fluid and soft tissue opaque material and are within normal limits for shape and size. The descending colon contains some formed faeces.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</si>
  <si>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The overall impression is one of mild gastroenteritis.  This may be due to dietary indiscretion, or infectious-inflammatory causes. There is no evidence of a mineral opaque foreign body, or complete mechanical obstruction.  A partial obstruction by non-mineral opaque foreign material cannot be excluded.   Pancreatitis is possible.</t>
  </si>
  <si>
    <t xml:space="preserve">
1.The stomach contains a mild amount of gas._x000D_
2.On the VD projection, the spleen appears normal. On the lateral projection, the increase in soft tissue opacity and mild bowel displacement away from the region caudal to the stomach raises concern for a small mass effect, potentially due to splenic or pancreatic pathology._x000D_
3.A mild increase in soft tissue opacity and mild displacement of the bowel away from this region is noted caudal to the stomach on the lateral projection._x000D_
4.The colon contains a moderate amount of heterogeneous soft tissue material._x000D_
5.On the lateral projection, the liver is at the upper limits of normal for size to mildly enlarged, but has smooth margins._x000D_
6.Mineral dense material and distended viscus are present in the region of the uterine horns._x000D_
7.In cases of pregnancy, fetal mineralization indicates fetal age of &gt;45 days._x000D_
8.No segmental small intestinal dilation is noted._x000D_
9.IMPORTANT: This AI evaluation currently DOES NOT assess for the presence of fetal mummification and/or abnormal gas within or around the fetus (fetal viability) and/or fetal number.</t>
  </si>
  <si>
    <t>Liver size at the upper limits of normal to mild hepatomegaly. DDx: fat deposition vs. hepatitis vs. hepatic venous congestion. Infiltrative neoplasia is considered far less likely. Subtle increase in soft tissue opacity caudal to the stomach with mild bowel displacement away from this region. Rule out low grade pancreatitis, pancreatic mass, splenic nodule/small mass or mild lymphadenopathy.</t>
  </si>
  <si>
    <t xml:space="preserve">
Virtual Radiologist Case Difficulty: MODERATE_x000D_
Virtual Radiologist Confidence: MODERATE_x000D_
Further evaluation of the liver and cranial abdomen via abdominal ultrasound and blood work._x000D_
Evaluate fetal skeletal structures on radiographs, via ultrasound or submit for radiology review if fetal number and/or evaluation of fetal viability is needed.</t>
  </si>
  <si>
    <t xml:space="preserve">Patient Name : Chabo Kobayashi, Date of study: Aug 5, 2024
3 images are provided for review
There are no previous radiographs for comparison.
Liver: The liver is subjectively normal in size.
Spleen: The spleen is normal in size with smooth margins and homogeneous soft tissue.
Kidneys: The left kidney is normal.  The right kidney is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volume of heterogeneous gas and admixed soft tissue material.  Minimal mineral is admixed with gastric content.   The stomach is within normal limits for size.
The small intestine contains minimal gas and mild fluid or is empty with a subjectively uniform population for size. 
The colon contains minimal admixed heterogeneous soft tissue material and gas.  Minimal mineral is admixed with gastric content.  The colon is within normal limits for size.  
Bones/Joints:
L1-2, L2-3 and L3-4 in situ intervertebral disc mineralization is present.
There is no evidence of intervertebral disc space narrowing, or mineral over the intervertebral foramina.  There is no evidence of intervertebral dorsal articulation osteoarthrosis.
There is no evidence of medullary sclerosis, osteolysis, endosteal scalloping, or periosteal proliferation.
Soft tissues:  The included soft tissues are normal.
</t>
  </si>
  <si>
    <t>1. Gastric material due to recent meal/dietary indiscretion given mineral content, versus gastritis/delayed emptying or unlikely pyloric outflow tract obstruction.
2. Non-specific small intestinal and colon appearance such as from enteritis, colitis, or individual variation of normal.
- There is no current evidence of gastrointestinal mechanical ileus.
- Differential diagnoses include dietary indiscretion such as from gastric/colonic mineral content, toxin ingestion, diet/antibiotic responsive disease, inflammatory bowel disease, pancreatitis, occult systemic disease or unlikely other.
3. Multifocal in situ intervertebral disc mineralization as above.</t>
  </si>
  <si>
    <t>Consider GI panel, fecal analysis/deworming, and routine blood work for further evaluation.  Empirical therapy and supportive care as needed in the interim.  Monitoring with repeat abdominal radiographs after 8-12 hours of empirical therapy and fasting to monitor for passage of gastric material.  Consider MRI and neurologist consultation for further evaluation of myelopathy contributing to reported pain.  Thoracic imaging prior to referral and advanced imaging.  Monitoring with serial thoracic and abdominal imaging as directed, or sooner if clinical signs acutely change, fail to improve or worsen.</t>
  </si>
  <si>
    <t xml:space="preserve">
1.Splenic size, shape and margin are normal._x000D_
2.Abdominal detail is normal._x000D_
3.A portion of the colon is gas filled and rigid._x000D_
4.The stomach contains a small amount of air and either has prominent gastric rugae or contains a small amount of soft tissue material._x000D_
5.The small intestinal tract contains normal volumes of fluid, gas and ingesta._x000D_
6.Liver size is normal and retains a smooth margin.</t>
  </si>
  <si>
    <t>The overall impression is one of a normal post-prandial GI tract. However, in a patient with GI signs, gastroenterocolitis should be ruled out. Gastroenterocolitis may be due to dietary indiscretion, or infectious-inflammatory causes. There is no evidence of a complete mechanical obstruction.</t>
  </si>
  <si>
    <t>Three orthogonal radiographs of the abdomen dated 5th August 2024 are available for review. There are no previous radiographs available for comparison. _x000D_
_x000D_
Intra-abdominal findings: The stomach is moderately filled with granular food material and gas. The gastric axis is normal. The small intestines are distributed evenly and are within normal limits for shape, size and contents. The ascending, transverse and descending colon have a normal position and contain gradually more formed faeces. The hepatic silhouette is normal in size with smooth borders. The spleen is normal in shape, size and position. The kidneys are partially obscured by gastrointestinal contents, but the visible aspect are normal. The urinary bladder is small. The serosal detail is normal._x000D_
_x000D_
Extra-abdominal findings: No significant abnormalities are detected._x000D_
_x000D_
Included thorax: No significant abnormalities are detected.</t>
  </si>
  <si>
    <t>The moderate amount of granular food material within the stomach is likely due to a recent meal. Alternatively, dietary indiscretion, soft tissue foreign material may be present. This needs to be correlated with time of feeding and last emesis. Otherwise  normal post-prandial abdomen.</t>
  </si>
  <si>
    <t>Repeat 3 view abdominal radiographs post fasting. If vomiting continues, consider abdominal ultrasound or or an upper GI contrast study.</t>
  </si>
  <si>
    <t>Patient Name : Dax Schmidt, Date of study: Aug 5, 2024
7 images are provided for review
There are no previous radiographs for comparison.
Liver: The liver is subjectively normal in size.
Spleen: The spleen is prominent but smoothly marginated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gas and soft tissue material or fluid.   Gas is suspected in the pylorus in the left lateral image.The stomach is within normal limits for size.
The small intestine contains mild gas and fluid or is empty with a subjectively uniform population for size. 
The colon contains minimal heterogeneous admixed soft tissue material and gas.  The colon is within normal limits for size.  
Musculoskeletal: The patient has a tucked abdominal confirmation.  The remaining included musculoskeletal structures are normal.
(amended on 08/05/2024 13:32)
In the thoracic imagines, and thick tubular soft tissue to slightly mineral focus is suspected in the stomach partially surrounded by gas.</t>
  </si>
  <si>
    <t>1. Non-specific gastrointestinal tract changes such as from enteritis, colitis, or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2. Equivocal splenomegaly versus artifact from body condition.
- If present, consider splenitis, extramedullary hematopoiesis, lymphoid hyperplasia, passive congestion from sedation, or unlikely other.
(amended on 08/05/2024 13:32)
3. Minimal gastric material such as from foreign material without current evidence of pyloric outflow obstruction._x000D_
- Consider dietary indiscretion, especially given reported history.</t>
  </si>
  <si>
    <t>Empirical therapy and supportive care for gastritis/enteritis in the interim as needed.   Routine blood work, 4DX testing,  GI panel, fecal analysis/deworming if not already performed.  Consider repeat abdominal imaging versus computed tomography or ultrasonography if clinical signs fail to improve, change or worsen in the face of empirical therapy.   Monitoring as directed or sooner if clinical signs acutely change, fail to improve or worsen.
(amended on 08/05/2024 13:32)
Dietary indiscretion and passage of foreign material and suspected small volume residual gastric material is considered most likely given reported history.  Repeat radiographs to monitor for passage of this material after empirical therapy/supportive care.</t>
  </si>
  <si>
    <t>Four orthogonal thoracic radiographs dated 5th August 2024 are available for review. There are no previous radiographs available for comparison. _x000D_
_x000D_
Airway findings: The cervical and thoracic trachea have a normal size, outline and position. The carina, tracheal bifurcation and mainstem bronchi are normal. Throughout the lung parenchyma there is a severe interstitial patchy opacification, which is most dominant on the left caudal dorsal lung region. Alveolar opacification is visible in the right cranial ventral lung lobe._x000D_
_x000D_
Cardiovascular findings: There is partial border effacement of the cardiac silhouette. The overall size is within normal limits. The visible pulmonary vasculature and mainstem vessels are normal._x000D_
_x000D_
Mediastinum and pleural space: Thickened pleural fissure lines are present. There is mild increased ventral pleural fat. Mild gas is present in the cranial thoracic oesophagus._x000D_
_x000D_
Musculoskeletal findings: The patient is overweight._x000D_
_x000D_
Included abdomen: No significant abnormalities are detected.</t>
  </si>
  <si>
    <t>1. The findings are suggestive of microaspiration, and aspiration of the right cranial lung lobe. Viral-bacterial pneumonia is considered less likely in light of history.</t>
  </si>
  <si>
    <t>Treat for aspiration ammonia. Emergency supportive management including oxygen therapy is advised. Full blood work and pulse oximetry is advised. repeat radiographs prior to end of therapy.</t>
  </si>
  <si>
    <t>Abdomen: There is no evidence of a gastrointestinal foreign body or obstruction.  The liver is considered on the lower limits of normal for size.  There are no abnormalities involving the spleen or visible portions of the urinary tract.  The prostate is enlarged.  Serosal detail is normal.</t>
  </si>
  <si>
    <t>Liver on the lower limits of normal for size.  This may reflect variation of normal however other pathologies such as a portosystemic shunt cannot be ruled out._x000D_
_x000D_
In light of intact status of the patient, the enlarged prostate most likely represents benign prostatic hypertrophy</t>
  </si>
  <si>
    <t>A two view study of the abdomen including the pelvis is provided for interpretation._x000D_
_x000D_
There is mineral opacity consistent with disc mineralization in the disc spaces of the caudal lumbar spine from L5 to L7. The L5-L6 disc space appears slightly narrowed, but there is potentially a contribution of positional artifact of this appearance. No spinal subluxation or fractures are identified. No soft tissue swelling is seen in the sublumbar area or pelvic canal._x000D_
The pelvis and hip joints are within normal limits._x000D_
_x000D_
The liver is mildly enlarged, with normal shape and smooth margins. The other abdominal organs are within normal limits.</t>
  </si>
  <si>
    <t>There is disc mineralization consistent with disc degeneration in the caudal lumbar spine. No extrusion of mineralized material into the spinal canal is visible in the radiographs, but disc extrusion still cannot be excluded. The rest of the spine is unremarkable. No abnormalities are seen involving the hips._x000D_
_x000D_
Mild liver enlargement is identified. This is unlikely to be related to the presenting complaint but diffuse hepatic disease should still be ruled out.</t>
  </si>
  <si>
    <t>Restricted activity and anti-inflammatory therapy for possible disc disease is recommended._x000D_
_x000D_
Significant hepatic pathology including hepatitis or hepatic lymphoma should be ruled out as a cause of the lethargy and decreased appetite.</t>
  </si>
  <si>
    <t xml:space="preserve">Patient Name : grace patel, Date of study: Aug 5, 2024
5 images are provided for review
There are no previous radiographs for comparison.
Liver: The liver is slightly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and mild soft tissue or fluid.  Gas is in the pylorus in the left lateral image.  The stomach is within normal limits for size.
The small intestine contains mild heterogeneous softt issue material admixed with gas, or homogeneous fluid and  gas or is empty. 
The colon contains mild well-defined  soft tissue material and gas.  The colon is within normal limits for size.  
Musculoskeletal: The included musculoskeletal structures are normal.
</t>
  </si>
  <si>
    <t xml:space="preserve">1.  Suspicious for two populations of small intestine and passing foreign material/enteritis versus evolving mechanical ileus.   
2. Non-specific gastrointestinal tract appearance such as from enteritis, colitis, or unlikely individual variation of normal given reported history.
- Differential diagnoses include dietary indiscretion, or unlikely other given reported history.
3. Mild microhepatia versus artifact from positioning/technique and phase of respiration.
- If present, consider occult portosystemic shunt or microvascular dysplasia.
</t>
  </si>
  <si>
    <t>Repeat abdominal imaging after 8-12 hours of empirical therapy and supportive care, versus consider compression radiographs over the suspicious mid-abdominal small intestinal segments, or ultrasonography for further evaluation.  If mechanical ileus is confirmed, consider celiotoyom for retrieval of foreign material.   Empirical therapy and supportive care in the interim as needed.  Monitoring with abdominal radiographs if signs fail to improve or worsen in the face of empirical therapy.</t>
  </si>
  <si>
    <t>6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mild amount of gas and ingesta.  The small bowel is normal and uniform in diameter.  A mild amount of gas is noted in the colon.  The liver and spleen are normal in size, shape, and margination.  The bilateral renal silhouettes are within normal limits.  The urinary bladder is unremarkable.  Serosal detail is normal._x000D_
No significant osseous abnormalities are seen.</t>
  </si>
  <si>
    <t>The appearance of the colon is very nonspecific but consistent with a history of diarrhea.  Otherwise, radiographically normal abdomen._x000D_
Radiographically normal thorax.</t>
  </si>
  <si>
    <t>Correlation with fecal analysis and blood work may be helpful.  An abdominal ultrasound may ultimately be indicated.</t>
  </si>
  <si>
    <t>Orthogonal radiographs of the abdomen are provided. Images dated 11/29/22 are available for comparison. The liver is mildly enlarged with smooth margins, similar to the previous study. There is small volume of gas in the stomach. Faint curved soft tissue density overlying the gastric fundus on the VD projection is likely superimposed liver or splenic head. Small intestines are mildly fluid-filled. The cecum is gas dilated. Formed feces fills the descending colon. No radiopaque foreign material is present. Normal size spleen and kidneys. Normal caudal thorax.</t>
  </si>
  <si>
    <t>Unchanged mild hepatomegaly, most likely steroid or other hepatopathy. Otherwise normal abdomen. Gastroenteritis is most likely. There is no evidence of an obstructive process.</t>
  </si>
  <si>
    <t>Recommend supportive care. If vomiting persists, options include either strictly fasting abdominal ultrasound or an upper GI series.</t>
  </si>
  <si>
    <t xml:space="preserve">
1.On the lateral projection, the liver is asymmetrically enlarged and causing caudal displacement of the gastric axis. There is also increased soft tissue opacity caudal to the stomach in the region of the spleen._x000D_
2.The caudal ventral aspect of the liver is rounded, with lobulated margins immediately ventral to the pylorus._x000D_
3.The spleen and left kidney are normal size._x000D_
4.The stomach and small bowel are minimally filled._x000D_
5.Gas is present in the cecum, with small-volume formed feces in the distal colon._x000D_
6.No abnormal AI findings reported.</t>
  </si>
  <si>
    <t>Asymmetric hepatomegaly and increased soft tissue opacity caudal to the stomach. DDx: hepatomegaly with a pedunculated hepatic mass vs. hepatomegaly with cranial abdominal lymph node enlargement vs. hepatomegaly/hepatic mass with splenomegaly/spenic mass. Neoplasia is a primary consideration in an older patient. An acute inflammatory process or steroid hepatopathy are given lesser consideration. Decrease in cranial abdominal detail. DDx: confluence of soft tissue structures and/or regional inflammation.</t>
  </si>
  <si>
    <t xml:space="preserve">
Virtual Radiologist Case Difficulty: MODERATE_x000D_
Virtual Radiologist Confidence: MODERATE_x000D_
Abdominal ultrasound is recommended.</t>
  </si>
  <si>
    <t>Six radiographs of the abdomen are provided. There is no peritoneal or retroperitoneal effusion. Small volume gas is present in the stomach. Small intestines are diffusely mildly filled with fluid and gas. The cecum and ascending colon are gas dilated. Small-volume semi-formed feces in the distal colon. No radiopaque foreign material. Normal-sized liver, spleen, left kidney. The right kidney is incompletely visible. No radiopaque cystic calculi. There are no ribs on T13. Narrowed T11-12, L1-2 intervertebral disc spaces with spondylosis deformans. Normal caudal thorax and proximal joints.</t>
  </si>
  <si>
    <t>Probable intervertebral disc disease at T11-12 and L1-2. This may be responsible for discomfort. Otherwise normal abdomen and thorax. Gastroenteritis/pancreatitis remains possible. There is no evidence of an obstructive process.</t>
  </si>
  <si>
    <t>Recommend palpate for spinal discomfort and a neurologic examination. If GI signs have persisted, abdominal ultrasound would be recommended.</t>
  </si>
  <si>
    <t xml:space="preserve">
1.Splenic size, shape and margin are normal._x000D_
2.The liver is normal in size and margin._x000D_
3.Abdominal detail is normal._x000D_
4.The stomach is mildly gas and fluid filled with some soft tissue density material. The small bowel is gas and fluid-containing. No obvious obstruction.</t>
  </si>
  <si>
    <t>The appearance of the GI tract is likely related to normal ingesta in the absence of GI symptoms. However, if GI symptoms are present, gastroenteritis/pancreatitis secondary to dietary indiscretion or infectious etiology is favored. No evidence of obstruction.</t>
  </si>
  <si>
    <t>A three view study of the abdomen that includes the pelvis and most of the thorax including the thoracolumbar spine is provided for interpretation._x000D_
_x000D_
No disc space narrowing or spinal subluxation is identified. No fractures or destructive/productive bone lesions are seen. There is congenital deformity involving the 13th rib pair, with a thick rib arising from the transverse process on the left side and a hypoplastic rib on the right side. No soft tissue swelling is seen. The pelvis and hip joints are within normal limits._x000D_
_x000D_
The abdominal organs are within normal size and shape limits. No mass lesions or loss of detail are seen in the abdomen._x000D_
The cardiovascular structures are unremarkable. There is mild mineral density in the lungs compatible with age related change.</t>
  </si>
  <si>
    <t>No spinal abnormalities are identified._x000D_
There are no musculoskeletal abnormalities or would explain the presentation. Soft tissue pathology including extrusion of disc material, spinal hemorrhage, or FCE could still be present without radiographic changes._x000D_
_x000D_
No thoracic or abdominal abnormalities are identified.</t>
  </si>
  <si>
    <t>The cause of the present complaint is not apparent in the radiographs._x000D_
More advanced imaging such as MRI is recommended.</t>
  </si>
  <si>
    <t>Six orthogonal survey radiographs of the thorax and abdomen dated 5th August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stomach is empty with a normal axis. There is appropriate gas in the pylorus on the left lateral image. The small intestines are diffusely filled with an increased amount of gas. There are mildly stacked in the caudal aspect of the abdomen. The descending colon is empty. The kidneys are partially obscured by gastrointestinal contents, but the visible aspect are normal. The spleen is normal. The hepatic silhouette is relatively small with normal margins._x000D_
_x000D_
Musculoskeletal findings: There is caudal thoracic intervertebral disc narrowing with mineralisation of the T11-T12 intervertebral disc space and ventral spondylosis. Multisite mild to moderate spondylosis deformans is present.</t>
  </si>
  <si>
    <t>1. The diffusely empty GI tract with increased gas and weight loss is suspicious of a chronic enteropathy such as food allergy, IBD, intestinal lymphoma. An infectious-inflammatory underlying gastroenteritis is considered less likely. Haemorrhagic gastroenteritis should be considered. Pancreatitis is possible._x000D_
2. Normal thorax._x000D_
3. The mild Microhepatica may be positional/due to thoracic conformation. Cirrhosis or microvascular dysplasia is less likely.</t>
  </si>
  <si>
    <t>Considering chronicity and diffuse nature, a complete abdominal ultrasonographic examination is advised, as well as further workup for diffuse enteropathy.</t>
  </si>
  <si>
    <t xml:space="preserve">Patient Name : Jazzy Cruz, Date of study: Aug 5, 2024
7 images are provided for review
There are no previous radiographs for comparison.
Pulmonary parenchyma:   In the right lateral image, an ovoid soft tissue nodule is superimposed over the ventral aspect of the 3rd intercostal space.   A mild diffuse interstitial and bronchial pattern is present.  In the ventrodorsal image, the interstitial pattern is more severe in the right cranial lung lobe. This is not identified in the ventrodorsal image.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In the cranioventral abdomen in the left lateral image is a rounded soft tissue opacity at the cranioventral margin of the liver.  This is suspected to be the rounded/folded or enlarged caudoventral liver margin in the right lateral image.  The liver is subjectively normal in size.
Spleen: The spleen is normal in size with smooth margins and homogeneous soft tissue.
Kidneys: The left kidney is normal.  The right kidney is obscured without obvious enlargement or mineral.  
Retroperitoneum: Retroperitoneal detail is adequate.
Urogenital: Extra-abdominal soft tissue superimposes over the urinary bladder in the right lateral image, not corroborated in the left lateral image.  The urinary bladder is normal in size, homogeneous soft tissue, and smoothly marginated.
Peritoneum: Peritoneal detail is adequate.
Gastrointestinal tract: The stomach contains a mild volume of gas.  Gastric rugal folds are prominent.   The stomach is within normal limits for size.
The small intestine contains mild gas with a subjectively uniform population for size. 
The colon contains mild to moderate gas and mild admixed soft tissue material with gas.  The colon is within normal limits for size.  
Musculoskeletal: A soft tissue and fat opaque nodule arises from the ventral extra-thoracic soft tissues. Multifocal lumbar spondylosis deformans is present.   Bilateral stifle osteoarthrosis is present.  Right coxofemoral joint osteoarthrosis is present.  A left-sided cutaneous soft tissue nodule superimposes over the urinary bladder in the lateral images.  The remaining included musculoskeletal structures are normal.
</t>
  </si>
  <si>
    <t>1.  Possible soft tissue nodule in the ventral periphery of the left cranial lung lobe versus superimposed external soft tissue or artifact.
- If present, consider evolving metastatic neoplasia.
2. Right cranial lung lobe interstitial pattern and mild diffuse interstitial /bronchial pulmonary patterns such as from 
infectious/immune-mediated lower airway disease (mycoplasma spp., bordetella spp., parasitism, inhaled allergen/irritant), or unlikely other.
3. Rounded/enlarged and/or folded caudoventral liver margin, versus other.
- If this is the liver, consider evolving neoplasia (metastatic versus primary) or nodular hyperplasia, or unlikely other.
4. Prominent gastric rugal folds due to non-specific gastritis versus individual variation of normal.
5. Bilateral stifle osteoarthrosis.
6. Mild right coxofemoral joint osteoarthrosis.
7. Ventral  extra-thoracic soft tissue nodule such as from evolving neoplasia (malignant versus benign) versus lipoma or other.
8. Left caudolateral extra-abdominal cutaneous soft tissue nodule such as from evolving neoplasia (malignant versus benign) versus papilloma or other.</t>
  </si>
  <si>
    <t>Consider computed tomography of the thorax and abdomen for further evaluation of the liver/cranioventral soft tissue opacity in the abdomen, as well as confirmation of possible pulmonary nodule.  Routine blood work and coagulation testing if not recently performed.  Consider tissue sampling depending on results of advanced imaging.  Ultrasonography of the abdomen may also be contributory.  This examination does not rule out gastric/intestinal ulceration or evolving neoplasia given reported hematemesis and melena.  Empirical therapy and supportive care in the interim as needed.  Monitoring as directed, or sooner if clinical signs acutely change, fail to improve or worsen.</t>
  </si>
  <si>
    <t xml:space="preserve">
1.Liver size, shape and margin are normal._x000D_
2.Splenic size, shape and margin are normal._x000D_
3.Abdominal detail is normal._x000D_
4.The stomach is normal. The small bowel is diffusely gas- and fluid-filled but without segmental small bowel dilation. Portions of the colon are gas filled and have a rigid appearance.</t>
  </si>
  <si>
    <t>Appearance to the colon is suggestive of colitis or recent enema.</t>
  </si>
  <si>
    <t xml:space="preserve">
As clinically warranted, empirical therapy for colitis, differential large vs. small bowel disease and rule out underlying causes._x000D_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</si>
  <si>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Thorax: There is mild generalized cardiomegaly.  There is no evidence of cardiogenic pulmonary edema or pleural effusion.  The pulmonary vasculature is unremarkable.  There are no abnormalities involving the pulmonary parenchyma.  There is no evidence of lymphadenopathy.  The trachea and mainstem bronchi are unremarkable.  There are no abnormalities involving the visible portions of the abdomen.</t>
  </si>
  <si>
    <t>Mild generalized cardiomegaly without evidence of decompensation.</t>
  </si>
  <si>
    <t xml:space="preserve">
1.No abnormal AI findings reported._x000D_
2.No abnormal AI findings reported._x000D_
3.The liver, spleen, and kidneys are normal size and shape._x000D_
4.Gas and soft tissue density are present within the stomach._x000D_
5.Small intestines are mildly fluid filled.</t>
  </si>
  <si>
    <t>6 views of the thorax and abdomen are submitted for review.  There is subjective increased convexity of the right heart.  No evidence of significant left-sided cardiomegaly is seen.  The pulmonary vasculature is normal.  A mild to moderate bronchointerstitial pattern is noted throughout the lung fields.  No pleural effusion or intrathoracic lymphadenopathy is seen.  The trachea is normal in diameter._x000D_
In the abdomen, the liver is mildly prominent extending beyond the costal arch but with smooth serosal margins.  The spleen is normal in size and shape.  The renal silhouettes and urinary bladder are normal.  The stone contains a moderate amount of food like material.  The small bowel and colon are unremarkable.  Serosal detail is adequate._x000D_
Chronic intervertebral disc disease is noted in the caudal thoracic and cranial lumbar spine.  No aggressive bony changes are seen.</t>
  </si>
  <si>
    <t>The appearance of the heart could be consistent with a right-sided cardiomegaly is with pulmonary hypertension or other right-sided heart disease.  This may also be artifact and within normal limits.  Correlation with thoracic auscultation for evidence of a heart murmur is recommended._x000D_
The appearance of the lungs is consistent with chronic inflammatory airway disease, either infectious or allergic/immune mediated._x000D_
The mild prominence of the liver is nonspecific but could be associated with vacuolar hepatopathy, inflammation, or possibly venous congestion._x000D_
Incidental finding of chronic intervertebral disc disease in the thoracolumbar spine of unknown clinical significance.</t>
  </si>
  <si>
    <t>Correlation with a chemistry and CBC is recommended.  If there is clinical concern for right-sided heart disease, an echocardiogram could be considered for further evaluation.  An abdominal ultrasound can be considered to further evaluate the liver.  Otherwise, empirical medical management for inflammatory airway disease versus lower airway sampling with transtracheal wash or BAL could be considered.</t>
  </si>
  <si>
    <t>Three radiographs of the thorax, a closed mouth dorsoventral radiograph of the head, and orthogonal views of the abdomen are provided. There is mild left atrial and ventricular enlargement. Cranial pulmonary vessels are normal size. There is narrowed mainstem bronchi on the right lateral view. Reduced visibility of perihilar vessels on the VD view, with questionable moderate interstitial pattern in the perihilar region on the right lateral view. No pleural effusion or soft tissue pulmonary nodules. There are several incidental pulmonary osteomas. Tracheal diameter is adequate. There is broad-based 5.0 x 1.9 cm soft tissue thickening lateral to the right mandible/maxilla on the head view. No adjacent osseous lysis or proliferation. No other abnormalities on this projection._x000D_
_x000D_
In the abdomen large volume of formed feces fills the colon. The stomach and small bowel are minimally filled. Normal-sized liver and spleen. The kidneys are obscured. No radiopaque urolithiasis. Narrowed L2-3 intervertebral disc space, with spondylosis deformans, of doubtful clinical significance today.</t>
  </si>
  <si>
    <t>1. Mild left-sided cardiomegaly consistent with acquired mitral valve disease. Loss of perihilar vessel visibility is significantly concerning for pulmonary edema secondary to left-sided heart failure. Poor lung aeration due to dorsal recumbency could mimic pulmonary edema. There is mainstem bronchial compression which could also be responsible for the cough. There is no pulmonary metastatic disease._x000D_
2. Soft tissue mass lateral to the right mandible/maxilla consistent with the reported labial lesion. No other head abnormalities are appreciated._x000D_
3. Normal abdomen.</t>
  </si>
  <si>
    <t>If the patient has increased respiratory rate/effort, exercise intolerance, abnormal lung auscultation, treatment for heart failure would be recommended. Follow-up echocardiogram is recommended. Due to the size of the heart, recommend obtaining a dorsoventral projection on all future thoracic studies of this patient. This will allow for maximum dorsal lung aeration to help rule in/out pulmonary edema.</t>
  </si>
  <si>
    <t>Three radiographs of the abdomen are provided. The stomach is minimally distended. Small and large bowel are mildly gas-filled. Small volume of formed feces in the descending colon. No radiopaque foreign material. Normal size liver, spleen, kidneys. The prostate is not visible. On the VD projections there is hazy increased opacity overlying the right middle lung lobe.</t>
  </si>
  <si>
    <t>1. Normal abdomen. Gastroenteritis is most likely. There is no evidence of an obstructive process._x000D_
2. Suspect aspiration pneumonia in the right middle lung lobe. Artifact caused by superimposed normal anatomy is not ruled out.</t>
  </si>
  <si>
    <t>Recommend supportive care. If GI signs persist, abdominal ultrasound would be recommended. If the patient has increased respiratory rate/effort or coughing, three view thoracic radiographic study would also be recommended.</t>
  </si>
  <si>
    <t xml:space="preserve">
1.The stomach contains a moderate amount of food-like material and a mild amount of gas._x000D_
2.No abnormal AI findings reported._x000D_
3.Adequate serosal detail is noted in the peritoneal space._x000D_
4.The spleen and liver appear within normal limits._x000D_
5.Several small bowel loops also are mildly gas filled._x000D_
6.No overtly dilated loops of bowel are noted._x000D_
7.The colon appears to contain a small amount of formed stool and a mild but variable amount of gas.</t>
  </si>
  <si>
    <t>Thirty-one radiographs are provided, with images of the thorax, thoracic limbs, abdomen, and pelvic limbs. Within the thorax the cardiac silhouette and pulmonary vessels are normal size and shape. Mild unstructured interstitial pattern is normal for the age of this patient. There are no soft tissue pulmonary nodules or pleural effusion. Adequate tracheal diameter. Normal cervicothoracic spine. Scapular contour is normal. There is mild enthesophyte formation on the caudal aspect of both humeral heads. Smoothly marginated thin 0.8 x 0.4 cm mineral density overlying and extending cranial to the left humeral greater tubercle. Similar change is not present on the right side. Cubital joints are congruent. There is mild enthesophyte formation on the cranial margin of the right radial head. No osseous lysis. Carpal bones are in appropriate alignment. No metacarpal or phalangeal osseous abnormalities._x000D_
_x000D_
In the abdomen there is no effusion. Normal size liver, kidneys, spleen. The gastrointestinal tract is minimally filled. No radiopaque cystic calculi. Vertebral alignment is normal. No narrowed intervertebral disc spaces or foramina are appreciated. The coxofemoral joints are congruent and without degenerative change. Thigh musculature is approximately symmetric. Patellar location is normal. No stifle joint effusion or popliteal lymphadenomegaly is present. The tarsi are unremarkable.</t>
  </si>
  <si>
    <t>1. Osseous body cranial to the left shoulder, most consistent with supraspinatus tendinopathy. This is the most likely cause for lameness. There is bilateral mild shoulder osteoarthritis and mild left cubital osteoarthritis, likely incidental. A lateralized intervertebral disc lesion is not ruled out._x000D_
2. Normal thorax, abdomen, proximal pelvic limbs.</t>
  </si>
  <si>
    <t>If further evaluation of the shoulder is desired, MRI should be considered.</t>
  </si>
  <si>
    <t>Orthogonal radiographs of the thorax, abdomen, and a VD view of the pelvis/proximal pelvic limbs are provided. The heart is a normal size and shape. There are several incidental pulmonary osteomas in the lungs. No soft tissue pulmonary nodules or pleural effusion. The trachea is normal diameter. Normal cervicothoracic spine and proximal thoracic limbs._x000D_
_x000D_
In the abdomen the liver is mildly enlarged, with smoothly irregular rounded margins. Normal-sized spleen and kidneys. The gastrointestinal tract is mildly filled. No radiopaque urolithiasis. Narrowed T12-13 intervertebral disc space. The coxofemoral joints are congruent. There is a large area of lysis around irregular osseous proliferation in the lateral aspect of the left ischial table. Poorly delineated lysis in the right femoral neck and proximal metaphysis, with moderate amount of smooth uninterrupted periosteal proliferation encircling the proximal diaphysis.</t>
  </si>
  <si>
    <t>1. Aggressive lytic and proliferative lesions in the left ischium and right femur. This is most consistent with malignant neoplasia such as osteosarcoma. Osteomyelitis of fungal or bacterial etiology is given much lesser consideration._x000D_
2. The appearance of T12-13 is suggestive of intervertebral disc disease._x000D_
3. Mild hepatomegaly with smoothly irregular margins. With the osseous changes, metastatic disease is of concern. Hepatopathy or acute inflammation are next on the differential list. No other abdominal abnormalities._x000D_
4. Normal thorax.</t>
  </si>
  <si>
    <t>Histopathology of the pelvis or right femoral lesion would be necessary for a definitive diagnosis.</t>
  </si>
  <si>
    <t>Orthogonal radiographs of the thorax/abdomen are provided. The cardiac silhouette is normal size on the VD projection. The heart appears larger on the lateral view due to thoracic conformation. The lungs are clear. Normal tracheal diameter. In the abdomen the liver is mildly enlarged with smooth margins. Normal-sized spleen. The kidneys are poorly delineated. The stomach and small bowel are mildly filled with fluid and gas. There is gas in the cecum and colon, with small volume fluid in the distal colon. No radiopaque foreign material or urolithiasis. Narrowed L5-6 intervertebral disc space, with spondylosis deformans is of doubtful clinical significance today.</t>
  </si>
  <si>
    <t>1. Liquid diarrhea. Gastroenteritis secondary to dietary indiscretion is most likely. There is no evidence of an obstructive process._x000D_
2. Mild hepatomegaly, a nonspecific finding that may be steroid or other hepatopathy. Acute inflammation or neoplasia are given lesser consideration. This should be correlated with history and blood work._x000D_
3. Normal thorax.</t>
  </si>
  <si>
    <t>If the patient does not continue to improve, abdominal ultrasound would be recommended.</t>
  </si>
  <si>
    <t xml:space="preserve">
1.No abnormal AI findings reported._x000D_
2.The liver and spleen are normal size._x000D_
3.Abdominal detail is normal._x000D_
4.Small volume ingesta fills the stomach._x000D_
5.Small intestines are minimally filled._x000D_
6.Gas and semiformed feces are present in the colon.</t>
  </si>
  <si>
    <t>Study:_x000D_
Thoracic and abdominal radiography: four images dated August 5, 2024_x000D_
_x000D_
Findings:_x000D_
The cardiac silhouette and pulmonary vasculature are normal in size. The pulmonary parenchyma is unremarkable. The pleural space is normal. There is no intrathoracic lymphadenopathy. The trachea is normal in diameter and course. The intrathoracic esophagus is gas dilated. The stomach contains a small amount of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 There is good coverage of the femoral head by the acetabulum bilaterally.</t>
  </si>
  <si>
    <t>1. Gas dilation of the esophagus may be secondary to aerophagia or may indicate an esophageal motility disorder/megaesophagus. An esophagogram can be considered for further evaluation._x000D_
2. Postprandial stomach=ZZ90= otherwise, unremarkable abdomen. Abdominal sonography and a G.I. panel can be considered for further evaluation of the reported chronic vomiting and diarrhea.</t>
  </si>
  <si>
    <t xml:space="preserve">
1.Splenic size, shape and margin are normal._x000D_
2.Abdominal detail is normal._x000D_
3.The stomach contains gas and a small amount of soft tissue density. Loops of small bowel are minimally gas and fluid filled without segmental small bowel dilation._x000D_
4.Liver size, shape and margin are normal.</t>
  </si>
  <si>
    <t>6 views of the thorax and abdomen are submitted for review.  The cardiac silhouette is subjectively normal in size and shape.  The pulmonary vasculature is not enlarged.  Mild bronchointerstitial markings are noted in the lung fields.  No pleural effusion or intrathoracic lymphadenopathy is seen.  The trachea is normal in diameter._x000D_
In the abdomen, the stomach contains a moderate amount of food like material.  The small bowel contains a mild amount of gas and ingesta.  Formed stool is noted throughout the colon.  The liver is mildly enlarged with rounded serosal margins.  The visible margins of the spleen are within normal limits.  A large, somewhat ill-defined soft tissue opacity mass effect is noted in the right mid to caudal dorsal abdomen.  The renal silhouettes are not well-delineated but appear subjectively normal in size.  The urinary bladder is minimally distended.  Serosal detail in the abdomen is adequate._x000D_
There is chronic intervertebral disc disease at the caudal thoracic and cranial lumbar spine.  Mild degenerative changes are noted in the left hip.</t>
  </si>
  <si>
    <t>Large soft tissue mass in the right mid to caudal abdomen.  Differentials include malignant neoplasia or possibly a large granuloma or abscess._x000D_
Moderate hepatomegaly.  Differentials include vacuolar hepatopathy, neoplasia, or possibly inflammation._x000D_
The appearance of the lung fields is nonspecific and most consistent with incidental age-related change and likely accentuated by expiratory exposure.  The cardiovascular structures are subjectively normal.  Given the history, mild/subclinical mitral insufficiency is considered most likely.</t>
  </si>
  <si>
    <t>An abdominal ultrasound and echocardiogram appear indicated.</t>
  </si>
  <si>
    <t xml:space="preserve">
1.Mild splenic enlargement._x000D_
2.Slight decrease in abdominal detail._x000D_
3.The stomach contains small volume gas and scant soft tissue density._x000D_
4.Small intestines are mildly fluid filled. No signs of obstruction._x000D_
5.No abnormal AI findings reported.</t>
  </si>
  <si>
    <t>Four radiographs of the thorax/abdomen are provided. The cardiac silhouette and pulmonary vessels are normal size. There is a mild bronchial pattern throughout the lungs. Redundant dorsal trachealis membrane causing severe narrowed cervical trachea on the right lateral view. Moderate narrowed cervical trachea on the left lateral view. No esophageal or laryngeal abnormalities. Soft tissue opacity overlying the cranial left thorax on the VD projection is mediastinal fat deposition (right laterality marker located on the left side of the patient). In the abdomen, soft tissue opacity ventral to the pylorus is normal splenic tail. The liver and kidneys are normal sized. The gastrointestinal tract is mildly filled. No radiopaque cystic calculi. Osseous structures are unremarkable.</t>
  </si>
  <si>
    <t>1. Dynamic cervical tracheal collapse, the most likely cause for coughing. This should be correlated with characteristic of the cough and tracheal palpation._x000D_
2. Mild bronchial pattern may be normal age-related change versus airway inflammation such as bronchitis or infectious airway disease. This could be contributing to the cough._x000D_
3. Normal abdomen.</t>
  </si>
  <si>
    <t xml:space="preserve">Patient Name : Princess Witten, Date of study: Aug 5, 2024
3 images are provided for review
There are no previous radiographs for comparison.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gas and minimal ill-defined soft tissue material.  Gastric rugal folds are mildly prominent.  Gas is in the pylorus in the left lateral image. The stomach is within normal limits for size.
The small intestine contains mild gas and fluid or is empty with a subjectively uniform population for size. 
The colon contains minimal gas and fluid or is empty.  The colon is within normal limits for size.  
Musculoskeletal: The included musculoskeletal structures are normal.
</t>
  </si>
  <si>
    <t xml:space="preserve">1. Prominent gastric rugal folds such as from non-specific gastritis versus variation of normal.
2. Possible minimal residual gastric foreign material (corn cob) versus other.
- There is no current evidence of pyloric outflow tract obstruction.
3. Non-specific small intestinal and colon appearance  such as from enteritis/colitis or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4. Microhepatia versus artifact from positioning/technique.
- If present, consider occult portosystemic shunt or unlikely other.
</t>
  </si>
  <si>
    <t xml:space="preserve"> Empirical therapy and supportive care in the interim as needed for suspected passage of foreign material and gastroenterocolitis.  Consider repeat radiographs after 8-12 hours of empirical therapy and fasting to monitor for passage of gastric content.  Monitoring as directed or sooner if clinical signs acutely change, fail to improve or worsen.</t>
  </si>
  <si>
    <t>Orthogonal radiographs of the thorax/abdomen are provided. The cardiac silhouette is normal size and shape. There are no abnormalities in the pulmonary parenchyma. No pleural effusion. Redundant dorsal trachealis membrane causes narrowed caudal cervical trachea. In the abdomen there is no effusion. The liver is upper normal size. Normal-sized spleen and kidneys. Moderate volume of formed feces in the colon. The stomach and small bowel are minimally filled. There are two smoothly marginated mineral opaque calculi in the urinary bladder, measuring 2.7 x 2.1 cm, and 1.7 x 2.0 cm. One of the patella is likely medially displaced.</t>
  </si>
  <si>
    <t>1. Large cystic calculi, of a size that is too large to pass the urethra. No other abdominal abnormalities._x000D_
2. Cervical tracheal collapse._x000D_
3. No intrathoracic abnormalities. There is no evidence of cardiovascular disease on this study. A small valvular regurgitant jet can result in a relatively loud murmur.</t>
  </si>
  <si>
    <t xml:space="preserve">
1.The liver and spleen appear within normal limits for size and contour._x000D_
2.No abnormal AI findings reported._x000D_
3.No abnormal AI findings reported._x000D_
4.Small intestines are moderately fluid filled._x000D_
5.The stomach contains small-volume fluid and gas.</t>
  </si>
  <si>
    <t>Four orthogonal survey radiographs of the thorax and abdomen dated 4th August 2024 are available for review. There are no previous radiographs available for comparison. _x000D_
_x000D_
Thorax: _x000D_
Airway findings: No nodules, masses, or lymphadenomegaly is visible. The trachea has a normal position, shape and size. The pulmonary parenchyma is normal. _x000D_
_x000D_
Cardiovascular findings: The cardiac silhouette, and pulmonary vasculature is within normal limits._x000D_
_x000D_
Mediastinum and pleura: There is no evidence of pleural effusion, _x000D_
_x000D_
Abdomen: The hepatic silhouette is normal in size with smooth borders. The spleen is mildly enlarged, with suspicion of a small mass in the splenic body in the ventrodorsal image. The kidneys are partially obscured by gastrointestinal contents, but the visible aspect are normal. The stomach contains some gas and soft tissue opaque material and has a normal axis. There is mild gas dilation of the pyloric antrum/cranial duodenum in the ventrodorsal image.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Musculoskeletal system: A poorly delineated mass is present cranial to the right shoulder region</t>
  </si>
  <si>
    <t>1. Negative metastasis check, normal thorax._x000D_
2. Mild splenomegaly: differential diagnoses include passive congestion from sedation (if administered), splenitis, extramedullary hematopoiesis, lymphoid hyperplasia, or neoplasia. The suspect mass may be positional artefact. If present, haematoma, haemangioma, haemangiosarcoma, metastatic neoplasia is possible._x000D_
3. The gastric contents may be post-prandial, however pyloric partial outflow obstruction due to a non-radiopaque foreign material is possible._x000D_
4. Shoulder region soft tissue mass as reported.</t>
  </si>
  <si>
    <t>Computed tomography has a higher resolution capability to detect small pulmonary parenchyma nodules and may be considered._x000D_
A complete abdominal ultrasonographic examination may be considered, with a view to FNA of abnormal organs, after complete blood work, and a normal coagulation panel._x000D_
Supportive management including rehydration, gastroprotectants, if clinically indicated is advised, if not already performed. Repeat 3-view post fasting radiographs depending on clinical progression. If vomiting continues without development of diarrhea, an upper GI contrast study may also be considered._x000D_
Consider FNA or biopsy of the shoulder mass.</t>
  </si>
  <si>
    <t xml:space="preserve">
1.Splenic size, shape and margin are normal._x000D_
2.Abdominal detail is normal._x000D_
3.The stomach contains small volume gas and scant amorphous soft tissue density material. Diffuse, mildly filled small bowel without evidence of obstruction._x000D_
4.Liver size, shape and margin are normal.</t>
  </si>
  <si>
    <t>Three orthogonal radiographs of the abdomen dated 4th August 2024 are available for review. There are no previous radiographs available for comparison. _x000D_
_x000D_
Intra-abdominal findings: The stomach is mainly empty, with subjectively prominent rugal folds. The pylorus is appropriately gas-filled in the left lateral image. To small intestines are variably dilated with gas, fluid. The caecum is moderately gas dilated. The transverse and descending colon are gas dilated.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</si>
  <si>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The overall impression is one of gastroenteritis/colitis.  This may be due to dietary indiscretion, or infectious-inflammatory causes. There is no evidence of a mineral opaque foreign body, or complete mechanical obstruction.  Hemorrhagic gastroenteritis, or pancreatitis cannot be excluded.</t>
  </si>
  <si>
    <t xml:space="preserve">
1.On the VD projection, the hepatic silhouette is small. This finding does not persist on the lateral projection._x000D_
2.Splenic size, shape and margin are normal._x000D_
3.Abdominal detail is normal._x000D_
4.The stomach contains gas and small volume fluid._x000D_
5.Small intestines are minimally distended._x000D_
6.A portion of the colon is gas filled and rigid consistent with inflammation.</t>
  </si>
  <si>
    <t>Colitis Fluid filled small bowel. DDx: normal post-prandial vs. enteritis. This finding should be correlated to clinical signs. No small intestinal obstruction is noted. Appearance of microhepatia on the VD projection is secondary to body confirmation. True microhepatia is not suspected based on the lateral projection.</t>
  </si>
  <si>
    <t>Three orthogonal radiographs of the abdomen dated 4th August 2024 are available for review. There are no previous radiographs available for comparison. _x000D_
_x000D_
Intra-abdominal findings: There is a moderate amount of granular food material in the stomach. The gastric axis is normal. There is appropriate gas in the pylorus on the left lateral image. The small intestines are variable in shape and size, and contain a mixture of gas, fluid and soft tissue opaque material. The descending colon contains some faeces. The urinary bladder is small.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</si>
  <si>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The moderate amount of granular food material within the stomach may be indicative of a recent meal. Alternatively, dietary indiscretion, soft tissue foreign material may be present. This needs to be correlated with time of feeding and last emesis. A partial pyloric outflow obstruction by non-radiopaque foreign material is possible. A pancreatitis is possible.</t>
  </si>
  <si>
    <t>Study:_x000D_
Abdominal radiography: nine images (from two different time points) dated August 4, 2024_x000D_
_x000D_
Compared to prior studies dated June 2, 2024 and April 16, 2024_x000D_
_x000D_
Findings:_x000D_
The serosal detail is adequate. The stomach contains unstructured heterogeneous soft tissue material presumed to be ingesta. The small intestines are normal in size, course and content. The colon contains formed fecal material with a normal diameter. The liver extends mildly beyond the costal arch with smooth and sharp margins. This finding is similar to the prior study. The spleen is normal in size and margin in the present study. The renal silhouettes are normal in size and contour. The urinary bladder is moderately distended in the initial images. In the later images, the urinary bladder is normal in size and opacity. As noted in the prior study, there is increased soft tissue opacity within the cranial caudal aspect of the right stifle joint space with mild secondary degenerative change. There is unchanged moderate bilateral remodeling/thickening of the femoral head and neck. There is variable mild to severe spondylosis deformans from L1 to L4. There is no apparent intervertebral disc space or foraminal narrowing.</t>
  </si>
  <si>
    <t>1. Static mild nonspecific hepatomegaly. Metabolic/vacuolar hepatopathy secondary to the reported Cushing=ZZ91=s disease is prioritized. Hepatitis, hyperplasia and infiltrative neoplasia cannot be completely excluded. Sonography can be considered for further evaluation if clinically relevant._x000D_
2. The remainder the abdomen is unremarkable._x000D_
3. Static right stifle joint effusion/capsular thickening and mild osteoarthrosis suggestive of cranial cruciate and/or meniscal injury._x000D_
4. Static moderate bilateral coxofemoral osteoarthrosis.</t>
  </si>
  <si>
    <t>A cause of the clinical signs is not evident. Repeat neurology consultation can be considered if the patient exhibits any deficits on neurologic examination.</t>
  </si>
  <si>
    <t xml:space="preserve">
1.The spleen is mildly enlarged with a focal bulge in the splenic capsular margin._x000D_
2.The liver is enlarged._x000D_
3.There is a oval soft tissue opaque mass lesion noted within the mid abdomen._x000D_
4.Within the abdomen, there is reduced abdominal serosal detail._x000D_
5.The gastrointestinal tract is within normal limits.</t>
  </si>
  <si>
    <t>Study:_x000D_
Abdominal radiography: six images dated August 4, 2024_x000D_
_x000D_
Findings:_x000D_
The abdominal serosal detail is normal. The stomach contains a small volume of gas. There is a gas and fluid dilated segment of small intestine in the midabdomen. The remaining small intestines are normal in size, course and content. The colon contains formed fecal material. The liver and spleen are normal in size and margin. The renal silhouettes are normal in size and contour. The urinary bladder is normal in size and opacity. There is no prostatomegaly. The included thorax is normal. There is moderate bilateral hip dysplasia and mild to moderate remodeling/thickening of the femoral head and neck, worse on the left.</t>
  </si>
  <si>
    <t>1. The two populations of small intestine are concerning for mechanical ileus=ZZ90= however, a cause of obstruction/intestinal foreign material is not visualized. Abdominal sonography is recommended for further evaluation. Alternatively, repeat radiography in 4 to 6 hours to monitor for persistence or resolution of the small intestinal dilation can be considered._x000D_
2. Moderate bilateral hip dysplasia and coxofemoral osteoarthrosis.</t>
  </si>
  <si>
    <t>Three orthogonal radiographs of the abdomen dated 4th August 2024 are available for review. There are no previous radiographs available for comparison. _x000D_
_x000D_
Intra-abdominal findings: The hepatic silhouette is normal in size with smooth borders. The spleen is normal in shape, size and position. There is mild flattening of the caudal contour of the left kidney. The stomach contains some fluid and gas and has a normal axis. There is appropriate gas in the pylorus on the left lateral image. The duodenum is moderately distended with fluid and gas. The small intestines are homogenously empty or filled with some fluid. The descending colon contains some formed faeces. The urinary bladder is small. The serosal detail is normal._x000D_
_x000D_
Extra-abdominal findings: No significant abnormalities are detected._x000D_
_x000D_
Included thorax: No significant abnormalities are detected.</t>
  </si>
  <si>
    <t>1. The overall impression is one of gastroenteritis.  This may be due to dietary indiscretion, or infectious-inflammatory causes. There is no evidence of a mineral opaque foreign body, or complete mechanical obstruction.  A partial obstruction by non-mineral opaque foreign material cannot be excluded. Pancreatitis is possible._x000D_
2. The flat caudal profile of the left kidney is most likely due to a small infarct. This is unlikely of clinical significance.</t>
  </si>
  <si>
    <t>Supportive management including rehydration, gastroprotectants,  full blood work, faecal analysis if clinically indicated is advised, if not already performed. Repeat 3-view radiographs depending on clinical progression or consider an abdominal ultrasound. If vomiting continues without development of diarrhea, an upper GI contrast study may also be considered.</t>
  </si>
  <si>
    <t>Four orthogonal thoracic radiographs dated 4th August 2024 are available for review. There are no previous radiographs available for comparison. _x000D_
_x000D_
Airway findings: The cervical and thoracic trachea have a normal size, outline and position. The carina, tracheal bifurcation and mainstem bronchi are normal. Throughout the lung parenchyma there is a very mild bronchointerstitial opacification._x000D_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No significant abnormalities are detected._x000D_
_x000D_
Included abdomen: No significant abnormalities are detected.</t>
  </si>
  <si>
    <t>1. The mild bronchointerstitial opacification may be due to hypoinflation, however a mild mixed tracheobronchitis, viral pneumonia may be present.</t>
  </si>
  <si>
    <t>Observational management, or empiric management of a mild mixed tracheobronchitis may be considered. Depending on clinical progression, respiratory workup including CBC, serum chemistry, urinalysis, Baermann faecal testing, 4DX, +/- respiratory panel or fungal testing may be considered.</t>
  </si>
  <si>
    <t>4 images of the thorax and abdomen are presented for review.  The cardiovascular structures are normal.  Patchy interstitial and alveolar opacities present in the left cranial and caudal lung lobes.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</si>
  <si>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Patchy interstitial to alveolar pulmonary pattern concerning for contusion.  Radiographically normal abdomen.</t>
  </si>
  <si>
    <t>Recommend supportive therapy for pulmonary contusions with repeat radiographs to monitor for progression/improvement.</t>
  </si>
  <si>
    <t>A ventral dorsal and right lateral radiograph of the abdomen are provided. There is no peritoneal or retroperitoneal effusions. Small volume of formed feces in the distal colon. The stomach and small bowel are minimally filled. There is no radiopaque foreign material or urolithiasis. Normal size spleen, kidneys, liver. Vertebral alignment is normal. The T11-12 intervertebral foramen appears reduced in size, but may be artifact due to rotation. No other definitive spinal abnormalities. Thin curved mineral density along the dorsal margin of the ilial wings is incidental apophysis. Normal caudal thorax.</t>
  </si>
  <si>
    <t>Possible intervertebral disc disease at T11-12 versus positional artifact. An intervertebral disc lesion at this or another site is the most likely cause for the clinical signs. Otherwise normal abdomen.</t>
  </si>
  <si>
    <t>Recommend palpation for spinal discomfort and a neurologic examination.</t>
  </si>
  <si>
    <t xml:space="preserve">
1.Liver size, shape and margin are normal._x000D_
2.The stomach contains gas and small amount of amorphous soft tissue density. Small intestines are diffusely, minimally distended._x000D_
3.Abdominal detail is normal._x000D_
4.Splenic size, shape and margin are normal.</t>
  </si>
  <si>
    <t>Abdomen: There is mild amount of heterogeneous soft tissue opacity within the gastric lumen.  Within the mid to caudal abdomen there is a segment of bowel that is gas-filled.  This most likely represents colon however a segment of jejunum on the upper limits of normal for diameter cannot be ruled out.  A small intestinal foreign body is not identified.  On the ventrodorsal view there is gas within the proximal descending duodenum and an increase in opacity adjacent to it.  The liver and spleen are unremarkable.  There are no abnormalities involving the visible portions of the urinary tract.  There are no abnormalities involving the visible portions of the thorax.  On the visible portions of the pelvis there is left coxofemoral joint incongruency and suspected healed fracture of the left femoral neck.  On the lateral view there is luxation of one of the patella=ZZ91=s (laterality uncertain).</t>
  </si>
  <si>
    <t>The heterogeneous soft tissue opacity within the gastric lumen most likely represents normal ingesta however foreign material manus not be ruled out.  The appearance of the proximal descending duodenum and increased opacity adjacent to it may represent pancreatitis._x000D_
_x000D_
The gas distended segment within the mid to caudal abdomen most likely represents a portion of the colon.  If this represents a segment of jejunal and obstructive process cannot definitively be ruled out._x000D_
_x000D_
Left coxofemoral osteoarthrosis with suspected previous fracture of the left femoral neck._x000D_
_x000D_
Luxated patella of unknown laterality (left versus right stifle).</t>
  </si>
  <si>
    <t xml:space="preserve">
1.No abnormal AI findings reported._x000D_
2.No abnormal AI findings reported._x000D_
3.No abnormal AI findings reported._x000D_
4.There is a moderate quantity of normal appearing soft tissue dense ingesta in the stomach. The small bowel is gas and fluid-containing. No obvious obstruction.</t>
  </si>
  <si>
    <t>Study:_x000D_
Abdominal radiography: three images dated August 3, 2024_x000D_
_x000D_
Findings:_x000D_
The serosal detail is normal. The stomach contains a small volume of gas with the pylorus appropriately gas-filled on the left lateral image. The thickness of the gastric wall and rugae are within normal limits for the degree of gastric distention. The small intestines are normal in size, course and content. The colon contains a small volume of gas with a normal diameter. The liver and spleen are normal in size and margin. The kidneys are normal in size and contour. The urinary bladder is normal in size and opacity. The region of the prostate is not included. The included thorax is normal. No skeletal abnormalities are present.</t>
  </si>
  <si>
    <t>Unremarkable abdomen. A cause of the soft bloody stool is not evident. There is no radiographic evidence of gastrointestinal foreign material or small intestinal mechanical obstruction. Abdominal sonography can be considered for further evaluation if clinical signs persist or worsen in spite of medical management.</t>
  </si>
  <si>
    <t>3 images of the abdomen are provided for review The stomach is greatly gas dilated with compartmentalization.  The pylorus is displaced dorsally and cranially.  No gas is seen free within the abdomen or within the gastric wall.  An angular mineral structure is also seen within the stomach.  The spleen is folded and displaced cranially on the lateral view abdominal structures appear normal.  There is spondylosis deformans of the lumbosacral spine.</t>
  </si>
  <si>
    <t>Gastric dilatation with volvulus.  Gastric mineral foreign body.</t>
  </si>
  <si>
    <t xml:space="preserve">
1.Liver size, shape and margin are normal._x000D_
2.Splenic size is at the upper limits of normal to mildly enlarged. The splenic margin is smooth and no mass is identified in the region of the spleen._x000D_
3.Abdominal detail is normal to slightly reduced. The reduction in abdominal detail is attributed to overlap of abdominal structures. Mesenteric inflammation and/or abdominal fluid are not suspected at this time._x000D_
4.The stomach contains ingesta and the small bowel is mildly gas- and fluid-filled.</t>
  </si>
  <si>
    <t>Mild splenomegaly, a nonspecific finding that may be due to normal variant in a Shepherd or sedated animal, extramedullary hematopoiesis, lymphoid hyperplasia or in an older animal, infiltrative neoplasia. Caudal extension of the liver into the splenic region can mimic the appearance of splenomegaly and is a lesser consideration for this finding. Ingesta filled stomach. This is consistent with a recent meal. However, if the dog is anorexic or vomiting, this is considered an abnormal finding and warrants concern for gastric foreign material.</t>
  </si>
  <si>
    <t xml:space="preserve">
Abdominal palpation to assess for splenomegaly._x000D_
Abdominal ultrasound if splenomegaly is confirmed +/- splenic FNAs. Coagulation profile, platelet count and PCV prior to FNAs._x000D_
Blood work, particularly to assess for a CBC abnormality or evidence of systemic inflammation._x000D_
If there is clinical concern for gastric foreign material, withhold food for 12-15 hours in an adult dog (access to water or IV fluid therapy is permitted), followed by repeat abdominal radiographs. If gastric material persists on follow-up radiographs, concern for gastric material increases and warrants further evaluation via abdominal ultrasound._x000D_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</si>
  <si>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thorax/abdomen are provided. The heart and pulmonary vessels are normal size and shape. The lungs are clear. No pleural effusion. In the abdomen there is small volume gas in the stomach. Small bowel are mildly filled with a mixture of fluid and gas. Moderate volume of formed feces in the colon. No radiopaque foreign material. Normal-sized liver, spleen, left kidney. The right kidney is obscured. Osseous structures are unremarkable.</t>
  </si>
  <si>
    <t>Normal thorax and abdomen. Gastroenteritis should be considered.</t>
  </si>
  <si>
    <t>If the patient does not improve with supportive care, routine blood work and abdominal ultrasound would be recommended.</t>
  </si>
  <si>
    <t>WHOLE-BODY (6 total radiographs for review).  No previous examinations are available for comparison._x000D_
_x000D_
- There is a loss in mid abdominal peritoneal serosal detail._x000D_
- There is an ill-defined, rounded increase in soft tissue opacity centrally within the abdomen and lateralizing to the right that is regionally adjacent to multiple mildly to moderately distended intestinal segments._x000D_
- The stomach contains mild gas and gas stippled soft tissue opaque material._x000D_
- The majority of the small intestinal segments are relatively nondistended and contain mild gas and soft tissue opaque material._x000D_
- The cecum is not distinctly identified and the region of the ascending/transverse colon is indistinct.  The descending colon contains mild heterogeneous soft tissue opaque material and a few small mineral opaque foci._x000D_
- The liver, spleen, kidneys and urinary bladder are normal._x000D_
- The cardiac silhouette, pulmonary vasculature, pleural space and remaining included intrathoracic structures are unremarkable._x000D_
- Mild multifocal vertebral spondylosis deformans._x000D_
- Bilateral stifle osteoarthritis (limited assessment).</t>
  </si>
  <si>
    <t>1.  Probable right cranial abdominal mass, as clinically reported.  The mass is in the region of the ileocolic junction/cecum and most likely gastrointestinal in origin.  The primary consideration would be neoplasia (e.g. smooth muscle tumor such as leiomyosarcoma, intestinal adenocarcinoma, lymphoma).  Nonneoplastic etiologies such as fungal granulomatous disease are unlikely but possible.  Consider correlation to complete abdominal ultrasonography and ultrasound-guided fine-needle aspirates of the mass for further evaluation._x000D_
_x000D_
2.  Aerophagia._x000D_
_x000D_
3.  Normal thorax.  Negative examination for evidence of thoracic metastatic neoplasia.</t>
  </si>
  <si>
    <t>Study:_x000D_
Abdominal radiography: right and left lateral projections (two images) dated August 3, 2024_x000D_
_x000D_
Findings:_x000D_
The stomach contains a small amount of heterogeneous soft tissue material. Some small intestinal segments contain a small amount of granular soft tissue material. The small intestines are normal in size and course. The colon contains formed fecal material. The liver and spleen are normal in size and margin. The renal silhouettes are normal in size and contour. The urinary bladder is normal in size and opacity. There is no prostatomegaly. The included thorax is normal. No skeletal abnormalities are present.</t>
  </si>
  <si>
    <t>Gastrointestinal contents may represent food and/or foreign material. There is no evidence of small intestinal mechanical obstruction. Repeat fasted radiography can be considered to ensure gastrointestinal emptying. Alternatively, sonography can be considered if clinical signs persist or worsen in spite of medical management.</t>
  </si>
  <si>
    <t>Study:_x000D_
Nine images that include the cervical region, thorax and abdomen dated August 3, 2024_x000D_
_x000D_
Findings:_x000D_
The cardiac silhouette and pulmonary vasculature are normal in size. There is incidental age-related bronchial wall mineralization in the caudodorsal lung fields. The pulmonary parenchyma is otherwise unremarkable. The pleural space is normal. There is no intrathoracic lymphadenopathy. The larynx and pharynx are unremarkable. The trachea is normal in diameter and course. The abdominal serosal detail is normal. The stomach contains a small volume of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There is no prostatomegaly. The dens is intact and well defined. The atlantoaxial joint space is normal. There is no intervertebral disc space or foraminal narrowing. There is no evidence of discospondylitis. The included appendicular skeletal structures are unremarkable.</t>
  </si>
  <si>
    <t>1. The spine is unremarkable. The lack of any apparent intervertebral disc space narrowing does not exclude the possibility of intervertebral disc disease. Neurology consultation and MRI can be considered for further evaluation if the clinical signs persist or worsen in spite of activity restriction and pain management._x000D_
2. Incidental age-related bronchial wall mineralization=ZZ90= otherwise, unremarkable thorax. There is no evidence of pneumonia, heart disease or intrathoracic neoplasia. Infectious respiratory disease PCR testing, computed tomography of the head/nasal passages and rhinoscopy can be considered for further evaluation of the reported nasal discharge._x000D_
3. Unremarkable abdomen.</t>
  </si>
  <si>
    <t>Three radiographs of the thorax/abdomen are provided. There is severe left-sided cardiomegaly. Subsequent dorsal deviation of the thoracic trachea and mainstem bronchi. The left mainstem bronchus is compressed. Pulmonary vessels are normal size. There is no loss of perihilar vessel visibility. No abnormalities in the pulmonary parenchyma. No pleural effusion. Redundant dorsal trachealis membrane in the cervical region on the right lateral view. In the abdomen there is no effusion or organomegaly. The gastrointestinal tract is mildly filled. No radiopaque cystic calculi. The inguinal hernia is not visible on this study. Osseous structures are unremarkable.</t>
  </si>
  <si>
    <t>1. Severe left-sided cardiomegaly consistent with acquired mitral valve disease. There is no evidence of heart failure, however there is mainstem bronchial compression._x000D_
2. Dynamic cervical tracheal collapse. This, coupled with the mainstem bronchial compression is the most likely cause for coughing._x000D_
3. Normal abdomen.</t>
  </si>
  <si>
    <t>An echocardiogram is recommended.</t>
  </si>
  <si>
    <t>Nine radiographs are provided, with images of the thorax, abdomen, pelvis, stifles. The cardiac silhouette and pulmonary vessels are normal size and shape. There are numerous incidental pulmonary osteomas. No soft tissue pulmonary nodules or pleural effusion. Small round soft tissue density to the left of the heart on the VD projection is end-on pulmonary vessel._x000D_
_x000D_
In the abdomen the spleen is normal size for this breed. Normal-sized liver and kidneys. There is no effusion. The gastrointestinal tract is minimally distended. No radiopaque urolithiasis. Mild thickened left femoral neck. There is curvilinear enthesophyte formation in the femoral intertrochanteric groove bilaterally. Pelvic limb musculature is symmetric. Patellar location is normal. There is scant fluid in the cranial aspect of both stifle joints, more prominent on the right. No popliteal lymphadenomegaly.</t>
  </si>
  <si>
    <t>1. Bilateral scant stifle effusion, worse on the right. This is most consistent with partial cranial cruciate ligament tear._x000D_
2. Bilateral mild coxofemoral osteoarthritis, worse on the left. A combination of this and cruciate ligament insult is suspected to be the cause for the lameness._x000D_
3. Normal thorax and abdomen.</t>
  </si>
  <si>
    <t>Recommend supportive care with anti-inflammatories.</t>
  </si>
  <si>
    <t>Three radiographs of the abdomen are provided. There is no peritoneal or retroperitoneal effusion. The stomach contains a moderate amount of gas and small volume amorphous soft tissue density. Small bowel and colon are minimally filled. The liver, spleen, and kidneys are normal size and shape. The urinary bladder is minimally distended. The uterus is not visible. Small volume fluid in the caudal esophagus is transient and incidental.</t>
  </si>
  <si>
    <t>Gastric contents is unexpected with a history of anorexia, however does appear to be residual ingesta. Foreign material is given lesser consideration in the absence of vomiting. Otherwise normal abdomen.</t>
  </si>
  <si>
    <t>Consider strictly fasted abdominal radiographs +/- positive contrast gastrogram to rule out gastric foreign material.</t>
  </si>
  <si>
    <t xml:space="preserve">
1.Liver size, shape and margin are normal._x000D_
2.The stomach is normal. The small bowel is diffusely gas- and fluid-filled without segmental small bowel dilation._x000D_
3.Abdominal detail is slightly decreased._x000D_
4.Splenic size, shape and margin are normal.</t>
  </si>
  <si>
    <t>The AI result for this case is most compelling for: Gastritis/Enterocolitis. No bowel obstruction is suspected. Decreased abdominal detail can be a sign of regional inflammation secondary to GI disease or low grade pancreatitis.</t>
  </si>
  <si>
    <t xml:space="preserve">
In a vomiting or anorexic patient, supportive care and therapy for gastroenteritis are recommended. Consider pancreatic testing, and abdominal ultrasound for further evaluation._x000D_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</si>
  <si>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Clover Rogers, Date of study: Aug 3, 2024
3 images are provided for review
There are no previous radiographs for comparison.
Liver: The liver is is small with cranial dispalcement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The prostate gland is well-defined and enlarged with homogeneous soft tissue without obvious colonic/rectal compression.  
Peritoneum: Peritoneal detail is adequate.
Gastrointestinal tract: The stomach contains a moderate gas and mild fluid.  Gas is in the pylorus and descending duodenum in the left lateral image. The stomach is within normal limits for size.
The small intestine contains minimal gas and mild fluid or is empty with a subjectively uniform population for size. 
The colon contains mild heterogeneous soft tissue material admixed with gas.  The colon is within normal limits for size.  
Musculoskeletal: The included musculoskeletal structures are normal.</t>
  </si>
  <si>
    <t xml:space="preserve">1. Non-specific gastrointestinal tract appearance such as from enteritis, colitis, or unlikely individual variation of normal given reported history.
- There is no current evidence of gastrointestinal mechanical ileus.
- Differential diagnoses include dietary indiscretion, toxin ingestion, diet/antibiotic responsive disease, inflammatory bowel disease, pancreatitis, occult systemic disease or unlikely other.
2. Microhepatia or unlikely artifact from positioning/technique and phase of respiration.
- If present, consider portosystemic shunting vessel or unlikely other.
</t>
  </si>
  <si>
    <t>Consider GI panel, fecal analysis/deworming, bile acid testing, and routine blood work for further evaluation.  Empirical therapy and supportive care in the interim as needed.  Abdominal ultrasonography if additional diagnostics are inconclusive, especially if clinical signs fail to improve or worsen with empirical therapy for gastroenterocolitis.  Monitoring as directed or sooner if clinical signs acutely change, fail to improve or worsen.</t>
  </si>
  <si>
    <t>4 images of the abdomen are provided for review.  Serosal detail is adequate in all quadrants.  The stomach contains a small amount of gas and the rugal folds are prominent.  The small intestines are normal in size.  Gas is present in the colon and cecum.  The urinary bladder is small.  The remaining abdominal organs are normal.</t>
  </si>
  <si>
    <t>Abdomen: There is mild diffuse hepatomegaly.  There is mild diffuse splenomegaly.  The cecum is gas-filled.  There is no evidence of a gastrointestinal foreign body or obstruction.  The remainder of the abdominal viscera is unremarkable.  On the visible portions of the thorax there is a diffuse bronchial interstitial pattern within the caudal dorsal thorax.  This is not as prominent on the ventrodorsal view and is augmented by pulmonary underinflation.</t>
  </si>
  <si>
    <t>Mild diffuse hepatomegaly._x000D_
_x000D_
Mild diffuse splenomegaly._x000D_
_x000D_
The diffuse bronchointerstitial pattern within the caudal dorsal thorax is augmented by pulmonary underinflation.  This may reflect age-related changes or possible bronchitis.</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</si>
  <si>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Multiple hemivertebrae and butterfly vertebrae are observed (consistent with the breed)._x000D_
Pelvis shows borderline coverage of both femoral heads by the craniodorsal edge of the acetabula, yet without signs of periarticular osteophytosis._x000D_
Stifles are unremarkable except for questionable mild effusion in the left stifle, otherwise without any other change. No signs of periarticular osteophytosis.</t>
  </si>
  <si>
    <t>1) Unremarkable thorax and abdomen._x000D_
2) Pelvis: Suspected hip dysplasia without periarticular osteophytosis. Consider a Penn-Hip study. This is unlikely the cause of the weakness in rear legs._x000D_
3) Questionable (minimal if any) synovial effusion in the left stifle.</t>
  </si>
  <si>
    <t>Given the history of weakness in rear legs with CP deficits slightly decreased, consider a full neuro exam with MRI if necessary. If the neuro exam is negative, consider an orthopedic exam under sedation with radiographs of the affected region.</t>
  </si>
  <si>
    <t>4 images of the abdomen are provided for review.  Serosal detail is adequate in all quadrants.  The stomach contains a small amount of gas and the rugal folds are prominent.  The small intestines are normal in size.  Gas is present in the colon.  The urinary bladder is small.  The remaining abdominal organs are normal.
(amended on 08/06/2024 17:48)
Additional findings: The coxofemoral joints are congruent.  No fractures or aggressive osseous lesions are seen.  Spinal alignment is normal with no consistently narrowed intervertebral disc spaces.</t>
  </si>
  <si>
    <t>Prominent rugal folds suggestive of gastritis.  This does not rule out underlying pancreatitis, dietary indiscretion, etc.
(amended on 08/06/2024 17:48)
Radiographically normal spine and pelvis.</t>
  </si>
  <si>
    <t xml:space="preserve">
1.The descending colon contained some poorly formed faeces and gas._x000D_
2.The transverse colon is moderately gas dilated._x000D_
3.The small intestines contain an increased amount of gas for a feline patient._x000D_
4.The peritoneal serosal detail is normal._x000D_
5.The spleen is positioned along the left body wall._x000D_
6.The hepatic silhouette is mildly enlarged, with smooth margins._x000D_
7.The stomach is contains a mild amount of food material, and has a mildly caudally displaced axis.</t>
  </si>
  <si>
    <t>A LL view of the thorax and orthogonal views of the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small volume of food._x000D_
Small intestines are mildly gas and fluid filled, not overtly distended. No signs of mechanical ileus._x000D_
Unformed feces in the colon._x000D_
Serosal detail is preserved._x000D_
Liver and spleen are within normal limits of size and smoothly marginated._x000D_
Kidneys and urinary bladder WNL.</t>
  </si>
  <si>
    <t>1) Incomplete exam for the thorax._x000D_
2) Unremarkable abdomen.</t>
  </si>
  <si>
    <t>Abdominal US to further evaluate causes of V/D and a VD view of the thorax.</t>
  </si>
  <si>
    <t xml:space="preserve">
1.On the VD projection, an increase in soft tissue opacity is noted in the left lateral abdomen. This is attributed to superimposition of the spleen and left kidney. The spleen appears normal on the lateral projection making splenomegaly a secondary consideration._x000D_
2.Serosal detail in the cranial abdomen is mildly decreased on the lateral projection._x000D_
3.The liver is normal._x000D_
4.A minimal quantity of soft tissue dense ingesta is visible in the stomach and there is mild prominence to the gastric rugae._x000D_
5.The small bowel is diffusely gas- and fluid-filled but without segmental bowel dilation._x000D_
6.No intestinal plication is seen.</t>
  </si>
  <si>
    <t>Study:_x000D_
Abdominal radiography: three images dated August 2, 2024_x000D_
_x000D_
Findings:_x000D_
The stomach contains unstructured heterogeneous soft tissue material presumed to be ingesta. Some small intestinal segments contain granular soft tissue material also presumed to be ingesta. The small intestines are normal in size and course. The colon contains formed fecal material with a normal diameter. The liver is normal in size and margin. There is a metallic Ameroid constrictor in the craniodorsal abdomen. The spleen is normal in size and margin. The renal silhouettes are normal in size and contour. The urinary bladder is normal in size and opacity. The included thorax is normal. The osseous structures are unremarkable. There are no rib lesions. There is no radiographically evident soft tissue swelling along the left caudal thorax.</t>
  </si>
  <si>
    <t>1. As stated above, the reported swelling associated with one of the patient=ZZ91=s left ribs is not appreciated radiographically. Computed tomography can be considered for further evaluation._x000D_
2. Postprandial gastrointestinal tract and previously placed Ameroid constrictor=ZZ90= otherwise, unremarkable abdomen.</t>
  </si>
  <si>
    <t>Orthogonal radiographs of the thorax, and three views of the abdomen are provided. The heart and pulmonary vessels are normal size and shape. There are no abnormalities in the pulmonary parenchyma. No pleural effusion. Normal cranial mediastinal width. No esophageal dilation._x000D_
_x000D_
In the abdomen the stomach contains small volume gas and scant amorphous soft tissue density. Small intestines are mildly filled. Moderate volume of formed feces in the colon. The cecum is gas dilated. There is no effusion. Normal-sized liver and spleen. The kidneys are incompletely visible. Uterus is not definitively seen. Osseous structures are unremarkable.</t>
  </si>
  <si>
    <t>Normal thorax and abdomen. Gastric contents appears to be normal ingesta. All or a portion of gastric contents could be foreign material causing gastritis and intermittent pyloric outflow obstruction. There is no evidence of small bowel obstruction or aspiration pneumonia.</t>
  </si>
  <si>
    <t>Recommend a CBC, blood chemistry profile, and strictly fasted abdominal ultrasound. If ultrasound is not available, a positive contrast gastrogram could be considered.</t>
  </si>
  <si>
    <t>Study:_x000D_
Abdominal radiography: three images dated August 2, 2024_x000D_
_x000D_
Findings:_x000D_
The serosal detail is normal. The stomach contains a small amount of heterogeneous soft tissue material. The small intestines are normal in size, course and content. The colon contains formed fecal material with a normal diameter. The liver and spleen are normal in size and margin. The kidneys are normal in size and contour. The urinary bladder is normal in size and opacity. The included thorax is normal. The osseous structures are unremarkable/age appropriate.</t>
  </si>
  <si>
    <t>Gastric contents may represent food and/or foreign material. There is no evidence of small intestinal mechanical obstruction. Repeat fasted radiography can be considered to ensure gastric emptying. Alternatively, sonography can be considered if clinical signs persist or worsen in spite of medical management.</t>
  </si>
  <si>
    <t>3 views of the abdomen are provided for review.  Serosal detail is adequate in all quadrants.  The stomach contains a moderate amount of mottled soft tissue material.  The small intestines are normal in size.  Gas and feces are present in the colon.  The urinary bladder is moderately distended.  The remaining abdominal organs are normal.</t>
  </si>
  <si>
    <t>Three sets of orthogonal abdomen views are provided. Radiographs were made yesterday approximately 12 and 4 PM, with follow up radiographs made this morning a proximally 9:30 AM._x000D_
_x000D_
The initial radiographs show the stomach to be moderately to markedly distended with amorphous soft tissue ingesta compatible with food. No foreign bodies are identified. The intestines are gassy but not pathologically distended. The other organs are within normal limits._x000D_
The follow up radiographs made later in the day show the volume of gastric content to be moderately reduced, with less overall dilation of the stomach. The appearance of the intestinal tract is more normal._x000D_
_x000D_
In the radiographs made today, the stomach still appears mildly distended but the content has moved out, such that only minimal soft tissue dense amorphous material remains. No foreign bodies are identified. The appearance of the intestinal tract is unremarkable. The other organs are within normal limits. Serosal detail is normal.</t>
  </si>
  <si>
    <t>The original radiographs suggested food bloat secondary to overconsumption of normal appearing food._x000D_
This appears to have resolved over the next 18 to 24 hours with conservative management.</t>
  </si>
  <si>
    <t>Clinical monitoring is recommended. No additional treatment or diagnostics are indicated based on the radiographic appearance._x000D_
Follow up radiographs may be indicated depending on clinical signs, if vomiting and suspected abdominal pain persists.</t>
  </si>
  <si>
    <t xml:space="preserve">
1.Abdominal detail is diffusely decreased. The ventral abdominal line is pendulous._x000D_
2.No abnormal AI findings reported._x000D_
3.No abnormal AI findings reported._x000D_
4.The liver and stomach are confluent, with mild displacement of the gastric axis, which may be due to hepatomegaly versus severe gastric distension._x000D_
5.Mildly filled intestines without evidence of complete obstruction.</t>
  </si>
  <si>
    <t>Three radiographs of the thorax, and five views of the abdomen are provided. Images dated 12/4/23 and earlier are available for comparison. The cardiac silhouette and pulmonary vessels are normal size and shape. There are no abnormalities in the pulmonary parenchyma. The trachea is normal diameter and position. Osseous structures are unremarkable._x000D_
_x000D_
In the abdomen there is gas in the cecum and a moderate volume of feces in the colon. Small bowel are minimally distended. Small volume soft tissue opaque ingesta in the stomach. On the 2nd right lateral view, there is a well delineated rectangular 2.2 x 2.4 cm thin-walled lucent structure within the stomach. This is not definitively seen on the other views. No other evidence of foreign material. Normal-sized liver, spleen, kidneys. The urinary bladder is minimally distended.</t>
  </si>
  <si>
    <t>Gastric foreign object. It is unknown if this represents one of the reported bait objects, and is of a size that may be able to pass successfully. No other abdominal abnormalities, and the thorax is normal.</t>
  </si>
  <si>
    <t>With the potential exposure to rodenticide, consider inducing vomiting, medical support, and vitamin K supplementation.</t>
  </si>
  <si>
    <t>Study:_x000D_
Abdominal radiography: three images dated August 1, 2024_x000D_
_x000D_
Findings:_x000D_
On the right lateral projection, there are mild indistinct wispy soft tissue opacities superimposed with bowel in the midabdomen. The stomach contains a small volume of gas. The thickness of the gastric wall and rugae are within normal limits for the degree of gastric distention. The small intestines are normal in size, course and content. The colon is empty. The liver and spleen are normal in size and margin. The kidneys are normal in size and contour. The urinary bladder is normal in size and opacity. On the lateral projections, there tubular structures in the cranioventral abdomen that are mildly larger in diameter than the adjacent small intestinal loops. The included thorax is normal. No skeletal abnormalities present.</t>
  </si>
  <si>
    <t>1. The tubular structures seen caudoventral abdomen larger in diameter than the adjacent small intestinal loops may indicate mild dilation of the uterus. Consider pyometra, mucometra, metritis hydrometra or early pregnancy. An inflammatory leukogram on a complete blood count with further support possible pyometra._x000D_
2. Trace nonspecific peritoneal effusion is suspected._x000D_
3. There is no radiographic evidence of gastrointestinal foreign material or small intestinal mechanical obstruction.</t>
  </si>
  <si>
    <t>Abdominal sonography can be considered for further evaluation.</t>
  </si>
  <si>
    <t>Six radiographs of the thorax and abdomen are provided. The left ventricle is elongated. Pulmonary vessels are normal size. There are no abnormalities in the pulmonary parenchyma. Normal tracheal diameter. No cervicothoracic spinal abnormalities. Normal proximal thoracic limbs._x000D_
_x000D_
In the abdomen the prostate is moderately enlarged consistent with the reproductive status of this patient. No radiopaque urolithiasis. Normal-sized spleen, liver, kidneys. Slight narrowing T12-13 intervertebral disc space. No other narrowed intervertebral disc spaces or foramina. There is mineralized intervertebral disc material in situ at L6-7, likely incidental. Previous right femoral head ostectomy. The left coxofemoral joint is congruent.</t>
  </si>
  <si>
    <t>1. The appearance of T12-13 is suggestive of a protruding/extruded intervertebral disc. Such a lesion at this or another site is the most likely cause for the clinical signs._x000D_
2. Mild left-sided cardiomegaly consistent with acquired mitral valve disease. There is no evidence of pulmonary venous congestion or pulmonary edema. This is of doubtful clinical significance today. The thorax is otherwise normal._x000D_
3. Normal abdomen.</t>
  </si>
  <si>
    <t>Consultation with a neurologist and advanced spinal imaging with MRI is recommended.</t>
  </si>
  <si>
    <t>Patient Name : DAISY EVENSON, Date of study: Aug 2, 2024
5 images are provided for review
Prior images are compared to prior dated July 11, 2024.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contains a large, ovoid well-defined mineral opacity.  This is similar or unchanged from prior.  
Peritoneum: Peritoneal detail is adequate.
Gastrointestinal tract: The stomach contains a moderate volume of gas and mild fluid.  The stomach is within normal limits for size.
The small intestine contains mild gas and minimal fluid with a subjectively uniform population for size. 
The colon contains mild heterogeneous soft tissue material and gas.  Mild mineral is admixed with colonic and rectal contents.  The colon is within normal limits for size.  
Musculoskeletal: The included musculoskeletal structures are normal.</t>
  </si>
  <si>
    <t xml:space="preserve">1. Large urocystolith and presumed underlying cystitis.
2. Non-specific gastrointestinal tract appearance such as from gastritis, enteritis, colitis, or less likely individual variation of normal given reported history.
- There is no current evidence of gastrointestinal mechanical ileus.
- Differential diagnoses include dietary indiscretion given colonic/rectal mineral material, or less likely other.
</t>
  </si>
  <si>
    <t>Consider cystotomy and mineral retrieval/analysis for further evaluation, versus continued medical and dietary therapy.  Empirical therapy and supportive care in the interim as needed for cystitis and possibly gastroenteritis as needed.  Monitoring as directed or sooner if clinical signs acutely change, fail to improve or worsen.</t>
  </si>
  <si>
    <t xml:space="preserve">
1.Abdominal serosal detail is normal._x000D_
2.On the VD projection, the stomach contains a small amount of gas and has slightly prominent rugal folds or a small amount of soft tissue. Additionally, there is a round soft tissue shadow in the region of the splenic head which likely represents superimposition of the spleen and left kidney._x000D_
3.The liver is at the upper end of normal range for size._x000D_
4.No abnormal AI findings reported._x000D_
5.The small bowel is gas filled._x000D_
6.No segmental small bowel dilation is noted to suggest obstruction.</t>
  </si>
  <si>
    <t>3 views of the thorax are provided for review.  The trachea is mildly dorsally deviated, indicating left ventricular enlargement.  There is straightening of the caudal cardiac waist in the region of the left atrium.  There is a moderate bronchial pattern in all lung lobes.  The mediastinal and pleural structures are normal.  Cranial abdominal detail is adequate.</t>
  </si>
  <si>
    <t xml:space="preserve">
1.The liver is mildly enlarged._x000D_
2.The stomach is normal. The small bowel is diffusely gas- and fluid-filled without segmental small bowel dilation._x000D_
3.Splenic size, shape and margin are normal._x000D_
4.Abdominal detail is normal.</t>
  </si>
  <si>
    <t xml:space="preserve">Patient Name : COOKIE NIETO, Date of study: Aug 2, 2024
4 images are provided for review
Canine Abdomen (4 Images) - 2 Lateral, 2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No obvious enlarged tubular soft tissue structures in the caudoventral or lateral abdomen.  
Peritoneum: Peritoneal detail is adequate.
Gastrointestinal tract: The stomach contains a moderate volume of gas and mild fluid.  Gas is in the pylorus in the left lateral image.  Gastric rugal folds are mild to moderately prominent.  The stomach is within normal limits for size.
In the cranial abdomen, just caudal and ventral to the pylorus is a segment of intestine that is moderately enlarged with soft tissue or fluid.  Minimal mineral is suspected in this segment.  In the right lateral image s second enlarged segment of intestine is in the mid-ventral abdomen.  An intestinal segment contains a somewhat angular luminal gas focus in the mid-ventral abdomen in the right lateral image.  Small intestinal segments in the mid- and caudal ventral abdomen contains moderate fluid, minimal gas or are empty. 
The colon mild fluid or is empty and is only well-identified in the caudal abdomen.  
Musculoskeletal: The included musculoskeletal structures are normal.
</t>
  </si>
  <si>
    <t xml:space="preserve">1. Suspicious for small intestinal mechanical ileus versus enteritis/functional ileus such as from dietary indiscretion and hemorrhagic gastroenterocolitis.
2. No obvious evidence of uterine enlargement, and presumed enlarged small intestinal structures are too cranial to be uterine horns.  </t>
  </si>
  <si>
    <t xml:space="preserve">Mechanical ileus is inconsistent with reported neutrophilia, and there is no obvious evidence of peritoneal gas/evolving septic peritonitis.  Consider abdominal ultrasonography to confirm small intestinal mechanical ileus and rule out pyometra, especially given reported leukocytosis.     Exploratory celiotomy for decompression of the small intestine or ovariohysterectomy depending on results. Alternatively, consider compression radiographs over the mid-caudal abdomen for further evaluation, or repeat imaging after 8-12 hours of empirical therapy/supportive care.  Monitoring as directed, or sooner if clinical signs fail to improve or worsen.  </t>
  </si>
  <si>
    <t xml:space="preserve">
1.Splenic size, shape and margin are normal._x000D_
2.Abdominal detail is normal._x000D_
3.The stomach contains gas and small amount of amorphous soft tissue density. Small intestines are diffusely, minimally distended._x000D_
4.Liver size, shape and margin are normal.</t>
  </si>
  <si>
    <t>Three radiographs of the thorax are provided. Abdominal images dated 8/1/24 (Case ID number 272-5133, patient 1st/last name reversed) were reviewed. There is a well delineated 3.4 cm soft tissue opacity in the caudodorsal aspect of the left caudal lung lobe. This has an ovoid contour on the lateral views, slightly angular on the VD projection. There is a small amount of smooth uninterrupted periosteal proliferation along the caudal aspect of the left 7th and 8th ribs. No other pulmonary parenchymal abnormalities. The cardiac silhouette and pulmonary vessels are normal size. Mild narrowed caudal cervical trachea on the left lateral view, of doubtful significance today. On the edge of the VD projection, a small amount of smooth uninterrupted periosteal proliferation is seen along the distal humeri.</t>
  </si>
  <si>
    <t>Caudodorsal left lung mass. Primary pulmonary neoplasia is most likely. With the angular appearance on the VD view, thromboembolic insult is possible but felt to be very unlikely with the concurrent hypertrophic osteopathy. There may be concurrent mild pneumonia adjacent to the mass, causing the blood work abnormalities.</t>
  </si>
  <si>
    <t>The thoracic mass is adjacent to the thoracic wall and should be visible with ultrasound for guided sampling if a definitive diagnosis is desired for type of neoplasia.</t>
  </si>
  <si>
    <t xml:space="preserve">Patient Name : Lilibit Newton, Date of study: Aug 2, 2024
2 images are provided for review
Canine Abdomen (2 Images) - 1 Lateral, 1 Vd
There are no previous radiographs for comparison.
Liver: The liver is subjectively small with cranial dispalcement of the gastric axis, possibly exacerbated by patient obliquity.    The liver occupies 2-3 intercostal spaces width in the ventrodorsal image.  
Spleen: The spleen is normal in size with smooth margins and homogeneous soft tissue.
Kidneys: The right kidney is obscured without obvious enlargement or mineral.  The left kidney is normal.
Retroperitoneum: Retroperitoneal detail is adequate.
Urogenital: The urinary bladder is obscured partially without obvious enlargement or mineral.  
Peritoneum: Peritoneal detail is adequate.
Gastrointestinal tract: The stomach contains a moderate volume of gas and mild soft tissue material.  Gastric rugal folds are mildly prominent.   The stomach is within normal limits for size.
The small intestine contains minimal gas, mild fluid or is empty with a subjectively uniform population for size. 
The colon contains moderate heterogeneous well-defined soft tissue material and gas.   Angular mineral foci areadmixed with colonic content. The colon is within normal limits for size.  
Musculoskeletal: The included musculoskeletal structures are normal.
</t>
  </si>
  <si>
    <t>1. Prominent gastric rugal folds such as from non-specific gastritis versus variation of normal.
2. Mild colonic mineral material likely due to dietary indiscretion.
3. Non-specific small intestinal appearance such as from enteritis, or given reported history, less likely variation of normal.
- There is no current evidence of gastrointestinal mechanical ileus.
- Differential diagnoses include dietary indiscretion, toxin ingestion, diet/antibiotic responsive disease, inflammatory bowel disease, pancreatitis, occult systemic disease or unlikely other.
4. Microhepatia versus individual variation of normal or artifact from positioning/technique.
- If present, consider occult portosystemic shunt or unlikely other.
5. No obvious urocystoliths are identified.</t>
  </si>
  <si>
    <t>Consider GI panel, bile acid testing, fecal analysis/deworming and routine blood work for further evaluation.  Consider abdominal ultrasonography for further evaluation of the gastrointestinal tract and liver depending on results.  Empirical therapy and supportive care in the interim as needed for suspected dietary indiscretion and resultant gastroenterocolitis.  Monitoring as directed or sooner if clinical signs acutely change, fail to improve or worsen.</t>
  </si>
  <si>
    <t xml:space="preserve">Patient Name : Smokey Proffitt, Date of study: Aug 2, 2024
4 images are provided for review
There are no previous radiographs for comparison.
Bones/Joints:
The coxofemoral joints have no obvious osteoarthrosis.  There is adequate coverage of the femoral heads by the acetabulums.
The left stifle has no evidence of osteoarthrosis.  The left infrapatellar fat pad is well-defined
The right stifle has no evidence of osteoarthrosis.  The right infrapatellar fat pad is well-defined.
T8-9 spondylosis deformans is present.
There is no evidence of intervertebral disc space narrowing, or mineral over the intervertebral foramina.  There is no evidence of intervertebral dorsal articulation osteoarthrosis.
There is no evidence of medullary sclerosis, osteolysis, endosteal scalloping, or periosteal proliferation.
Soft tissues:  The patient is obese.  The remaining included soft tissues are normal.
</t>
  </si>
  <si>
    <t>1. Normal coxofemoral joints 
2. No obvious stifle joint osteoarthrosis.
3. T8-9 spondylosis deformans.
4. Obesity.</t>
  </si>
  <si>
    <t>Consider abdominal imaging, urine cortisol:creatiine ratio and possible abdominal ultrasonography for further evaluation of the liver, adrenal glands and gastrointestinal tract.  Neurologist consultation and MRI may also be contributory, especially if signs of paraparesis/ataxia worsen.  Empirical therapy and supportive care in the interim as needed.  Monitoring as directed or sooner if clinical signs acutely change, fail to improve or worsen.</t>
  </si>
  <si>
    <t xml:space="preserve">
1.Splenic size, shape and margin are normal._x000D_
2.The stomach is normal. The small bowel is diffusely gas- and fluid-filled without segmental small bowel dilation._x000D_
3.The liver is prominent._x000D_
4.Abdominal detail is normal.</t>
  </si>
  <si>
    <t>Orthogonal views that include the thorax, abdomen, and pelvis are provided. There are five images total._x000D_
_x000D_
No calculi are identified in the urinary tract. The appearance of the kidneys and bladder is unremarkable. The other abdominal organs are also within normal limits. Serosal detail is normal. No mass effect is seen in the abdomen or pelvic canal. The appearance of the GI tract is unremarkable._x000D_
The cardiovascular structures are within normal limits. There is mild bronchial mineralization. No active appearing pulmonary infiltrates are identified.</t>
  </si>
  <si>
    <t>No abdominal abnormalities are identified._x000D_
Urinary tract infection should be ruled out._x000D_
Soft tissue pathology affecting the bladder cannot be entirely ruled out on the basis of radiographic appearance. Ultrasound may be indicated if clinical signs persist._x000D_
_x000D_
The bronchial mineralization is generally an incidental finding, although this could also be seen secondary to chronic inflammation. Relevance should be correlated with associated clinical signs of lower airway disease. No cardiac abnormalities are identified.</t>
  </si>
  <si>
    <t>No specific cause for the clinical signs is identified._x000D_
CBC, serum chemistry, and urinalysis is recommended._x000D_
_x000D_
Ultrasound of the urinary tract could be considered if no diagnosis or resolution is obtained with labwork and medical management.</t>
  </si>
  <si>
    <t xml:space="preserve">
1.Splenic size, shape and margin are normal._x000D_
2.The colon is normal._x000D_
3.Abdominal detail is normal._x000D_
4.The small bowel is diffusely fluid filled without segmental small bowel dilation._x000D_
5.The gastric rugae are prominent on the VD proojection suggestive of gastritis. Alternatively, gastric luminal contents could be mimicking the appearance of prominent gastric rugae._x000D_
6.Liver size, shape and margin are normal.</t>
  </si>
  <si>
    <t>Orthogonal views of both hind extremities and orthogonal thoracolumbar views are provided for interpretation._x000D_
_x000D_
There is severe disc space narrowing and mild to moderate ventral subluxation involving T12-T13. There is marked remodeling of the vertebral endplates at this level. In previous radiographs dated 10-7-23, there was severe narrowing of this disc space but no bony changes or subluxation are present at that time._x000D_
There is also severe narrowing at T11-T12 which is similar to the previous study. No destructive bone lesions are identified._x000D_
There are some bowel loops in the cranioventral abdomen that appear mildly fluid dilated. The other abdominal organs are unremarkable. No abnormalities are seen in the caudal thorax._x000D_
_x000D_
There is severe blunting involving the ungual process of P3 of the right hind fourth digit. The base of P3 appears intact and articulates normally with P2. The digit appear slightly swollen. The other digits are unremarkable. No tarsal joint abnormalities are seen.</t>
  </si>
  <si>
    <t>The ungual process of the fourth digit is markedly blunted consistent with severe bone loss involving the phalanx. Considering the history, this may have been pre-existing over the last two years. There is concurrent damage to the nail bed, but it cannot be definitively determined whether this represents active osteomyelitis or the result of a previous toenail bed infection that cause loss of the bone. The local swelling is minimal._x000D_
_x000D_
There is chronic subluxation of the thoracolumbar spine at the level of T12-T13. There was previous evidence of disc degeneration at this site, but the displacement and secondary remodeling is a new finding. This is suspected to be the result of traumatic injury=ZZ90= no destructive changes that would suggest discospondylitis are identified.</t>
  </si>
  <si>
    <t>The spinal changes suspected to be the result of traumatic injury aggravating a pre-existing side of disc degeneration. Need for intervention would depend on significant article signs associate with this lesion indicative of spinal cord compression._x000D_
_x000D_
The toe changes are suspected to be the result of a previous toenail bed infection with secondary osteomyelitis that destroyed the ungual process. The possibility of active infection cannot be excluded, but should be correlated with other clinical evidence. Excisional biopsy of the digit could be necessary for definitive diagnosis.</t>
  </si>
  <si>
    <t>Orthogonal views of the abdomen are provided:_x000D_
_x000D_
Abdomen:_x000D_
_x000D_
The stomach is filled with food. Radiopaque foreign bodies are not seen._x000D_
Small intestines are mildly gas and fluid filled, not overtly distended. No signs of mechanical ileus._x000D_
Serosal detail is poor in the cranial abdomen caudal to the stomach best seen in the LL view._x000D_
Liver and spleen are within normal limits of size and smoothly marginated._x000D_
Kidneys and urinary bladder WNL.</t>
  </si>
  <si>
    <t>1) Gastric contents compatible with food. However, can not exclude soft tissue in opacity foreign material. Rule out scant effusion in the cranial abdomen.</t>
  </si>
  <si>
    <t>Consider abdominal US to further evaluate causes of vomition and to rule in/out potential scant effusion with fastened follow up radiographs in 12-24 hours to evaluate progression/defecation of the gastric material evaluating its presence on follow up radiographs, evaluating the need of an endoscopy.</t>
  </si>
  <si>
    <t>Orthogonal views of the abdomen are provided and compared to the ones form the 07/30/24:_x000D_
_x000D_
Unchanged abdomen:_x000D_
_x000D_
The stomach is empty._x000D_
Small intestines are mildly gas and fluid filled, not overtly distended. No signs of mechanical ileus._x000D_
Serosal detail is preserved._x000D_
Liver and spleen are within normal limits of size and smoothly marginated._x000D_
Kidneys and urinary bladder WNL._x000D_
_x000D_
On 07/30/24 there is microcardias and oligemia consistent with dehydration. However, in the last study on the 08/02/2024, superimposed with the cardiac silhouette there is a ventral double opacity sign with suspected air bronchograms.</t>
  </si>
  <si>
    <t>1) Unremarkable abdomen. _x000D_
2) Rule out aspiration pneumonia secondary to the reported regurgitation vs positional atelectasis.</t>
  </si>
  <si>
    <t>Consider hypoadrenocorticism management along with +/- abdominal US if necessary along with 3 new thoracic radiographs.</t>
  </si>
  <si>
    <t>Abdomen: There is a mild amount of heterogeneous soft tissue opacity within the gastric lumen.  There is no evidence of a outflow obstruction.  There is no evidence of a small intestinal foreign body or obstruction.  The liver and spleen are unremarkable.  There are no abnormalities involving the visible portions of the urinary tract.  Serosal detail is normal._x000D_
_x000D_
Thorax: The pulmonary parenchyma, cardiac silhouette, and pulmonary vasculature are unremarkable.  There is no evidence of pleural effusion or lymphadenopathy.</t>
  </si>
  <si>
    <t>The appearance of the gastric lumen most likely represents normal ingesta.  Foreign material cannot be ruled out but this is considered less likely.</t>
  </si>
  <si>
    <t xml:space="preserve">
1.Splenic size, shape and margin are normal._x000D_
2.The stomach contains gas and small amount of amorphous soft tissue density. Small intestines are diffusely, minimally distended._x000D_
3.Abdominal detail is normal._x000D_
4.Liver size, shape and margin are normal.</t>
  </si>
  <si>
    <t>Study:_x000D_
Thoracic/abdominal radiography: four images dated August 1, 2024_x000D_
_x000D_
Findings:_x000D_
The cardiac silhouette and pulmonary vasculature are normal in size. There is a moderate alveolar pattern in the ventral aspect of the right cranial lung lobe. On both lateral views, there is indistinct increased rounded soft tissue opacity in the hilar region, superimposed with the caudal trachea. The pleural space is normal.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 prostate is mildly enlarged with smooth margins. No skeletal abnormalities are present.</t>
  </si>
  <si>
    <t>1. The alveolar pattern in the right cranial lung lobe likely indicates pneumonia. Recommend empiric antibiotic therapy with repeat radiography in 10 to 14 days to monitor for response to treatment._x000D_
2. The indistinct round soft tissue opacity in the hilar region, superimposed with the caudal trachea may indicate tracheobronchial lymphadenopathy. Rule out reactivity, fungal disease or, less likely, round cell neoplasia. It is also possible that this represents a dorsally distributed focus of pneumonia. This finding should be monitored on the recheck study. Fungal serology testing can also be considered._x000D_
3. Mild prostatomegaly. Rule out intact normal variant, benign prostatic hyperplasia and/or prostatitis. The abdomen is otherwise unremarkable.</t>
  </si>
  <si>
    <t>Patient Name: Tej Pillai, Date of study: Aug 1, 2024
Abdomen: 5 images are provided for review (3 lateral, 2 VD). 
There are no previous radiographs for comparison.
Findings:
Gastrointestinal tract: The stomach contains a small volume of gas and is normal in position. The small intestines are small in size containing gas and fluid. The colon contains formed feces and gas.
Liver: The liver is within normal limits of size and shape.
Spleen: The spleen is normal in size with smooth margins.
Urinary: The visible margins of the kidneys are within normal limits. The urinary bladder is small in size and normal in opacity.
Peritoneal space: There is adequate serosal detail.
Musculoskeletal: The included skeletal and superficial soft tissue structures of the study are within normal limits.
Caudal thorax: The cardiopulmonary structures are within normal limits.</t>
  </si>
  <si>
    <t xml:space="preserve">The gastrointestinal tract is within normal limits. There is no evidence of a mechanical small intestinal obstruction or mineral/metal opaque foreign material. Nonspecific gastroenteritis and pancreatitis are not excluded.
</t>
  </si>
  <si>
    <t>Medical management supportive care for nonspecific gastroenteritis is recommended. If not already performed, cPL, CBC, biochemistry, fecal flotation, and gastrointestinal panel could be considered. If clinical signs persist despite treatment, an abdominal ultrasound would be recommended.</t>
  </si>
  <si>
    <t xml:space="preserve">Patient Name : Darla Mojica, Date of study: Aug 1, 2024
6 images are provided for review
Two additional images dated the same day are provided.  
Liver: The liver is subjectively normal in size.
Spleen: The spleen is obscured without obvious enlargement or mineral.  
Kidneys: The kidneys are obscured without obvious enlargement or mineral.  
Retroperitoneum: Retroperitoneal detail is adequate.
Urogenital: The urinary bladder is obscured without obvious mineral or enlargement.  
Peritoneum: Peritoneal detail is adequate.
Gastrointestinal tract: The stomach contains a moderate volume of gas.   The stomach is within normal limits for size.
The small intestine contains mild gas, fluid or is empty with a subjectively uniform population for size. 
The colon is severely diffusely enlarged and contains a large volume of admixed heterogeneous soft tissue material and gas. The rectum is similarly enlarged with soft tissue material and gas.  The colon dominates the mid-ventral abdomen and displaces small intestine into the caudoventral abdomen.    In the final two images, the colon is moderately to severely filled with soft tissue admixed with gas, but this is significantly less than prior, and the rectum is empty. 
Musculoskeletal: The patient is thin with concave soft tissue between spinous processes.  The remaining included musculoskeletal structures are normal.
</t>
  </si>
  <si>
    <t xml:space="preserve">1. Severe colonic and rectal enlargement with fecal material.
- This is consistent with reported chronic constipation/obstipation.  
- No obvious evidence of pelvic canal narrowing or colonic/rectal narrowing/stenosis.
2. There is no evidence of small intestinal mechanical ileus.
3. Thin body condition.  </t>
  </si>
  <si>
    <t>Etiology of the reported clinical signs is not definitively identified.  Consider occult rectoanal stenosis, dietary intolerance/lack of fiber versus underlying dysmotility/neuropathy.  There is no obvious evidence of an intra-luminal rectal/colonic obstruction or constriction such as from prior pelvic trauma.  Consider GI panel and abdominal ultrasonography to screen for underlying gastrointestinal disease contributing to reported weight loss. 
 Routine blood work and urinalysis to evaluate for electrolyte imbalance/dehydration contributing to these signs.  Monitoring as directed or sooner if clinical signs acutely change, fail to improve or worsen.</t>
  </si>
  <si>
    <t xml:space="preserve">
1.Abdominal detail is normal._x000D_
2.The stomach contains small volume gas and likely ingesta. The small bowel is diffusely gas- and fluid-filled without segmental small bowel dilation._x000D_
3.Liver size, shape and margin are normal._x000D_
4.Splenic size, shape and margin are normal.</t>
  </si>
  <si>
    <t xml:space="preserve">
Virtual Radiologist Case Difficulty: MODERATE_x000D_
Virtual Radiologist Confidence: MODERATE_x000D_
In a vomiting or anorexic patient, supportive care and therapy for gastritis is recommended.  If the symptoms persist, repeat abdominal radiographs following no food for 12-15 hours, access to water or IV fluid therapy is recommended.</t>
  </si>
  <si>
    <t>5 images of the spine are provided for review.  No fractures, luxations, or aggressive osseous lesions are seen.  Hemivertebrae are present in the thoracic spine at T6-13, most notable at T9 and T12.  There is mild lateral scoliosis centered at T12.  No mineralized intervertebral discs or overtly narrowed intervertebral disc spaces are seen.  The thoracic and abdominal structures included are normal.</t>
  </si>
  <si>
    <t>Congenital hemivertebrae with secondary scoliosis.  This does not rule out intervertebral disc herniation, tethered cord syndrome, or other causes of spinal cord compression.</t>
  </si>
  <si>
    <t>CT myelography or MRI could be considered in further evaluation.</t>
  </si>
  <si>
    <t xml:space="preserve">Patient Name : kobe elizondo, Date of study: Aug 1, 2024
3 images are provided for review
Previous images dated [07/31/2024 Case#2724646] are available for comparison.
Pulmonary parenchyma: A minimal to mild diffuse bronchial pattern is present.  Cranial lobar bronchi are subjectively narrow in the lateral images.  
Pulmonary vasculature: The pulmonary vasculature is subjectively normal in size and tapers in the periphery of the lungs.
Cardiac silhouette: The cardiac silhouette is severely enlarged and tall, occupying greater than 2//3 the height of the thorax.   the trachea is dorsally displaced.  The caudodorsal margin of the cardiac silhouette is flattened.  Rounded increased soft tissue in the region of the left atrium in the ventrodorsal image.  The cardiac silhouette is widened and occupies the width of at least four intercostal spaces.  
Mediastinum: The cranial mediastinum is mildly symmetrically widened without obvious increased soft tissue in the lateral image.
Trachea: The trachea is normal.
Esophagus: The esophagus is not well-identified.
Pleural space: The pleural space is normal.
Musculoskeletal: The T12-13 and T13-L1 and L1-2 intervertebral disc spaces are severely narrow. multifocal thoracolumbar spondylosis deformans is present.  Minimal unilateral shoulder osteoarthrosis is suspected. The remaining included musculoskeletal structures are normal.
</t>
  </si>
  <si>
    <t xml:space="preserve">1. Severe left-sided and right-sided cardiomegaly such as from myxomatous mitral with/without tricuspid valvular disease and insufficiency and/or cor pulmonale/pulmonary hypertension, or unlikely other.
- There is no current evidence of left-sided congestive heart failure.
2. Minimal to mild diffuse bronchial pulmonary pattern due to fibrosis from prior disease, age-related changes, or less likely infectious/immune-mediated lower airway disease, or unlikely other.
3. Suspected cranial lobar bronchial narrowing or less likely artifact.
- This is likely from underlying chondromalacia and dynamic airway disease.
4. T12-13, T13-L1 and L1-2 intervertebral disc disease.
5. Minimal unilateral shoulder osteoarthrosis.  </t>
  </si>
  <si>
    <t>Echocardiography, blood pressure and ECG for further evaluation if not recently performed.  Routine blood work and urinalysis if not recently performed.  Consider bronchoscopy/tracheoscopy and/or fluroscopy for further evaluation of dynamic airway disease contributing to reported clinical signs of cough.  cough may also be solely due to cardiomegaly and not cardiogenic edema.   Empirical therapy and supportive care in the interim as needed.  Monitoring as directed, or sooner if clinical signs acutely change, fail to improve or worsen.</t>
  </si>
  <si>
    <t xml:space="preserve">Patient Name : Riiley Medina, Date of study: Aug 1, 2024
3 images are provided for review
Canine Thorax (3 Images) - 1 Vd, 2 Lateral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A soft tissue band superimposes over the dorsal margin of the cervical tracheal segment.  
Esophagus: The esophagus is not well-identified.
Pleural space: The pleural space is normal.
Musculoskeletal: The soft tissues in the right 4th intercostal space are focally enlarged with a convex visceral margin, and slight displacement/compression of the right cranial lung lobe is suspected.  The remaining included musculoskeletal structures are normal.
</t>
  </si>
  <si>
    <t xml:space="preserve">1. Minimal-mild diffuse bronchial pulmonary pattern.
- Differential diagnoses include fibrosis from prior disease, age-related changes, or unlikely  infectious/immune-mediated lower airway disease or other.
2. Right 4th intercostal space/body wall focal soft tissue swelling.
- If present, this may be due to an evolving neoplasm versus trauma and hemorrhage/bruising, or less likely artifact/normal variation or other
3. Dorsal redundant tracheal membrane with/without underlying dynamic airway disease versus superimposed normal structures.  </t>
  </si>
  <si>
    <t>Consider computed tomography of the thorax for further evaluation of the body wall and a more sensitive evluation of the lungs.  Routine blood work if not recently performed.  Empirical therapy and supportive care in the interim as needed. Monitoring as directed or sooner if clinical signs acutely change, fail to improve or worsen.</t>
  </si>
  <si>
    <t>Study:_x000D_
Thoracic/abdominal radiography: three images dated August 1, 2024_x000D_
_x000D_
Findings:_x000D_
The cardiac silhouette and pulmonary vasculature are normal in size. The pulmonary parenchyma is unremarkable. The pleural space is normal. There is no intrathoracic lymphadenopathy. The trachea is normal in diameter and course.the abdominal serosal detail is normal. The stomach contains a small volume of gas. The small intestines are normal in size, course and content. The colon contains a small volume of gas with a normal diameter. The liver and spleen are normal in size and margin. The renal silhouettes are normal in size and contour. The urinary bladder is normal in size and opacity. There is no prostatomegaly. There is mild bilateral stifle periarticular bone formation. There is a discrete lucency in the cranial proximal aspect of the left tibia either represent a drill tract from prior lateral suture procedure or an incidental retained cartilaginous core. There is a small lipomatous mass in the subcutaneous tissues of the mid-ventral thorax. This mass is superimposed with the caudal segment of the left cranial lung lobe on the VD view. There is also a lipomatous mass in the subcutaneous tissues at the level of the right distal humerus.</t>
  </si>
  <si>
    <t>1. Unremarkable abdomen. A cause of chronic diarrhea is not evident. Abdominal sonography and a G.I. panel can be considered for further evaluation._x000D_
2. Normal thorax._x000D_
3. Mild bilateral stifle osteoarthrosis.</t>
  </si>
  <si>
    <t xml:space="preserve">
1.Serosal detail within the peritoneal space is normal._x000D_
2.The stomach contains a small volume of fluid opaque material and gas. The gastric rugae appear prominent._x000D_
3.The small bowel contains gas and fluid and is normal in diameter._x000D_
4.The colon contains scant fecal material and gas._x000D_
5.The liver and spleen are normal in size and shape._x000D_
6.No abnormal AI findings reported.</t>
  </si>
  <si>
    <t xml:space="preserve">Patient Name : Tokio Rogoff, Date of study: Aug 1, 2024
3 images are provided for review
Canine Abdomen (3 Images) - 2 Lateral, 1 Vd
There are no previous radiographs for comparison.
Liver: The liver is moderately enlarged with a rounded caudoventral margin extending past the level of the 13th ribs and caudal displacement of the gastric axis.
Spleen: The spleen is normal in size with smooth margins and homogeneous soft tissue.
Kidneys: The left kidney is normal.  The right kidney is partially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admixed with gas.  Gas is in the pylorus in the left lateral image.   The stomach is within normal limits for size.
The small intestine contains moderate heterogeneous gas admixed with fluid or is empty with a subjectively uniform population for size. 
The colon contains mild heterogeneous soft tissue material admixed with gas.  The colon is within normal limits for size.  
Musculoskeletal: Severe bilateral coxofemoral joint osteoarthrosis and shapplow acetabulums are present.  The remaining  included musculoskeletal structures are normal.
</t>
  </si>
  <si>
    <t>1. Moderate hepatomegaly due to vacuolar change and underlying hyperadrenocorticism versus other, and/or, nodular hyperplasia, hepatitis/cholangiohepatitis, or unlikely evolving neoplasia.
2. Non-specific gastrointestinal tract appearance such as from enteritis, colitis, or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3. Gastric material due to recent meal or given reported history, less likely gastritis/delayed emptying.  
4. Severe bilateral coxofemoral joint osteoarthrosis and subluxation.</t>
  </si>
  <si>
    <t>Consider abdominal ultrasonography, routine blood work, and ACTH stimulation testing or urine cortisol:creatinine ratio for further evaluation of the liver, adrenal glands, and gastrointestinal tract.  consider repeat abdominal radiographs after 8-12 hours of fasting to monitor for passage of gastric contents if clinically indicated.  Empirical therapy and supportive care in the interim as needed.  Consider coxofemoral joint therapy and exercise restriction as needed.</t>
  </si>
  <si>
    <t xml:space="preserve">
1.Cranial abdominal detail is mildly decreased on the VD projection. This is attributed to the increase in soft tissue opacity in the left cranial abdomen. Abdominal fluid is a lesser consideration but would be more likely if a splenic mass is present._x000D_
2.On the lateral projection, the liver is mildly enlarged with rounded margins. The ventral abdominal line is pendulous._x000D_
3.On the VD projection, an increase in soft tissue opacity is noted in the region of the spleen and left kidney. DDx: superimposition of the spleen and left kidney vs. splenomegaly, splenic mass or other mass in this region._x000D_
4.Formed feces in the distal colon._x000D_
5.The stomach and small bowel are minimally filled.</t>
  </si>
  <si>
    <t>Five radiographs of the thorax, abdomen, and spine are provided. Cervical vertebral alignment is normal, with no definitive narrowed intervertebral disc spaces. Tracheal diameter and position are normal. The cardiac silhouette and pulmonary vessels are normal size and shape. The lungs are clear. No pleural effusion. No rib or sternal abnormalities. Normal thoracic spine. In the abdomen there is no peritoneal effusion or organomegaly. Small-volume semi-formed feces in the colon. The stomach and small bowel are minimally filled. Scant peritoneal gas consistent with recent surgery. The urinary bladder is not seen due to minimal distention. No narrowed thoracolumbar intervertebral disc spaces. The coxofemoral joints are congruent.</t>
  </si>
  <si>
    <t>Normal thorax, abdomen, spine. A reason for discomfort is not identified. A non-mineralized protruding/extruded intervertebral disc is suspected.</t>
  </si>
  <si>
    <t>Current treatment is appropriate. If spinal discomfort persists, additional spinal imaging such as CT/MRI should be considered.</t>
  </si>
  <si>
    <t>WHOLE-BODY (6 total radiographs for review). _x000D_
_x000D_
- The pulmonary parenchyma is normal_x000D_
- The cardiac silhouette and pulmonary vasculature are normal._x000D_
- On the only lateral projection of the thorax provided, there is a smooth round soft tissue opacity dorsal to the second sternal segment._x000D_
- The trachea, esophagus and remainder of the mediastinum are normal._x000D_
- The pleural space and remaining intrathoracic structures are normal._x000D_
- Peritoneal serosal detail is normal._x000D_
- The stomach contains moderate gas and mild gas-stippled soft-tissue opaque material_x000D_
- The small intestine contains mild multifocal gas and soft-tissue opaque material_x000D_
- The colon contains gas, soft-tissue/fluid and poorly formed fecal material._x000D_
- The spleen is mildly enlarged, with rounded margins._x000D_
- The liver, region of the kidneys and urinary bladder are normal._x000D_
- No musculoskeletal abnormalities are noted.</t>
  </si>
  <si>
    <t>1.  A discrete radiographic cause for the reported hacking/gagging is not clearly identified.  The bronchopulmonary structures are normal. There is no evidence of pulmonary consolidation to suggest active pneumonia, however radiographic sensitivity for subtle lower airway disease such as tracheobronchitis can be limited.  No evidence of esophageal foreign material or esophagitis is distinctly noted._x000D_
_x000D_
2.  Possible sternal lymphadenopathy.  This is an uncertain finding as it is only seen on one lateral projection (and may be artefactual from superimposed fascial planes) however if real may represent enlargement from reactive etiologies is most likely.  The sternal lymph node can drain both the thoracic and peritoneal cavities.  You may consider evaluating for persistence of this finding over time with treatment via serial/recheck thoracic radiographs._x000D_
_x000D_
3. Mild splenomegaly. DDx congestion from sedation, lymphoid hyperplasia, EMH, less likely neoplasia._x000D_
_x000D_
4.  Aerophagia.</t>
  </si>
  <si>
    <t xml:space="preserve">
1.Splenic size is at the upper limits of normal to mildly enlarged._x000D_
2.Cranial abdominal detail is mildly decreased however this is attributed to superimposed soft tissue structures. Regional inflammation is a secondary consideration._x000D_
3.There are multiple loops of mildly gas distended small intestine._x000D_
4.The stomach appears empty._x000D_
5.The colon contains gas and portions of the colon have a rigid appearance._x000D_
6.Liver size, shape and margin are normal.</t>
  </si>
  <si>
    <t>WHOLE-BODY (4 total radiographs for review). _x000D_
_x000D_
- Peritoneal serosal detail is normal._x000D_
- The stomach contains mild gas and gas-stippled soft-tissue opaque material_x000D_
- The small intestine is mildly multifocally distended and contains gas and soft-tissue opaque material_x000D_
- The colon contains gas, soft-tissue/fluid and minimal formed fecal material._x000D_
- The liver, spleen, region of the kidneys and urinary bladder are normal._x000D_
- The left side of the cardiac silhouette is mildly enlarged, with a rounded bulge in the region of the left atrium.  The pulmonary vasculature is unremarkable._x000D_
- The pulmonary parenchyma is normal_x000D_
- The trachea, esophagus and remainder of the mediastinum are normal._x000D_
- The pleural space and remaining intrathoracic structures are normal._x000D_
- Mild bilateral coxofemoral periarticular osteophyte formation.</t>
  </si>
  <si>
    <t>1. The appearance of the stomach, small intestine and colon can be compatible with a non-specific generalized functional ileus (e.g. gastroenterocolitis). There is no evidence of small intestinal foreign material or mechanical obstruction. If clinically indicated (such as if the patient does not improve or worsens despite medical management), abdominal ultrasonography might be considered._x000D_
_x000D_
2. Mild left-sided cardiomegaly, without pulmonary vasculature congestion or congestive heart failure. Most likely compatible with degeneration of the mitral valve. Consider careful cardiac auscultation and echocardiography/ECG for further assessment.  _x000D_
_x000D_
3. Mild bilateral coxofemoral osteoarthritis.</t>
  </si>
  <si>
    <t xml:space="preserve">Patient Name : xena eurich, Date of study: Aug 1, 2024
3 images are provided for review
Canine Abdomen (3 Images) - 2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partially obscured and segments of small intestine with mineral contents partially superimpose over the urinary bladder.
Peritoneum: Peritoneal detail is adequate.
Gastrointestinal tract: The stomach contains a mild volume of gas and fluid or is empty.   The stomach is within normal limits for size.
The small intestine contains mild gas, mild to moderate fluid or is empty with a subjectively uniform population for size.  Multiple segments of small intestine contains mild ill-defined mineral material.
The colon contains moderate heterogeneous soft tissue material admixed with gas.  Mild mineral is admixed with colon contents.  The colon is within normal limits for size.  
Musculoskeletal: The included musculoskeletal structures are normal.
</t>
  </si>
  <si>
    <t>1. Non-specific gastrointestinal tract appearance such as from enteritis, colitis, or given reported history, unlikely individual variation of normal.
- There is no current evidence of gastrointestinal mechanical ileus.
- Differential diagnoses include dietary indiscretion (such as from mineral material) or less likely, toxin ingestion, diet/antibiotic responsive disease, inflammatory bowel disease, pancreatitis, occult systemic disease or unlikely other,</t>
  </si>
  <si>
    <t>This examination does not rule out ovarian remnant syndrome given reported spayed status of this patient.  Consider abdominal computed tomography or ultrasonography for further evaluation of remnant ovarian tissue, but celiotomy and revision may ultimately be necessary.  Hormonal assay and internist consultation may be contributory.  Consider routine blood work, gI panel and fecal analysis/deworming for further evaluation.  Empirical  therapy for gastroenterocolitis in the interim as needed.  Repeat abdominal radiographs after 8-12 hours of empirical therapy and fasting to monitor for passage of the gastrointestinal contents.  Monitoring as directed or sooner if clinical signs acutely change, fail to improve or worsen.</t>
  </si>
  <si>
    <t>Orthogonal radiographs of the abdomen are provided. The uterus is diffusely fluid dilated. No mineralized fetal skeletons are visible. The gastrointestinal tract is minimally filled. Normal size liver, spleen. The kidneys are incompletely visible. No osseous abnormalities.</t>
  </si>
  <si>
    <t>Fluid dilated uterus. Unless the patient whelped within the last week, this is most consistent with pyometra.</t>
  </si>
  <si>
    <t>Unless the patient whelped within the last week, surgical intervention is recommended.</t>
  </si>
  <si>
    <t xml:space="preserve">
1.The liver is normal size._x000D_
2.There is a mid-ventral abdominal soft tissue mass._x000D_
3.Mid abdominal peritoneal detail is decreased._x000D_
4.The stomach contains a moderate amount of soft tissue opacity._x000D_
5.Formed feces fills the colon._x000D_
6.Small intestines are mildly filled._x000D_
7.This mass causes deviation of bowel loops.</t>
  </si>
  <si>
    <t xml:space="preserve">Patient Name : Pulga Casanova, Date of study: Aug 1, 2024
3 images are provided for review
Canine Abdomen (3 Images) - 2 Lateral, 1 Vd
There are no previous radiographs for comparison.
Liver: The liver is subjectively normal in size.
Spleen: The spleen is normal in size with smooth margins and homogeneous soft tissue.
Kidneys: The kidneys are partially obscured without obvious enlargement or mineral.  
Retroperitoneum: Retroperitoneal detail is adequate.
Urogenital: The urinary bladder is not well-identified but no obvious enlargement or mineral is present.  
Peritoneum: Peritoneal detail is adequate.
Gastrointestinal tract: The stomach contains a mild volume of gas and fluid or is empty.   The stomach is within normal limits for size.
The small intestine contains minimal gas, mild fluid or is empty with a subjectively uniform population for size. 
The colon contains moderate heterogeneous soft tissue material and gas.  The colon is within normal limits for size.  
Musculoskeletal: The included musculoskeletal structures are normal.
</t>
  </si>
  <si>
    <t>1. Non-specific gastrointestinal tract appearance such as from evolving  enteritis,, or given reported history, individual variation of normal/passing ingesta.
- There is no evidence of small intestinal mechanical ileus.</t>
  </si>
  <si>
    <t>Consider repeat abdominal radiographs if clinical signs such as vomiting or diarrhea or persistent anorexia manifest. Empirical therapy and supportive care in the interim as needed.  Monitoring as directed or sooner if clinical signs acutely change, fail to improve or worsen.</t>
  </si>
  <si>
    <t xml:space="preserve">
1.The colon appears to contain a small amount of formed stool and a mild but variable amount of gas._x000D_
2.Several small bowel loops also are mildly gas filled._x000D_
3.No overtly dilated loops of bowel are noted._x000D_
4.Adequate serosal detail is noted in the peritoneal space._x000D_
5.The stomach contains a moderate amount of food-like material and a mild amount of gas._x000D_
6.No abnormal AI findings reported._x000D_
7.The spleen and liver appear within normal limits.</t>
  </si>
  <si>
    <t>A lateral thorax view, a VD view that includes the cranial thorax and neck, and orthogonal abdomen views are provided._x000D_
_x000D_
There is a mild bronchointerstitial pulmonary pattern, that is more prominent than expected considering the relatively young age of the patient. No alveolar infiltrates are seen. No thoracic lymphadenopathy or pleural effusion is identified. The trachea has smooth walls and normal uniform diameter. No esophageal abnormalities are seen._x000D_
_x000D_
The abdominal organs are all within normal size and shape limits. The appearance of the GI tract is unremarkable._x000D_
No musculoskeletal abnormalities are identified.</t>
  </si>
  <si>
    <t>There is a mild bronchointerstitial pattern. Considering the chronic history of coughing, this patient likely has allergic bronchitis or idiopathic chronic bronchitis. There is potential for secondary infection but probably of a low-grade nature. No evidence of pneumonia or esophageal pathology is seen that would easily account for the presenting complaint._x000D_
Upper airway pathology involving the pharynx/larynx should still be ruled out._x000D_
_x000D_
No abdominal abnormalities are identified.</t>
  </si>
  <si>
    <t>The radiographic appearance suggests chronic lower airway disease that likely accounts for the chronic cough, but is equivocal as to the current presenting complaint with more acute signs._x000D_
Sedated laryngeal/pharyngeal exam should be considered._x000D_
CBC, heartworm testing, and Baermann fecal exam for lungworms is recommended.</t>
  </si>
  <si>
    <t xml:space="preserve">
1.Abdominal detail is normal._x000D_
2.The GI tract is normal._x000D_
3.Liver size, shape and margin are normal._x000D_
4.Splenic size, shape and margin are normal.</t>
  </si>
  <si>
    <t xml:space="preserve">Patient Name : Cinnamon Lacey, Date of study: Aug 1, 2024
3 images are provided for review
Canine Abdomen (3 Images) - 2 Lateral, 1 Vd
There are no previous radiographs for comparison.
Liver: The liver is small with cranial displacement of the gastric axis.
Spleen: The spleen is normal in size with smooth margins and homogeneous soft tissue.  The spleen is presumed over the right mid-abdomen in the ventrodorsal image.  
Kidneys: The left kidney is normal.  The right kidney is obscured without obvious mineral or enlargement.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admixed with gas.  The stomach is within normal limits for size.
The small intestine contains mild gas and fluid or is empty with a subjectively uniform population for size. 
The colon contains mild heterogeneous soft tissue material and gas.  The colon is within normal limits for size.  
Musculoskeletal: The included musculoskeletal structures are normal.
</t>
  </si>
  <si>
    <t xml:space="preserve">1. Gastric material due to recent meal, versus gastritis/delayed gastric emptying or given reported history, unlikely pyloric outflow tract obstruction given.
2. Non-specific small intestinal appearance such as from variation of normal or given reported history unlikely other.
3. Microhepatia versus artifact/individual variation of normal.
- If present, consider occult portosystemic shunt, or unlikely chronic hepatitis/cirrhosis or other.
4. No radiopaque urocystoliths are identified.  </t>
  </si>
  <si>
    <t>consider urinalysis, urine culture/sensitivity testing and abdominal ultrasonography for further evaluation of the urinary bladder and kidneys.  Consider consultation for hooded vulvar confirmation contributing to reported recurrent urinary tract infections.  Internist and/or surgeon consultation may be contributory.  Empirical therapy and supportive care in the interim as needed.  Monitoring as directed or sooner if clinical signs acutely change, fail to improve or worsen.</t>
  </si>
  <si>
    <t xml:space="preserve">
1.No effusion is present._x000D_
2.Moderate volume soft tissue opacity and/or gas fills the stomach._x000D_
3.The liver and spleen are normal size._x000D_
4.Small intestines are mildly filled with a mixture of fluid and gas._x000D_
5.No segmental small intestinal distention is present._x000D_
6.No abnormal AI findings reported.</t>
  </si>
  <si>
    <t>6 views of the thorax and abdomen are submitted for review._x000D_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The stomach and small bowel are within normal limits.  A mild amount of gas is noted throughout the colon.  The liver is mildly enlarged.  The spleen is normal in size and shape.  The renal silhouettes and urinary bladder are normal.  Serosal detail is adequate._x000D_
No osseous abnormalities are seen.</t>
  </si>
  <si>
    <t>Mild hepatomegaly.  Differentials include vacuolar hepatopathy or less likely inflammation or neoplasia._x000D_
Radiographically normal thorax.</t>
  </si>
  <si>
    <t>Empirical medical management for gastroenteritis and PLE may be helpful._x000D_
_x000D_
Abdominal ultrasound could be considered for further evaluation if there is sufficient clinical concern.</t>
  </si>
  <si>
    <t>Study:_x000D_
Abdominal radiography: three images dated August 1, 2024_x000D_
_x000D_
Findings:_x000D_
The serosal detail is age appropriate. The stomach contains unstructured heterogeneous soft tissue material with a small amount of interspersed granular mineral. Similar material is scattered throughout the small intestines. The small intestines are normal in size and course. The colon contains formed fecal material with a normal diameter. The liver and spleen are normal in size and margin. The renal silhouettes are normal in size and contour. The urinary bladder is normal in size and opacity. There is no prostatomegaly. The patient has multiple, breed associated, congenitally anomalous thoracic and caudal vertebrae.</t>
  </si>
  <si>
    <t xml:space="preserve">
1.Liver size is normal to upper limits of normal. Liver margin is normal._x000D_
2.Splenic size, shape and margin are normal._x000D_
3.The stomach contains gas and ingesta or prominent rugae. The small bowel is diffusely fluid filled but without segmental small bowel dilation._x000D_
4.Abdominal detail is normal.</t>
  </si>
  <si>
    <t>Opposite lateral and VD abdomen views that include the caudal thorax and the pelvis are provided for interpretation._x000D_
_x000D_
All the abdominal organs are within normal size and shape limits. No abnormalities are identified involving the gastrointestinal tract. Serosal detail in the abdomen is normal. No mass lesions are seen._x000D_
_x000D_
No spinal abnormalities are identified. The pelvis and hip joints are within normal limits for breed. No destructive or productive bone lesions are identified._x000D_
_x000D_
The caudal thorax is unremarkable.</t>
  </si>
  <si>
    <t>No significant anatomic abnormalities are identified._x000D_
Systemic infectious disease or metabolic disease should be ruled out.</t>
  </si>
  <si>
    <t>CBC, serum chemistry including pancreatic specific lipase, and urinalysis is recommended._x000D_
_x000D_
Fever of unknown origin panel should also be considered._x000D_
_x000D_
Supportive care symptomatic therapy is recommended.</t>
  </si>
  <si>
    <t xml:space="preserve">
1.The spleen is normal size._x000D_
2.Serosal detail is adequate._x000D_
3.The stomach contains a moderate amount of amorphous soft tissue opacity and gas._x000D_
4.Small intestines are mildly fluid-filled._x000D_
5.Small volume semi-formed feces is present in the colon._x000D_
6.No abnormal AI findings reported.</t>
  </si>
  <si>
    <t xml:space="preserve">
Virtual Radiologist Case Difficulty: MODERATE_x000D_
Virtual Radiologist Confidence: MODERATE_x000D_
Abdominal ultrasound could be considered to further investigate the liver._x000D_
If GI signs are present, supportive and symptomatic therapy for gastroenteritis can be considered. Repeat radiographs to assess for passage of gastric contents or obstruction, and abdominal ultrasound could be performed for further evaluation.</t>
  </si>
  <si>
    <t>Three radiographs of the abdomen are provided. The urinary bladder is distended and soft tissue opaque. The uterus is not visible. Moderate volume of formed feces fills the colon. Small bowel are mildly filled with fluid and gas. The stomach is minimally filled. Normal-sized kidneys, liver, spleen. Mild degenerative change in the left coxofemoral joint. There is uninterrupted smooth periosteal proliferation along the cranial margin of both femurs, and possibly along the lateral margin of both ilial bodies. No other osseous abnormalities. On the edge of both of the lateral views there is well delineated soft tissue opacity overlying the caudal dorsal lungs. On the VD projection there is increased opacity in the region of the left caudal lung.</t>
  </si>
  <si>
    <t>1. Soft tissue opacity in the caudodorsal thorax, possibly within the left caudal lung, not significantly concerning for neoplasia. Periosteal proliferation in both femurs and possibly in the pelvis is significantly concerning for hypertrophic osteopathy. Esophageal dilation causing the lateral appearance is next on the differential list._x000D_
2. No abdominal abnormalities.
(amended on 08/06/2024 09:34)
The above sentence should read, =ZZ92=1. Soft tissue opacity in the caudodorsal thorax, possibly within the left caudal lung, IS significantly concerning for neoplasia. Periosteal proliferation in both femurs and possibly in the pelvis is significantly concerning for hypertrophic osteopathy. Esophageal dilation causing the lateral appearance is next on the differential list.</t>
  </si>
  <si>
    <t>Three-view thoracic radiographic study is recommended. If no abnormalities are confirmed within the thorax, abdominal ultrasound would be recommended.</t>
  </si>
  <si>
    <t xml:space="preserve">
1.Resource: https://platform.v2.vetology.net/doc/liver_disease_x000D_
2.Splenic size, shape and margin are normal._x000D_
3.The stomach contains a moderate amount of gas and likely food._x000D_
4.The small intestines are a combination of gas-filled and fluid-filled/collapsed, and all are within normal limits for diameter._x000D_
5.There is a moderate amount of colonic fecal material._x000D_
6.The liver is slightly small but retains a smooth margin._x000D_
7.No abnormal AI findings reported.</t>
  </si>
  <si>
    <t>Microhepatia may be normal for this patient though could suggest causes such as microvascular dysplasia or portosystemic shunting.</t>
  </si>
  <si>
    <t xml:space="preserve">
Virtual Radiologist Case Difficulty: MODERATE_x000D_
Virtual Radiologist Confidence: MODERATE_x000D_
If the potential microhepatia is of clinical concern, pre- and post-prandial bile acid testing could be considered in addition to blood work and abdominal ultrasound.</t>
  </si>
  <si>
    <t>Study:_x000D_
Abdominal radiography: right lateral and VD views (two images) dated August 1, 2024_x000D_
_x000D_
Findings:_x000D_
The serosal detail is normal. The stomach contains a small volume of gas. The small intestines are normal in size, course and content. The colon contains a small volume of gas. The liver and spleen are normal in size and margin. The kidneys are normal in size and contour. The urinary bladder is normal in size and opacity. There is no prostatomegaly. The included thorax is normal. No skeletal abnormalities are present.</t>
  </si>
  <si>
    <t xml:space="preserve">
1.The gastric lumen contains a mild amount of soft tissue and gas opacity._x000D_
2.The pyloroduodenal is widened and the proximal duodenum contains a mild amount of air._x000D_
3.The gastric rugae are prominent._x000D_
4.The small intestine is of uniform population size and is diffusely of soft tissue opacity with minimal gas opacity._x000D_
5.No mechanical ileus is visualized._x000D_
6.The colon contains a mild amount of gas caudally and ill-formed heterogenous fecal material cranially._x000D_
7.The liver and spleen are normal._x000D_
8.There is a focal loss of serosal detail in the cranial abdomen on the VD projection._x000D_
9.No abnormal AI findings reported.</t>
  </si>
  <si>
    <t>Three radiographs of the abdomen are provided. There is no peritoneal or retroperitoneal effusion. Small volume fluid in the colon. Small bowel are mildly filled with gas and scant fluid. There is gas in the stomach. Normal rugal folds are visible. No radiopaque foreign material. Normal-sized liver, spleen, kidneys. The caudal thorax and osseous structures are unremarkable.</t>
  </si>
  <si>
    <t>Evidence of diarrhea. No other abnormalities are present on this study. Gastroenteritis/pancreatitis secondary to dietary indiscretion is most likely. There is no evidence of an obstructive process.</t>
  </si>
  <si>
    <t>If the patient does not improve with supportive care, abdominal ultrasound would be recommended.</t>
  </si>
  <si>
    <t xml:space="preserve">
1.The stomach contains gas and soft tissue dense material. There is diffuse gas dilation of the small bowel without evidence of obstruction._x000D_
2.Liver size, shape and margin are normal._x000D_
3.Splenic size, shape and margin are normal._x000D_
4.Abdominal detail is normal.</t>
  </si>
  <si>
    <t xml:space="preserve">Patient Name : deacon houghtaling, Date of study: Aug 1, 2024
4 images are provided for review
There are no previous radiographs for comparison.
Liver: The liver is subjectively normal in size.
Spleen: The spleen is normal in size with smooth margins and homogeneous soft tissue.
Kidneys: The kidneys are partially obscured without obvious enlargement or mineral. 
Retroperitoneum: Retroperitoneal detail is adequate.
Urogenital: The urinary bladder is partially obscured without obvious enlargement or mineral.  
Peritoneum: Peritoneal detail is adequate.
Gastrointestinal tract: The stomach contains a moderate heterogeneous soft tissue material admixed with gas.   This material is in the pylorus in the left lateral image.  The stomach is within normal limits for size.
In a segment of small intestine or possibly the descending colon in the mid-abdomen is a well-defined small metal foreign body (earring back).  The small intestine contains mild gas and is subjectively uniform population for size. 
The colon contains mild gas.  The colon is within normal limits for size.  
Musculoskeletal: The included musculoskeletal structures are normal.
</t>
  </si>
  <si>
    <t xml:space="preserve">1. Gastric material due to recent meal versus gastritis/delayed emptying or pyloric outflow tract obstruction/foreign material given reported history and clinical signs.
2. Small metal foreign body in the mid-abdomen (earring back presumed) and resultant enteritis/colitis.
- There is no evidence of small intestinal mechanical ileus.  </t>
  </si>
  <si>
    <t>Empirical therapy and supportive care with repeat abdominal images after 8-12 hours of fasting to monitor for passage of the gastric material.  Consider gastroscopy and retrieval of this material if it is persistent in additional imagines, especially if clinical signs fail to improve or worsen in the face of empirical therapy for enteritis/colitis/gastritis and dietary indiscretion.  Monitoring as directed, or sooner if clinical signs acutely change, fail to improve or worsen.</t>
  </si>
  <si>
    <t>Three radiographs of the thorax, and three views of the abdomen are provided. The cardiac silhouette is normal size and shape. Pulmonary vessels and caudal vena cava are normal size. No abnormalities in the pulmonary parenchyma. No pleural fluid or gas. The diaphragm is intact. Increased opacity overlying the caudal right thorax on the VD projection (left laterality marker located on the right side of the patient) is due to superimposed skinfold and expiration._x000D_
_x000D_
In the abdomen there is small volume gas and scant mineral opaque debris in the stomach. Small intestines are minimally distended. Small volume of formed feces in the distal colon. Normal-sized kidneys, liver, spleen. The urinary bladder is minimally distended and soft tissue opaque. Normal lumbar spine. Mild degenerative change in the right coxofemoral joint, of doubtful significance.</t>
  </si>
  <si>
    <t>Mineral debris in the stomach may be residual ingesta and administered medications. Foreign material is given lesser consideration in the absence of vomiting. Otherwise normal abdomen and thorax. There is no evidence of trauma on this study.</t>
  </si>
  <si>
    <t>A CBC and blood chemistry profile could be considered.</t>
  </si>
  <si>
    <t>Patient Name : Jonsie Baker, Date of study: Aug 1, 2024
3 images are provided for review
Canine Abdomen (3 Images) - 1 Vd, 2 Lateral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admixed heterogeneous soft tissue material admixed with gas.   The stomach is within normal limits for size.
In the right lateral image, a segment of small intestine in the caudoventral abdomen is moderately gas-distended.  This segment contains eccentric tubular or angular soft tissue over the lumen.  A segment of suspected small-intestine in the mid-abdomen in the right lateral image contains moderate gas surrounding thick tubular soft tissue material.  This segment is partially superimposed over the descending colon.  Other small intestinal segments contains mild gas or mild to moderate gas and fluid.
The colon contains moderate gas.  The colon wall is spastic.  The colon is within normal limits for size.  
Musculoskeletal: The included musculoskeletal structures are normal.</t>
  </si>
  <si>
    <t>1. Suspicious small intestinal segments in the caudoventral abdomen and mid-abdomen for linear or cloth foreign body and mechanical ileus.
- This is especially suspicious given reported recent dietary indiscretion.  
2. Large volume of gastric material due to foreign material, and/or recent meal, or a combination of these.
- This examination does not rule out material in the stomach/pylorus stranding into the duodenum.</t>
  </si>
  <si>
    <t>Consider compression images over the mid-abdomen to further scrutinize the suspicious small intestinal segments, versus abdominal ultrasonography and/or computed tomography of the abdomen for further evaluation of the pylorus/stomach and duodenum and to confirm mechanical ileus.  Exploratory celiotomy especially if mechanical ileus is confirmed and enterotomy with/without gastrotomy as needed.  Empirical therapy and supportive care in the interim with fluid therapy, etc..  If no signs of vomiting and patients condition responds to medical therapy, consider repeat radiographs after 8-12 hours of fasting to monitor for passage of gastric/intestinal material versus persistent suspicion of mechanical ileus.</t>
  </si>
  <si>
    <t xml:space="preserve">
1.Liver size, shape and margin are normal._x000D_
2.Splenic size, shape and margin are normal._x000D_
3.The stomach contains small volume gas and scant amorphous soft tissue density material. The small bowel is normal._x000D_
4.Abdominal detail is normal.</t>
  </si>
  <si>
    <t>Three radiographs of the abdomen are provided. Peritoneal and retroperitoneal detail is adequate. The stomach is minimally distended with gas and scant amorphous soft tissue density. Small intestines are mild to moderately filled with fluid and similar small volume amorphous soft tissue density. Gas and small-volume semi-formed feces in the colon. Normal-sized liver, spleen, kidneys. No radiopaque cystic calculi. Normal caudal thorax. Narrowed T12-13 and L4-5 intervertebral disc spaces, of doubtful clinical significance today.</t>
  </si>
  <si>
    <t>Equivocal scant soft tissue density in the stomach may be residual ingesta and fluid/mucus. Foreign material causing gastritis and pyloric outflow obstruction is not definitively ruled out. Small intestinal functional ileus. This is a nonspecific finding that may be due to enteritis, stress/discomfort, metabolic abnormality, partial obstruction. There is no severe intestinal distention to suggest complete obstruction.</t>
  </si>
  <si>
    <t>Recommend CBC, blood chemistry profile, testing for pancreatitis, and supportive care to include gastroprotectants. Abdominal ultrasound should be considered. If hematemesis is severe/persistent, exploratory surgery may be necessary.</t>
  </si>
  <si>
    <t xml:space="preserve">
1.No abnormal AI findings reported._x000D_
2.The liver and spleen are normal for size._x000D_
3.Abdominal detail is normal._x000D_
4.The stomach is mildly gas and fluid dilated._x000D_
5.There is gas and mild fluid dilation noted within the descending duodenum._x000D_
6.The small bowel contains gas and fluid but is largely normal in diameter throughout._x000D_
7.There is also gas and fluid distention of the cecum and the entire length of the colon._x000D_
8.View GI resource: https://platform.v2.vetology.net/doc/GI</t>
  </si>
  <si>
    <t>Ten radiographs are provided, with images of the thorax, abdomen, pelvis, and left stifle. Previous thoracic images dated 12/28/2020 are available for comparison. The cardiac silhouette is normal size and shape. Mild age-related changes are present in the lungs. There are no soft tissue pulmonary nodules or intrathoracic lymphadenomegaly. Small round soft tissue densities caudal to the tracheal bifurcation are end-on pulmonary vessels. Adequate tracheal diameter._x000D_
_x000D_
In the abdomen the liver and spleen are normal size. The kidneys are incompletely visible due to superimposed intestinal loops. The gastrointestinal tract is moderately filled. No radiopaque cystic calculi. Normal lumbar spine. The coxofemoral joints are congruent. Pelvic limb musculature is mildly reduced on the left. Patellar location is normal. There is small volume fluid in the cranial aspect of the left stifle joint.</t>
  </si>
  <si>
    <t>1. Mild left stifle effusion most consistent with partial cranial cruciate ligament tear. This is the most likely cause for lameness. No other pelvic limb abnormalities._x000D_
2. Normal thorax and abdomen.</t>
  </si>
  <si>
    <t>Four radiographs of the thorax/abdomen are provided. The cardiac silhouette is normal size with no chamber enlargement. Faint bronchial markings and a few pulmonary osteomas is normal for the age of this patient. There is no pleural effusion or soft tissue pulmonary nodules. The trachea is normal diameter. Broad-based dorsal right extrathoracic 4.7 cm mass, with no adjacent osseous abnormalities._x000D_
_x000D_
In the abdomen the prostate is severely enlarged, consistent with the reproductive status of this patient. Serosal detail is adequate. The gastrointestinal tract is mildly filled. Normal-sized liver, spleen. One of the kidneys is visible on the lateral views and is normal size. Otherwise the kidneys are obscured by superimposed bowel loops. The T12-13, T13-L1 intervertebral disc spaces are severely narrowed, with mild kyphosis centered at T13. Ovoid lucency in the spinous process of T13 is incidental. Narrowed L3-4, L4-5 intervertebral disc spaces, with mineral density overlying the intervertebral foramina.</t>
  </si>
  <si>
    <t>1. Probable intervertebral disc disease at T12-13, T 13-L1, L3-4, L4-5. Such a lesion at these or another site is the most likely cause for the neurologic deficits._x000D_
2. Dorsolateral right extrathoracic mass is most likely incidental lipoma. A malignant soft tissue neoplasm is given lesser consideration. This should be correlated with cytology. No intrathoracic abnormalities. There is no evidence of cardiovascular disease on this study. A small valvular regurgitant jet can result in a relatively loud murmur._x000D_
3. Normal abdomen.</t>
  </si>
  <si>
    <t>With the mild clinical signs, this patient may benefit from anti-inflammatories and strict rest. If no improvement, consultation with a neurologist and advanced spinal imaging with MRI/CT should be considered.</t>
  </si>
  <si>
    <t xml:space="preserve">Patient Name : Reilly Hillman, Date of study: Aug 1, 2024
3 images are provided for review
Canine Abdomen (3 Images) - 2 Lateral, 1 Vd
Previous images dated [08/01/2024 Case#2724866] are available for comparison.
Liver: The liver is moderately enlarged with a lobular or rounded caudoventral margin and caudal displacement of the gastric axis.  The ventral margin of the liver is rounded or undulant/lobular.   The right liver is enlarged and rounded with an undulant caudal margin, and severe leftward gastric displacement in the ventrodorsal image.  
Spleen: The spleen is normal in size with smooth margins and homogeneous soft tissue.
Kidneys: The right kidney is caudally displaced by the hepatomegaly.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fluid, gas, or is empty.   The stomach is within normal limits for size.
The small intestine contains mild fluid or is empty with a subjectively uniform population for size.   The small intestine is caudally displaced by the hepatomegaly.  
The colon contains minimal heterogeneous soft tissue material and gas.  The colon is within normal limits for size.  
Musculoskeletal: Moderate bilateral coxofemoral joint osteoarthrosis is present.  The remaining included musculoskeletal structures are normal.
</t>
  </si>
  <si>
    <t>1. Moderate hepatomegaly and right-sided hepatic mass.
- Differential diagnoses include evolving neoplasia such as a primary hepatocellular carcinoma or less likely metastatic disease from occult primary, or unlikely hepatoma, nodular hyperplasia, or other.
2. Non-specific gastrointestinal tract appearance such as from enteritis, colitis, or given reported history, unlikely individual variation of normal.
- There is no current evidence of gastrointestinal mechanical ileus.
- Differential diagnoses include dietary indiscretion, toxin ingestion, diet/antibiotic responsive disease, inflammatory bowel disease, or secondary to, evolving neoplasia/systemic disease.</t>
  </si>
  <si>
    <t>Consider abdominal ultrasonography versus computed tomography of the abdomen/thorax for further evaluation and presurgical planning of hepatic mass excisional/incisional biopsy.   Coagulation testing prior to hepatic tissue sampling.  Oncologist consultation may be contributory depending on results. Empirical therapy and supportive care in the interim as needed.  Monitoring as directed or sooner if clinical signs acutely change, fail to improve or worsen.</t>
  </si>
  <si>
    <t xml:space="preserve">
1.Mildly filled intestines without evidence of complete obstruction._x000D_
2.The liver and stomach are confluent, with mild displacement of the gastric axis, which may be due to hepatomegaly versus severe gastric distension._x000D_
3.Abdominal detail is diffusely decreased. The ventral abdominal line is pendulous._x000D_
4.No abnormal AI findings reported._x000D_
5.No abnormal AI findings reported.</t>
  </si>
  <si>
    <t>Abdomen: On the left lateral view there is an unusual gas pattern associated with the antrum/pylorus of the stomach.  This is not identified on the other views.  On the ventrodorsal view there appears to be mild heterogeneous soft tissue opacity associated with the gastric lumen.  There is no evidence of a small intestinal foreign body or obstruction.  The liver and spleen are unremarkable.  The urinary tract is unremarkable.  Serosal detail is normal.</t>
  </si>
  <si>
    <t>The gas pattern associated with the antrum/pylorus is most likely incidental however thickening of the wall at this level or possible foreign body cannot be ruled out._x000D_
_x000D_
The heterogeneous appearance of the gastric lumen on the ventrodorsal view may represent gas outlining rugal folds, normal ingesta, or foreign material.</t>
  </si>
  <si>
    <t xml:space="preserve">
1.The spleen is visible and within normal limits._x000D_
2.There is a mildly reduced cranial abdominal serosal detail._x000D_
3.The liver is normal in shape, size and opacity._x000D_
4.The stomach has a normal axis, with subjectively thickened mucosal folding._x000D_
5.The small intestines are mildly dilated with a mixture of gas and fluid, and have a mild turgid appearance._x000D_
6.The ascending, transverse and descending colon contain gradually more formed faeces.</t>
  </si>
  <si>
    <t>Study:_x000D_
Abdominal radiography: three images dated July 31, 2024_x000D_
_x000D_
Findings:_x000D_
The stomach contains unstructured heterogeneous soft tissue material. The small intestines are normal in size, course and content. The colon contains gas and formed fecal material with a mildly corrugated wall. The liver extends mildly beyond the costal arch with smooth and sharp margins. The spleen is normal in size and margin. The kidneys are normal in size and contour. The urinary bladder is not visualized and is likely small/empty. There is no prostatomegaly. The included thorax is normal. The osseous structures are unremarkable. There is no intervertebral disc space or foraminal narrowing. The patient is of obese body condition.</t>
  </si>
  <si>
    <t>1. Gastric contents likely represent ingesta. Foreign material cannot be completely excluded._x000D_
2. The mild corrugation of the colonic wall can be an indicator of nonspecific colitis._x000D_
3. The generalized hepatomegaly is nonspecific. Rule out metabolic/vacuolar hepatopathy, hyperplasia, hepatitis or infiltrative neoplasia.</t>
  </si>
  <si>
    <t>Abdominal sonography and cPLI testing can be considered for further evaluation if clinical signs persist or worsen in spite of medical management.</t>
  </si>
  <si>
    <t xml:space="preserve">
1.The liver is moderately enlarged._x000D_
2.The shape of the liver is normal, and the margins are smooth._x000D_
3.There is a small quantity of soft tissue dense ingesta in the stomach._x000D_
4.The intestines are gas and fluid filled, without signs of dilation or obstruction._x000D_
5.No abnormal AI findings reported._x000D_
6.No abnormal AI findings reported.</t>
  </si>
  <si>
    <t>Study:_x000D_
Abdominal radiography: six images dated July 31, 2024_x000D_
_x000D_
Findings:_x000D_
The abdominal serosal detail is normal. The stomach contains a small animal gas with the pylorus appropriately gas-filled on the left lateral images. The small intestines are normal in size, course and content. The colon contains gas and a small amount of poorly formed fecal material with a normal diameter. The liver and spleen are normal in size and margin. The kidneys are normal in size and contour. The urinary bladder is normal in size and opacity. The included thorax is normal. The osseous structures are unremarkable.</t>
  </si>
  <si>
    <t xml:space="preserve">
1.On the VD projection, an increase in soft tissue opacity is noted in the left lateral abdomen. This is attributed to superimposition of the spleen and left kidney. The spleen appears normal on the lateral projection making splenomegaly a secondary consideration._x000D_
2.The liver is normal._x000D_
3.Serosal detail in the cranial abdomen is mildly decreased on the lateral projection._x000D_
4.A minimal quantity of soft tissue dense ingesta is visible in the stomach and there is mild prominence to the gastric rugae._x000D_
5.The small bowel is diffusely gas- and fluid-filled but without segmental bowel dilation._x000D_
6.No intestinal plication is seen.</t>
  </si>
  <si>
    <t>Orthogonal views of the thorax are provided:_x000D_
_x000D_
Thorax:_x000D_
_x000D_
There is moderate left atrium enlargement that dorsally displaces the carina, producing an overall severe cardiomegaly._x000D_
The pulmonary veins are enlarged when crossing the 4th ribs._x000D_
There is a peri-hilar and diffuse alveolo-interstitial pulmonary pattern throughout the lung field._x000D_
Normal mediastinum, diaphragm and thoracic wall._x000D_
_x000D_
Liver extends beyond the costal arch with sharp margins.</t>
  </si>
  <si>
    <t>1) Cardiomegaly (left sided), enlarged pulmonary veins with peri-hilar and caudodorsal alveolo-interstitial pulmonary pattern. Findings consistent with left sided congestive heart failure secondary to chronic mitral endocardiosis. Rule out tricuspid endocardiosis with post-capillary pulmonary hypertension._x000D_
2) Hepatomegaly: RSCHF vs Metabolic vs Vacuolar infiltration vs Hepatic nodular hyperplasia vs Inflammatory vs Toxic vs Neoplastic or a combination of these differentials.</t>
  </si>
  <si>
    <t>Consider oxygen supplementation, pro bnp, BP and lasix trial (prior evaluation of the renal function) with recheck radiographs in 12 hours (or sooner if clinically indicated) to re-evaluate and to monitor the response to treatment. Consider a cardiology consultation with ECG and echocardiogram once the patient is stable._x000D_
Consider abdominal US to further evaluate the liver.</t>
  </si>
  <si>
    <t xml:space="preserve">
1.Splenic size, shape and margin are normal._x000D_
2.Mid-abdominal detail is mildly decreased on the lateral projection._x000D_
3.The abdomen is pendulous._x000D_
4.The stomach contains a mild quantity of soft tissue opaque material and gas._x000D_
5.The small bowel is diffusely gas- and fluid filled however no segmental small bowel dilation is noted._x000D_
6.The liver is mildly to moderately enlarged but retains a relatively smooth margin.</t>
  </si>
  <si>
    <t>Orthogonal views of the thorax and abdomen are provided:_x000D_
_x000D_
Thorax:_x000D_
_x000D_
No abnormalities are seen in the trachea._x000D_
Cardiac silhouette has a normal shape and size._x000D_
Pulmonary vessels are within normal limits of size and shape._x000D_
Pulmonary parenchyma shows a false broncho-interstitial lung pattern due to expiration phase. No evidence of pneumonia nor signs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t>
  </si>
  <si>
    <t>1) No signs of cardiomegaly (this does not exclude a cardiac disease). Rule out concomitant tricuspid endocardiosis with pulmonary hypertension. _x000D_
2) Unremarkable lungs do not exclude a bronchitis of allergic origin vs inflammatory/infectious or parasitic origin. _x000D_
3) Hepatomegaly: Metabolic vs Vacuolar infiltration vs Hepatic nodular hyperplasia vs Inflammatory vs Toxic vs Neoplastic or a combination of these differentials.</t>
  </si>
  <si>
    <t>Given the lack of cardiomegaly but audible murmur, consider a cardiology consultation with ECG and echocardiogram and abdominal US to further evaluate the liver and entire abdomen prior to an empirical treatment for chronic bronchitis evaluating response to treatment. If clinical signs persist, consider a bronchoscopy with BAL, culture, cytology, Baermann test and deworming.</t>
  </si>
  <si>
    <t>Study:_x000D_
Abdominal radiography: three images dated July 31, 2024_x000D_
_x000D_
Findings:_x000D_
The stomach contains a small volume of gas and few punctate mineral foci. The small intestines are normal in size, course and content. The colon contains poorly formed fecal material with numerous interspersed punctate mineral foci. The liver and spleen are normal in size and margin. The renal silhouettes are normal in size and contour. The urinary bladder is not visualized and is likely small/empty. The included thorax is normal. No skeletal abnormalities are present.</t>
  </si>
  <si>
    <t>The mineral foci present in the stomach and colon may be from the suspected bone ingestion. The abdomen is otherwise unremarkable. There is no evidence of small intestinal mechanical obstruction.</t>
  </si>
  <si>
    <t>Study:_x000D_
Thoracic radiography: three images dated July 31, 2024_x000D_
_x000D_
Findings:_x000D_
There is mild left ventricular and left atrial enlargement. The pulmonary vasculature is normal in size. The pulmonary parenchyma is unremarkable. The pleural space is normal. There is no intrathoracic lymphadenopathy. There is narrowing of the trachea lumen at the thoracic inlet on the right lateral view. The liver is moderately enlarged with smooth margins. Mild periarticular bone formation is present at the caudodistal aspect the humeral head and infraglenoid tubercle of the scapula bilaterally. There is moderate right elbow periarticular bone formation. There is mild to moderate multifocal thoracolumbar spondylosis deformans.</t>
  </si>
  <si>
    <t>1. Mild left-sided cardiomegaly, indicative of mitral valve disease, without evidence of decompensation. Echocardiography should be considered for further evaluation._x000D_
2. Chondromalacia and dynamic airway disease/tracheal collapse._x000D_
3. The generalized hepatomegaly is nonspecific. Rule out metabolic/vacuolar hepatopathy, hypoxic hepatopathy secondary to dynamic airway disease, hyperplasia, hepatitis or infiltrative neoplasia. Sonography can be considered for further evaluation._x000D_
4. Mild bilateral shoulder and moderate right elbow osteoarthrosis.</t>
  </si>
  <si>
    <t xml:space="preserve">Patient Name : lucy gurina, Date of study: Jul 31, 2024
2 images are provided for review
Canine Abdomen (2 Images) - 1 Vd, 1 Lateral
There are no previous radiographs for comparison.  Cranial abdomen tip is excluded in the ventrodorsal image.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to large volume heterogeneous soft tissue material admixed with gas.   The stomach is within normal limits for size.
The small intestine contains mild gas, fluid or is empty with a subjectively uniform population for size. 
The colon contains moderate well-defined soft tissue material and gas.  Some material in the ascending and descending colon has ovoid soft tissue opacities with central lucencies, (possible corn cob).  The colon is within normal limits for size.  
Musculoskeletal: Metal clip is over the left flank soft tissues in the ventrodorsal image.  The included musculoskeletal structures are normal.
</t>
  </si>
  <si>
    <t xml:space="preserve">1. Gastric material due to recent meal versus gastritis/delayed emptying or given lack of reported vomiting unlikely pyloric outflow tract obstruction.
- There is no current evidence of gastrointestinal mechanical ileus.
2. Possible colonic foreign material consistent with reported history (corn cob) versus other.
3. Microhepatia versus individual variation of normal.
- If present, consider occult portosystemic shunt or unlikely chronic hepatitis/cirrhosis or other.  </t>
  </si>
  <si>
    <t>Consider repeat monitoring for passage of gastric content with abdominal radiographs including a left-lateral image after 8-12 hours of fasting and empirical therapy for clinical signs (if present or manifest from presumed dietary indiscretion).   Consider routine blood work and bile acid testing for further evaluation if clinically indicated.  Empirical therapy and supportive care in the interim as needed.  Monitoring as directed or sooner if clinical signs acutely change, fail to improve or worsen.</t>
  </si>
  <si>
    <t>Two radiographs of the abdomen dated 31st July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but contain mainly fluid. The urinary bladder is filled. The serosal detail is normal._x000D_
_x000D_
Extra-abdominal findings: No significant abnormalities are detected._x000D_
_x000D_
Included thorax: No significant abnormalities are detected.</t>
  </si>
  <si>
    <t>The fluid content of the colon would be supportive of a infectious-inflammatory, or dietary indiscretion induced colitis.</t>
  </si>
  <si>
    <t>Supportive management including rehydration, gastroprotectants,  full blood work, faecal analysis if clinically indicated is advised, if not already performed. Consider an abdominal ultrasound depending on clinical progression.</t>
  </si>
  <si>
    <t xml:space="preserve">
1.The right cranial quadrant has a hazy appearance on the VD projection otherwise serosal detail is adequate._x000D_
2.No abnormal AI findings reported._x000D_
3.The liver and spleen are normal size._x000D_
4.In the abdomen the stomach contains small volume gas, soft tissue and mildly prominent rugae._x000D_
5.Small intestines are minimally filled. No small intestinal segmental dilation is noted._x000D_
6.The colon contains gas and scant semiformed feces.</t>
  </si>
  <si>
    <t>Three radiographs of the thorax, and a lateral view of the abdomen are provided. The cardiac silhouette is normal size and shape. Pulmonary vessels are normal size. There are mild bronchial markings throughout the lungs. No pleural effusion. Adequate tracheal diameter. Small volume gas in the cranial cervical esophagus is incidental. Broad-based fat opaque 6.9 cm lipomatous mass ventral to the cranial sternum is incidental._x000D_
_x000D_
In the abdomen, mid-peritoneal detail is reduced, particularly adjacent to the splenic tail. Normal-sized liver and left kidney. The right kidney is obscured. The gastrointestinal tract is minimally filled, and no radiopaque foreign material is appreciated. No radiopaque cystic calculi. Degenerative change in the lumbar spine and one of the stifles is likely incidental.</t>
  </si>
  <si>
    <t>1. Poor abdominal detail adjacent to the spleen. Splenic neoplasia such as hemangiosarcoma is of concern. An inflammatory process or metabolic abnormality are next on the differential list. No other abdominal abnormalities._x000D_
2. Mild bronchial pattern is most likely normal age-related change. Chronic airway inflammation such as allergic bronchitis is next on the differential list. There is no evidence of aspiration pneumonia. Otherwise normal thorax.</t>
  </si>
  <si>
    <t>Three radiographs of the thorax, and three views of the abdomen are provided. Images dated 7/19/23 are available for comparison. The cardiac silhouette and pulmonary vessels are normal size and shape. There are no abnormalities in the pulmonary parenchyma. Thin linear mineral density ventral to the cranial thoracic trachea is incidental platelike atelectasis. No definitive tracheal abnormalities today. There is no pleural effusion._x000D_
_x000D_
In the abdomen the liver is moderately enlarged, slightly increased in size compared to the previous study. Hepatic margins remain smooth. Normal-sized spleen and kidneys. The gastrointestinal tract is mildly filled. Several small mineral opaque fragments in the distal colon are likely incidental. The urinary bladder is distended and no radiopaque urolithiasis is appreciated. No osseous abnormalities.</t>
  </si>
  <si>
    <t>1. Moderate hepatomegaly, slightly increased in size since the previous study. This is nonspecific and is most likely steroid or other hepatopathy. An inflammatory process for neoplasia are given lesser consideration. Otherwise normal abdomen. There is no evidence of radiopaque uroliths._x000D_
2. Normal thorax.</t>
  </si>
  <si>
    <t>A CBC, blood chemistry profile, and urinalysis are recommended. Ultrasound evaluation of the liver, adrenal glands, and urinary tract should be considered.</t>
  </si>
  <si>
    <t xml:space="preserve">
1.On the VD projection, there is asymmetric liver enlargement, caudal displacement of the stomach and increased soft tissue opacity caudal to the stomach in the splenic region._x000D_
2.Abdominal detail is decreased through the mid-abdomen._x000D_
3.The abdomen is pendulous._x000D_
4.The gastrointestinal tract is displaced caudally by the changes in the cranial abdomen. The small bowel is diffusely gas and fluid filled. On the lateral projection, a portion of the small bowel has a rigid appearance._x000D_
5.No abnormal AI findings reported.</t>
  </si>
  <si>
    <t xml:space="preserve">Patient Name : Dixie Riggs, Date of study: Jul 31, 2024
6 images are provided for review
There are no previous radiographs for comparison.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gas and mild fluid or is empty.  Gastric rugal folds are prominent. Gas is in the pylorus in the left lateral image.  The stomach is within normal limits for size.
The small intestine contains mild fluid or is empty with a subjectively uniform population for size. 
The colon contains mild gas and heterogeneous soft tissue material admixed with gas.  The colon is within normal limits for size.  
Musculoskeletal: The included musculoskeletal structures are normal.
</t>
  </si>
  <si>
    <t xml:space="preserve">1. Prominent gastric rugal folds such as from non-specific gastritis versus variation of normal.
2. Non-specific small intestinal and colon appearance  such as from enteritis/colitis or given reported history, unlikely variation of normal/recent bowel movement.
- There is no current evidence of gastrointestinal mechanical ileus.
- Differential diagnoses include dietary indiscretion, toxin ingestion, diet/antibiotic responsive disease, inflammatory bowel disease, pancreatitis, occult systemic disease or unlikely other.
3. Microhepatia versus artifact from positioning/technique.
- If present, consider occult portosystemic shunt or unlikely other.
</t>
  </si>
  <si>
    <t>Consider GI panel, fecal analysis/deworming, bile acid testing and routine blood work for further evaluation.  Consider repeat abdominal imaging with radiographs or ultrasonography if clinical signs fail to improve, change or worsen in the face of empirical therapy.  Monitoring with repeat abdominal radiographs if signs fail to improve or worsen.</t>
  </si>
  <si>
    <t xml:space="preserve">
1.The stomach is mildly gas and fluid filled with some dense material. The small bowel is gas and fluid-containing. No obvious obstruction._x000D_
2.Cranial abdominal detail is mildly decreased, although this could be normal in a thin patient._x000D_
3.Liver size, shape and margin are normal._x000D_
4.Splenic size, shape and margin are normal.</t>
  </si>
  <si>
    <t>Three radiographs of the thorax/abdomen are provided. The cardiac silhouette is normal size and shape. There are no abnormalities in the pulmonary parenchyma. The lungs are clear. Possible redundant dorsal trachealis membrane in the cervical region, of uncertain significance today. In the abdomen formed feces fills the distal colon. Small bowel are mildly filled. Moderate volume soft tissue opaque ingested in the stomach. Normal-sized kidneys, liver, spleen. No radiopaque cystic calculi. No definitive narrowed intervertebral disc spaces or foramina. The coxofemoral joints are congruent. The patellas are medially displaced.</t>
  </si>
  <si>
    <t>Bilateral medial patellar luxation. Normal thorax and abdomen. No spinal abnormalities are appreciated on this study. Non-mineralized intervertebral disc protrusion/extrusion remains possible.</t>
  </si>
  <si>
    <t>Consider strict rest along with current treatment.</t>
  </si>
  <si>
    <t>Orthogonal radiographs of the lumbar spine, VD pelvis, and lateral view of each stifle are provided. Vertebral alignment is normal. No narrowed intervertebral disc spaces or foramina. No endplate lysis. In the viewable abdomen there is no effusion or organomegaly. Formed feces fills the colon. No radiopaque urolithiasis. The coxofemoral joints are congruent. Both patellas are medially displaced. Pelvic limb musculature is symmetric. There is moderate volume fluid in the cranial aspect of both stifle joints. No popliteal lymphadenomegaly.</t>
  </si>
  <si>
    <t>Bilateral moderate stifle effusion consistent with cranial cruciate ligament tear/rupture. This is the cause for lameness. Bilateral medial patellar luxation could be contributing to discomfort. The coxofemoral joints and lumbar spine are normal.</t>
  </si>
  <si>
    <t>If lameness is severe and there is palpable stifle instability, surgical stabilization would be recommended.</t>
  </si>
  <si>
    <t xml:space="preserve">Patient Name : Oliver Milano, Date of study: Jul 31, 2024
4 images are provided for review
There are no previous radiographs for comparison.  One image is underexposed and non-diagnostic.
Bones/Joints:
In situ intervertebral disc mineral is at C6-7.  
A dens is present.  There is no evidence of atlantoaxial joint subluxation.
There is no evidence of intervertebral disc space narrowing, or mineral over the intervertebral foramina.  There is no evidence of intervertebral dorsal articulation osteoarthrosis.
There is no evidence of medullary sclerosis, osteolysis, endosteal scalloping, or periosteal proliferation.
Soft tissues:  The included soft tissues are normal.
Limited thorax:  A possible pulmonary nodule is over the right cranial lung in the ventrodorsal image.
</t>
  </si>
  <si>
    <t>1. C6-7 in situ intervertebral disc mineral.
- This may result in cervical pain and reported signs, but this is not definitive.
2. Possible  right cranial lung lobe pulmonary nodule versus superimposed normal structures.</t>
  </si>
  <si>
    <t>Consider thoracic radiographs and routine blood work to screen for occult systemic disease.  Consider MRI of the neck and neurologist consultation for furthere valaution of reported clinical signs depending on results of thoracic imaging.  Consider orthopedist consultation for further evluation of the right thoracic limb, especially if cervical pain is ruled out as an etiology of reported signs.  Monitoring as directed or sooner if clinical signs acutely change, fail to improve or worsen.</t>
  </si>
  <si>
    <t>Thorax: There is a soft tissue mass within the cranial ventral thorax that wraps around the cranial aspect of the cardiac silhouette on the ventrodorsal view.  The cardiac silhouette and pulmonary vasculature appear unremarkable.  There is no evidence of pleural effusion.  The remainder of the thorax is unremarkable._x000D_
_x000D_
Abdomen: Patient appears thin.  The liver is small.  There are no abnormalities involving the visible portions of the gastrointestinal tract or urinary tract.  There are multiple regions of lumbar vertebral spondylosis deformans.</t>
  </si>
  <si>
    <t>Thoracic mass.  Due to its location, a mediastinal mass should be considered._x000D_
_x000D_
Mild microhepatica.</t>
  </si>
  <si>
    <t>Consider thoracic and abdominal ultrasound for further evaluation.</t>
  </si>
  <si>
    <t xml:space="preserve">
1.The hepatic silhouette is normal._x000D_
2.The spleen is normal._x000D_
3.The stomach contains a mild amount of fluid in food material._x000D_
4.The gastric axis is normal._x000D_
5.The small intestines are homogenous in size, mildly distended, mainly with fluid opaque material._x000D_
6.The ascending colon contains gas._x000D_
7.No abnormal AI findings reported.</t>
  </si>
  <si>
    <t>Four radiographs of the abdomen are provided. There is small volume cranioventral peritoneal effusion. The liver is mildly enlarged with lobulated caudal ventral margins. Normal-sized spleen and kidneys. Small volume soft tissue opaque ingesta in the stomach. Small bowel are mildly filled with gas and scant fluid. Formed feces fills the colon. The urinary bladder is minimally filled and soft tissue opaque.</t>
  </si>
  <si>
    <t>Hepatomegaly with lobulated margins and scant effusion. This is most consistent with neoplasia. Hemangiosarcoma with hemorrhagic effusion is of concern. An inflammatory process is given lesser consideration.</t>
  </si>
  <si>
    <t>If, other than the mass, there were no hepatic abnormalities on the ultrasound study, surgical intervention should be considered.</t>
  </si>
  <si>
    <t>6 images of the abdomen are provided for review.  Serosal detail is adequate in all quadrants.  The stomach contains a small amount of mottled soft tissue material.  The small intestines are normal in size.  Gas and feces are present in the colon.  The urinary bladder is small.  The remaining abdominal organs are normal.</t>
  </si>
  <si>
    <t xml:space="preserve">
1.Liver size, shape and margin are normal._x000D_
2.Splenic size, shape and margin are normal._x000D_
3.Serosal detail is adequate._x000D_
4.The small intestines have a diffuse fragmented gas pattern.</t>
  </si>
  <si>
    <t xml:space="preserve">Patient Name : Maui Heller, Date of study: Jul 31, 2024
3 images are provided for review
Canine Abdomen (3 Images) - 2 Lateral, 1 Vd
There are no previous radiographs for comparison.
Liver: The liver is mildly small with cranial displacement of the gastric axis.  
Spleen: The spleen is normal in size with smooth margins and homogeneous soft tissue.
Kidneys: The kidneys are obscured without obvious enlargement or mineral.  
Retroperitoneum: Retroperitoneal detail is adequate.
Urogenital: The urinary bladder is normal in size, homogeneous soft tissue, and smoothly marginated.  No obvious enlarged tubular soft tissue structures in the caudal abdomen.  
Peritoneum: Peritoneal detail is adequate.
Gastrointestinal tract: The stomach contains a moderate volume of soft tissue admixed with gas.   Gas is in the pylorus in the left lateral image.  The stomach is within normal limits for size.
The small intestine contains moderate gas with a subjectively uniform population for size. 
The colon contains moderate heterogeneous soft tissue material and gas.  The colon is within normal limits for size.  
Musculoskeletal: Screw tail anomaly is present, consistent with patient breed.  The remaining included musculoskeletal structures are normal.
</t>
  </si>
  <si>
    <t xml:space="preserve">1. No obvious uterine horn enlargement in this examination but this does not rule out early/evolving pyometra.
2. Mild microhepatia versus artifact from positioning/technique or individual variation of normal.
- If present, consider occult portosystemic shunt,  or unlikely other.
3. Non-specific gastrointestinal tract appearance such as from enteritis, colitis, or individual variation of normal.
- Differential diagnoses for enteritis/colitis include dietary indiscretion, toxin ingestion, diet/antibiotic responsive disease, inflammatory bowel disease, parasitism/primary infectious disease, or pancreatitis or occult systemic disease.
- There is no current evidence of gastrointestinal mechanical ileus.
4. Gastric material due to recent meal versus gastritis/delayed emptying or unlikely other.  </t>
  </si>
  <si>
    <t>Consider abdominal ultrasonography for further evaluation of uterine enlargement/fluid such as from evolving pyometra.  Consider celiotomy and ovariohysterectomy depending on results of additional imaging.  Consider GI panel and fecal/analysis deworming given reported non-specific gastrointestinal tract signs.   Empirical therapy and supportive care in the interim as needed.  Monitoring as directed or sooner if clinical signs acutely change, fail to improve or worsen.</t>
  </si>
  <si>
    <t xml:space="preserve">
1.No abnormal AI findings reported._x000D_
2.No abnormal AI findings reported._x000D_
3.The liver and spleen are normal in size._x000D_
4.The stomach is minimally distended with minimal heterogeneous material._x000D_
5.The small intestine is both fluid and gas filled and mildly distended, but no obstructive lesion is identified._x000D_
6.There is gas and some fecal material within the colon.</t>
  </si>
  <si>
    <t>Orthogonal views of the thorax and abdomen are provided:_x000D_
_x000D_
Thorax:_x000D_
_x000D_
Cardiac silhouette has a normal shape and size._x000D_
Pulmonary vessels are within normal limits of size and shape._x000D_
Pulmonary parenchyma shows an alveolar pulmonary pattern with air bronchograms ventrally located in the right cranial lung lobe but especially in the right middle lung lobe. No evidence of pulmonary nodules/masses.Pleural space, mediastinum, diaphragm and thoracic wall within normal limits._x000D_
_x000D_
Abdomen:_x000D_
_x000D_
The stomach is empty._x000D_
Small intestines are mildly gas and fluid filled, not overtly distended. No signs of mechanical ileus._x000D_
Unformed feces in the colon._x000D_
Serosal detail is preserved._x000D_
Liver and spleen are within normal limits of size and smoothly marginated._x000D_
Kidneys and urinary bladder WNL.</t>
  </si>
  <si>
    <t>1) Alveolar pulmonary pattern with air bronchograms ventrally located in the right cranial lung lobe but especially in the right middle lung lobe consistent with infectious pneumonia vs aspiration pneumonia._x000D_
2) Unremarkable abdomen.</t>
  </si>
  <si>
    <t>Consider empirical treatment for pneumonia with follow up radiographs every 48/72 hours to evaluate response to treatment.</t>
  </si>
  <si>
    <t xml:space="preserve">Patient Name : ZEINA PINEDA, Date of study: Jul 31, 2024
3 images are provided for review
Canine Abdomen (3 Images) - 2 Lateral, 1 Vd
There are no previous radiographs for comparison.
Liver: The liver is subjectively normal in size.
Spleen: The spleen is normal in size with smooth margins and homogeneous soft tissue.
Kidneys: The left kidney is normal.  The right kidney is obscured.  
Retroperitoneum: Retroperitoneal detail is adequate.
Urogenital: The urinary bladder is normal in size, homogeneous soft tissue, and smoothly marginated.
Peritoneum: Peritoneal detail is adequate.  No peritoneal gas is identified.  
Gastrointestinal tract: The stomach contains a moderate volume of soft tissue material and gas.  Gas is in the pylorus in the left lateral image.  The stomach is within normal limits for size.
The small intestine contains mild gas and fluid or is empty with a subjectively uniform population for size. 
The colon contains moderate well-defined admixed soft tissue material and gas.  The colon is within normal limits for size.  
Musculoskeletal: T13 is transitional with hypoplastic ribs.  L1-2 spondylosis deformans is present.  The reported right abdominal wound is not definitively identified in this examination, but the right abdominal body wall soft tissues are suspiciously thickened at the level of T12 through L3. The remaining included musculoskeletal structures are normal.
</t>
  </si>
  <si>
    <t xml:space="preserve">1. Right abdominal body wall thickening such as from edema/inflammation and recent trauma.
- There is no evidence of peritoneal gas/peritoneal effusion in this examination.
2. Gastric material due to recent meal, or given reported history, unlikely gastritis/delayed emptying or other
3. Non-specific small intestinal and colon appearance due to normal variation given reported history, or unlikely enteritis, colitis or other.
</t>
  </si>
  <si>
    <t>Empirical therapy in the interim as needed as well as wound explorations/debridement.  Empirical therapy and supportive care in the interim as needed.  Repeat abdominal imaging if clinical signs manifest.  Monitoring as directed, or sooner if clinical signs manifest or worsen in the face of empirical therapy.</t>
  </si>
  <si>
    <t>Opposite lateral and ventrodorsal whole body radiographs (3 images) dated July 31, 2024._x000D_
_x000D_
_x000D_
_x000D_
The cardiac silhouette, pulmonary vasculature, and great vessels are within normal limits. The pulmonary parenchyma is hypoinflated, and this accounts for the mild generalized unstructured interstitial pattern. No pulmonary nodules, infiltrates, or other pathology is detected. The pleural space and diaphragm are normal. No mediastinal abnormalities are appreciated. The trachea is normal in diameter and course with gas filling its lumen=ZZ90= a thin horizontal soft-tissue band is superimposed with the dorsal 3rd of the caudal cervical trachea on the left lateral view, consistent with a superimposed esophagus or a redundant dorsal tracheal membrane. No intrathoracic lymphadenopathy is evident._x000D_
_x000D_
The liver is moderately enlarged. The urinary bladder is distended with a large amount of homogeneous fluid opacity. The spleen and both kidneys are unremarkable. The stomach contains a small amount of heterogeneous soft-tissue content. The small intestine is unremarkable in diameter and course and predominantly contains gas. The colon contains somewhat poorly formed stool mixed with gas and has a normal course. Retroperitoneal and peritoneal detail are normal. No regional lymphadenopathy is evident._x000D_
_x000D_
There is T11-T12 and L4-L5 disc space narrowing with spondylosis deformans. There is mild lumbosacral disc space narrowing.</t>
  </si>
  <si>
    <t>1. Unremarkable thorax. The cause for the coughing is not radiographically apparent. Rule out upper airway causes (ex: pharyngitis/laryngitis, postnasal drip from rhinitis, dynamic upper airway collapse, everted laryngeal saccules, less likely a mass) vs. dynamic lower airway collapse/chondromalacia not captured in this study vs. less likely tracheitis or mild bronchitis that is insensitive to radiographic detection._x000D_
2. Moderate hepatomegaly. Rule out a benign metabolic/vacuolar hepatopathy vs. less likely inflammatory and infiltrative neoplastic conditions._x000D_
3. T11-T12 and L4-L5 intervertebral disc disease.</t>
  </si>
  <si>
    <t>Sedated upper airway exam +/- fluoroscopic airway study. If normal:_x000D_
Airway sampling may be needed for definitive diagnosis (bronchoalveolar lavage or transtracheal wash).  Heartworm testing and fecal parasite screening (float and Baermann) +/- empirical deworming.  Empirical antibiotic or anti-inflammatory steroidal therapy is reasonable to consider.  Internal medicine consultation if the patient remains clinical despite treatment and the cause remains unknown._x000D_
Hepatic lab work and ultrasound to further assess the liver.</t>
  </si>
  <si>
    <t xml:space="preserve">
1.A soft tissue mass effect is present in the mid-abdomen causing bowel displacement from this region._x000D_
2.The liver is upper limits of normal for size to mildly enlarged but retains smooth margins._x000D_
3.Pendulous abdomen secondary to organomegaly._x000D_
4.Abdominal detail is diffusely decreased diffusely but with the most severe decrease in abdominal detail caudal to the stomach._x000D_
5.Small volume ingesta is present within the stomach._x000D_
6.Small intestines are displaced into the mid and caudal abdomen but the bowel diameter is normal._x000D_
7.Formed feces is present in the colon.</t>
  </si>
  <si>
    <t xml:space="preserve">Patient Name : Simba Acosta, Date of study: Jul 30, 2024
6 images are provided for review
There are no previous radiographs for comparison.
Liver: The liver is subjectively normal in size.
Spleen: The spleen is mildly enlarged and extends into the mid/caudal and ventral abdomen with smooth, well-defined margins and homogeneous soft tissue.  
Kidneys: The right kidney is obscured.  The left kidney is subjectively normal.
Retroperitoneum: Retroperitoneal detail is adequate.
Urogenital: The urinary bladder is normal in size, homogeneous soft tissue, and smoothly marginated.
Peritoneum: Peritoneal detail is adequate.
Gastrointestinal tract: The stomach contains a moderate volume of gas.  Gastric rugal folds are prominent.  In the left lateral image, ill-defined ovoid soft tissue is superimposed over the pylorus, as well as gas.  This material is suspected in the fundus of the stomach in the ventrodorsal image. Mild gas is in the descending duodenum.  
 A segment of small intestine in the mid-abdomen contains heterogeneous soft tissue material and gas.  The small intestine contains fluid or is empty. 
A segment of intestine in the cranial abdomen is moderately to severely gas-filled and is suspected to be the colon.  The descending colon contains mid gas and is normal in size.  The colon wall is minimally spastic.  
Musculoskeletal: Ovoid mineral superimposes over the cranial/dorsal abdomen in the lateral images may be the right lateralized mineral at the level of T11-12 in the ventrodorsal image.  Mild right and suspected left coxofemoral joint osteoarthrosis is present.  The remaining included musculoskeletal structures are normal.
</t>
  </si>
  <si>
    <t>1. Segmental heterogeneous small intestinal content due to foreign material versus passing ingesta.
2. Gas filled segment of intestine in the right cranial abdomen.
- This may be normal gas filled ascending/transverse colon, versus small intestinal segment and evolving mechanical ileus.
3. Gastric material due to foreign material and intermittent/partial outflow tract obstruction versus recent meal/normal ingesta and gastritis/delayed emptying.
4. Mild splenomegaly due to passive congestion from sedation (if administered), extramedullary hematopoiesis, lymphoid hyperplasia, splenitis, or unlikely other.</t>
  </si>
  <si>
    <t>Consider repeat abdominal radiographs after 8-12 hours of empirical therapy and fasting to monitor for passage of the small intestinal/gastric material.  Consider pneumocolonogram to attempt to confirm position of the colon, and rule-out evolving small intestinal mechanical ileus.   If findings are persistent/progressive in additional imaging, consider exploratory celiotomy, especially if clinical signs have progressed or worsened with empirical therapy. If mechanical ileus is ruled out, continue therapy for enteritis/gastritis and possible dietary indiscretion versus other.  Routine blood work and GI panel may be beneficial for further evaluation.  Empirical therapy and supportive care in the interim as needed.  Monitoring as directed or sooner if clinical signs acutely change, fail to improve or worsen.</t>
  </si>
  <si>
    <t xml:space="preserve">
1.Minimal decrease in abdominal detail._x000D_
2.There is a minimal amount of mottled soft tissue density material mixed with gas within the stomach._x000D_
3.Small intestinal bowel loops are normal in size and have a mixed pattern. No obvious obstruction._x000D_
4.The liver is normal in size._x000D_
5.The spleen is normal in size.</t>
  </si>
  <si>
    <t>Six radiographs of the thorax/abdomen, and a dorsopalmar view of the distal thoracic limbs are provided. The cardiac silhouette is normal size with no chamber enlargement. Pulmonary vessels are normal size. Mild bronchial pattern is consistent with the patient=ZZ91=s age. Punctate increased opacity cranial to the heart on the lateral views is end-on pulmonary vessels. Small volume pleural fat deposition is seen on either side of the heart on the VD projection. There is no pleural effusion. Adequate tracheal diameter. There is a smoothly marginated round 1.7 cm soft tissue opaque mass encircling the 3rd phalanx of the left thoracic limb 2nd digit. Diffuse lysis of the associated ungual process. No osseous proliferation. No other osseous abnormalities in this digit or in the remaining manus. Minimal degenerative change in both elbows. In the abdomen there is moderate volume gas in the stomach. Small bowel are minimally filled. Gas in the cecum, with formed feces filling the colon. Normal-sized liver, spleen, kidneys. The urinary bladder is mildly filled and soft tissue opaque. Reduced size of the L2-3 intervertebral foramen, of doubtful significance today.</t>
  </si>
  <si>
    <t>1. Left thoracic limb distal 2nd digit mass with osseous lysis, most consistent with malignant neoplasia. An inflammatory process/paronychia is given much lesser consideration._x000D_
2. Normal thorax. There is no evidence of cardiovascular disease. A small valvular regurgitant jet can result in a relatively loud murmur._x000D_
3. Normal abdomen.</t>
  </si>
  <si>
    <t>Histopathology of the digital mass is recommended for a definitive diagnosis. There is no contraindication for general anesthesia based on this study.</t>
  </si>
  <si>
    <t xml:space="preserve">
1.The liver appears small on the VD projection but normal on the lateral projection._x000D_
2.Splenic size, shape and margin are normal._x000D_
3.Right cranial abdominal detail is mildly decreased on the VD projection._x000D_
4.The stomach contains gas and the gastric axis is mildly displaced cranially._x000D_
5.The small intestines are a combination of gas-filled and fluid-filled/collapsed, and all are within normal limits for diameter._x000D_
6.The colon contains a combination of gas and fecal material.</t>
  </si>
  <si>
    <t>Appearance to the liver on the VD projection is attributed to liver position and patient confirmation rather than true microhepatia given the normal liver size on the lateral projection. Soft tissue opacities within the stomach could represent normal kibble, treat material, or foreign material. If the patient has been completely anorexic for at least 24 hours, this finding would be more suggestive of foreign material than digestible food. Slight decrease in right cranial abdominal detail. DDx: confluence of soft tissue structures vs. low grade regional inflammation secondary to pancreatitis. Pyloroduodenal ulcer or hepatobiliary inflammation are additional, albeit, lesser considerations.</t>
  </si>
  <si>
    <t xml:space="preserve">
Virtual Radiologist Case Difficulty: MODERATE_x000D_
Virtual Radiologist Confidence: MODERATE_x000D_
Further evaluation of the gastric contents as clinically warranted._x000D_
Pancreatic testing if GI signs are present._x000D_
Also consider an abdominal ultrasound.</t>
  </si>
  <si>
    <t>Three radiographs of the thorax, three views of the abdomen, and a lateral view of each stifle are provided. Images dated 1/13/2020 are available for comparison. The cardiac silhouette and pulmonary vessels are normal size and shape. There are no abnormalities in the pulmonary parenchyma. No pleural effusion. Normal tracheal diameter. Spondylosis deformans is of doubtful clinical significance._x000D_
_x000D_
In the abdomen the liver is mildly enlarged as before. Hepatic margins are smooth. Normal-sized spleen and left kidney. The right kidney is obscured. No radiopaque cystic calculi. The gastrointestinal tract is mildly filled. Normal lumbar spine. The coxofemoral joints are congruent. Pelvic limb musculature is symmetric. Both patellas are in normal position. Well delineated triangular increased opacity overlying the cranial aspect of both stifle joint is normal meniscal/synovial tissue. No popliteal lymphadenomegaly. The tarsi are unremarkable.</t>
  </si>
  <si>
    <t>Mild hepatomegaly as before. This is a nonspecific finding that may be due to steroid or other hepatopathy. Acute inflammation is also possible. Neoplasia is unlikely with the chronicity. Otherwise normal abdomen and thorax. Normal proximal pelvic limbs.</t>
  </si>
  <si>
    <t>If further evaluation of the liver is desired, abdominal ultrasound should be considered to evaluate the liver and adrenal glands.</t>
  </si>
  <si>
    <t>Five radiographs of the thorax/abdomen are provided. Images dated 6/6/23 and earlier are available for comparison. There is slight prominence of the left atrium. Cardiac to thoracic ratio and pulmonary vessel size remains normal. There are no abnormalities in the pulmonary parenchyma or pleural space. Small round soft tissue density overlying the left atrium on the last left lateral view is end-on pulmonary vessel. Adequate tracheal diameter. Incidental slight dorsal position of the cranial thoracic trachea. In the abdomen there is new development of a round 5.3 cm soft tissue opacity in the cranial left quadrant. The kidneys and liver are normal size. The splenic tail is normal size. The gastrointestinal tract is minimally filled and there is no radiopaque foreign material or urolithiasis. Punctate soft tissue density ventral to L5 is end-on deep circumflex iliac vessel.</t>
  </si>
  <si>
    <t>1. Craniodorsal left abdominal mass. Neoplasia such as hemangiosarcoma originating from the spleen is most likely. A pedunculated hepatic mass is given secondary consideration. No other abdominal abnormalities._x000D_
2. Prominent left atrium consistent with acquired mitral valve disease. This is of doubtful clinical significance today. Otherwise normal thorax.</t>
  </si>
  <si>
    <t>Abdominal ultrasound is recommended to determine origin of the mass, rule out additional lesions which may preclude surgical intervention, and evaluate the kidneys.</t>
  </si>
  <si>
    <t>Three radiographs of the thorax/abdomen of an adult canine are provided. The cardiac silhouette is normal size and shape on the lateral views. A halo of fat encircles the heart and extends into the cranial mediastinum on the VD projection. Mild bronchial markings is likely normal age-related change. No pleural effusion, pulmonary nodules, or intrathoracic lymphadenomegaly is appreciated. Normal tracheal diameter. Increased opacity in the cranioventral thorax on the left lateral view is superimposed thoracic limb tissue. Curved increased opacity overlying the pharynx on the right lateral view is superimposed skinfold. In the abdomen there is no effusion. Normal-sized liver, spleen, kidneys. Formed feces of the distal colon. Punctate mineral density in the colon is incidental. The stomach and small bowel are unremarkable. No radiopaque cystic calculi. Osseous structures are unremarkable.</t>
  </si>
  <si>
    <t>Mild bronchial pattern is most likely normal age-related change. Airway inflammation due to allergic bronchitis or infectious airway disease is also possible. There is no evidence of cardiovascular disease or pneumonia. Dynamic tracheal collapse is not definitively ruled out, as it may not be visible on a static radiographic study. Otherwise normal thorax and abdomen.</t>
  </si>
  <si>
    <t>Recommend routine blood work to rule out a metabolic abnormality. This patient may benefit from symptomatic treatment for the cough, and utilization of a body harness in place of a neck lead.</t>
  </si>
  <si>
    <t>Three radiographs of the cervicothoracic spine/thorax, and orthogonal views of the abdomen are provided. Cervical intervertebral disc spaces are uniform in size. No vertebral end plate lysis. In the thorax cardiovascular structures are normal size and shape. A mild bronchial pattern is consistent with the patient=ZZ91=s age. No pleural effusion. Adequate tracheal diameter._x000D_
_x000D_
In the abdomen there is no effusion. Small volume gas in the stomach. Normal rugal folds are visible. Small and large bowel are minimally filled. No radiopaque foreign material. Normal-sized spleen, liver, kidneys. Curved 5.6 cm soft tissue opacity between the gastric fundus and left kidney on the VD projection. Ovoid soft tissue density in the mid dorsal abdomen on the lateral view is likely the left kidney. There are several smoothly marginated ovoid mineral opaque calculi in the urinary bladder. These measure up to 3.2 cm. No definitive narrowed thoracolumbar intervertebral disc spaces.</t>
  </si>
  <si>
    <t>1. Cystic calculi, of a size that is too large to pass the urethra. This may be responsible for discomfort._x000D_
2. Round soft tissue contour in the cranial left quadrant is most likely normal splenic head. A mass lesion such as originating from the spleen is not definitively ruled out. No gastrointestinal abnormalities._x000D_
3. Normal spine and thorax. Intervertebral disc disease remains possible.</t>
  </si>
  <si>
    <t>Recommend urinalysis, diet modification in an effort to dissolve the calculi and prevent further formation, and abdominal ultrasound to rule out a mass lesion and evaluate the gastrointestinal tract.</t>
  </si>
  <si>
    <t xml:space="preserve">
1.The liver and spleen are within normal limits._x000D_
2.There is adequate serosal margin detail._x000D_
3.The stomach is normal. Small intestinal bowel loops are normal in size and distribution and have a mixed pattern. No signs of obstruction._x000D_
4.No abnormal AI findings reported.</t>
  </si>
  <si>
    <t>6 views of the thorax and abdomen are submitted for review.  The liver is mildly enlarged with smooth serosal margins.  The spleen appears subjectively normal in size with possible mildly nodular serosal margins.  The renal silhouettes are normal in size and shape.  The urinary bladder is minimally distended.  A small to medium sized mineral opacity calculus is noted in the gravity-dependent portion of the urinary bladder.  The GI tract is unremarkable.  Ill-defined soft tissue opacity mass effect is noted in the sublumbar region.  Soft tissue nodular opacities are also noted in the inguinal region._x000D_
In the thorax, the cardiovascular structures are within normal limits.  No pulmonary parenchymal abnormalities are noted.  There is subjective widening of the cranial mediastinum on the VD view and increased soft tissue opacity in the cranioventral thorax on the lateral views.  No pleural effusion is seen.  The trachea is normal in diameter._x000D_
No significant osseous abnormalities are noted.</t>
  </si>
  <si>
    <t>Probable sublumbar lymphadenopathy and inguinal lymphadenopathy.  This could be consistent with multicentric round cell neoplasia as with lymphoma.  Disseminated inflammatory disease as with systemic mycosis cannot be definitively excluded.  Mild enlargement of the liver and spleen.  This could be consistent with round cell neoplasia such as lymphoma.  Vacuolar hepatopathy and nodular hyperplasia in the spleen could also be considered._x000D_
The appearance of the cranial mediastinal region is also suspicious for sternal or cranial mediastinal lymphadenopathy.</t>
  </si>
  <si>
    <t>Fine-needle aspiration of one of the enlarged lymph nodes is recommended for further evaluation.  An abdominal ultrasound and ultrasound of the cranial mediastinal region should also be considered.</t>
  </si>
  <si>
    <t xml:space="preserve">
1.Small-volume amorphous soft tissue ingesta within the stomach._x000D_
2.Small intestines are mildly filled._x000D_
3.The abdomen is pendulous but abdominal detail is normal._x000D_
4.The spleen is normal size._x000D_
5.The liver extends slightly beyond the costal arch but maintains sharp margins and there is no deviation of the gastric axis._x000D_
6.Formed feces fills the colon.</t>
  </si>
  <si>
    <t>Five radiographs of the thorax and abdomen are provided. There is moderate left-sided cardiomegaly and prominence of the right heart. Cranial pulmonary vessels are normal size. There is a moderate interstitial pattern in the left perihilar region. Small area of suspected increased opacity overlying the mid ventral heart on the left lateral view. No pleural effusion. Adequate tracheal diameter. Narrowed mainstem bronchi. In the abdomen there is no peritoneal effusion. Moderate volume gas in the stomach consistent with aerophagia. No organomegaly. Small and large bowel are minimally filled. The urinary bladder is not definitively visible. Narrowed T11-12, T12-13 intervertebral disc spaces, of doubtful clinical significance today.</t>
  </si>
  <si>
    <t>1. Mild to moderate generalized cardiomegaly consistent with acquired mitral and tricuspid valve disease. Moderate interstitial pattern in the left perihilar region is most likely pulmonary edema indicating left-sided heart failure. Mainstem bronchial compression. There is also suspect aspiration pneumonia in the right middle lung lobe._x000D_
2. Normal abdomen.</t>
  </si>
  <si>
    <t>Recommend continue diuretics, with addition of empiric antibiotics for suspected focal aspiration pneumonia.</t>
  </si>
  <si>
    <t>Three radiographs of the thorax/abdomen are provided. The heart and pulmonary vessels are normal size and shape. Moderate narrowed caudal cervical trachea, of doubtful clinical significance today. Fat deposition encircles the heart and extends into the cranial mediastinum. There are no abnormalities in the pulmonary parenchyma or pleural space. There is ventral spondylosis deformans at C4-5. Intervertebral disc space size evaluation is limited by positioning. There is no endplate lysis. No thoracic spinal abnormalities. In the abdomen the liver is upper normal size with smooth margins. Normal-sized spleen and kidneys. No radiopaque urolithiasis. The gastrointestinal tract is mildly filled. Normal lumbar spine.</t>
  </si>
  <si>
    <t>Degenerative change at C4-5. No other definitive cervical spinal abnormalities are appreciated. With the discomfort, intervertebral disc disease is the top differential. Soft tissue sprain/strain is also possible. Otherwise normal thorax and abdomen.</t>
  </si>
  <si>
    <t>If pain can be medically managed and there are no neurologic deficits, this patient may benefit from strict rest and anti-inflammatories. Otherwise, consultation with a neurologist and advanced spinal imaging with CT/MRI would be recommended.</t>
  </si>
  <si>
    <t>Orthogonal views of the abdomen are provided:_x000D_
_x000D_
Abdomen:_x000D_
_x000D_
The stomach is empty._x000D_
Small intestines are mildly gas and fluid filled, not overtly distended. No signs of mechanical ileus._x000D_
Entire colon and cecum homogeneously gas distended._x000D_
Serosal detail is preserved._x000D_
Liver extends beyond the costal arch with sharp margins._x000D_
Spleen is within normal limits of size and smoothly marginated._x000D_
Kidneys and urinary bladder WNL._x000D_
_x000D_
Unremarkable visible thorax, spine and pelvis.</t>
  </si>
  <si>
    <t>Consider abdominal US to further evaluate causes of diarrhea and the liver with +/- US guided FNAs of the hepatic parenchyma.</t>
  </si>
  <si>
    <t xml:space="preserve">
1.Abdominal detail is diffusely decreased, particularly on the lateral projection._x000D_
2.Increased soft tissue is present in the splenic region with a mild mass effect._x000D_
3.The liver is moderately enlarged._x000D_
4.The abdomen is pendulous secondary to the hepatomegaly._x000D_
5.The small bowel is diffusely gas- and fluid-distended with concern for small bowel dilation approaching the max:min bowel diameter ratio of 2:1 on the lateral projection._x000D_
6.The gastric rugae are prominent or the gastric lumen contains soft tissue material mimicking the appearance of prominent gastric rugae._x000D_
7.A portion of the colon is gas filled and has a rigid appearance.</t>
  </si>
  <si>
    <t>Gastroenteritis, pancreatitis, or infiltrative disease cannot be excluded if the patient has a decreased appetite. Rigid colon concerning for colitis. Moderate hepatomegaly is a nonspecific finding that has rule out including: Congestion associated with right heart failure, nonspecific and vacuolar hepatopathies (such as hyperadrenocorticism), hyperplasia, hepatitis or in an older patient, infiltrative neoplasia, Decreased cranial abdominal detail. DDx: secondary to superimposition of the hepatomegaly vs. secondary to splenomegaly vs. regional inflammation or less likely, hemorrhage. The AI result for this case is most compelling for: Nonspecific hepatomegaly which may be secondary to endocrine disease (i.e. Cushing's or diabetes) vs. infiltrative neoplasia, such as lymphoma, in an older dog. Increased soft tissue opacity in the splenic region on the lateral projection. DDx: splenomegaly vs. caudal extension of the liver into the splenic region vs. confluence of soft tissue structures (distended bowel) vs. soft tissue mass of other origin (lymphadenopathy vs. pancreas).</t>
  </si>
  <si>
    <t xml:space="preserve">
Virtual Radiologist Case Difficulty: MODERATE_x000D_
Virtual Radiologist Confidence: MODERATE_x000D_
A cPLI could be performed to evaluate for pancreatitis, as clinically warranted._x000D_
Abdominal ultrasound would be beneficial to further evaluate the liver +/- gastrointestinal tract, pancreas and spleen, depending on clinical signs and blood work.</t>
  </si>
  <si>
    <t xml:space="preserve">Patient Name : Josie McCord, Date of study: Jul 31, 2024
3 images are provided for review
There are no previous radiographs for comparison.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and fluid.  Gas is in the pylorus in the left lateral image.  Gastric rugal folds are prominent. The stomach is within normal limits for size.
The small intestine contains mild gas and fluid or is empty with a subjectively uniform population for size. 
The colon contains mild heterogeneous soft tissue material and gas.  The colon is within normal limits for size.  
Musculoskeletal: The included musculoskeletal structures are normal.
</t>
  </si>
  <si>
    <t>1. Prominent gastric rugal folds such as from non-specific gastritis versus variation of normal.
2. Non-specific small intestinal and colon appearance such as from enteritis/colitis or given reported history, less likely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3. Microhepatia versus artifact from patient body confirmation or positioning/technique.
- If present, consider occult portosystemic shunt or unlikely other.</t>
  </si>
  <si>
    <t>Consider GI panel, fecal analysis/deworming, bile acid testing and routine blood work for further evaluation.  Empirical therapy and supportive care in the interim as needed.  Consider repeat abdominal radiographs versus ultrasonography if clinical signs acutely change, fail to improve or worsen. 
 Monitoring as directed or sooner if clinical signs acutely change, fail to improve or worsen.</t>
  </si>
  <si>
    <t xml:space="preserve">Patient Name : Koda Hagan, Date of study: Jul 31, 2024
4 images are provided for review
Previous images dated [07/30/2024 Case#2722796] are available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gas or is empty. The stomach is within normal limits for size.  Gas is in the pylorus in the left lateral image.
The small intestine contains mild gas, heterogeneous soft tissue admixed with gas, fluid or is empty.  The segments of small intestine in the caudal abdomen with atypical luminal gas in the prior examination are not identified in this examination.  The small intestine is subjectively uniform in size.
The colon contains moderate heterogeneous d soft tissue material and gas. The colon is within normal limits for size.
Musculoskeletal: Minimal bilateral coxofemoral joint osteoarthrosis is present. The remaining included musculoskeletal structures are normal.
</t>
  </si>
  <si>
    <t xml:space="preserve">1. Improved small intestinal appearance without progressive evidence of small intestinal mechanical ileus.  
- There is no current evidence of gastrointestinal mechanical ileus.
- Differential diagnoses include dietary indiscretion (and passage of foreign material) and/or, toxin ingestion, diet/antibiotic responsive disease, inflammatory bowel disease, pancreatitis, occult systemic disease or unlikely other.
2. Minimal bilateral  coxofemoral joint osteoarthrosis.
</t>
  </si>
  <si>
    <t xml:space="preserve">Empirical therapy and supportive care as needed for clinical signs. Monitoring as directed, or sooner if clinical signs reoccur in the interim.
</t>
  </si>
  <si>
    <t>Study:_x000D_
Thoracic/abdominal radiography: three images dated July 30, 2024_x000D_
The DV projection of the skull is also present in the study._x000D_
_x000D_
Findings:_x000D_
Motion artifact is present in the thoracic/abdominal images limiting evaluation. The cardiac silhouette and pulmonary vasculature are normal in size. The pulmonary parenchyma is unremarkable. The pleural space is normal. There is no intrathoracic lymphadenopathy. The trachea has an undulating course and appears narrowed in the cranial thorax.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There is moderate to severe bilateral elbow periarticular bone formation. Mild periarticular bone formation is present at the apex of each patella. The spine is unremarkable with no intervertebral disc space or foraminal narrowing. Evaluation of the skull is limited by the lack of lateral projections. Evaluation of the nasal passages is limited by superimposition of the mandibles. There is no gross evidence of aggressive nasal disease or space-occupying lesions on the limited assessment of the skull._x000D_
_x000D_
A human digit is present in the primary beam on the VD view of the thorax.</t>
  </si>
  <si>
    <t>1. The spine is unremarkable. The lack of any apparent intervertebral disc space narrowing does not exclude the possibility of intervertebral disc disease. Neurology consultation and MRI can be considered for further evaluation of the reported caudal thoracic pain persists or worsens in spite of strict activity restriction and pain management._x000D_
2. Unremarkable incomplete skull study. A cause of the reported nasal congestion is not evident. Consider infectious respiratory disease PCR testing, computed tomography of the head and rhinoscopy for further evaluation._x000D_
3. Normal thorax. There is no radiographic evidence of cardiopulmonary disease._x000D_
4. Postprandial stomach=ZZ90= otherwise, unremarkable abdomen._x000D_
5. Moderate to severe bilateral elbow osteoarthrosis._x000D_
6. Mild bilateral stifle osteoarthrosis.</t>
  </si>
  <si>
    <t>WHOLE-BODY (6 total radiographs for review). _x000D_
_x000D_
- Peritoneal serosal detail is normal._x000D_
- The stomach is moderately distended with gas-stippled soft-tissue opaque material. In the pyloric antrum, the material is more irregular, having a heterogeneous appearance._x000D_
- The small intestine contains mild multifocal gas and soft-tissue opaque material. A few small intestinal segments have the impression of mildly thickened walls. _x000D_
- The colon has a rigid appearance and contains gas, soft-tissue/fluid and minimal formed fecal material._x000D_
- The liver, spleen, region of the kidneys and urinary bladder are normal._x000D_
- There is a soft tissue opaque band dorsally overlying the trachea in the region of the thoracic inlet._x000D_
- Very mild straightening of the caudal cardiac margin and dorsal displacement of the caudal aspect of the thoracic trachea supporting mild left-sided cardiomegaly._x000D_
- The pulmonary vasculature is normal._x000D_
- The pulmonary parenchyma is normal_x000D_
- The trachea, esophagus and remainder of the mediastinum are normal._x000D_
- The pleural space and remaining intrathoracic structures are normal._x000D_
- Mild multifocal vertebral spondylosis deformans.</t>
  </si>
  <si>
    <t>1.  Moderate nonspecific gastric material. The material in the pyloric antrum is irregular in appearance and suspicious for foreign material, however in total the gastric contents likely represent a combination of undigested food and/or foreign material.  Correlate to results of recent feeding/meal and/or vomiting, if present (not reported).  If clinically indicated, you may consider fasting the patient and rechecking the radiographs in 12-24 hours to reevaluate the material in the stomach.  Obvious extension into the small intestinal tract is not appreciated (but is not completely excluded), however sonographic assessment of the area may provide further clarification, as well as to simultaneously evaluate the remainder of the gastrointestinal tract._x000D_
_x000D_
2. The appearance of the small intestine and colon can be compatible with a non-specific generalized functional ileus (e.g. enterocolitis).  The changes could be secondary to pancreatitis, however no overt pancreatic enlargement is appreciated. There is no evidence of small intestinal foreign material or mechanical obstruction. If clinically indicated (such as if the patient does not improve or worsens despite medical management), abdominal ultrasonography might be considered._x000D_
_x000D_
3.  The appearance of the trachea can be compatible with tracheal collapse secondary to chondromalacia._x000D_
_x000D_
4.  Subtle/questionable left-sided cardiomegaly may be artifactual such as from a prominent patient variant, the cardiac cycle or dexmedetomidine administration if used for sedation.  Degenerative mitral valve disease is not excluded and if a cardiac murmur is present, echocardiogram and cardiologist consultation may be considered.</t>
  </si>
  <si>
    <t xml:space="preserve">
1.There is mild hepatomegaly with smooth margins._x000D_
2.The spleen is smoothly marginated and within normal limits for size._x000D_
3.No abnormal AI findings reported._x000D_
4.The stomach contains a small volume of gas._x000D_
5.The small bowel contains gas and fluid. No evidence of obstruction.</t>
  </si>
  <si>
    <t>ABDOMEN, barium contrast gastrointestinal contrast study (14 radiographs for review).  A previous examination is available for comparison from 09/14/2023._x000D_
_x000D_
SURVEY RADIOGRAPHS:_x000D_
- The thorax is unremarkable._x000D_
- Peritoneal serosal detail is normal._x000D_
- The stomach contains mild gas and gas stippled soft tissue opaque material, as well as a few small mineral opaque fragments._x000D_
- The small intestine is nondistended and contains mild multifocal gas and soft tissue opaque material._x000D_
- The colon contains formed fecal material and gas. _x000D_
- The liver is mildly small, resulting in cranial transposition of the gastric axis._x000D_
- The spleen, region of the kidneys are normal.  _x000D_
- The urinary bladder is of limited assessment._x000D_
- No musculoskeletal abnormalities are noted._x000D_
_x000D_
CONTRAST STUDY:_x000D_
- The stomach smoothly fills with an adequate volume of positive contrast medium. Multiple gastric rugal folds are mildly prominent. No gastric filling defects or obvious mucosal alterations are noted.  Pyloric outflow is within adequate timing._x000D_
- The small intestinal filling is homogenous/uniform, without distinct ulceration or obstruction noted. There are a few small intestinal segments with mildly undulant mucosal margination, however no obvious dilation is observed._x000D_
- Near the completion of the study, there is an accumulation of positive contrast medium in the cecum, ascending and transverse colon.  At this time point there is a mild residual volume of positive contrast medium in the stomach and minimal multifocally throughout the small intestine.</t>
  </si>
  <si>
    <t>1.  Overall, a clear cause for the reported chronic intermittent regurgitation is not distinctly identified.  The gastric rugal folds are prominent and there is mild multifocal corrugation of multiple small intestinal segments, which may indicate nonspecific inflammation such as gastroenteritis (or infiltrative bowel disease such as IBD), however the changes are relatively mild and may not be the primary cause of regurgitation.  There is no evidence of obstruction, intestinal mass and/or ulceration appreciated.  _x000D_
_x000D_
If not already performed, after waiting an appropriate time period for evacuation of the barium from the GI tract, consider abdominal ultrasonography for further assessment.  Internal medicine consultation may be indicated in this patient given the reported history and equivocal radiographic findings._x000D_
_x000D_
2.  Impression of a mildly small liver may be due to a normal patient variant however could also indicate chronic hepatic disease such as portosystemic shunt, chronic hepatitis and/or hepatic fibrosis/cirrhosis._x000D_
_x000D_
3. Normal thorax.</t>
  </si>
  <si>
    <t>Abdomen: On the ventrodorsal view there are small lucencies (most prominent along the left side of the abdominal wall) that appear to be gas bubbles within the peritoneum.  Also on the ventrodorsal view there appears to be bunching of small intestines with a fragmented gas pattern and somewhat plicated appearance within the right middle abdomen.  There is decreased serosal detail within this region.  The liver and spleen are unremarkable.  There are no abnormalities involving the visible portions of the urinary tract._x000D_
_x000D_
Thorax: There is a soft tissue opacity located dorsal to the second sternebra.  There is pectus excavatum.  The cardiac silhouette is displaced to the right most likely secondary to pectus excavatum.  There are no abnormalities involving the pulmonary vasculature or pulmonary parenchyma.  There is no evidence of pleural effusion.</t>
  </si>
  <si>
    <t>Small lucencies within the abdomen is highly suspicious for a abdomen._x000D_
_x000D_
Possible plicated fragmented segments of jejunum._x000D_
_x000D_
Suboptimal serosal detail within the right mid abdomen which may represent mild local effusion._x000D_
_x000D_
Suspect sternal lymphadenopathy.</t>
  </si>
  <si>
    <t xml:space="preserve">
1.The liver is enlarged with rounded borders._x000D_
2.The spleen is prominent and mostly in the left side of the abdomen._x000D_
3.Detail in the abdomen is adequate to mildly decreased._x000D_
4.The stomach is displaced caudally by the hepatomegaly. No significant gastric distention is noted. The small intestinal tract is normal in diameter.</t>
  </si>
  <si>
    <t>Study:_x000D_
Thoracic/abdominal radiography: three images dated July 30, 2024_x000D_
_x000D_
Findings:_x000D_
There is mild left ventricular and left atrial enlargement. The pulmonary vasculature is normal in size. The pulmonary parenchyma is unremarkable. The pleural space is normal. There is no intrathoracic lymphadenopathy. The patient has a redundant dorsal tracheal membrane. There is mild narrowing of the trachea lumen at the thoracic inlet. The abdominal serosal detail is adequate. The stomach contains a small volume of gas. The small intestines are normal in size, course and content. The colon contains formed fecal material with a normal diameter. The liver extends mildly beyond the costal arch with smooth margins. There multiple indistinct mineral opacities clustered in the region of the gallbladder. The spleen is normal in size and margin. The renal silhouettes are normal in size and contour. A moderate amount of mineral is present in the region the renal pelvis bilaterally. There is a 1 cm mineral opaque calculus in the urinary bladder. No calculi are present in the region of the urethra. There is no prostatomegaly. There is narrowing of the L1-L2, L2-L3 and L4-L5 intervertebral disc spaces with sclerotic endplates and mild to moderate spondylosis deformans.</t>
  </si>
  <si>
    <t>1. Mild left-sided cardiomegaly, indicative of mitral valve disease, without evidence of decompensation. Echocardiography should be considered for further evaluation._x000D_
2. Chondromalacia and dynamic airway disease/tracheal collapse._x000D_
3. The generalized hepatomegaly is nonspecific. Rule out metabolic/vacuolar hepatopathy, hyperplasia, hepatitis or infiltrative neoplasia. Sonography can be considered for further evaluation._x000D_
4. Cholelithiasis._x000D_
5. Bilateral nephrolithiasis versus nephrocalcinosis._x000D_
6. Cystolith. Recommend urinalysis for further evaluation. Consider dissolution versus cystotomy._x000D_
7. Chronic L1-L2, L2-L3 and L4-L5 intervertebral disc disease. Correlate with any spinal pain and/or proprioceptive deficits.</t>
  </si>
  <si>
    <t xml:space="preserve">
1.The stomach contains a mild volume of heterogeneous soft tissue material and gas.  The intestines are normal in size and content._x000D_
2.Hepatomegaly extends caudally. Prominent spleen +/- splenic mass versus superimposition of adjacent organs._x000D_
3.No abnormal AI findings reported._x000D_
4.No abnormal AI findings reported.</t>
  </si>
  <si>
    <t>The AI result for this case is most compelling for: Hepatomegaly. This finding can be nonspecific, and is often due to fat deposition, steroid hepatopathy, or metabolic hepatopathy (Cushing's disease). Other less likely differential diagnosis considerations include hepatitis or infiltrative neoplasia. Appearance of the spleen may be due to caudal extension of hepatomegaly to the region of the spleen, versus possible splenic mass.</t>
  </si>
  <si>
    <t xml:space="preserve">Patient Name : Jubei Chon, Date of study: Jul 30, 2024
5 images are provided for review
Prior images dated February 28, 2024 and previous are available.  Thoracic images are overexposed with saturated lungs.
Pulmonary parenchyma: An ovoid mineral focus is over the mid-ventral lungs in the lateral image. This may correspond to suspected right middle lung lobe soft tissue nodule at the level of T6 in the ventrodorsal image.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A slight soft tissue band is over the cervical trachea in the lateral image.  
Esophagus: The esophagus is not well-identified.
Pleural space: The pleural space is normal.
Liver: The liver is slightly enlarged with a sharp caudoventral magin extending past the last ribs.  
Spleen: The spleen is normal in size with smooth margins and homogeneous soft tissue.
Kidneys: the right kidney caudal margin is slightly flat in the lateral image.  The kidneys are otherwise normal.  
Retroperitoneum: Retroperitoneal detail is adequate.
Urogenital: The urinary bladder is normal in size, homogeneous soft tissue, and smoothly marginated.
Peritoneum: Peritoneal detail is adequate.
Gastrointestinal tract: The stomach contains a moderate gas and mild soft tissue material.   The stomach is within normal limits for size.
The small intestine contains mild gas and fluid or is empty with a subjectively uniform population for size. 
The colon contains mild heterogeneous soft tissue material and gas.  The colon is within normal limits for size.  
Musculoskeletal: Normal coxofemoral joints.  No obvious evidence of intervertebral disc space narrowing.  The remaining included musculoskeletal structures are normal.
</t>
  </si>
  <si>
    <t xml:space="preserve">1. Suspected right middle lung lobe soft tissue versus mineralized nodule.
- If present, consider evolving metastatic neoplasia such as from occult osseous neoplasm versus other, or less likely granuloma from prior disease or other.  
2. Minimal to mild diffuse bronchial pattern such as from fibrosis from prior disease, age-related changes, infectious/immune-mediated lower airway disease, artifact or unlikely other.
3. Mild hepatomegaly due to vacuolar change, nodular hyperplasia, hepatitis/cholangiohepatitis, or evolving neoplasia (metastatic versus primary).
4. Suspected right chronic renal changes/cortical infarct.  
5. Dorsal redundant tracheal membrane with/without dynamic airway disease versus superimposed normal structures.  </t>
  </si>
  <si>
    <t>Consider computed tomography of the thorax for further evaluation of suspected right middle lung lobe nodule versus repeat radiographs.  Consider abdominal ultrasonography for further evaluation of the liver and right kidney. Empirical therapy and supportive care in the interim as needed.  Monitoring as directed, or sooner if clinical signs acutely change, fail to improve or worsen.
Etiology of reported ataxia/paraparesis is not definitively identified.  Consider occult myelopathy versus lameness from occult orthopedist disease.</t>
  </si>
  <si>
    <t>Thorax: Today=ZZ91=s study is compared to a study dated 4/24/2023. There is moderate generalized cardiomegaly which has increased in size compared to previous study.  There is persistent collapse of the mainstem bronchi.  There is a soft tissue opacity associated with the dorsal aspect of the intrathoracic trachea with mild narrowing of the trachea.  There is a diffuse bronchointerstitial pattern which has remained relatively static compared to previous.  On all views there is pulmonary underinflation as previous.  There is no evidence of pleural effusion or lymphadenopathy.  On the visible portions of the abdomen there is diffuse hepatomegaly.</t>
  </si>
  <si>
    <t>Increase in severity of generalized cardiomegaly._x000D_
_x000D_
Persistent collapse of the mainstem bronchi._x000D_
_x000D_
Relatively static diffuse bronchointerstitial pattern._x000D_
_x000D_
Diffuse hepatomegaly._x000D_
_x000D_
Narrowing of the intrathoracic trachea which may represent dynamic collapsing._x000D_
_x000D_
Pulmonary underinflation which may represent timing of radiographic acquisition or possible upper airway obstructive process.</t>
  </si>
  <si>
    <t>Four radiographs of the thorax/abdomen are provided. The heart and pulmonary vessels are normal size and shape. There are no abnormalities in the pulmonary parenchyma or pleural space. Incidental left rib variation on C7/T1. Moderate narrowed cervical trachea. Small volume fluid in the caudal esophagus is transient and incidental. In the abdomen there is moderate volume fluid in the colon. Small intestines are moderately fluid filled. The stomach contains scant gas. Serosal detail is adequate. No radiopaque foreign material is present. Normal-sized liver, spleen, kidneys. The urinary bladder is mildly filled and soft tissue opaque.</t>
  </si>
  <si>
    <t>Liquid diarrhea and small intestinal functional ileus. Gastroenterocolitis secondary to dietary indiscretion is most likely. The thorax is normal.
(amended on 07/31/2024 09:25)
Probable cervical tracheal collapse, of doubtful significance today.</t>
  </si>
  <si>
    <t>Abdominal ultrasound is recommended. If hematemesis persists and/or is severe, exploratory surgery would be recommended.</t>
  </si>
  <si>
    <t xml:space="preserve">
1.The liver and spleen are within normal limits._x000D_
2.Serosal detail is slightly reduced in the cranial abdomen, but this is a very subtle change._x000D_
3.There is no severe dilation of the stomach or intestine however the gastric rugae are mildly prominent and the small bowel is diffusely gas- and fluid filled. No compelling evidence for obstruction._x000D_
4.No abnormal AI findings reported.</t>
  </si>
  <si>
    <t>No evidence of obstruction identified. If GI symptoms are present, gastroenteritis/pancreatitis secondary to dietary indiscretion or infectious etiology could be considered.</t>
  </si>
  <si>
    <t xml:space="preserve">
Virtual Radiologist Case Difficulty: MODERATE_x000D_
Virtual Radiologist Confidence: MODERATE_x000D_
If GI signs are present, supportive and symptomatic therapy for gastroenteritis/pancreatitis can be considered. Blood work, if not already performed, can include pancreatic labs. If symptoms persist, repeat radiographs to assess for passage of gastric contents or obstruction, and abdominal ultrasound could be performed for further evaluation.</t>
  </si>
  <si>
    <t xml:space="preserve">Patient Name : Oden Rosas, Date of study: Jul 30, 2024
14 images are provided for review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small with cranial dispalcement of the gastric axis.  Mild to moderate mineral is superimposed over the right liver.
Spleen: The spleen is normal in size with smooth margins and homogeneous soft tissue.
Kidneys: The right kidney is obscured and the left kidney is normal.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admixed with gas  The stomach is within normal limits for size.
The small intestine contains mild to moderate gas and minimal fluid or is empty with a subjectively uniform population for size. 
The colon contains minimal heterogeneous soft tissue material and gas.  The colon is within normal limits for size.  
Bones/Joints:
A dens is present.  There is no evidence of atlantoaxial joint subluxation.
Mineral dorsal to L4-5? spondylosis or other
There is no evidence of intervertebral disc space narrowing, or mineral over the intervertebral foramina.  There is no evidence of intervertebral dorsal articulation osteoarthrosis.
Suspected bilateral erosive arthropathy of the left proximal and distal intertarsal joints.  Moderate increased soft tissue surrounding the left tarsocrural and tarsal joints. Moderate increased soft tissue surrounding the right tarsocrural and tarsal joints.
Mild increased soft tissue is suspected in the left stifle joint.   Moderate increased soft tissue is suspected in the right stifle joint.    The tibias and metatarsal bones and tarsal bones have a coarse trabecular bone pattern.  
Severe soft tissue swelling surrounds the carpi bilaterally.  A small ovoid mineral body is just cranial to the left distal radius.   The bilateral brachium's and antebrachiums have a coarse trabecular bone pattern.  
There is no evidence of medullary sclerosis, osteolysis, endosteal scalloping, or periosteal proliferation.
Soft tissues:  The included soft tissues are normal.
</t>
  </si>
  <si>
    <t xml:space="preserve">1. Bilateral tarsocrural and tarsal joint associated synovial effusion/proliferation and suspected articular surface erosion with severe synovial effusion/proliferation or unlikely evolving neoplasia such as synovial cell sarcoma or other.
- This is suspicious for an erosive polyarthritis such as from lupus, rheumatoid arthritis or septic arthritis.
2. Bilateral severe carpal joint associated soft tissue swelling such as from evolving arthritis similar to above, or unlikely evolving neoplasia.
3. Moderate right stifle synovial effusion/proliferation due to evolving polyarthropathy and/or intra-capsular soft tissue injury
4. Mild left stifle synovial effusion/proliferation due to evolving polyarthropathy and/or intra-capsular soft tissue injury.
5. Polyostotic coarse trabecular bone pattern likely from disuse osteopenia or unlikely other.
6. Mild diffuse bronchial pulmonary pattern such as from fibrosis from prior disease, age-related changes, and/or infectious/immune-mediated lower airway disease (mycoplasma spp., bordetella spp., parasitism, or other), inhaled allergen/irritant, or less likely other.
7. Mild microhepatia versus individual variation of normal.
8. Gallbladder mineral is suspected such as from hereditary/dietary factors or underlying hepatobiliary disease.  
9. Gastric material from recent meal versus gastritis/delayed gastric emptying or unlikely other.  </t>
  </si>
  <si>
    <t>Consider orthopedist consultation, cross-sectional imaging of the carpal/tarsal joints and arthrocentesis with fluid analysis/cytology for further evaluation.   Abdominal ultrasonography and bile acid testing may be contributory.  Empirical therapy and supportive care in the interim as needed.  Monitoring as directed, or sooner if clinical signs acutely change, fail to improve or worsen.</t>
  </si>
  <si>
    <t>Six radiographs of the abdomen are provided. Images dated 6/18/24 are available for comparison. Serosal detail is adequate. There is small volume of gas in the stomach. Undulating soft tissue opacity along the gastric mucosa is normal rugal folds. Small bowel are minimally distended with fluid and gas. There is gas in the cecum and proximal colon. Moderate volume semi-formed feces in the distal colon. The liver, spleen, kidneys are normal sized. The urinary bladder is mildly filled and soft tissue opaque. The caudal thorax is normal.</t>
  </si>
  <si>
    <t>Normal abdomen. Gastritis secondary to dietary indiscretion is most likely. There is no evidence of an obstructive process or residual foreign material. Small radiolucent gastric foreign material is not definitively ruled out.</t>
  </si>
  <si>
    <t>If the patient does not improve with supportive care, consider a positive contrast gastrogram (fasted, no food admixed). Abdominal ultrasound is another option, as long as the patient is strictly fasted and there is minimal gas in the stomach at the time of imaging.</t>
  </si>
  <si>
    <t>Study:_x000D_
Thoracic and abdominal radiography: five images dated July 30,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There is no esophageal dilation. The stomach contains a small volume of gas with the pylorus appropriately gas-filled on the left lateral image. The small intestines are normal in size, course and content. The colon contains gas and formed fecal material with a normal diameter. The liver and spleen are normal in size and margin. The kidneys are normal in size and contour. The urinary bladder is normal in size and opacity. No skeletal abnormalities present.</t>
  </si>
  <si>
    <t>1. Normal thorax. There is no radiographic evidence of cardiopulmonary disease._x000D_
2. Unremarkable abdomen.</t>
  </si>
  <si>
    <t>There are no radiographic contraindications to anesthesia.</t>
  </si>
  <si>
    <t xml:space="preserve">Patient Name : Murphy Dowda, Date of study: Jul 30, 2024
5 images are provided for review
Prior images dated July 8, 2024 are available.  
Liver:  Unchanged equivocal microhepatia.  
Spleen: The spleen is normal in size with smooth margins and homogeneous soft tissue.
Kidneys: The right kidney is obscured.  The left kidney is normal.  
Retroperitoneum: Retroperitoneal detail is adequate.
Urogenital: The urinary bladder is normal in size, homogeneous soft tissue, and smoothly marginated.
Peritoneum: Peritoneal detail is adequate.
Gastrointestinal tract: The stomach contains a moderate to large volume of gas and heterogenous soft tissue material admixed with gas.  Mild granular mineral is admixed with gastric contents.  Gas is in the pylorus in the left lateral image. The stomach is within normal limits for size.
The small intestine contains mild fluid or is empty with a subjectively uniform population for size.   Granular mineral is admixed with multiple small intestinal segments content.  
The colon contains minimal soft tissue material and gas.    Minimal granular mineral is admixed with colon contents.  The colon is within normal limits for size.  
Musculoskeletal: The caudal vertebrae are shortened consistent with the breed (screw tail anomaly).  The remaining included musculoskeletal structures are normal.
</t>
  </si>
  <si>
    <t>1. Gastric material due to recent meal and/or gastritis/delayed gastric emptying.
2. Non-specific small intestinal and colonic appearances such as from enteritis, or individual variation of normal.
- If enteritis/colitis is present, dietary indiscretion and passage of granular mineral material is considered the primary differential diagnosis.
- There is no evidence of small intestinal mechanical ileus.  
3. Unchanged equivocal microhepatia versus artifact.</t>
  </si>
  <si>
    <t>Empirical therapy for gastritis in the interim.  Consider repeat abdominal radiographs after 8-12 hours of fasting  and empirical therapy to monitor for passage of gastrointestinal material. Routine blood work, bile acid testing, GI panel and fecal analysis may be contributory iuf not recently performed.  Monitoring as directed or sooner if clinical signs acutely change, fail to improve or worsen.</t>
  </si>
  <si>
    <t>WHOLE-BODY (7 total radiographs for review).  No previous examinations are available for comparison._x000D_
_x000D_
- Moderate to marked left-sided cardiomegaly with overt left atrial enlargement characterized by straightening of the cardiac margin, dorsal displacement of the caudal aspect of the thoracic trachea, and a rounded soft tissue opacity caudal to the tracheal bifurcation._x000D_
- The pulmonary vasculature is normal._x000D_
- The pulmonary parenchyma, pleural space, mediastinum and remaining included thoracic structures are normal._x000D_
- Peritoneal serosal detail is normal._x000D_
- The stomach contains mild gas and gas-stippled soft-tissue opaque material_x000D_
- The small intestine contains mild multifocal gas and soft-tissue opaque material_x000D_
- The colon contains gas, soft-tissue/fluid and moderate formed fecal material._x000D_
- The liver, spleen, region of the kidneys and urinary bladder are normal._x000D_
- The cervical, thoracic and lumbar vertebral columns are normal._x000D_
- The included portions of the proximal forelimbs are normal._x000D_
- The pelvis and included portions of the proximal hind limbs are normal.</t>
  </si>
  <si>
    <t>1.  Overall, a discrete cause for hind-end weakness and hyporexia is not clearly identified. _x000D_
_x000D_
2. Moderate-to-marked left-sided cardiomegaly, with overt left atrial enlargement, without pulmonary vasculature congestion or congestive heart failure. Most likely compatible with degeneration of the mitral valve. Consider  echocardiography/ECG and cardiologist consultation for further assessment._x000D_
_x000D_
3.  Unremarkable abdomen._x000D_
_x000D_
4.  Unremarkable vertebral column and musculoskeletal structures.</t>
  </si>
  <si>
    <t xml:space="preserve">
1.The GI tract is normal._x000D_
2.Liver size, shape and margin are normal._x000D_
3.Splenic size, shape and margin are normal._x000D_
4.Abdominal detail is normal.</t>
  </si>
  <si>
    <t>Three orthogonal radiographs of the abdomen dated 25th July 2024 are available for review. There are no previous radiographs available for comparison. The images are underexposed, significantly limiting interpretation._x000D_
_x000D_
Intra-abdominal findings: The hepatic silhouette is normal in size with smooth borders. The spleen is normal in shape, size and position. The kidneys are partially obscured by gastrointestinal contents, but the visible aspect are normal. The stomach contains kibble,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Extra-abdominal findings: No significant abnormalities are detected._x000D_
_x000D_
Included thorax: No significant abnormalities are detected.</t>
  </si>
  <si>
    <t>Normal abdomen. A small splenic mass can be easily missed due to superimposition and a relative underexposure of the images.</t>
  </si>
  <si>
    <t>Consider a complete abdominal ultrasonographic examination.</t>
  </si>
  <si>
    <t>8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Large tubular soft tissue structures are seen in the abdomen bilaterally.  These extend within the ventral abdomen and between the urinary bladder and colon.  End on portions of this tubular structure causing masslike appearance in the ventral abdomen on the lateral views.  The remaining abdominal organs are normal.</t>
  </si>
  <si>
    <t>The large tubular structure within the abdomen appears most consistent with enlargement of the uterus.  Confirm the patient received full ovariohysterectomy.  If so, severe segmental intestinal dilation is likely and abdominal exploratory is warranted.  Otherwise, abdominal ultrasound may be helpful.  Radiographically normal thorax for patient of this age.</t>
  </si>
  <si>
    <t>Eight radiographs are provided, with images of the thorax, abdomen, proximal pelvic limbs. The patient is overweight, with moderate volume subcutaneous fat. Moderate narrowed cervical trachea. The cardiac silhouette and pulmonary vessels are normal size. There are no abnormalities in the pulmonary parenchyma or pleural space. The C3-4, C5-6 intervertebral disc spaces appear narrowed, although could be artifact due to normal sloping/dependency. In the abdomen, peritoneal and retroperitoneal serosal detail is adequate. The liver, kidneys, and spleen are normal size. Moderate volume soft tissue opaque ingesta fills the stomach. Small bowel are mildly fluid and gas filled. Formed feces in the colon. There are two round spiculated 0.5 cm mineral opaque cystic calculi in the urinary bladder. Thin 0.4 x 0.2 cm mineral density caudoventral to the os penis. No medial iliac lymphadenomegaly. Narrowed T12-13, L1-2 intervertebral disc spaces. The coxofemoral joints are congruent. The left patella is medially displaced. Moderate volume fluid in the right stifle. Small volume fluid in the left stifle. Mild enthesophyte formation on the distal left patella. No popliteal lymphadenomegaly.</t>
  </si>
  <si>
    <t>1. Narrowed T12-13 and L1-2 intervertebral disc spaces, with several suspect narrowed intervertebral disc spaces in the cervical spine. Intervertebral disc disease at any of these sites is likely responsible for the discomfort and neurologic deficits.
2. Bilateral stifle effusion most consistent with cranial cruciate ligament tear/rupture. This is worse on the right side. Concurrent medial patellar luxation on the left. Normal coxofemoral joints.
3. Cervical tracheal collapse. No intrathoracic abnormalities.
4. Cystic calculi, of a size that may or may not be able to pass the urethra. There is a distal penile urethral calculus, of a size that may pass successfully. No other abdominal abnormalities.</t>
  </si>
  <si>
    <t>If the neurologic deficit and pain do not improve with conservative treatment, consultation with a neurologist and advanced spinal imaging with CT/MRI would be recommended.</t>
  </si>
  <si>
    <t xml:space="preserve">
1.The stomach is mildly gas and fluid filled with some soft tissue density material. The small bowel is gas and fluid-containing. No findings to indicate obstruction._x000D_
2.Splenic size, shape and margin are normal._x000D_
3.Abdominal detail is within normal limits._x000D_
4.The liver is mildly enlarged.</t>
  </si>
  <si>
    <t xml:space="preserve">Patient Name : Jazzy Hogan, Date of study: Jul 30, 2024
2 images are provided for review
Canine Abdomen (2 Images) - 1 Lateral, 1 Vd
There are no previous radiographs for comparison.
Liver: The liver is subjectively normal in size.
Spleen: The spleen is normal in the left cranial abdomen of the ventrodorsal image.  
Kidneys: The left kidney is normal.  the right kidney is obscured without obvious enlargement or mineral.  
Retroperitoneum: Retroperitoneal detail is adequate.
Urogenital: The urinary bladder is normal in size, homogeneous soft tissue, and smoothly marginated.
Peritoneum:  Ill-defined increased ovoid soft tissue is suspected in or over the left mid-ventral abdomen at the level of L3-4.   Peritoneal detail is adequate.
Gastrointestinal tract: The stomach contains a moderate volume of gas and fluid or soft tissue material.   The stomach is within normal limits for size.
The small intestine contains mild gas, fluid or is empty with a subjectively uniform population for size. 
The colon contains minimal heterogeneous soft tissue material admixed with gas.  The colon is within normal limits for size.  
Musculoskeletal: The included musculoskeletal structures are normal.
</t>
  </si>
  <si>
    <t xml:space="preserve">1. Possible left mid-ventral abdominal mass versus artifact/superimposed normal structures.
- If present, tissue of origin may be the ventral extremity of the spleen versus small intestine or unlikely other.  
- If present, this may be of splenic or less likely hepatic origin.
2. Non-specific gastrointestinal tract appearance such as from enteritis, colitis, or unlikely individual variation of normal given reported history.
- There is no current evidence of gastrointestinal mechanical ileus.
- Differential diagnoses include dietary indiscretion, toxin ingestion, diet/antibiotic responsive disease, inflammatory bowel disease, pancreatitis, occult systemic disease or unlikely other.
</t>
  </si>
  <si>
    <t>Consider abdominal ultrasonography, GI panel, and routine blood work for further evaluation.  If a abdominal mass/splenic mass is confirmed, consider coagulation testing and tissue sampling for further evaluation.   Empirical therapy and supportive care in the interim as needed.  Monitoring as directed or sooner if clinical signs acutely change, fail to improve or worsen.</t>
  </si>
  <si>
    <t>10 images of the pelvis, proximal thoracic limbs, and spine are provided for review.  No fractures, luxations, or aggressive osseous lesions are seen.  Mineral opaque intervertebral discs are seen in situ at L3-6.  No consistently narrowed intervertebral disc spaces are seen.  There is spondylosis deformans of the thoracic spine.  The coxofemoral joints are congruent.  The joint surfaces are smooth and regular.  Mild osteophyte formation is seen at the caudal aspects of humeral heads.  The soft tissue structures included are normal.</t>
  </si>
  <si>
    <t>Radiographically normal pelvis.  Mild bilateral shoulder DJD.  Multiple sites of intervertebral disc disease.  This does not rule out intervertebral disc herniation at another site or other causes of spinal cord compression.  CT or MRI could be considered in further evaluation.</t>
  </si>
  <si>
    <t xml:space="preserve">
1.Serosal detail is adequate._x000D_
2.The small intestines have a diffuse fragmented gas pattern. No segmental small bowel dilation is identified._x000D_
3.Liver size, shape and margin are normal._x000D_
4.Splenic size, shape and margin are normal.</t>
  </si>
  <si>
    <t>Fragmented gas pattern associated with the small intestines which may be secondary to enteritis. No small intestinal segmental dilation is identified. Primary differential consideration for the appearance of the gastric lumen include normal ingesta. However, if vomiting or anorexia are present, gastric foreign material becomes a consideration. The AI result for this case is most compelling  for:  normal post-prandial GI tract in a patient WITHOUT GI signs. In a patient WITH GI signs, gastric foreign material or low grade gastroenteritis is a consideration.</t>
  </si>
  <si>
    <t>Two views of the thoracolumbar spine are provided for review.  No fractures, luxations, or aggressive osseous lesions are seen.  There is mild consistent narrowing of the intervertebral disc space at T11-12.  The soft tissue structures included are normal.</t>
  </si>
  <si>
    <t>A two view study of the abdomen is provided._x000D_
_x000D_
The abdomen is distended, with increased overall opacity due to lobular soft tissue opacity and multiple moderately mineralized fetal skeletons consistent with pregnancy. Seven fetuses are suspected. No fetal gas or appearance of fetal mummification is seen._x000D_
The liver is borderline for size, at the small end of acceptable range. The other organs are within normal limits. No musculoskeletal abnormalities are identified.</t>
  </si>
  <si>
    <t>Pregnancy is confirmed._x000D_
Seven normal fetuses are suspected._x000D_
_x000D_
Liver size is borderline, smaller than expected but potentially still within the limits of benign variation.</t>
  </si>
  <si>
    <t>The smaller than average liver may be normal for this patient, but bile acids testing should be considered to rule out pathologic causes of small liver.</t>
  </si>
  <si>
    <t xml:space="preserve">
1.The abdomen is mildly pendulous._x000D_
2.Mineral dense material and distended viscus are present in the region of the uterine horns._x000D_
3.In cases of pregnancy, fetal mineralization indicates fetal age of &gt;45 days._x000D_
4.IMPORTANT: This AI evaluation currently DOES NOT assess for the presence of fetal mummification and/or abnormal gas within or around the fetus (fetal viability) and/or fetal number._x000D_
5.The stomach contains fluid and some gas._x000D_
6.The small intestine is diffusely fluid filled._x000D_
7.The liver is enlarged with rounded borders._x000D_
8.There is increased soft tissue opacity in the splenic region. DDx: secondary to caudal extension of the liver vs. loss of detail due to abdominal fluid vs. splenomegaly or a splenic mass._x000D_
9.There is poor detail identified in the abdomen. DDx: secondary to hepatomegaly causing crowding of the abdominal organs and/or abdominal fluid.</t>
  </si>
  <si>
    <t xml:space="preserve">
Virtual Radiologist Case Difficulty: LOW_x000D_
Virtual Radiologist Confidence: HIGH_x000D_
Correlation with lab work is needed. Abdominal ultrasound is likely warranted._x000D_
Depending on initial blood work results, liver function testing may be warranted._x000D_
Evaluate fetal skeletal structures on radiographs, via ultrasound or submit for radiology review if fetal number and/or evaluation of fetal viability is needed.</t>
  </si>
  <si>
    <t>Opposite lateral and VD views of the thorax and abdomen are provided._x000D_
_x000D_
The heart is at the upper end of normal size range. There is a slight bulge in the region of the left atrium, the appearance is subtle and equivocal. A few pleural fissure lines are faintly visible in the VD view. The appearance is not suggestive of clinically relevant pleural effusion is suspected to be incidental. Interstitial opacity is moderately increased. The appearance is still within the limits of what might be expected for age related change of hypoinflation artifact._x000D_
There is severe narrowing of the distal trachea and mainstem bronchi. There is severe redundant dorsal tracheal membrane with irregular contour suspicious for clinical tracheal collapse._x000D_
_x000D_
The liver is mildly to moderately enlarged, with normal shape and smooth margins. There is a linear metallic form body in the left caudal ventral abdomen that measures approximately 2 cm length. It is suspected to be within the small intestine. Serosal detail in the area is normal. No intestinal dilation or plication is seen. The other abdominal organs are within normal limits. There is a small ill-defined mineral density new the tip of the left 13th rib. This is suspected to be an incidental granuloma, or possibly a degenerative change or congenital deformity.</t>
  </si>
  <si>
    <t>Dynamic tracheal and mainstem bronchial collapse appears to be the primary pathology affecting this patient._x000D_
No changes concerning for significant cardiac chamber dilation or heart failure are identified._x000D_
Interstitial lung pattern is within the limits of age related artifactual change, but low-grade bronchitis cannot be excluded._x000D_
 No defined bronchial pattern or chronic airway changes suggestive of COPD identified.</t>
  </si>
  <si>
    <t>Convincing indication for cardiac medications is not seen in this study._x000D_
Echocardiography should be considered for more definitive evaluation._x000D_
_x000D_
Dynamic airway collapse present and concurrent viral pneumonitis or low-grade infectious bronchitis could also be contributing to the clinical signs._x000D_
Antibiotic therapy and symptomatic therapy for the cough is recommended._x000D_
Idiopathic chronic bronchitis can sometimes still be present without significant radiographic changes. Bronchodilator therapy may be of benefit.</t>
  </si>
  <si>
    <t xml:space="preserve">
1.Splenic size, shape and margin are normal._x000D_
2.The liver is mildy enlarged._x000D_
3.Abdominal detail is normal._x000D_
4.The stomach is normal. The small bowel is diffusely gas- and fluid-filled without segmental small bowel dilation.</t>
  </si>
  <si>
    <t>6 views of the thorax and abdomen are submitted for review.  There is increased convexity of the right heart.  Mild straightening of the caudal cardiac waist is noted.  The pulmonary vasculature is normal.  Mild bronchointerstitial markings are noted in the lung fields.  No pleural effusion or intra-thoracic of adenopathy is noted.  The trachea is normal in diameter._x000D_
In the abdomen, the stomach contains mild amount of gas and ingesta.  The small bowel and colon are within normal limits.  The liver, spleen, renal silhouettes, and urinary bladder are within normal limits._x000D_
No definitive abnormalities noted in the thoracic or lumbar spine.</t>
  </si>
  <si>
    <t>The appearance of the heart could be consistent with mitral and tricuspid valve endocardiosis and mild chamber enlargement.  The increased convexity of the right heart could also be consistent with pulmonary hypertension or other right-sided heart disease.  However, this is not definitive and may also be within normal limits of variation for the breed._x000D_
Radiographically normal postprandial abdomen.</t>
  </si>
  <si>
    <t>An echocardiogram could be considered to further evaluate cardiac size and function, especially if a heart murmur is present.  Given the profound anemia, an abdominal ultrasound may also be indicated.</t>
  </si>
  <si>
    <t>Two radiographs of the abdomen dated 30th July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is mainly empty, with a normal axis. The rugal folds of the stomach are subjectively prominent. The small intestines are distributed evenly and are within normal limits for shape, size and contents. The ascending, transverse and descending colon have a normal position and contain gradually more formed faeces. The urinary bladder is small. The serosal detail is normal._x000D_
_x000D_
Extra-abdominal findings: No significant abnormalities are detected._x000D_
_x000D_
Included thorax: No significant abnormalities are detected.</t>
  </si>
  <si>
    <t>The gastric findings would support a differential of a mild gastritis of infectious-inflammatory or dietary indiscretion origin. Pancreatitis is considered unlikely. There is no evidence for outflow obstruction, or a foreign body.</t>
  </si>
  <si>
    <t xml:space="preserve">
1.The stomach contains gas and small amount of amorphous soft tissue density. Small intestines are diffusely, minimally distended._x000D_
2.Abdominal detail is normal._x000D_
3.Splenic size, shape and margin are normal._x000D_
4.Liver size, shape and margin are normal.</t>
  </si>
  <si>
    <t>A three view study of the abdomen is provided._x000D_
_x000D_
The liver is moderately enlarged. The shape of the liver is normal and the margins are smooth. There is a small area of irregular mineral opacity superimposed over the ventral liver which is suspected to represent mild mineralization in the biliary tree. There is faint arborizing mineral density associated with the kidneys consistent with mineralization in the collecting system. The right kidney is at the small end of acceptable size range. There is a mild reduction in serosal detail in the mid abdominal region. Small round lucencies consistent with gas bubbles can be seen in the urinary bladder._x000D_
_x000D_
There is mild narrowing of disc spaces in the caudal thoracic spine. There is intervertebral disc mineralization at T12-T13 and at L5-L6. No destructive or productive bone lesions are seen. The pelvis and hip joints are within normal limits._x000D_
_x000D_
The cardiovascular structures are within normal limits. There is moderate bronchial mineralization, likely the result of age related change.</t>
  </si>
  <si>
    <t>There is moderate hepatomegaly, and a small quantity of free gas in the bladder. Liver enlargement and cystitis with gas forming bacteria is a combination can occur secondary to endocrine disease such as diabetes mellitus or hyperadrenocorticism._x000D_
_x000D_
There is a mild reduction in overall detail in the abdomen, which is concerning for peritoneal inflammation, slight ascites, or nodular mesentery changes as might occur with carcinomatosis or aberrant parasitic migration._x000D_
_x000D_
There is moderate for calcinosis involving both kidneys. There is also moderate mineralization of the bronchi. These are most likely age related incidental changes, the hypercalcemia should also be ruled out._x000D_
_x000D_
There is evidence of disc degeneration in the caudal thoracic and lumbar spine.</t>
  </si>
  <si>
    <t>CBC, serum chemistry, and urinalysis with urine culture is recommended._x000D_
_x000D_
Ultrasound of the abdomen is recommended, with particular attention to the adrenal glands, liver, bladder, and mesentery._x000D_
_x000D_
Additional testing to rule out hyperadrenocorticism should also be considered.</t>
  </si>
  <si>
    <t xml:space="preserve">
1.Abdominal detail is normal._x000D_
2.The stomach is normal. The small bowel is diffusely gas- and fluid-filled without segmental small bowel dilation._x000D_
3.Splenic size, shape and margin are normal._x000D_
4.The liver is moderately enlarged.</t>
  </si>
  <si>
    <t xml:space="preserve">Patient Name : Bugsy Bugsy, Date of study: Jul 23, 2024
14 images are provided for review
There are no previous radiographs for comparison.
Bones/Joints:
There is a fracture of the left capital physis.  The left femoral head remains in place in the acetabulum.  The left femoral neck is displaced cranially. 
The coxofemoral joints have no obvious osteoarthrosis.  There is adequate coverage of the femoral heads by the acetabulums.
The left stifle has no evidence of osteoarthrosis.  Suspected increased soft tissue in the left stifle joint versus artifact due to positioning/motion.
The right stifle has no evidence of osteoarthrosis.  The right infrapatellar fat pad is well-defined.
The S1 segment is lumbarized with transverse processes bilaterally.  The caudal vertebrae are small with a kinkned shape (screw tail anomaly), consistent with patient breed.   The Included portion of the lumbar spine is normal.
There is no evidence of medullary sclerosis, osteolysis, endosteal scalloping, or periosteal proliferation.
Soft tissues:  The included soft tissues are normal.
</t>
  </si>
  <si>
    <t xml:space="preserve">1. Left femoral capital physeal fracture with minimal displacement of the femoral neck.
2. Suspected left stifle joint effusion versus artifact from positioning/motion.
3. Normal right pelvic limb.  </t>
  </si>
  <si>
    <t>Consider orthopedic consultation and possible internal reduction with rigid fixation versus femoral head/neck ostectomy.  Empirical therapy and supportive care in the interim as needed.  Focused stifle radiographs may be contributory for further evaluation.  .  Monitoring as directed, or sooner if clinical signs acutely change, fail to improve or worsen.</t>
  </si>
  <si>
    <t xml:space="preserve">
1.No abnormal AI findings reported._x000D_
2.No abnormal AI findings reported._x000D_
3.The soft tissue mass is causing abdominal distention and a regional loss of detail._x000D_
4.There is a large soft tissue mass effect in the mid abdomen causing bowel displacement.</t>
  </si>
  <si>
    <t>Mid abdominal mass effect with decreased abdominal detail. DDx: splenic mass with abdominal fluid vs. severe uterine horn distention/pregnancy in an intact female. Severe urinary bladder distention is a lesser consideration.</t>
  </si>
  <si>
    <t xml:space="preserve">
Virtual Radiologist Case Difficulty: MODERATE_x000D_
Virtual Radiologist Confidence: MODERATE_x000D_
Abdominal ultrasound if a mid-abdominal soft tissue mass, pathologically distended uterine horns or urinary bladder obstruction is suspected. Ultrasound should also be considered if a gravid uterus is present and there is concern about fetal viability._x000D_
Thoracic radiographs for met. check or prior to anesthesia if a mid-abdominal mass is identified on ultrasound.</t>
  </si>
  <si>
    <t xml:space="preserve">Patient Name : Jiraiya trevino, Date of study: Jul 30, 2024
9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to moderate volume of gas and fluid. The stomach is within normal limits for size.  gastric rugal foldsa re prominent.  
In the right mid-ventral abdomen are segments of small intestine that are enlarged and contains soft tissue material and gas.  These segments are plicated or ribbon-like with crescent-shaped, or angular luminal gas in some images.  An intestinal segment in the caudal abdomen contains ill-defined soft tissue material and gas.  Other small intestinal segments in the ventral and caudal abdomen are small and contain gas or fluid.
The colon contains moderate gasn and mild fluid.  The colon is within normal limits for size.  
Musculoskeletal: The included musculoskeletal structures are normal.
</t>
  </si>
  <si>
    <t>1. Small intestinal linear foreign body obstruction with plication, especially given reported history.  
2. Prominent gastric rugal folds such as from non-specific gastritis.</t>
  </si>
  <si>
    <t xml:space="preserve">Consider abdominal exploratory and enterotomy versus resection/anastomosis depending on findings, and retrieval of suspected linear material (rope/fabric suspected).  Routine blood work and thoracic imaging to screen for occult disease may be contributory. Empirical therapy and supportive care in the interim as needed. </t>
  </si>
  <si>
    <t xml:space="preserve">
1.The liver and spleen are normal size_x000D_
2.Small-volume gas is present within the stomach. Small intestines are minimally filled. No signs of intestinal obstruction._x000D_
3.No abnormal AI findings reported._x000D_
4.No abnormal AI findings reported._x000D_
5.No abnormal AI findings reported.</t>
  </si>
  <si>
    <t>Thorax: There is moderate to severe left-sided cardiomegaly.  There is a diffuse bronchial interstitial pattern.  Faint pleural fissure lines are noted.  The remainder of the thorax is unremarkable._x000D_
_x000D_
Abdomen: There is diffuse hepatomegaly with caudal displacement of the body and pylorus of the stomach.  The right kidney is caudally displaced.  There is bilateral nephroliths.  The remainder of the abdomen is unremarkable.</t>
  </si>
  <si>
    <t>Moderate left-sided cardiomegaly._x000D_
_x000D_
Diffuse bronchointerstitial pattern which may be age-related or bronchitis._x000D_
_x000D_
Pleural fissure lines which may be incidental or mild pleural effusion._x000D_
_x000D_
Diffuse hepatomegaly._x000D_
_x000D_
Bilateral nephroliths.</t>
  </si>
  <si>
    <t xml:space="preserve">
1.No abnormal AI findings reported._x000D_
2.No abnormal AI findings reported._x000D_
3.The liver is moderately enlarged._x000D_
4.The shape of the liver is normal, and the margins are smooth._x000D_
5.There is a small quantity of soft tissue dense ingesta in the stomach._x000D_
6.The intestines are gas and fluid filled, without signs of dilation or obstruction.</t>
  </si>
  <si>
    <t>A two view thoracoabdominal study is provided for interpretation._x000D_
_x000D_
No spinal abnormalities are identified. There is mild chronic remodeling involving the left femoral head and neck. The acetabulum and the rest of the pelvis are unremarkable. The appearance of the right hip is normal. The left patella is luxated medially in the VD view. No fractures or destructive/productive bone lesions are identified._x000D_
_x000D_
The cardiovascular structures are within normal limits. The heart is at the upper end of normal size range with normal shape. No pulmonary infiltrates or pleural effusion are identified._x000D_
_x000D_
The abdominal organs are within normal size and shape limits. No mass lesions or loss of detail are seen in the abdomen.</t>
  </si>
  <si>
    <t>No findings that would explain the presenting complaint are identified in the radiographs. Soft tissue pathology affecting the spinal canal or lumbar plexus including neoplasia not visible in the radiographs should still be ruled out._x000D_
_x000D_
No significant thoracic or abdominal abnormalities are identified._x000D_
_x000D_
The left medial patellar luxation in the mild chronic remodeling involving the left hip is probably incidental.</t>
  </si>
  <si>
    <t>Disc disease cannot be entirely excluded, but other soft tissue pathology including neoplasia still be ruled out._x000D_
Soft tissue trauma resulting in nerve damage should also be ruled out._x000D_
MRI should be considered.</t>
  </si>
  <si>
    <t xml:space="preserve">
1.Mild hepatic enlargement._x000D_
2.Splenic size, shape and margin are normal._x000D_
3.Abdominal detail is normal._x000D_
4.The stomach is normal. The small bowel is diffusely gas- and fluid-filled without segmental small bowel dilation.</t>
  </si>
  <si>
    <t xml:space="preserve">
Virtual Radiologist Case Difficulty: MODERATE_x000D_
Virtual Radiologist Confidence: MODERATE_x000D_
Hepatomegaly may be evaluated with blood work, and an abdominal ultrasound if clinically warranted.</t>
  </si>
  <si>
    <t>Three radiographs of the abdomen are provided. There is moderate to large volume fluid in the mid and distal colon. Small volume gas in the proximal colon and cecum. Small bowel are minimally filled. Small volume gas in the stomach. There is small volume mineral opaque debris in the colon otherwise no foreign material was appreciated. Serosal detail is adequate. Normal-sized liver, spleen, kidneys. No radiopaque urolithiasis. Normal caudal thorax.</t>
  </si>
  <si>
    <t>Impending liquid diarrhea. Gastroenteritis secondary to dietary indiscretion is most likely. There is no evidence of an obstructive process.</t>
  </si>
  <si>
    <t>Recommend a CBC, blood chemistry profile, fecal examination, and supportive care. Depending on lab work results and patient response to supportive care, further investigation with abdominal ultrasound could be considered.</t>
  </si>
  <si>
    <t xml:space="preserve">
1.The spleen is normal in size._x000D_
2.Minimal decrease in abdominal detail._x000D_
3.There is a minimal amount of mottled soft tissue density material mixed with gas within the stomach._x000D_
4.Small intestinal bowel loops are normal in size and have a mixed pattern. No obvious obstruction._x000D_
5.The liver is normal in size.</t>
  </si>
  <si>
    <t>WHOLE-BODY (2 total radiographs for review). _x000D_
_x000D_
- Moderate to marked diffuse bronchial pulmonary pattern._x000D_
- Mild narrowing and dorsal opacification of the trachea at the level of the thoracic inlet._x000D_
- Slightly prominent aortic root.  Cardiac silhouette otherwise within normal.  Pulmonary vasculature normal._x000D_
- Region of sternal, cranial mediastinal and tracheobronchial lymph nodes normal._x000D_
- Mediastinum, pleural space and remaining included intrathoracic structures normal._x000D_
- The liver is severely enlarged, with rounded margins._x000D_
- Stomach and small intestine are nondistended and contain mild multifocal gas and soft tissue opaque material._x000D_
- The colon contains gas and formed fecal material._x000D_
- The spleen, region of the kidneys and urinary bladder are normal._x000D_
- Mild multifocal vertebral spondylosis deformans._x000D_
- Bilateral stifle osteoarthritis (limited assessment)._x000D_
- On the VD projection partially included in collimation caudally, there is a suspicious region of heterogeneous sclerosis and stippled lysis associated with the greater trochanter of the left femur (limited assessment).</t>
  </si>
  <si>
    <t>1.  Moderate to marked diffuse bronchial pulmonary pattern.  Likely supporting lower airway disease.  Typically, the first differential diagnosis is chronic bronchitis, however in this case given the history and the findings at the left femur (see below), it could be associated with suspected fungal infection (e.g. coccidiomycosis).  However, there is no obvious intrathoracic lymphadenopathy, which is more classic of Valley Fever. I would consider awaiting results of fungal testing/titers, treating the patient for chronic lower airway disease and if indicated a thoracic CT with lower airway sampling might be reasonable._x000D_
_x000D_
2.  The appearance of the trachea at the level of the thoracic inlet can support tracheal collapse secondary to chondromalacia._x000D_
_x000D_
3.  Prominent aortic root.  This can be incidental or associated with systemic hypertension.  There is no obvious radiographic cardiomegaly, however given the reported cardiac murmur, echocardiogram/ECG and systemic blood pressure measurement may be considered regardless in this patient._x000D_
_x000D_
4.  Questionable aggressive bone lesion (e.g. osteomyelitis, neoplasia) on the greater trochanter of the left femur (limited assessment).  Seen only on the VD projection at the caudal periphery of collimation.  Consider collimated radiographs of the region and/or CT for further assessment._x000D_
_x000D_
5. Marked hepatomegaly. Most likely vacuolar (metabolic) hepatopathy. Hepatic congestion, hepatitis or neoplasia are less likely, but possible._x000D_
_x000D_
6.  Bilateral stifle osteoarthritis (limited assessment)._x000D_
_x000D_
7.  Prominent aortic root may be associated with systemic hypertension.</t>
  </si>
  <si>
    <t xml:space="preserve">
1.The liver is enlarged._x000D_
2.Within the abdomen, there is reduced abdominal serosal detail._x000D_
3.The spleen is mildly enlarged with a focal bulge in the splenic capsular margin._x000D_
4.There is a oval soft tissue opaque mass lesion noted within the mid abdomen._x000D_
5.The gastrointestinal tract is within normal limits.</t>
  </si>
  <si>
    <t>Study:_x000D_
Abdominal radiography: three images dated July 29, 2024_x000D_
_x000D_
Findings:_x000D_
The stomach contains a small volume of gas with the pylorus appropriately gas-filled on the left lateral image. The small intestines are gas and fluid-filled and normal in size and course. The colon is gas filled with a normal diameter. The liver and spleen are normal in size and margin. The renal silhouettes are normal in size and contour. The urinary bladder is normal in size and opacity. There is no prostatomegaly. The included thorax is normal. There is mild to moderate spondylosis deformans from T 13 through L4. There is narrowing of the lumbosacral intervertebral disc space with sclerotic endplates and severe spondylosis deformans.</t>
  </si>
  <si>
    <t>1. Unremarkable abdomen. There is no radiographic evidence of gastrointestinal foreign material or small intestinal mechanical obstruction. A cause of the reported vomiting and hematochezia is not evident. Consider nonspecific enteritis gastroenterocolitis. Abdominal sonography can be considered for further evaluation if clinical signs persist or worsen in spite of medical management._x000D_
2. Chronic lumbosacral intervertebral disc disease.</t>
  </si>
  <si>
    <t xml:space="preserve">Patient Name : Millie Foley, Date of study: Jul 30, 2024
3 images are provided for review
Canine Abdomen (3 Images) - 2 Lateral, 1 Vd
There are no previous radiographs for comparison.
Liver: The liver is mildly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and gas.   This material persists in the pylorus in the left lateral image. The stomach is within normal limits for size.
The small intestine contains mild to moderate gas, mild heterogeneous sot tissue material, fluid or is empty with a subjectively uniform population for size. 
The colon contains mild to moderate soft tissue material and gas.  The colon is within normal limits for size.  
Musculoskeletal: The included musculoskeletal structures are normal.
</t>
  </si>
  <si>
    <t>1. Gastric material due to recent meal versus gastritis/delayed gastric emptying or pyloric outflow tract obstruction given reported history of vomiting and dietary indiscretion.
2. Non-specific small intestinal and colon appearance such as from enteritis, colitis, or individual variation of normal.
- There is no current evidence of gastrointestinal mechanical ileus.
- Differential diagnoses include dietary indiscretion, given reported history, or less likely other.
3. Mild microhepatia versus artifact/individual variation of normal.
- If present, consider occult portosystemic shunt, or  unlikely chronic hepatitis/cirrhosis.</t>
  </si>
  <si>
    <t>Consider repeat abdominal radiographs after 8-12 hours of fasting and empirical therapy to monitor for passage of gastric material.  Abdominal ultrasonography for further evaluation of the pylorus/small intestine may also be contributory to rule out pyloric outflow tract obstruction as etiology of reported signs.  Consider gastroscopy if pyloric foreign material is confirmed in additional images.  Empirical therapy and supportive care in the interim as needed.  Consider routine blood work given reported non-specific clinical signs if not recently performed.  Monitoring as directed or sooner if clinical signs fail to improve or worsen in the face of empirical therapy.</t>
  </si>
  <si>
    <t xml:space="preserve">Patient Name : Pluto Tinklepaugh, Date of study: Jul 30, 2024
6 images are provided for review
There are no previous radiographs for comparison.
Pulmonary parenchyma: A mild diffuse bronchial pattern is present.  Few small ovoid mineral foci are in the cranioventral aspect of the lungs.  
Pulmonary vasculature: The pulmonary vasculature is subjectively normal in size and tapers in the periphery of the lungs.
Cardiac silhouette: The cardiac silhouette is slightly tall and occupies 2/3 the height of the thorax.  The trachea is slightly dorsally displaced.  The caudodorsal margin of the cardiac silhouette is slightly flattened.  
Mediastinum: The cranial mediastinum is normal.
Trachea: The trachea is normal.
Esophagus: The esophagus is not well-identified.
Pleural space: The pleural space is normal.
Liver: The liver is mildly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contains at least three, well-defined, smoothly marginated mineral foci centrally over its lumen.  Only one of these mineral foci is over the urinary bladder in the alternate lateral image.  The urinary bladder is normal in size and smoothly marginated.  
Peritoneum: Peritoneal detail is adequate.
Gastrointestinal tract: The stomach contains a moderate heterogeneous soft tissue material admixed with gas.  The stomach is within normal limits for size.
The small intestine contains mild to moderate gas and mild heterogeneous soft tissue material with a subjectively uniform population for size. 
The colon contains mild heterogeneous soft tissue material and gas.  The colon is within normal limits for size.  
Musculoskeletal: At L2-3 and L3-4 have mineral superimposed over the ventral aspect of the intervertebral foramina.  The remaining  included musculoskeletal structures are normal.
</t>
  </si>
  <si>
    <t xml:space="preserve">1.  Mild left-sided cardiomegaly such as from myxomatous mitral valvular disease and insufficiency.
- There is no obvious evidence of right-sided cardiomegaly or pulmonary arterial enlargement in this examination given reported historic heartworm disease.
- There is no current evidence of left-sided congestive heart failure.  
2. Mild diffuse bronchial pulmonary pattern such as from fibrosis from prior disease, age-related changes, or less likely  infectious/immune-mediated lower airway disease, or unlikely other.
3. Presumed benign pulmonary osteomas/
4.   At least one ovoid mineral focus in the urinary bladder.
- This is consistent with reported historic urocystoliths
5. L2-3 and L3-4 suspected dorsal spondylosis deformans versus soft tissue mineral or less likely mineralized herniated intervertebral disc material.  </t>
  </si>
  <si>
    <t>Consider echocardiography, eCG and blood pressure, as well as urinalysis, culture/sensitivity testing for further evaluation.  Routine blood work may be contributory if not recently performed.  Empirical therapy and supportive care in the interim as needed for cough, and cystitis with continued dissolution diet protocol and monitoring as directed or sooner if clinical signs acutely change or worsen.</t>
  </si>
  <si>
    <t>Five orthogonal radiographs of the abdomen dated 30th July 2024 are available for review. There are no previous radiographs available for comparison. _x000D_
_x000D_
Intra-abdominal findings: The stomach is empty with a little gas. There is appropriate gas in the pylorus on the left lateral image. The small intestines are homogenously empty. The caecum is moderately gas dilated. The descending colon contains formed faeces. The hepatic silhouette is normal in size. There is mild loss of serosal detail in the cranial aspect of the abdomen.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</si>
  <si>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1. The loss of serosal detail may be due to exposure factors, however a localised inflammatory process such as pancreatitis, hepatitis, cholangiohepatitis is possible._x000D_
2. The gas dilation of the caecum may be transient, however a typhlitis, or partial obstruction by non-radiopaque foreign material is possible.</t>
  </si>
  <si>
    <t>Four radiographs of the thorax/abdomen are provided. The cardiac silhouette and pulmonary vessels are normal size and shape. The lungs are clear. Small volume fluid in the caudal esophagus on the lateral views is not persistent and is incidental. Normal tracheal diameter. In the abdomen there is small-volume semi-formed feces in the colon. Punctate mineral density in the colon is likely incidental. There is gas in the cecum and proximal colon. Small-volume fluid and gas in the stomach. Small bowel are minimally filled with fluid and scant gas. No severe intestinal distention. Normal-sized liver, spleen, left kidney. The right kidney is obscured. No radiopaque cystic calculi.</t>
  </si>
  <si>
    <t>Normal thorax and abdomen. Gastroenteritis secondary to dietary indiscretion is most likely. Small radiolucent gastric foreign material is not definitively ruled out. There is no evidence of small bowel obstruction.</t>
  </si>
  <si>
    <t>If the patient does not rapidly improve with supportive care, consider strictly fasted abdominal ultrasound. If ultrasound is not available, a positive contrast gastrogram is another option.</t>
  </si>
  <si>
    <t xml:space="preserve">
1.The liver appears borderline to mildly small, with slight deviation of the gastric axis. This is more prominent on the lateral projection._x000D_
2.The spleen is within normal limits._x000D_
3.Serosal detail in the abdomen is normal._x000D_
4.The stomach is mildly gas and fluid filled with some soft tissue density material. The small bowel is gas and fluid-containing. No evidence of obstruction.</t>
  </si>
  <si>
    <t>Three radiographs of the thorax/abdomen are provided. Images dated 4/26/23 are available for comparison. The heart and pulmonary vessels are of normal size and shape. There are no abnormalities in the pulmonary parenchyma. No pleural effusion. Possible redundant dorsal trachealis membrane in the cervical region on the right lateral view. No esophageal dilation. In the abdomen there is no effusion or organomegaly. The gastrointestinal tract is mildly filled. Small mineral density overlies the L2-3, L3-4, L4-5 intervertebral foramina as before, of doubtful significance today.</t>
  </si>
  <si>
    <t>The appearance of the cervical trachea is suggestive of dynamic tracheal collapse. In the absence of associated honking cough or sensitivity with tracheal palpation, significance is doubtful. Otherwise normal thorax and abdomen. Inhaled irritants/allergens is suspected.</t>
  </si>
  <si>
    <t>If the patient does not improve with treatment for allergic airway disease, airway cytology should be considered.</t>
  </si>
  <si>
    <t>A lateral radiograph of the abdomen dated July 30, 2024, and orthogonal views of the abdomen dated July 29, 2024 are available. On July 29, there is small volume of fluid and gas in the colon. Small intestines are minimally distended with fluid. The stomach contains gas and scant amorphous soft tissue density. No severe intestinal distention. Serosal detail is adequate. Normal-sized liver, spleen, kidneys. The prostate is prominent, consistent with the reproductive status of this patient. Normal caudal thorax. On July 30, 2024, the entire gastrointestinal tract is minimally distended. There is scant semi-formed feces in the distal colon. Fluid is no longer appreciated within the colon. Scant gas in the stomach. No radiopaque foreign material. Serosal detail remains adequate. Normal caudal thorax.</t>
  </si>
  <si>
    <t>Liquid diarrhea on July 29, resolved on July 30. Scant soft tissue density in the stomach on July 29 may represent residual ingesta and fluid/mucus versus foreign material. There is no evidence of gastrointestinal foreign material or an obstructive process on the follow-up study.</t>
  </si>
  <si>
    <t>If the patient has not improved clinically, a CBC, blood chemistry profile, testing for pancreatitis, and strictly fasted abdominal ultrasound should be considered. If ultrasound is not available, fasted positive contrast gastrogram is another option.</t>
  </si>
  <si>
    <t xml:space="preserve">
1.Liver size, shape and margin are normal._x000D_
2.The stomach contains gas and a minimal amount of fluid/soft tissue material. The stomach is minimally distended._x000D_
3.The small bowel contains small volumes of gas and fluid. No segmental small bowel dilation is noted._x000D_
4.There is gas within the colon._x000D_
5.Splenic size, shape and margin are normal._x000D_
6.Abdominal detail is normal.</t>
  </si>
  <si>
    <t xml:space="preserve">Patient Name : Koda Hagan, Date of study: Jul 30, 2024
8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gas or is empty.   The stomach is within normal limits for size.
In  the right lateral images, segments of small intestine in the caudoventral abdomen have atypical crescent-shaped or comma-shaped luminal gas with mixed soft tissue material.  Other small intestinal segments contains tubular gas.  Some of these segments are suspecte din the left caudal abdomen in the ventrodorsal image.   The small intestine has a subjectively uniform population for size. 
The colon contains moderate well-defined soft tissue material and gas.  The colon is within normal limits for size.  
Musculoskeletal: Minimal left coxofemoral joint osteoarthrosis is present.  The remaining included musculoskeletal structures are normal.
</t>
  </si>
  <si>
    <t>1. Small intestinal appearance is suspicious for passing foreign material or evolving mechanical ileus such as from linear foreign material.
- There is no current evidence of small intestinal enlargement such as from mechanical ileus.
- Consider dietary indiscretion and passing foreign material (possible foam packing peanuts given reported history) as etiology of reported signs/history.
2. Minimal left coxofemoral joint osteoarthrosis.</t>
  </si>
  <si>
    <t>Empirical therapy and supportive care as needed for clinical signs.  Monitoring with repeat radiographs of the abdomen for passage of suspicious small intestinal material and resolution of small intestinal appearance as directed, or sooner if clinical signs acutely manifest in the interim.</t>
  </si>
  <si>
    <t xml:space="preserve">
1.Mild irregularity of the splenic contour._x000D_
2.Abdominal detail is normal._x000D_
3.The stomach is normal. The small bowel is diffusely gas- and fluid-filled without segmental small bowel dilation._x000D_
4.Liver size, shape and margin are normal.</t>
  </si>
  <si>
    <t>Study:_x000D_
Abdominal radiography: right lateral and VD views (two images) dated August 13, 2013_x000D_
_x000D_
Findings:_x000D_
The stomach contains a small amount of heterogeneous soft tissue material and a metallic staple foreign body. There is a small amount of granular mineral material in a small intestinal segment in the caudoventral abdomen. On the lateral view, there is the impression of bunching of the small intestines in the caudoventral abdomen. There is no small intestinal dilation. The colon contains formed fecal material with a normal diameter. The liver and spleen are normal in size and shape. The kidneys are normal in size and contour. The urinary bladder is unremarkable. The included thorax is normal. The osseous structures are unremarkable.</t>
  </si>
  <si>
    <t>Gastric metallic staple foreign body. The heterogeneous soft tissue material also present in the stomach may represent ingesta or foreign material. The suspected bunching of the small intestines in the caudoventral abdomen is concerning, but not definitive, for a linear foreign body.</t>
  </si>
  <si>
    <t>Endoscopy can be considered for retrieval of the gastric foreign body. Abdominal sonography should be considered for further evaluation of the suspected bunching of the small intestines._x000D_
_x000D_
Please make sure that the correct radiographs were submitted as the radiographs are dated August 13, 2013.</t>
  </si>
  <si>
    <t xml:space="preserve">
1.Splenic size, shape and margin are normal._x000D_
2.Abdominal detail is normal._x000D_
3.Liver size, shape and margin are normal._x000D_
4.The stomach contains a mild amount of gas and soft tissue density. Small intestines are mildly gas filled.</t>
  </si>
  <si>
    <t>Three orthogonal radiographs of the abdomen dated 29th July 2024 are available for review. There are no previous radiographs available for comparison. _x000D_
_x000D_
Intra-abdominal findings: The splenic tail is prominent, with smooth margins. The head of the spleen is normal. The hepatic silhouette is normal. The kidneys are partially obscured by gastrointestinal contents, but the visible aspect are normal. The stomach is mainly empty, with a normal axis. A metal wire can be seen within the descending duodenum in the ventrodorsal image. This is not clearly present in the duodenum on the lateral images.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Extra-abdominal findings: No significant abnormalities are detected._x000D_
_x000D_
Included thorax: No significant abnormalities are detected.</t>
  </si>
  <si>
    <t>1. Mild splenomegaly: differential diagnoses include passive congestion from sedation (if administered), splenitis, extramedullary hematopoiesis, lymphoid hyperplasia, or neoplasia._x000D_
2. The gastrointestinal tract is relatively unremarkable. A mild gastroenteritis, non-radiopaque foreign material may be present. The metal wire is potentially within the duodenum, however these are often found as an incidental finding free within the abdomen.</t>
  </si>
  <si>
    <t xml:space="preserve">
1.Hepatomegaly._x000D_
2.The stomach contains gas and soft tissue density material. The small bowel is diffusely gas- and fluid-filled without segmental small bowel dilation._x000D_
3.Decreased mid-abdominal and diffuse detail._x000D_
4.Splenomegaly.</t>
  </si>
  <si>
    <t>Study:_x000D_
Abdominal radiography: four images dated July 29, 2024_x000D_
_x000D_
Findings:_x000D_
The stomach contains gas with a normal wall thickness. The pylorus and descending duodenum are appropriately gas-filled on the left lateral image. The small intestines are gas and fluid-filled and normal in size and course. The colon contains formed fecal material. The liver is normal in size and shape. The spleen is mildly to moderately enlarged with smooth margins. The kidneys are normal in size and contour. The urinary bladder is normal in size and opacity. The included thorax is normal. The osseous structures are unremarkable.</t>
  </si>
  <si>
    <t>1.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2.  The generalized splenomegaly is nonspecific. Rule out individual normal variant, extramedullary hematopoiesis, lymphoid hyperplasia, splenitis, congestion or infiltrative neoplasia. Sonography can be considered for further evaluation.</t>
  </si>
  <si>
    <t xml:space="preserve">
1.The colon contains a combination of gas and granular fecal material._x000D_
2.The small intestines are a combination of gas-filled and fluid-filled/collapsed, and all are within normal limits for diameter._x000D_
3.The stomach contains amorphous, soft-tissue-opaque material, most consistent with food._x000D_
4.The ventral abdominal line is minimally pendulous._x000D_
5.On the lateral projection, the spleen is prominent but retains a normal shape and has a smooth margin._x000D_
6.The liver and abdominal serosal detail are within normal limits.</t>
  </si>
  <si>
    <t>Abdomen: There is an increase in wispy soft tissue opacity involving the abdomen as well as suboptimal serosal detail.  There are no abnormalities involving the visible portions of the liver, gastrointestinal tract, or urinary tract._x000D_
_x000D_
Thorax: There is bilateral pleural effusion which is worse on the right side.  The cardiac silhouette appears small.</t>
  </si>
  <si>
    <t>Peritoneal effusion._x000D_
_x000D_
Microcardia which may be secondary to hypovolemia/dehydration._x000D_
_x000D_
Pleural effusion.</t>
  </si>
  <si>
    <t>Consider abdominal and thoracic ultrasound for further evaluation.</t>
  </si>
  <si>
    <t xml:space="preserve">
1.No abnormal AI findings reported._x000D_
2.No abnormal AI findings reported._x000D_
3.The liver, spleen and peritoneal detail are normal._x000D_
4.The stomach contains fluid and ingesta. No small bowel segmental dilation is noted.</t>
  </si>
  <si>
    <t>The AI result is most compelling for: Normal post prandial GI tract. However, in a patient with GI signs, gastric foreign material or delayed gastric emptying secondary to GI disease becomes a stronger consideration. 1) Gastric contents. DDx: food vs. gastric foreign material. This finding should be correlated to last known meal and clinical concern for gastric foreign material. 2) No small intestinal obstruction is noted. 3) Normal abdominal detail.</t>
  </si>
  <si>
    <t xml:space="preserve">
Virtual Radiologist Case Difficulty: MODERATE_x000D_
Virtual Radiologist Confidence: MODERATE_x000D_
If GI signs are present, withhold food for 12-15 hours (water should be accessible or IV fluid therapy administered) followed by repeat abdominal radiographs to assess for retention of gastric contents. If the gastric contents persist after withholding food or if there is non-productive vomiting, the concern for gastric foreign material increases.</t>
  </si>
  <si>
    <t>WHOLE-BODY (6 total radiographs for review). _x000D_
_x000D_
- Mild bilateral glenohumeral periarticular osteophyte formation. _x000D_
- The cervical vertebrae and cervicothoracic junction are normal._x000D_
- Collapse of the T12-13 intervertebral disc space with endplate sclerosis and spondylosis deformans._x000D_
- The lumbar vertebrae and lumbosacral junction are normal._x000D_
- The sacrum and sacroiliac joints are normal._x000D_
- The pelvic bones are normal._x000D_
- Mildly reduced femoral head coverage by the dorsal acetabular rim, bilaterally._x000D_
- The included portions of the proximal pelvic limbs are normal._x000D_
- Peritoneal serosal detail is normal._x000D_
- The stomach contains mild gas and gas-stippled soft-tissue opaque material_x000D_
- The small intestine is mildly homogeneously distended with gas and soft-tissue opaque material._x000D_
- The colon contains gas, soft-tissue/fluid and minimal formed fecal material. It has a mildly undulant/corrugated appearance. The transverse colon is mildly displaced caudally and to the right._x000D_
- The liver, spleen, region of the kidneys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t>
  </si>
  <si>
    <t>1. The appearance of the stomach, small intestine and colon can be compatible with a non-specific generalized functional ileus (e.g. gastroenterocolitis).  The changes could be secondary to pancreatitis, as there is a mild displacement of the colon that may be seen with this pathology, however overt pancreatic enlargement is not identified. There is no evidence of small intestinal foreign material or mechanical obstruction. Abdominal ultrasonography might be considered, especially if gastrointestinal signs manifest in this patient._x000D_
_x000D_
2. T12-13 intervertebral disc disease. The clinical relevance of this is uncertain, and it may or may not be contributing to the patient=ZZ91=s clinical picture. Given the appearance of the GI tract (as well as reportedly normal spinal palpation), it is reasonable to consider that this finding is prior/chronic and incidental. _x000D_
_x000D_
3. Mildly reduced femoral head-dorsal acetabular rim coverage may be artefactual due to limb positioning but could indicate laxity from hip dysplasia._x000D_
_x000D_
4. Mild bilateral shoulder osteoarthritis._x000D_
_x000D_
5. Normal thorax.</t>
  </si>
  <si>
    <t xml:space="preserve">
1.Splenic size, shape and margin are normal._x000D_
2.The liver is mildly enlarged but retains a smooth margin._x000D_
3.Abdominal detail is normal._x000D_
4.The small bowel is diffusely gas- and fluid-filled without segmental small bowel dilation._x000D_
5.The stomach contains a small amount of gas.</t>
  </si>
  <si>
    <t>Three orthogonal radiographs of the abdomen dated 29th July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contains a moderate amount of granular food material, which is outlined by gas. The duodenum is mildly gas-filled in the ventrodorsal image. There is appropriate gas in the pyloric region on the left lateral image.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Extra-abdominal findings: No significant abnormalities are detected._x000D_
_x000D_
Included thorax: No significant abnormalities are detected.</t>
  </si>
  <si>
    <t>The moderate amount of granular food material within the stomach is indicative of a recent meal. Alternatively, dietary indiscretion, soft tissue foreign material may be present. This needs to be correlated with time of feeding and last emesis. A partial pyloric outflow obstruction by non-radiopaque foreign material should be considered. Pancreatitis is possible.</t>
  </si>
  <si>
    <t>Study:_x000D_
Thoracic radiography: three images dated July 29, 2024_x000D_
_x000D_
Findings:_x000D_
The cardiac silhouette and pulmonary vasculature are normal in size. There is incidental age-related bronchial wall mineralization in the caudodorsal lung fields. The pulmonary parenchyma is otherwise unremarkable. No pulmonary nodules or masses are present. The pleural space is normal. There is no intrathoracic lymphadenopathy. The trachea is normal in diameter and course. The liver is small with associated cranial rotation of the gastric axis. The deep circumflex iliac arteries are seen end-on in the caudal aspect of the retroperitoneal space ventral to L5 on the left lateral projection giving the false impression of a retroperitoneal mineral opacity. There is a small soft tissue opaque nodule adjacent to one of the mammary glands of the mid-ventral abdomen._x000D_
_x000D_
Human digits are present in the primary beam on both lateral projections.</t>
  </si>
  <si>
    <t>1. Unremarkable thorax. There is no radiographic evidence of pulmonary metastatic disease. Consider abdominal sonography for further staging._x000D_
2. Mammary nodule. Rule out adenoma, carcinoma or hyperplasia. Tissue sampling should be considered for further evaluation._x000D_
3. Microhepatia. Rule out normal variant, vascular anomaly or chronic hepatitis/cirrhosis. Correlate with any liver enzyme abnormalities. Abdominal sonography and bile acid testing can be considered for further evaluation if clinically relevant.</t>
  </si>
  <si>
    <t>Six orthogonal survey radiographs of the thorax and abdomen dated 29th July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t>
  </si>
  <si>
    <t>Normal thorax. The murmur reported is most likely a physiologic murmur, or a compensated valvular disease such as myxoid degeneration of the mitral valve. _x000D_
Normal post-prandial abdomen</t>
  </si>
  <si>
    <t>In absence of clinical signs indicative of cardiac disease, conservative management may be considered, alternatively with an acute onset murmur, and signs of exercise intolerance, echocardiography may be considered.</t>
  </si>
  <si>
    <t>Consider repeat radiographs following strict fasting to determine if gastric contents persist.  Delayed gastric emptying of normal ingesta secondary to pancreatitis or infiltrative neoplasia cannot be excluded and abdominal ultrasound may also be helpful.</t>
  </si>
  <si>
    <t>Three orthogonal radiographs of the abdomen dated 29th July 2024 are available for review. There are no previous radiographs available for comparison. _x000D_
_x000D_
Intra-abdominal findings: The hepatic silhouette is normal. The stomach contains some gas and has a normal axis. Some heterogenous soft tissue opaque material is visible in the ventral fundus and pyloric antrum. The duodenum is mildly gas distended. In the ventrodorsal image, the gas in the antrum outlines a volume of soft tissue opaque material. The small intestines are variably filled with gas, fluid and soft tissue/granular opaque material. The descending colon is empty with gas. The spleen is normal. The kidneys are partially obscured by gastrointestinal contents, but the visible aspect are normal. The urinary bladder is small. The serosal detail is normal._x000D_
_x000D_
Extra-abdominal findings: No significant abnormalities are detected._x000D_
_x000D_
Included thorax: No significant abnormalities are detected.</t>
  </si>
  <si>
    <t>The overall impression is one of mild gastroenteritis/colitis.  This may be due to dietary indiscretion, or infectious-inflammatory causes. The soft tissue opaque material in the pyloric antrum may be normal ingesta, however dietary indiscretion/soft tissue foreign body may be present. A partial obstruction by non-mineral opaque foreign material should therefore be considered.</t>
  </si>
  <si>
    <t>RIGHT ANTEBRACHIUM and WHOLE-BODY (4 radiographs for review).  Multiple previous examinations are available for comparison most recently from 07/05/2024._x000D_
_x000D_
- Impression of right thoracic limb muscle thinning/atrophy._x000D_
- Mild to moderate periarticular osteophyte formation along the margins of the cubital joint.  Mild sclerosis in the region of the trochlear groove._x000D_
- Moderate new bone formation along the cranial srface of the distal antebrachium. Mild focal overlying soft-tissue swelling._x000D_
- Right metacarpal and distal limb regions within normal (limited assessment)._x000D_
- Marked diffuse bronchial pulmonary pattern, as noted prior_x000D_
- Few thickened pleural fissure lines in the thorax._x000D_
- Rounded soft-tissue opacity dorsal to the second sternal segment best visualized on the RLAT projection._x000D_
- Cardiac silhouette, pulmonary vasculature and remaining included intrathoracic structures normal._x000D_
- Focal region of well-defined mineralization in the central to right hepatic division_x000D_
- The stomach contains mild gas and gas stippled soft tissue opaque material._x000D_
- Small intestine contains mild multifocal gas and soft tissue opaque material._x000D_
- The colon contains formed fecal material that has multiple tiny foci of mineral opacity superimposed throughout._x000D_
- The liver is mildly enlarged, with rounded margins._x000D_
- The region of the spleen, kidneys and urinary bladder are normal._x000D_
- The remaining included musculoskeletal structures are normal.</t>
  </si>
  <si>
    <t>1. Mild to moderate right cubital joint osteoarthritis._x000D_
_x000D_
2. The new bone formation along the craniodistal radius is in the position of the tendon of the abductor pollicis longus tendon. It may be contributing to a lameness, if present.  Further assessment might be made with collimated radiographs and/or ultrasonography of the region._x000D_
_x000D_
3.  Similar, marked diffuse bronchial pulmonary pattern with pleural fibrosis.  Likely compatible with chronic lower airway disease (e.g. bronchitis), which may have an underlying immune mediated, infectious (e.g. fungal, parasitic, bacterial) or inhaled irritant etiology.  If clinically indicated, thoracic CT and lower airway sampling might help guide therapy._x000D_
_x000D_
4. Possible sternal lymphadenopathy. Reactive etiologies are prioritized. Further assessment may be considered with ultrasonographic assessment of the region and/or thoracic CT._x000D_
_x000D_
5. The appearance of the small intestine can be within normal but also can be compatible with a non-specific generalized functional ileus (e.g. enteritis). There is no evidence of small intestinal foreign material or mechanical obstruction. Abdominal ultrasound might be considered if clinically indcated._x000D_
_x000D_
5. Mild hepatomegaly. Most likely vacuolar (metabolic) hepatopathy. Hepatic congestion, hepatitis or neoplasia are less likely, but possible.  As there are elevated liver enzymes reported, it may be reasonable to consider abdominal ultrasonography and fine needle aspiration of the hepatic parenchyma if indicated._x000D_
_x000D_
6.  Mineralization in the region of the gallbladder and/or intrahepatic bile ducts. Sonographic assessment for more information if indicated._x000D_
_x000D_
7.  Recent meal.</t>
  </si>
  <si>
    <t>4 images of the spine are provided for review.  No fractures, luxations, or aggressive osseous lesions are seen.  There is consistent narrowing of the intervertebral disc spaces and spondylosis deformans at C4-5 and T11-12.  Spondylosis deformans is present at C2-4 and T11-L2.  The soft tissue structures included are normal.</t>
  </si>
  <si>
    <t>Changes at C4-5 and T11-12 suggest chronic intervertebral disc herniations.  This does not rule out intervertebral disc herniation at another site or other causes of spinal cord compression.</t>
  </si>
  <si>
    <t xml:space="preserve">
1.Resource: https://platform.v2.vetology.net/doc/gi_protectants_1_x000D_
2.Liver size, shape and margin are normal._x000D_
3.Splenic size, shape and margin are normal._x000D_
4.Abdominal detail is normal._x000D_
5.The stomach contains gas and small amount of amorphous soft tissue density. Small intestines are diffusely minimally distended.</t>
  </si>
  <si>
    <t>ABDOMEN (3 radiographs for review). _x000D_
_x000D_
- Peritoneal serosal detail is normal._x000D_
- The stomach contains mild gas and gas-stippled soft-tissue opaque material_x000D_
- The small intestine contains mild multifocal gas and soft-tissue opaque material_x000D_
- The colon contains gas, soft-tissue/fluid and mild formed fecal material._x000D_
- The liver, spleen, region of the kidneys and urinary bladder are normal._x000D_
- The caudal thorax is normal_x000D_
- Mild bilateral periarticular osteophyte formation along the margins of the coxofemoral joints._x000D_
- Mild lumbosacral spondylosis deformans.</t>
  </si>
  <si>
    <t>1. The appearance of the stomach, small intestine and colon can be compatible with aerophagia and a non-specific generalized functional ileus (e.g. gastroenterocolitis). There is no evidence of small intestinal foreign material or mechanical obstruction. If clinically indicated (such as if the patient does not improve or worsens despite medical management), abdominal ultrasonography might be considered._x000D_
_x000D_
2. Mild lumbosacral spondylosis deformans._x000D_
_x000D_
3. Mild bilateral coxofemoral osteoarthritis.</t>
  </si>
  <si>
    <t xml:space="preserve">
1.Detail in the abdomen is adequate._x000D_
2.The entire liver or a portion of the liver is at the lower limits of  normal for size to slightly small._x000D_
3.Splenic size, shape and margin are normal._x000D_
4.The stomach is distended with gas, fluid and some granular luminal material._x000D_
5.The small intestinal track is mostly fluid filled and mildly dilated._x000D_
6.There is soft appearing fecal material within the colon.</t>
  </si>
  <si>
    <t>Three orthogonal thoracic radiographs dated 29th July 2024 are available for review. There are no previous radiographs available for comparison. _x000D_
_x000D_
Airway findings: The thoracic trachea is mildly undulating, however normal in size. The tracheal bifurcation is mildly widened. The pulmonary parenchyma has a minimal bronchial opacification._x000D_
_x000D_
Cardiovascular findings: There is a small smoothly marginated soft tissue opacity contiguous with the caudal dorsal border of the cardiac silhouette. A soft tissue opacity is superimposed on the caudal cardiac silhouette in the dorsoventral image.  The overall cardiac silhouette is still within normal limits. The pulmonary vessels as well as the mainstem vasculature are normal._x000D_
_x000D_
Mediastinum and pleural space: No significant abnormalities are detected._x000D_
_x000D_
Musculoskeletal findings: No significant abnormalities are detected._x000D_
_x000D_
Included abdomen: No significant abnormalities are detected.</t>
  </si>
  <si>
    <t>1. Left atrial dilation. This is most likely due to mixoid degeneration of the mitral valve. There is no evidence for cardiac insufficiency. _x000D_
2. Diffuse minimal bronchial pattern: Primary consideration should be given to normal ageing/fibrosis from previous disease. Allergic bronchitis, chronic bacterial /viral bronchitis +/- parasitic bronchitis should also be considered. Dynamic tracheal collapse may be present, as reported, and is most likely the cause for the coughing.</t>
  </si>
  <si>
    <t>Radiography is insensitive for early cardiac insufficiency, therefore ECG, blood pressure measurements, and echocardiography may be considered for further evaluation, or baseline measurements._x000D_
Correlate with palpation testing for upper respiratory disease. Respiratory workup including CBC, serum chemistry, urinalysis, Baermann faecal testing, 4DX, +/- respiratory panel as indicated may be considered.</t>
  </si>
  <si>
    <t>Study:_x000D_
Abdominal radiography: three images dated July 29, 2024_x000D_
_x000D_
Findings:_x000D_
The abdominal serosal detail is normal. The stomach contains a small volume of gas with the pylorus appropriately gas-filled on the left lateral image. The thickness of the gastric wall and rugae are within normal limits for the degree of gastric distention. The small intestines are gas and fluid-filled and normal in size and course. The colon contains a small volume of gas with a normal diameter. The liver and spleen are normal in size and margin. The renal silhouettes are normal in size and contour. The urinary bladder is not visualized and is likely small/empty. The included thorax is normal. No skeletal abnormalities present.</t>
  </si>
  <si>
    <t>Unremarkable abdomen. A cause of the reported acute vomiting and diarrhea is not evident. There is no radiographic evidence of gastrointestinal foreign material or small intestinal mechanical obstruction. Consider nonspecific gastroenteritis. _x000D_
 Abdominal sonography can be considered for further evaluation if clinical signs persist or worsen in spite of medical management.</t>
  </si>
  <si>
    <t xml:space="preserve">
1.Splenic size, shape and margin are normal._x000D_
2.Abdominal detail is normal._x000D_
3.Small amount of irregular opacity at the stomach. Small intestines are mildly filled with fluid and gas without segmental small bowel dilation._x000D_
4.Liver size, shape and margin are normal.</t>
  </si>
  <si>
    <t>Study:_x000D_
Thoracic/abdominal radiography: three images dated July 29, 2024_x000D_
_x000D_
Findings:_x000D_
The cardiac silhouette and pulmonary vasculature are normal in size. There is incidental platelike atelectasis in the cranial lung field in the second intercostal space on both lateral projections. The pulmonary parenchyma is otherwise unremarkable.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gas and poorly formed fecal material. The liver and spleen are normal in size and margin. The kidneys are normal in size and contour. The urinary bladder is normal in size and opacity. The prostate is mildly enlarged with smooth margins. The superficial soft tissues are unremarkable and the reported paraspinal mass is not appreciated radiographically. There is narrowing of the L2-L3 through L4-L5 intervertebral disc spaces on both lateral views. There is no evidence of aggressive osseous disease._x000D_
_x000D_
A human digit is present in the primary beam on the VD view.</t>
  </si>
  <si>
    <t>1. Unremarkable thorax. There is no radiographic evidence of cardiopulmonary or metastatic disease._x000D_
2. As stated above, the reported paraspinal mass is not appreciated radiographically. Computed tomography can be considered for further evaluation/surgical planning._x000D_
3. The mild prostatomegaly may be a normal variant secondary to being neutered later in life (if applicable). Prostatic neoplasia is less likely but cannot be completely excluded._x000D_
4. Suspected multifocal lumbar intervertebral disc disease. Correlate with any spinal pain and/or proprioceptive deficits.</t>
  </si>
  <si>
    <t>Study:_x000D_
Thoracic and abdominal radiography: six images dated July 29, 2024_x000D_
_x000D_
Compared to prior study dated May 9, 2023_x000D_
_x000D_
Findings:_x000D_
The cardiac silhouette is normal in size/shape and is unchanged appearance from the prior examination. The pulmonary vasculature is normal in size. The pulmonary parenchyma is unremarkable. The pleural space is normal. There is no intrathoracic lymphadenopathy. The larynx is unremarkable. The trachea is normal in diameter. There is a small volume of transient gas in the esophagus. The abdominal serosal detail is normal. The stomach contains gas with the pylorus appropriately gas-filled on the left lateral image. There is mild diffuse gas distention of the small intestines. The colon contains gas and a small amount formed fecal material. The liver and spleen are normal in size and margin. The renal silhouettes are normal in size and contour. As before, there are indistinct punctate mineral foci in the left kidney. There is mild multifocal thoracolumbar spondylosis deformans. There is a small amount of subcutaneous emphysema along the dorsal thorax presumably from prior subcutaneous fluid or medication administration. The patient is of similar overweight body condition.</t>
  </si>
  <si>
    <t>1. Transient esophageal dilation secondary to aerophagia=ZZ90= otherwise, unremarkable thorax. A cause of the respiratory signs is not evident. The lack of a bronchial pulmonary pattern does not exclude the possibility of allergic/inflammatory, infectious, inhaled irritant or parasitic unkind is.. Airway sampling plus/minus heartworm testing and Baermann fecal flotation can be considered to further evaluate for possible lower airway disease._x000D_
2. There is no radiographic evidence of heart disease. Consider echocardiography for further evaluation of the reported gallop rhythm._x000D_
3. The mild diffuse gas dilation of the small intestines may be secondary to aerophagia may indicate nonspecific functional ileus. Consider repeat abdominal sonography and a G.I. panel if the reported vomiting persists or worsens in spite of medical management._x000D_
4. Static left nephrocalcinosis.</t>
  </si>
  <si>
    <t xml:space="preserve">
1.The stomach contains a mild quantity of soft tissue opaque material and gas._x000D_
2.The small bowel is diffusely gas- and fluid filled however no segmental small bowel dilation is noted._x000D_
3.The abdomen is pendulous._x000D_
4.The liver is mildly to moderately enlarged but retains a relatively smooth margin._x000D_
5.Splenic size, shape and margin are normal._x000D_
6.Mid-abdominal detail is mildly decreased on the lateral projection.</t>
  </si>
  <si>
    <t>A three view study of the abdomen and orthogonal thorax views are provided (five images)._x000D_
_x000D_
There is an area in the mid abdomen that has mottled granular appearing mineral opacity, surrounded by focally reduced detail. There are two segments of small intestine that have moderate to severe gas dilation in the area. The rest of the intestinal tract is gas filled but not distended. The other organs are within normal size and shape limits._x000D_
_x000D_
The cardiovascular structures are within normal limits. No pulmonary nodules or parenchymal infiltrates are identified. No pleural effusion is seen.</t>
  </si>
  <si>
    <t>Focally increased opacity with reduced detail and mottled irregular mineral density in the mid abdomen is a finding suspicious for sedimentation in the intestine secondary to chronic partial obstruction. This suspicion is also supported by segmental dilation of nearby intestinal loops._x000D_
Primary rule outs would include intestinal neoplasia, non-neoplastic causes of intestinal stricture, and chronic foreign body._x000D_
_x000D_
No thoracic abnormalities are identified.</t>
  </si>
  <si>
    <t>Chronic partial obstruction of the small intestine is suspected. Neoplasia would be the most typical underlying cause. Non-neoplastic causes should still be ruled out._x000D_
Ultrasound of the abdomen is recommended.</t>
  </si>
  <si>
    <t>Study:_x000D_
Thoracic/abdominal radiography: three images dated July 29, 2024_x000D_
_x000D_
Compared to prior study dated July 23, 2024_x000D_
_x000D_
Findings:_x000D_
The cardiac silhouette and pulmonary vasculature are normal in size. On the right lateral projection, there is a persistent mild alveolar pattern in the cranioventral lung field. The pleural space is normal. There is no intrathoracic lymphadenopathy. The trachea is normal in diameter and course. The abdominal serosal detail is normal. The stomach contains a small volume of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There is no prostatomegaly. As previously noted, the patient has multiple, breed associated, congenitally anomalous thoracic hemivertebrae. The L1 vertebra is transitional with bilateral hypoplastic ribs. There is unchanged moderate T4-T5 spondylosis deformans.</t>
  </si>
  <si>
    <t>1. The persistent alveolar pattern in the cranioventral lung field on the right lateral projection likely indicates persistent aspiration pneumonia. Continued antibiotic therapy with repeat radiography in another 7 to 10 days should be considered to monitor for persistence or resolution of this finding._x000D_
2. The abdomen is unremarkable. There is no radiographic evidence of gastrointestinal foreign material or small intestinal mechanical obstruction. Abdominal sonography can be considered for further evaluation if the vomiting persists or worsens in spite of ongoing medical management.</t>
  </si>
  <si>
    <t>ABDOMEN (3 radiographs for review). _x000D_
_x000D_
- Peritoneal serosal detail is normal._x000D_
- The liver is moderately enlarged, with rounded margins._x000D_
- The spleen is mildly enlarged, with rounded margins._x000D_
- The stomach contains mild gas and gas-stippled soft-tissue opaque material_x000D_
- The small intestine contains mild multifocal gas and soft-tissue opaque material_x000D_
- The colon contains gas, soft-tissue/fluid and mild formed fecal material._x000D_
- The liver, spleen, region of the kidneys and urinary bladder are normal._x000D_
- In the caudal thorax(limited assessment), there is the impression of enlargement and mineralization of multiple pulmonary vessels and a diffuse bronchial pattern_x000D_
- There may be left-sided cardiomegaly present, as on the right lateral projection there is straightening of the caudal cardiac margin. _x000D_
- Mild bilateral coxofemoral osteoarthritis.</t>
  </si>
  <si>
    <t>1.  An obvious radiographic cause for a pendulous abdomen is not clearly identified.  No obvious mass or peritoneal effusion is/are noted, however the liver and spleen are both enlarged. You may consider abdominal ultrasonography for assessment of the hepatic and splenic parenchyma if clinically indicated._x000D_
_x000D_
2. Moderate hepatomegaly. Most likely vacuolar (metabolic) hepatopathy, however if considered in conjunction with the splenic enlargement, infiltrative neoplasia (e.g. lymphoma) is possible. Hepatic congestion, hepatitis are less likely, but possible._x000D_
_x000D_
3. Moderate splenomegaly. DDx congestion from sedation, lymphoid hyperplasia, EMH, less likely neoplasia._x000D_
_x000D_
4.  Impression of caudal lobar pulmonary vasculature enlargement and mineralization may support a history of prior heartworm disease.  There is also suspicion of mild left-sided cardiomegaly, which could be due to valvular disease or cardiomyopathy.  Ultimately, my assessment is limited as only a small portion of the thorax is included in collimation.  I would recommend considering a complete thoracic radiographic study in this patient and pending results cardiac assessment may be indicated._x000D_
_x000D_
5.  Mild bilateral coxofemoral osteoarthritis.</t>
  </si>
  <si>
    <t>4 images of the thorax are provided for review.  The cardiovascular structures are normal.  There is a moderate bronchial pattern in all lung lobes.  The mediastinal and pleural structures are normal.  Cranial abdominal detail is adequate.</t>
  </si>
  <si>
    <t xml:space="preserve">
1.Small intestines are mildly gas filled._x000D_
2.Formed feces is present in the distal colon._x000D_
3.The liver is upper limits of normal for size to mildly enlarged but retains a smooth margins._x000D_
4.The spleen is normal for size._x000D_
5.Abdominal detail is normal._x000D_
6.Moderate volume ingesta fills the stomach.</t>
  </si>
  <si>
    <t>Three radiographs of the thorax and three views of the abdomen are provided. The heart and pulmonary vessels are normal size and shape. There is soft tissue opacity with air bronchograms in the ventral lungs bilaterally. No esophageal dilation or tracheal narrowing. No pleural effusion. Several gas lucencies in the tissues dorsal to the scapulae consistent with recent injections._x000D_
_x000D_
In the abdomen there is moderate volume soft tissue opaque ingesta in the stomach. The intestines are mildly filled. The prostate and urinary bladder are not definitively visible. Normal-sized liver, spleen, kidneys. No osseous abnormalities.</t>
  </si>
  <si>
    <t>Bilateral ventral alveolar pattern consistent with aspiration pneumonia. Infectious etiology is given secondary consideration. The abdomen is normal.</t>
  </si>
  <si>
    <t>Recommend switching antibiotics.</t>
  </si>
  <si>
    <t xml:space="preserve">Patient Name : Orka Stepanyan, Date of study: Jul 29, 2024
4 images are provided for review
There are no previous radiographs for comparison.
Liver: The liver is subjectively normal in size.
Spleen: The spleen is normal in size with smooth margins and homogeneous soft tissue.
Kidneys: The kidneys are obscured without obvious enlargement or mineral.  
Retroperitoneum: Retroperitoneal detail is adequate.
Urogenital: The urinary bladder is enlarged and has homogeneous soft tissue with a smooth, well-defined margin.
Peritoneum: Peritoneal detail is adequate.
Gastrointestinal tract: The stomach contains a moderate volume of gas.   The stomach is within normal limits for size.
The small intestine contains mild fluid or is empty with a subjectively uniform population for size. 
The colon contains mild heterogeneous soft tissue material and gas.  The colon is within normal limits for size.  
Musculoskeletal: L4-5, L5-6 spondylosis deformans is present.  The L4-5 intervertebral disc space is slightly narrowed, possibly from patient positioning.   The reported tail wound is not definitively identified.  The remaining included musculoskeletal structures are normal.
</t>
  </si>
  <si>
    <t xml:space="preserve">1. Urinary bladder enlargement/urine retention such as from behavior, variation of normal, or unlikely occult urinary outflow tract obstruction or other.
2. Non-specific gastrointestinal tract appearance such as from enteritis/colitis or  given reported history,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3.  Possible L4-5 intervertebral disc disease versus artifact.  </t>
  </si>
  <si>
    <t>Consider routine blood work, urinalysis, and neurologist consultation/neurologic exam for further evaluation of reported clinical signs.  Dermatologist/surgeon consultation for further evaluation of reported tail soft tissue wound.  Empirical therapy and supportive care in the interim as needed.    Monitoring as directed, or sooner if clinical signs acutely change, fail to improve or worsen.</t>
  </si>
  <si>
    <t xml:space="preserve">
1.The colon contains a moderate amount of heterogeneous soft tissue material._x000D_
2.No segmental small intestinal dilation is noted._x000D_
3.The stomach contains a mild amount of gas._x000D_
4.A mild increase in soft tissue opacity and mild displacement of the bowel away from this region is noted caudal to the stomach on the lateral projection._x000D_
5.On the VD projection, the spleen appears normal. On the lateral projection, the increase in soft tissue opacity and mild bowel displacement away from the region caudal to the stomach raises concern for a small mass effect, potentially due to splenic or pancreatic pathology._x000D_
6.On the lateral projection, the liver is at the upper limits of normal for size to mildly enlarged, but has smooth margins.</t>
  </si>
  <si>
    <t xml:space="preserve">
Virtual Radiologist Case Difficulty: MODERATE_x000D_
Virtual Radiologist Confidence: MODERATE_x000D_
Further evaluation of the liver and cranial abdomen via abdominal ultrasound and blood work.</t>
  </si>
  <si>
    <t>9 images of the thorax, cervical region, and abdomen are presented for review.  The cardiovascular and pulmonary structures are normal.  No esophageal dilation or foreign material is seen.  The pleural and mediastinal structures are normal.  The trachea is normal in diameter.  Pharyngeal pharyngeal structures are normal.  The hyoid apparatus is intact.  Abdominal serosal detail is adequate in all quadrants.  The stomach contains a small amount of gas.  The small intestines are normal in size.  Gas and feces are present in the colon.  The urinary bladder is small.  The remaining abdominal organs are normal.</t>
  </si>
  <si>
    <t>Radiographically normal thorax, cervical region, and abdomen.  Lack of specific changes does not rule out gastroenteritis, pancreatitis, etc.</t>
  </si>
  <si>
    <t>If clinical signs persist with supportive therapy, abdominal ultrasound may be helpful.</t>
  </si>
  <si>
    <t>Four radiographs of the thorax are provided. The cardiac silhouette and pulmonary vessels are normal size and shape. There are no abnormalities in the pulmonary parenchyma. No pleural effusion. Tracheal diameter and position are normal. Small volume fat deposition in the cranial mediastinum. Incidental laryngeal mineralization. In the cranial abdomen the liver is upper normal size.</t>
  </si>
  <si>
    <t>Normal thorax. A reason for coughing is not identified. Inhaled irritant/allergens is suspected. Although no tracheal abnormalities are appreciated on this study, dynamic collapse is not definitively ruled out, as it may not be imaged on a static radiographic study. This should be correlated with characteristic of the cough and tracheal palpation.</t>
  </si>
  <si>
    <t>This patient may benefit from symptomatic treatment for the cough.</t>
  </si>
  <si>
    <t>Three radiographs of the thorax and three views of the abdomen are provided. The cardiac silhouette and pulmonary vessels are normal size and shape. There are no abnormalities in the pulmonary parenchyma. Small round soft tissue densities caudal to the heart on the lateral views are end-on pulmonary vessels. There is no pleural effusion. Small volume fluid in the caudal esophagus is transient and incidental. There is no persistent/significant esophageal dilation. Normal tracheal diameter. Mild breed-related congenital vertebral malformations in the mid thoracic spine, likely incidental._x000D_
_x000D_
In the abdomen there is small volume gas in the stomach. Small bowel are minimally distended with fluid. Large volume of formed feces fills the colon. The fecal column measures up to 3.1 cm diameter. No radiopaque foreign material. Normal-sized liver. The spleen and kidneys are obscured. Narrowed L3-4 intervertebral disc space, and mineralized intervertebral disc material in situ at several sites is of doubtful significance today. There is mild degenerative change in the coxofemoral joints.</t>
  </si>
  <si>
    <t>Possible mild constipation. Otherwise normal abdomen and thorax.</t>
  </si>
  <si>
    <t>If clinical signs persist following defecation and supportive care, abdominal ultrasound should be considered.</t>
  </si>
  <si>
    <t>3 images of the abdomen are presented for review.  Serosal detail is adequate in all quadrants.  The stomach contains a moderate amount of gas.  Several small intestinal segments are dilated with gas and lamellar soft tissue material.  These are larger than other segments.  Gas and feces are present in the colon.  The urinary bladder is small.  The remaining abdominal organs are normal.</t>
  </si>
  <si>
    <t>Segmental small intestinal dilation consistent with mechanical obstruction.  Intraluminal contents suggest foreign material (fabric or similar).</t>
  </si>
  <si>
    <t>Three radiographs of the thorax are provided. Images dated 3/14/24 are available for comparison. There is mild left-sided cardiomegaly, smaller than on the previous study. Pulmonary arteries and veins are symmetric and taper as expected. There are no abnormalities in the pulmonary parenchyma or pleural space. Tracheal and mainstem bronchial diameter is normal. The cranial abdomen is unremarkable.</t>
  </si>
  <si>
    <t>The cardiac silhouette is smaller than on the previous study, with mild left-sided cardiomegaly today. There is no pulmonary venous congestion or pulmonary edema. Cardiac disease is not the cause for the coughing. The thorax is otherwise normal. Inhaled irritant/allergens is suspected. Although no tracheal abnormalities are appreciated on this study, dynamic collapse remains possible. This should be correlated with characteristic of the cough and tracheal palpation.</t>
  </si>
  <si>
    <t>Consider utilization of a body harness in place of the neck lead and treatment for allergic airway disease.</t>
  </si>
  <si>
    <t>Three orthogonal radiographs of the abdomen dated 28th July 2024 are available for review. There are no previous radiographs available for comparison. _x000D_
_x000D_
Intra-abdominal findings: The hepatic silhouette is normal. The stomach contains some gas and has a normal axis. Caudal to the stomach there is a large poorly marginated soft tissue mass. The tail of the spleen is prominent. The head of the spleen is normal. The kidneys are poorly visible in the ventrodorsal image, however within normal limits on the lateral images. There is some loss of serosal detail surrounding the kidneys. There is displacement of the small intestines caudally. These are mainly empty without segmental dilation. A mass effect is also seen in the caudal abdomen, in the region of the bunched small intestines. The descending colon contains formed faeces. The colon is displaced to the left. The urinary bladder is small. There is diffuse mild loss of serosal detail._x000D_
_x000D_
Extra-abdominal findings: The patient is in a thin body condition._x000D_
_x000D_
Included thorax: No significant abnormalities are detected.</t>
  </si>
  <si>
    <t>1. Large cranial abdominal mass, and suspect small caudal abdominal mass: Differentials include a splenic mass (haematoma, haemangioma, haemangiosarcoma, metastatic neoplasia, lymphoma), mesenteric/intestinal lymphoma. A renal mass is considered unlikely. The loss of serosal detail may be due to paraneoplastic transudate, haemorrhage. The loss of serosal detail surrounding the kidneys is most likely due to oedema or superimposition of haemorrhage._x000D_
2. The thin body condition would support a neoplastic differential.</t>
  </si>
  <si>
    <t>A complete abdominal ultrasonographic examination is advised, with a view to FNA of abnormal organs, after complete blood work, and a normal coagulation panel. A 3 view thoracic series is advised. Alternatively, and explorative laparotomy may be considered.</t>
  </si>
  <si>
    <t xml:space="preserve">
1.There is smoothly margined hepatomegaly. On the VD projection, the hepatomegaly is mildly asymmetric with the right liver extending further caudal._x000D_
2.The spleen is normal._x000D_
3.On the VD projection, there is a mild decrease in cranial abdominal detail. This is attributed to superimposition of soft tissue structures secondary to the caudal extension of the liver._x000D_
4.The ventral abdominal line is mildly pendulous._x000D_
5.The stomach is slightly caudally positioned due to the hepatomegaly and has a normal to slightly caudally displaced gastric axis secondary to the hepatomegaly._x000D_
6.The small intestines are distributed evenly and are within normal limits for shape, size and contents._x000D_
7.The ascending, transverse and descending colon have a normal position and contain gradually more formed feces.</t>
  </si>
  <si>
    <t>Hepatomegaly: This is a radiographic nonspecific finding, and has endocrine (diabetes mellitus, Cushings), fat deposition, infectious-inflammatory (hepatitis-viral-parasitic), hemodynamic (right heart failure), and infiltrative origins (nodular hyperplasia-round cell infiltration-lymphoma-adenoma-adenocarcinoma). Decreased cranial abdominal detail. This is attributed to caudal extension of the liver over regional mesenteric inflammation. Evidence  of Pickwickian syndrome (abdominal distention secondary to fat deposition and hepatomegaly and decreased thoracic volume).</t>
  </si>
  <si>
    <t xml:space="preserve">
Virtual Radiologist Case Difficulty: MODERATE_x000D_
Virtual Radiologist Confidence: MODERATE_x000D_
Further evaluation of the liver including ruling out metabolic causes for the hepatomegaly such as Cushing's disease. Abdominal ultrasound is recommended to assess the liver and adrenal glands._x000D_
Full blood work if not recently performed.</t>
  </si>
  <si>
    <t>Study:_x000D_
Thoracic, abdominal and spinal: six images dated July 28,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heterogeneous soft tissue material. The small intestines are normal in size, course and content. The colon contains gas with a normal diameter. The liver and spleen are normal in size and margin. The kidneys are normal in size and contour. The urinary bladder is normal in size and opacity. There is no prostatomegaly. The dens is intact and well defined. The atlantoaxial joint space is normal. There is no intervertebral disc space or foraminal narrowing. There is no evidence of discospondylitis. The included appendicular skeletal structures are unremarkable.</t>
  </si>
  <si>
    <t>1. Gastric contents likely represent ingesta. Foreign material cannot be completely excluded. The abdomen is otherwise unremarkable. There is no evidence of small intestinal mechanical obstruction. Repeat fasted radiography can be considered to ensure gastric emptying if clinically relevant based on recent dietary history.. Alternatively, sonography can be considered if clinical signs persist or worsen in spite of medical management._x000D_
2. Normal thorax._x000D_
3. Unremarkable spine.</t>
  </si>
  <si>
    <t xml:space="preserve">
1.The stomach contains small volume gas and scant amorphous soft tissue density material. The small bowel is normal._x000D_
2.Abdominal detail is normal._x000D_
3.Liver size, shape and margin are normal._x000D_
4.Splenic size, shape and margin are normal.</t>
  </si>
  <si>
    <t>Orthogonal views of the thorax are provided:_x000D_
_x000D_
Thorax:_x000D_
_x000D_
No abnormalities seen in the trachea._x000D_
Cardiac silhouette has a normal shape and size._x000D_
Pulmonary vessels are within normal limits of size and shape._x000D_
Pulmonary parenchyma is within normal limits. No evidence of pneumonia._x000D_
Pleural space, mediastinum, diaphragm and thoracic wall within normal limits.</t>
  </si>
  <si>
    <t>1) No signs of cardiomegaly (this does not exclude a cardiac disease)._x000D_
2) Unremarkable lungs do not exclude a bronchitis of allergic origin vs inflammatory/infectious or parasitic origin.</t>
  </si>
  <si>
    <t>Given the lack of cardiomegaly but audible murmur, consider a cardiology consultation with ECG and echocardiogram and abdominal US prior to an empirical treatment for chronic bronchitis evaluating response to treatment. If clinical signs persist, consider a bronchoscopy with BAL, culture, cytology, Baermann test and deworming.</t>
  </si>
  <si>
    <t xml:space="preserve">
1.Splenic size, shape and margin are normal._x000D_
2.Abdominal detail is normal._x000D_
3.The stomach is normal. The small bowel is diffusely gas- and fluid-filled without segmental small bowel dilation._x000D_
4.The liver is at the upper normal limits for size.</t>
  </si>
  <si>
    <t xml:space="preserve">Patient Name : Bruce Radillo-Andrade, Date of study: Jul 27, 2024
2 images are provided for review
Canine Abdomen (2 Images) - 1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No obvious evidence of prostatomegaly or mineral in the region of the prostate gland.
Peritoneum: Peritoneal detail is adequate.
Gastrointestinal tract: The stomach contains a moderate volume of heterogeneous soft tissue material admixed with gas.  Minimal granular mineral is admixed with gastric contents.   The stomach is within normal limits for size.
In the left perineal region the soft tissues are severely enlarged and expanded caudally due to caudally herniated segments of small intestine and presumed the distal rectal segment.  The small intestinal segments are positioned ventral to the rectum and contains moderate gas.  The remaining small intestine in the mid-abdominal contains mild fluid and minimal gas or is empty.  
The colon contains mild gas and minimal soft tissue material or is empty.  The colon is within normal limits for size.  
Musculoskeletal:   The perineal region is enlarged with a rounded/convex caudal margin due to inguinal hernia.  Smoothly marginated mineral superimposes over the L3-4 intervertebral foramina.  The remaining included musculoskeletal structures are normal.
</t>
  </si>
  <si>
    <t xml:space="preserve">1.  Left-sided perineal hernia with multiple herniated segments of the small intestine and distal rectum.
2. Possible evolving small intestinal incarceration/strangulation and mechanical ileus, versus enteritis or variation or normal.
3. Suspected right-sided perineal hernia with fat/mesentery and no obvious intestinal structures.
4.  Gastric material due to recent meal and/or gastritis/delayed gastric emptying, or unlikely pyloric outflow tract obstruction given lack of vomiting in reported history.
5. Minimal pyloric mineral due to dietary indiscretion is considered most likely.
6. Possible herniated mineralized disc material at L3-4.  </t>
  </si>
  <si>
    <t>Consider abdominal/perineal computed tomography for further evaluation.  Thoracic imaging and routine blood work to screen for occult systemic disease if not recently performed   Consider repeat abdominal radiographs after 8-12 hours of fasting to monitor for passage of gastric material.  Monitoring as directed or sooner if clinical signs acutely change, fail to improve or worsen.</t>
  </si>
  <si>
    <t xml:space="preserve">
1.No abnormal AI findings reported._x000D_
2.The liver and spleen are normal._x000D_
3.There is a focal loss of serosal detail in the cranial abdomen on the lateral projection._x000D_
4.The colon contains a mild amount of gas caudally and ill-formed heterogenous fecal material cranially._x000D_
5.On the lateral projection, the gastric lumen contains a mild amount of soft tissue and gas opacity. The small intestine is diffusely gas-filled and segments have a rigid appearance. No mechanical ileus is visualized._x000D_
6.The gastric rugae are prominent.</t>
  </si>
  <si>
    <t>Study:_x000D_
Thoracic/abdominal radiography: three images dated July 27, 2024_x000D_
_x000D_
Findings:_x000D_
There is straightening of the caudal cardiac waist/mild dorsal bulging of the left atrium. The pulmonary vasculature is normal in size. There is incidental platelike atelectasis in the craniodorsal lung fields on the lateral projections. The pulmonary parenchyma is otherwise unremarkable. The pleural space is normal. There is no intrathoracic lymphadenopathy. The trachea is normal in diameter. The stomach contains a small volume of gas with the pylorus appropriately gas-filled on the left lateral image. Some small intestinal segments contain a small amount of granular soft tissue material presumed to be ingesta.. The colon contains a small volume of gas with a normal diameter. The liver and spleen are normal in size and margin. The kidneys are normal in size and contour. The urinary bladder is normal in size and opacity. The region of the prostate is not included. There is narrowing of the C4-C5 through C6-C7, T 11-T 12 and T 12-T 13 intervertebral disc spaces.</t>
  </si>
  <si>
    <t>1. C4-C5 through C6-C7, T 11-T 12 and T 12-T 13 intervertebral disease. Neurology consultation and MRI should be considered for further evaluation if clinical signs persist or worsen in spite of strict activity restriction and pain management._x000D_
2. Mild specific left atrial enlargement, suggestive of mitral valve disease, without evidence of decompensation. Echocardiography should be considered for further evaluation._x000D_
3. Unremarkable abdomen.</t>
  </si>
  <si>
    <t xml:space="preserve">
1.No abnormal AI findings reported._x000D_
2.The liver and spleen are within normal limits._x000D_
3.Detail in the abdomen is adequate._x000D_
4.The stomach is partially distended with gas and some fluid._x000D_
5.The small intestinal tract is diffusely gas- and fluid-filled but without segmental bowel dilation._x000D_
6.The colon contains gas and has a rigid appearance.</t>
  </si>
  <si>
    <t xml:space="preserve">Patient Name : Kona Murphy, Date of study: Jul 27, 2024
4 images are provided for review
There are no previous radiographs for comparison.
Liver: The liver is subjectively normal in size.
Spleen: The spleen is normal in size with smooth margins and homogeneous soft tissue.
Kidneys: The left kidney is normal.  The right kidney is obscured without obvious enlargement or mineral.  
Retroperitoneum: Retroperitoneal detail is adequate.
Urogenital: The urinary bladder is obscured without obvious enlargement or mineral.
Peritoneum: Peritoneal detail is adequate.
Gastrointestinal tract: The stomach contains a moderate volume of gas and fluid.  Gastric rugal folds are prominent.  The stomach is within normal limits for size.
The small intestine contains minimal gas and mild fluid or is empty with a subjectively uniform population for size. 
The colon contains minimal heterogeneous soft tissue material and gas.  The colon is within normal limits for size.  
Musculoskeletal: The included musculoskeletal structures are normal.
</t>
  </si>
  <si>
    <t xml:space="preserve">1. Mild gastric material due to gastritis/delayed gastric emptying, recent meal, or foreign material with/without pyloric outflow tract obstruction.
2. Small intestinal and colon appearance such as from enteritis/colitis or individual variation of normal, or recent bowel movement. 
- There is no current evidence of gastrointestinal mechanical ileus.
- Differential diagnoses include dietary indiscretion, toxin ingestion, diet/antibiotic responsive disease, inflammatory bowel disease, pancreatitis, occult systemic disease or unlikely other.
3.Prominent gastric rugal folds such as from non-specific gastritis versus variation of normal.
</t>
  </si>
  <si>
    <t>Consider repeat abdominal radiographs after 8-012 hours of fasting and empirical therapy to monitor for passage of the gastric material.  Consider routine blood work, GI panel, fecal analysis/deworming and abdominal ultrasonography if signs fail to improve or worsen in the face of empirical therapy.  Empirical therapy and supportive care in the interim as needed.  Monitoring as directed, or sooner if clinical signs acutely change, fail to improve or worsen.</t>
  </si>
  <si>
    <t xml:space="preserve">
1.The pylorus is caudally displaced by the mild hepatomegaly. The GI tract is otherwise unremarkable._x000D_
2.On the lateral projection, the liver is mildly enlarged but retains smooth margins._x000D_
3.The spleen is normal size._x000D_
4.Abdominal detail is normal.</t>
  </si>
  <si>
    <t xml:space="preserve">Patient Name : Sacha marrero, Date of study: Jul 27, 2024
6 images are provided for review
There are no previous radiographs for comparison.
Bones/Joints:
A dens is present.  There is no evidence of atlantoaxial joint subluxation.  T13 has thinned, hypoplastic ribs.  
The T11-12 and T12-13 intervertebral disc spaces are slightly or mildly narrowed.
L4-5, L1-2, T10-11 spondylosis deformans is present.
There is no evidence of  mineral over the intervertebral foramina.  There is no evidence of intervertebral dorsal articulation osteoarthrosis.
There is no evidence of medullary sclerosis, osteolysis, endosteal scalloping, or periosteal proliferation.
Soft tissues:  The included soft tissues are normal.
</t>
  </si>
  <si>
    <t xml:space="preserve">1. Slightly narrowed T11-12 intervertebral disc space such as from intervertebral disc disease and/or artifact.
2. Slightly narrowed T12-13 intervertebral disc space such as from intervertebral disc disease and/or artifact.
3. Incidental T13 thinned, hypoplastic ribs.  
</t>
  </si>
  <si>
    <t>Consider neurologist consultation and MRI for further evaluation of the thoracolumbar spine, especially given acute paraparesis and CP deficits.  Routine blood work and thoracic imaging to screen for occult systemic disease prior to referral. Empirical therapy and supportive care in the interim as needed. Monitoring as directed, or sooner if clinical signs acutely change, fail to improve or worsen.</t>
  </si>
  <si>
    <t xml:space="preserve">Patient Name : Calvin Hamrick, Date of study: Jul 27, 2024
4 images are provided for review
There are no previous radiographs for comparison.
Liver: The liver is slightly small with cranial displacement of the gastric axis in the lateral images.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and gas.   The stomach is within normal limits for size.
The small intestine contains mild gas and fluid or is empty with a subjectively uniform population for size. 
The colon contains mild gas or is empty.  The colon is within normal limits for size.  
Musculoskeletal: The included musculoskeletal structures are normal.
</t>
  </si>
  <si>
    <t>1. Gastric material due to recent meal, versus gastritis/delayed gastric emptying or less likely pyloric outflow tract obstruction.
2. Non-specific small intestinal and colon appearance such as from enteritis, colitis, or individual variation of normal/recent bowel movement.
- There is no current evidence of gastrointestinal mechanical ileus.
- Differential diagnoses include dietary indiscretion, toxin ingestion, diet/antibiotic responsive disease, inflammatory bowel disease, pancreatitis, occult systemic disease or unlikely other.
3. Mild microhepatia versus artifact/individual variation of normal.
- If present, consider occult portosystemic shunt or  least likely chronic hepatitis/cirrhosis.</t>
  </si>
  <si>
    <t>Consider GI panel, fecal analysis/deworming, and routine blood work for further evaluation if not recently performed.  Empirical therapy and supportive care in the interim as needed for presume gastroenterocolitis.  Repeat radiographs after 8-12 hours of empirical therapy and fasting to monitor for passage of gastric material.  If signs fail to improve or worsen and repeat radiographs are similar/inconclusive, consider abdominal ultrasonography.  Monitoring as directed or sooner if clinical signs acutely change, fail to improve or worsen.</t>
  </si>
  <si>
    <t xml:space="preserve">
1.Splenomegaly is present but a splenic mass is NOT detected._x000D_
2.Cranial abdominal detail is mildly decreased.  If this is the only finding, this is more likely due to normal overlying structures or radiographic technique. If this finding is part of a larger group of findings, cranial abdominal inflammation becomes a stronger consideration._x000D_
3.There is formed fecal material within the colon._x000D_
4.The stomach is minimally distended._x000D_
5.The small intestine is uniform in diameter containing both fluid and gas. No segmental small bowel dilation is noted._x000D_
6.Liver size, shape and margin are normal.</t>
  </si>
  <si>
    <t>3 views of the abdomen are presented for review.  Serosal detail is adequate in all quadrants.  The stomach contains a moderate amount of gas.  The small intestines are normal in size.  Gas and feces are present in the colon.  The urinary bladder is small.  The prostate is at the upper limits of normal for size for an intact male.  The remaining abdominal organs are normal.  Poorly defined soft tissue is seen in the subcutaneous fat along the left mid to caudal abdomen.  A discrete mass is not identified.</t>
  </si>
  <si>
    <t>Radiographically normal abdomen.  Poorly defined soft tissue along the left lateral abdomen may be consistent with hives, cellulitis, or poorly defined neoplasm.  Aspirate may be helpful based on the history provided.</t>
  </si>
  <si>
    <t>Orthogonal views of the abdomen are provided:_x000D_
_x000D_
Abdomen:_x000D_
_x000D_
The stomach is empty. However, in all views the gastric wall is abnormally thickened._x000D_
Small intestines are mildly gas and fluid filled, not overtly distended. No signs of mechanical ileus._x000D_
Serosal detail is poor caudolateral to the fundus and craniomedial to the spleen in the VD view._x000D_
Liver extends beyond the costal arch with multiple rounded margins. Gallbladder choleliths._x000D_
Spleen is within normal limits of size and smoothly marginated._x000D_
Kidneys and urinary bladder WNL._x000D_
_x000D_
No abnormalities seen in the thorax (although not entirely included).</t>
  </si>
  <si>
    <t>1) Thickened gastric wall: rule out neoplasia vs metastases less likely vs inflammatory changes._x000D_
2) Hepatomegaly: Neoplastic/metastatic is the main differential. Other concomitant differentials such as Hepatic nodular hyperplasia vs hepatic abscess vs hepatic granulomata vs Metabolic vs Vacuolar infiltration vs Inflammatory vs Toxic or hepatopathies are not excluded._x000D_
3) Suspected peritonitis or neoplastic infiltration of the left cranial peritoneum._x000D_
4) Gallbladder choleliths vs gallbladder mucocele.</t>
  </si>
  <si>
    <t>Consider abdominal US to further evaluate the gastric wall and liver (and the 3 d hx vomiting with 1 week duration of progressive inappetance) with +/- US guided FNAs and three views of the thorax.</t>
  </si>
  <si>
    <t xml:space="preserve">
1.The liver and spleen are within normal limits in size and shape._x000D_
2.The stomach contains a small volume of gas._x000D_
3.No dilated or plicated small bowel loops are noted._x000D_
4.The colon contains scant fecal material and gas._x000D_
5.No abnormal AI findings reported._x000D_
6.No abnormal AI findings reported.</t>
  </si>
  <si>
    <t>Study:_x000D_
Thoracic and abdominal radiography: six images dated July 27, 2024_x000D_
_x000D_
Findings:_x000D_
The cardiac silhouette is normal in size and shape. The pulmonary vasculature is normal in size. On the right lateral view, there is a mild interstitial to alveolar pattern overlying the cranial aspect of the cardiac silhouette. The pleural space is normal. On both lateral projections, there is an indistinct round opacity in the hilar region, partially superimposed with the caudal trachea/carina,. The trachea is normal in diameter. The stomach contains a small volume of gas. The small intestines are normal in size, course and content. The colon is empty. The liver and spleen are normal in size and margin. The kidneys are normal in size and contour. The urinary bladder is normal in size and opacity. The osseous structures are unremarkable. The patient is of overweight body condition.</t>
  </si>
  <si>
    <t>1. The indistinct round soft tissue opacity in the hilar region on the lateral projections is suspicious for tracheobronchial lymphadenopathy. Rule out round cell neoplasia or fungal disease. Consider regionally appropriate fungal serology testing for further evaluation._x000D_
2. The mild interstitial to alveolar pattern in the left cranial lung lobe on the right lateral projection may indicate pneumonia. Atelectasis is also possible. Empiric antibiotic therapy with repeat radiography to monitor for response to treatment can be considered._x000D_
3. Unremarkable abdomen. There is no radiographic evidence of gastrointestinal foreign material or small intestinal mechanical obstruction. Abdominal sonography can be considered for further evaluation if clinical signs persist or worsen in spite of medical management.</t>
  </si>
  <si>
    <t xml:space="preserve">
1.The spleen is within normal limits._x000D_
2.Serosal detail is decreased._x000D_
3.The stomach is mildly gas and fluid filled. The small bowel is gas and fluid-containing. No obvious focal dilation or obstruction._x000D_
4.The liver is enlarged._x000D_
5.Pendulous abdomen.</t>
  </si>
  <si>
    <t xml:space="preserve">Patient Name : Bear Siegrist, Date of study: Jul 27, 2024
3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or is empty. Minimal gas is in the pylorus in the left lateral image. The stomach is within normal limits for size.
The small intestine contains mild gas and fluid or is empty with a subjectively uniform population for size. 
The colon contains mild gas or is empty.  The colon is within normal limits for size.  
Musculoskeletal: The included musculoskeletal structures are normal.
</t>
  </si>
  <si>
    <t>1. Non-specific gastrointestinal tract appearance such as from enteritis, colitis, or given reported history, less likely individual variation of normal/recent bowel movement.
- Differential diagnoses for enteritis/colitis include dietary indiscretion, toxin ingestion, diet/antibiotic responsive disease, inflammatory bowel disease, parasitism/primary infectious disease, pancreatitis or occult systemic disease.
- There is no current evidence of gastrointestinal mechanical ileus.</t>
  </si>
  <si>
    <t>Consider GI panel, fecal analysis/deworming, and routine blood work for further evaluation.  Empirical therapy and supportive care in the interim as needed for presumed large bowel diarrhea given reported hematochezia.  Consider abdominal ultrasonography if signs fail to improve or worsen. Monitoring as directed or sooner if clinical signs acutely change, fail to improve or worsen.</t>
  </si>
  <si>
    <t xml:space="preserve">
1.Abdominal detail is normal._x000D_
2.Liver size, shape and margin are normal._x000D_
3.The stomach contains small volume gas and scant amorphous soft tissue density material. Diffuse, mild to moderate gas dilation of the small bowel without evidence of obstruction._x000D_
4.Splenic size, shape and margin are normal.</t>
  </si>
  <si>
    <t>Six radiographs of the abdomen are provided. Images dated 7/25/23 are available for comparison. The urinary bladder is mildly filled and soft tissue opaque. There are no abnormalities along the plane of the urethra or in the region of the medial iliac lymph nodes. The left kidney is normal size and shape. The right kidney is obscured by superimposed bowel loops. No radiopaque renolithiasis. The spleen and liver are normal size. Moderate volume soft tissue opaque ingesta in the stomach. Congenital vertebral malformations, narrowed intervertebral disc spaces, and mineralized intervertebral disc material in situ at multiple sites as before, incidental. Multipartite fabella also noted in one of the stifles, incidental.</t>
  </si>
  <si>
    <t>Current diagnostics are appropriate. If further evaluation of the urinary tract is desired based on lab work results and patient response to treatment for cystitis, abdominal ultrasound would be recommended.</t>
  </si>
  <si>
    <t xml:space="preserve">
1.No gastrointestinal abnormalities are appreciated. No signs of obstruction._x000D_
2.The liver and spleen are normal size with smooth margins._x000D_
3.In the abdomen there is no effusion._x000D_
4.No abnormal AI findings reported.</t>
  </si>
  <si>
    <t>Study:_x000D_
Abdominal radiography: three images dated July 26, 2024_x000D_
_x000D_
Findings:_x000D_
There is impression of mild peritoneal effusion=ZZ90= however, this may be artifact created by superimposition of wet hair artifact. On both lateral views, there is the impression of an approximately 7.5 cm lobulated soft tissue opaque mass caudodorsal to the tail the spleen. The stomach contains a small volume of gas. There is no small intestinal dilation. The colon is empty. The liver is normal in size and margin. The renal silhouettes are normal in size and contour. The urinary bladder is normal in size and opacity. The included thorax is normal. There is mild L2-L3 spondylosis deformans. Suture material is present in the caudoventral abdominal body wall/subcutaneous fat.</t>
  </si>
  <si>
    <t>1. A mid abdominal mass and mild peritoneal effusion are suspected. Rule out intestinal mass, lymphadenopathy, mesenteric mass or splenic mass. _x000D_
2. There is no evidence of gastrointestinal foreign material or small intestinal mechanical obstruction.</t>
  </si>
  <si>
    <t>Abdominal sonography and a three view thoracic met check should be considered for further evaluation.</t>
  </si>
  <si>
    <t>3 images of the abdomen are provided for review.  Serosal detail is adequate in all quadrants.  The stomach contains a small amount of gas and the rugal folds are prominent.  The small intestines are normal in size.  Gas and feces are present in the colon.  The urinary bladder is small.  The remaining abdominal organs are normal.  Coverage of the right femoral head by its acetabulum is reduced.</t>
  </si>
  <si>
    <t>Prominent rugal folds suggestive of gastritis.  This does not rule out underlying pancreatitis, dietary indiscretion, etc.  Right coxofemoral subluxation consistent with previously diagnosed hip dysplasia.</t>
  </si>
  <si>
    <t>Study:_x000D_
Thoracic and abdominal radiography: six images dated July 25, 2024_x000D_
_x000D_
Findings:_x000D_
The cardiac silhouette and pulmonary vasculature are normal in size. There is an alveolar pattern in the caudal segment of the left cranial lung lobe. The pleural space is normal. There is no intrathoracic lymphadenopathy. The trachea is normal in diameter and course. The stomach contains gas with the pylorus appropriately gas-filled on the left lateral image. The small intestines are gas-filled and normal in size and course. The colon contains a small volume of gas with a normal diameter. The liver and spleen are normal in size and margin. The renal silhouettes are normal in size and contour. The urinary bladder is normal in size and opacity. There is no uterine dilation. The patient has multiple, breed associated, congenitally anomalous thoracic vertebrae. There is severe secondary thoracic kyphosis. Mild multifocal spondylosis deformans is present.</t>
  </si>
  <si>
    <t>1. Unremarkable abdomen. A cause of the gastrointestinal signs is not evident. There is no radiographic evidence of gastrointestinal foreign material or small intestinal mechanical obstruction. Abdominal sonography can be considered for further evaluation if clinical signs persist or worsen in spite of medical management._x000D_
2. The alveolar pattern in the caudal segment of the left cranial lung lobe is concerning for pneumonia. Atelectasis is also possible. Empiric antibiotic therapy with repeat radiography in 10 to 14 days to monitor for response to treatment should be considered.</t>
  </si>
  <si>
    <t xml:space="preserve">
1.No abnormal AI findings reported._x000D_
2.The liver is mildly enlarged but retains a smooth margin._x000D_
3.The spleen and kidneys are normal size._x000D_
4.The stomach contains a small amount of gas and the gastric rugae are prominent.</t>
  </si>
  <si>
    <t xml:space="preserve">Patient Name : Otto Armbrecht, Date of study: Jul 26, 2024
3 images are provided for review
Canine Thorax (3 Images) - 2 Lateral, 1 Vd
There are no previous radiographs for comparison.
Pulmonary parenchyma: A mild to moderate diffuse bronchial pattern is present.
Pulmonary vasculature: The pulmonary vasculature is subjectively normal in size and tapers in the periphery of the lungs.
Cardiac silhouette: The cardiac silhouette is tall and occupies greater than 2/3 the height of the thorax.  The caudodorsal margin of the cardiac silhouette is flattened.  
Mediastinum: The cranial mediastinum is mildly symmetrically wide in the ventrodorsal image without increased soft tissue.
Trachea: The trachea is normal.
Esophagus: The esophagus is not well-identified.
Pleural space: The pleural space is normal.
Musculoskeletal: The included musculoskeletal structures are normal.
</t>
  </si>
  <si>
    <t>1. Mild-moderate diffuse bronchial pulmonary pattern.
- Differential diagnoses include infectious/immune-mediated lower airway disease such as from mycoplasma spp., bordetella spp., parasitism, or inhaled allergen/irritant.
2. Mild left-sided cardiomegaly versus artifact from the phase of the cardiopulmonary cycle or patient positioning.
- Differential diagnoses include myxomatous mitral valvular disease and insufficiency or less likely other.
- There is no current evidence of left-sided congestive heart failure.  
3. Widened cranial mediastinum due to fat deposition versus unlikely other.</t>
  </si>
  <si>
    <t>Consider respiratory PCR panel, airway sampling, and fecal analysis/deworming for further evaluation.  Echocardiography, ECG and blood pressure for further evaluation of the heart, especially if a murmur is latera identified.  Empirical therapy and supportive care in the interim for coughing.  This examin does not rule out dynamic airway disease, so consider bronchoscopy/tracheoscopy/fluoroscopy if clinically indicated.   Monitoring as directed or sooner if clinical signs acutely change, fail to improve or worsen.</t>
  </si>
  <si>
    <t xml:space="preserve">
1.Pendulous abdomen._x000D_
2.The liver is enlarged._x000D_
3.The spleen is within normal limits._x000D_
4.Serosal detail is decreased._x000D_
5.The stomach is mildly gas and fluid filled. The small bowel is gas and fluid-containing. No obvious focal dilation or obstruction.</t>
  </si>
  <si>
    <t>Three radiographs of the thorax, and three views of the abdomen are provided. The cardiac silhouette is normal size and shape. A mild bronchial pattern is present in the lungs. Faint round 1.3 cm soft tissue density overlying the mid right thorax on the VD projection is superimposed nipple. Fat deposition separates the ventral lungs from the sternum on the lateral views. There is no pleural effusion. Normal tracheal diameter. Small volume gas in the caudal esophagus is transient and incidental. Congenital vertebral malformations in the mid thoracic spine are of doubtful clinical significance today._x000D_
_x000D_
In the abdomen the uterus is not visible. No radiopaque urolithiasis. Mid ventral peritoneal detail is reduced on the right lateral view but is not persistent on the left lateral projection. This may be due to summating normal anatomy. Formed feces fills the distal colon. The stomach and small bowel are mildly filled. No radiopaque urolithiasis.</t>
  </si>
  <si>
    <t>Mild bronchial pattern suggestive of chronic airway inflammation. In the absence of a chronic cough, significance is doubtful. Otherwise normal thorax and abdomen.</t>
  </si>
  <si>
    <t>Recommend visual inspection of the pharyngeal/laryngeal region.</t>
  </si>
  <si>
    <t>Patient Name: Pixie Quijano, Date of study: July 26, 2024
Thorax/abdomen: 3 images are provided for review (2 lateral, 1 VD).
There are no previous radiographs for comparison.
Findings:
Cardiac silhouette: The cardiac silhouette is normal in size and shape.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stomach is mildly distended with heterogeneous ingesta admixed with gas. The duodenum is gas-filled and normal in size. The small intestines are within normal limits of diameter and contain gas and fluid. The colon contains loosely formed feces and gas.
Liver: The liver is within normal limits of size and shape.
Spleen: The spleen is smoothly marginated and normal in position.
Urinary: The visible margins of the kidneys are within normal limits. There is a mineral focus superimposed with the left kidney on the VD view, which is thought to be a nipple. The urinary bladder is normal in size and opacity.
Peritoneal space: There is adequate serosal detail.
Musculoskeletal: There are several congenitally anomalous mid to caudal thoracic vertebrae which causes rib crowding. There is mild spondylosis deformans of L7-S1.</t>
  </si>
  <si>
    <t>1. Normal thorax. There is no evidence of pneumonia. Increased respiratory effort may be contributed to upper airway disease/stenosis (i.e. brachycephalic obstructive airway syndrome).
2. The gastric content is most consistent with a recent meal. Mineral/metal opaque foreign material is not identified. There is no evidence of a mechanical obstruction.</t>
  </si>
  <si>
    <t>Medical management and supportive care are recommended. In addition to the pending blood work, urinalysis could be considered. If gastrointestinal signs progress (i.e. vomiting, diarrhea), recheck fasted abdominal radiographs or an abdominal ultrasound would be recommended.</t>
  </si>
  <si>
    <t>Patient Name: Allie Stapleton, Date of study: July 26, 2024.
Thorax: 5 images are provided for review (4 lateral, 1 VD).
There are no previous radiographs for comparison.
Findings:
Cardiac silhouette: There is mild enlargement and rounding in the region of the left atrium.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There is intermittent narrowing of the caudal mainstem bronchi. This is best identified on the right lateral radiograph time stamped 11:03:00.
Esophagus: The region of the esophagus is within normal limits.
Musculoskeletal: The included skeletal and superficial soft tissue structures of the study are normal.</t>
  </si>
  <si>
    <t>1. There is dynamic narrowing of the caudal mainstem bronchi, consistent with dynamic airway disease. Consider tracheobronchomalacia as an underlying cause. This is thought to be the primary cause of coughing.
-Infectious tracheobronchitis cannot be excluded as this may have a normal radiographic appearance.
2. There is mild enlargement of the left atrium. The primary differential is myxomatous mitral valve disease. There is no evidence of heart failure. The enlarged left atrium may be impinging upon the left caudal mainstem bronchus and contributing to coughing.</t>
  </si>
  <si>
    <t>Airway sampling (respiratory PCR, lavage, wash) is recommended to guide treatment. Continued medical management for dynamic airway disease is recommended.
An echocardiogram, EKG, and blood pressure are recommended to further evaluate the heart.</t>
  </si>
  <si>
    <t xml:space="preserve">
1.Splenic size, shape and margin are normal._x000D_
2.Abdominal detail is normal however the abdomen is mildly pendulous._x000D_
3.The stomach is normal. The small bowel contains gas and fluid but no segmental small bowel dilation is noted._x000D_
4.The liver is mildly enlarged but with smooth margins. No liver mass is noted.</t>
  </si>
  <si>
    <t>A three view thoracoabdominal study is provided for interpretation._x000D_
_x000D_
There is a band of opacity obscuring the dorsal half of the cervical trachea consistent with redundant dorsal tracheal membrane and superimposition of the esophagus over the dorsal trachea. The intrathoracic trachea is normal. There is mild to moderate bronchial mineralization that likely represents an age-related change. The heart is within normal size and shape limits._x000D_
_x000D_
The liver is smaller than expected for patient size. There is a small quantity of granular mineral dense sediment in the gallbladder. There are two irregular small mineral densities in the cranial abdomen and one in the caudal abdomen that are presumed to be small mineralized granulomas secondary to previous OVH. There are a few loops of small intestine that are slightly dilated, the appearance is equivocal and within the limits of benign variation. The colon wall appears mildly thickened and corrugated. Serosal detail in the abdomen is normal. The kidneys and bladder are unremarkable. The spleen is normal size with smooth margins.</t>
  </si>
  <si>
    <t>No evidence of cardiac chamber dilation is identified._x000D_
_x000D_
The redundant dorsal tracheal membrane is more prominent than typical and could be associated with tracheal collapse if relevant clinical signs are present._x000D_
_x000D_
The liver is smaller than expected. This is not uncommon as an incidental finding, but could also be associated with pathologic causes including chronic hepatopathy with cirrhosis or portosystemic shunting. Relevance to the clinical signs is probably limited given the advanced age of the patient, unless significant liver disease is evident in the labwork._x000D_
_x000D_
The upper GI tract is within normal limits. The appearance of the colon is consistent with colitis.</t>
  </si>
  <si>
    <t>Supportive care and symptomatic therapy for gastroenteritis/colitis and pancreatitis is recommended.</t>
  </si>
  <si>
    <t>Patient Name: Matilda Ogandzhanian, Date of study: July 26, 2024.
Thorax: 3 images are provided for review (2 lateral, 1 VD). 
There are no previous radiographs for comparison.
Findings:
Cardiac silhouette: There is the appearance of mild left atrial enlargement on the left lateral view; however, this is not consistent on the other two images and is considered positional.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There is a band of soft tissue opacity superimposed with the dorsal half of the trachea cranial to the thoracic inlet. 
Esophagus: The region of the esophagus is within normal limits.
Musculoskeletal: The skeletal and superficial soft tissue structures of the study are within normal limits.</t>
  </si>
  <si>
    <t xml:space="preserve">1. Normal thorax. Infectious tracheobronchitis and chronic bronchitis of allergic, irritant, and parasitic etiologies cannot be excluded as these may have a normal radiographic appearance.
2. The cardiovascular structures are within normal limits. A cardiogenic cough is not suspected.
3. Possible redundant tracheal membrane (vs. superimposition of the esophagus). Dynamic airway disease is not ruled out. </t>
  </si>
  <si>
    <t>Airway sampling (respiratory PCR, lavage, wash) could be considered to guide treatment. If dynamic airway disease is clinically suspected, lateral cervicothoracic radiographs acquired at peak inspiration and peak expiration would be recommended.</t>
  </si>
  <si>
    <t xml:space="preserve">
1.On the lateral projection, the liver is mildly enlarged._x000D_
2.On the VD projection, a mild decrease in cranial abdominal detail is present. This is suspected to be secondary to caudal extension of the liver._x000D_
3.No gastrointestinal abnormalities._x000D_
4.Splenic size, shape and margin are normal._x000D_
5.As mentioned above, cranial abdominal detail is mildly decreased. A global reduction in abdominal detail is NOT present._x000D_
6.The ventral abdominal line is mildly pendulous.</t>
  </si>
  <si>
    <t>Opposite lateral and VD views of the thorax are provided._x000D_
_x000D_
There is increased small intestinal gas overall, with a fragmented gas pattern in some areas. There are a few small intestinal loops that are mildly distended with gas, and several that contain soft tissue dense content with a striated appearance that likely represents textile foreign material. In the left lateral view, small intestine in the ventral abdomen has a bunched appearance concerning for possible plication. Serosal detail in the mid abdomen is slightly reduced. In the VD view there is one small discrete soft tissue shadow suspicious for a small gastric foreign body. The other abdominal organs are within normal limits. There is moderate mid lumbar spondylosis.</t>
  </si>
  <si>
    <t>There is evidence of small intestinal foreign material likely of a textile nature. There is concern for potential intestinal plication._x000D_
Although pathologic bowel distention is not seen, partial obstruction secondary to intestinal foreign material is believed to be present, with likely complication associated with linear foreign body plication. There may also be a small quantity for material in the stomach.</t>
  </si>
  <si>
    <t>Surgical exploration is recommended.</t>
  </si>
  <si>
    <t xml:space="preserve">
1.The spleen is normal._x000D_
2.The liver is mildly enlarged._x000D_
3.Cranial abdominal detail is mildly decreased._x000D_
4.Resource: https://platform.v2.vetology.net/doc/pancreatitis_x000D_
5.The stomach contains a moderate amount of mixed gas and fluid._x000D_
6.Small intestinal bowel loops are normal in size and distribution and have mainly a soft tissue pattern._x000D_
7.The colon contains gas and fluid._x000D_
8.Resource: https://platform.v2.vetology.net/doc/gi_protectants_1</t>
  </si>
  <si>
    <t xml:space="preserve">Patient Name : Emmitt Cantu, Date of study: Jul 26, 2024
8 images are provided for review
There are no previous radiographs for comparison.
Bones/Joints:
A dens is present.  There is no evidence of atlantoaxial joint subluxation.  The T12-13 intervertebral disc space is narrowed.   T1-2, T2-3, L1-2 and possibly L4-5 spondylosis deformans is present.  
There is no evidence mineral over the intervertebral foramina.  There is no evidence of intervertebral dorsal articulation osteoarthrosis.
There is no evidence of medullary sclerosis, osteolysis, endosteal scalloping, or periosteal proliferation.
Soft tissues:  The included soft tissues are normal.
</t>
  </si>
  <si>
    <t>1. T12-13 intervertebral disc disease is suspected.
2. No obvious cervical intervertebral disc space narrowing.</t>
  </si>
  <si>
    <t xml:space="preserve">Consider neurologist consultation and MRI of the cervical versus thoracolumbar spine if clinical signs fail to improve or worsen in the face of empirical therapy/supportive care.  Consider abdominal imaging and routine blood work to screen for occult systemic disease, especially if not recently performed.  </t>
  </si>
  <si>
    <t xml:space="preserve">
1.No abnormal AI findings reported._x000D_
2.There is an increase in soft tissue opacity in the cranial abdomen with extension of a soft tissue opacity caudoventral to the stomach. This may represent caudal extension of an enlarged liver lobe or cranial position of the splenic tail silhouetting with the liver._x000D_
3.Cranial abdominal detail is decreased. This may be secondary to a confluence of soft tissues and/or regional inflammation or abdominal fluid._x000D_
4.The gastric axis is caudally displaced making hepatomegaly most likely._x000D_
5.The small bowel is diffusely gas- and fluid-filled but without segmental small bowel dilation.</t>
  </si>
  <si>
    <t>Soft tissue density in the cranioventral abdomen may represent hepatomegaly versus cranial positioning of the splenic tail. Decreased cranial abdominal detail. DDx: confluence of soft tissue structures vs. regional inflammation and/or abdominal fluid or lymphadenopathy.</t>
  </si>
  <si>
    <t xml:space="preserve">
Virtual Radiologist Case Difficulty: LOW_x000D_
Virtual Radiologist Confidence: HIGH_x000D_
Blood work._x000D_
Further evaluation of the liver and spleen with ultrasound._x000D_
Coagulation profile, platelet count and PCV prior to tissue sampling.</t>
  </si>
  <si>
    <t>Orthogonal abdomen views are provided for comparison to the study made yesterday._x000D_
_x000D_
The ingesta that was previously the stomach appears to have moved through the GI tract. The stomach is relatively empty and nondistended. No foreign bodies are identified. The intestinal tract also appears empty and nondistended. The suspected thickening of the colon wall is improved overall, the colon does still have a slightly thickened appearance. No thickening of the small intestine is appreciated, but evaluation of this is not possible without intestinal gas, which is not present in this study. Abdominal serosal detail is normal._x000D_
There is narrowing of intervertebral disc spaces in the thoracolumbar region, and mild lumbar spondylosis.</t>
  </si>
  <si>
    <t>The colon appears slightly thickened. This would be compatible with colitis but is also not considered a reliable radiographic finding. The appearance is to subtle to be concerning for neoplasia at this time. The upper GI tract is within normal limits.</t>
  </si>
  <si>
    <t>No additional diagnostics are recommended if clinical signs are resolving._x000D_
If clinical signs persist, follow up imaging such as ultrasound should be considered.</t>
  </si>
  <si>
    <t>Patient Name : Jake Sanderson, Date of study: Jul 26, 2024
4 images are provided for review
There are no previous radiographs for comparison.
Liver: The liver is subjectively normal in size.
Spleen: The spleen ventral extremity of the spleen is mildly enlarged and rounded in the mid-ventral abdomen of the right lateral image.  This is suspected to be the rounded or lobular soft tissue in the left craniolateral abdomen and over the spleen in the ventrodorsal image.  
Kidneys:  Mineral is over the left kidney.    the right kidney is suspiciously small or partially obscured.  
Retroperitoneum: Retroperitoneal detail is adequate.
Urogenital: A large mineral body will ill-defined margins is central over the urinary bladder.  Few ovoid or pin-point or thin linear mineral are over the cranioventral aspect of the urinary bladder.  Ovoid or rectangular mineral is over the region of the preprostatic or prostatic urethra, or prostate gland.  The urinary bladder is normal in size.
Peritoneum: Peritoneal detail is adequate.
Gastrointestinal tract: The stomach contains a moderate volume of gas and fluid.  Gas is suspected in the descending duodenum in the left lateral image.  The stomach is within normal limits for size.
The small intestine contains mild gas, soft tissue material and fluid or is empty with a subjectively uniform population for size. 
The colon contains moderate gas and mild heterogeneous soft tissue material.  The colon is within normal limits for size.  
Musculoskeletal:  A large fat opaque mass arises from the left ventrolateral extra-thoracica and extra-abdominal body wall.  This mass severely deformas the surface of the patient.  A well-defined soft tissue margin delineates peritoneum from this mass in the ventrodorsal image.  The remaining included musculoskeletal structures are normal.</t>
  </si>
  <si>
    <t xml:space="preserve">1. Multiple urocystoliths  that are centrally or eccentrically positioned over the urinary bladder.
- This may be due to urocystoliths and adherent urocystoliths such as from chronic disease or polypoid cystitis, versus mineralization of evolving neoplasia such as transitional cell carcinoma.
2. Possible urethroliths versus prostatic mineral foci.
- If these are urethroliths, obvious evidence of urethral obstruction is not currently present.
- If this is prostatic mineral, consider evolving prostatic neoplasia.
3. Splenomegaly/splenic mass versus folded spleen or a combination of these.
- If present, the primary differential diagnosis of a splenic mass is neoplasia (primary versus metastatic).  
3. Minimal left nephroliths.
4. Possible small right kidney versus artifact.
5. Large left ventrolateral extra-thoracic and extra-abdominal body wall mass is a presumed lipoma.
</t>
  </si>
  <si>
    <t>Consider computed tomography versus ultrasonography of the abdomen for further evaluation of the spleen, urinary bladder and prostate gland and possibly pre-surgical planning of suspected left-sided lipoma resection.   Urinalysis, urine culture/sensitivity testing and possible traumatic catheterization of BRAF testing depending on results. Cystotomy after retropulsion of urethroliths are confirmed, with mineral retrieval and analysis for further evaluation. Consider routine blood work, coagulating testing and splenic tissue sampling if a mass lesion if confirmed.  Empirical therapy and supportive care in the interim as needed.  Monitoring as directed, or sooner if clinical signs acutely change, fail to improve or worsen.</t>
  </si>
  <si>
    <t xml:space="preserve">
1.There is an increase in soft tissue opacity in the cranial abdomen with extension of a soft tissue opacity caudoventral to the stomach. This may represent caudal extension of an enlarged liver lobe or cranial position of the splenic tail silhouetting with the liver._x000D_
2.Cranial abdominal detail is decreased. This may be secondary to a confluence of soft tissues and/or regional inflammation or abdominal fluid._x000D_
3.The gastric axis is caudally displaced making hepatomegaly most likely._x000D_
4.The small bowel is diffusely gas- and fluid-filled but without segmental small bowel dilation._x000D_
5.No abnormal AI findings reported.</t>
  </si>
  <si>
    <t>Abdomen: Within the cranial to mid abdomen there is increase in opacity and decreased serosal detail.  There is caudal displacement of the body of the stomach as well as diffuse hepatomegaly.  The spleen appears lobulated.  The remainder of the abdomen is unremarkable.</t>
  </si>
  <si>
    <t>Suspect peritoneal effusion._x000D_
_x000D_
Diffuse hepatomegaly and possible central hepatic mass._x000D_
_x000D_
Possible nodules/masses involving the spleen.</t>
  </si>
  <si>
    <t>Three radiographs of the thorax, and three views of the abdomen are provided. The cardiac silhouette and pulmonary vessels are normal in size. There are faint bronchial markings throughout the lungs. No interstitial infiltrates. The plane of the esophagus is unremarkable. The trachea is normal size for this very. Congenital vertebral malformations in the thoracic spine are of doubtful significance today._x000D_
_x000D_
In the abdomen there is small volume amorphous soft tissue density in the stomach. Small bowel are mildly filled with gas and soft tissue opacity. Formed feces in the descending colon. Normal-sized liver and spleen. The kidneys are obscured. No radiopaque foreign material. Osseous structures are age-appropriate.</t>
  </si>
  <si>
    <t>1. Faint bronchial markings suggestive of airway inflammation. This may be due to inhaled irritant/allergens or infectious airway disease. There is no evidence of aspiration pneumonia. Otherwise normal thorax._x000D_
2. Normal abdomen. Gastric contents appears to be residual ingesta. All or a portion of gastric contents could be foreign material causing gastritis and pyloric outflow obstruction. There is no evidence of small bowel obstruction.</t>
  </si>
  <si>
    <t>Recommend supportive care. Repeat fasted abdominal radiographs +/- positive contrast gastrogram could be considered to rule out gastric foreign material. Abdominal ultrasound is another option, as long as the patient has been strictly fasted and there is minimal gas in the stomach at the time of imaging.</t>
  </si>
  <si>
    <t xml:space="preserve">
1.Abdominal detail is normal._x000D_
2.The stomach contains gas and small amount of amorphous soft tissue density. Small intestines are diffusely, minimally distended._x000D_
3.Liver size, shape and margin are normal._x000D_
4.Splenic size, shape and margin are normal.</t>
  </si>
  <si>
    <t>Opposite lateral and VD views of the thorax that include the cranial half of the abdomen are provided._x000D_
_x000D_
There is a severe bronchointerstitial pattern that radiates from the pulmonary hilus into the periphery. All lobes are affected, but this pattern is more intense in the caudal lung lobes. There is also alveolar consolidation involving the caudal subsegment of the left cranial lung lobe which is associated with minimal air bronchograms, only seen at the root of the lung lobe. No pleural effusion is seen. There is an associated mass effect just cranial to the left mainstem bronchus at the level of the trachea: this is suspected to be additional pulmonary infiltrates, but hilar lymph node enlargement cannot be excluded. The heart is at the upper end of normal size range. No tracheal abnormalities are identified. There is a small quantity of gas in the esophagus._x000D_
_x000D_
There is increased gas in the GI tract, suspected to be the result of aerophagia from the respiratory distress. No foreign bodies or obstructive pattern are seen. The other abdominal organs are within normal limits. Serosal detail is normal._x000D_
_x000D_
There is severe disc space narrowing and spondylosis involving the disc spaces from T13 to L1. In some of the images there is lucency involving the cranial aspect of the vertebral bodies, especially L2.</t>
  </si>
  <si>
    <t>There is a mass effect involving the caudal subsegment of the left cranial lung lobe. The appearance of this area is concerning for neoplasia, but the rest of the bronchointerstitial pattern affecting the other lung fields is more typical of interstitial pneumonia._x000D_
Fungal pneumonia could appear similar._x000D_
_x000D_
Primary rule outs for this patient would include neoplasia including pulmonary lymphoma or other reticuloendothelial neoplasia, pulmonary abscess with bronchopneumonia, possibly secondary to aspiration (including a radiolucent foreign body) and interstitial pneumonia such as fungal or protozoal pneumonia._x000D_
_x000D_
No abdominal abnormalities felt to be significant are identified._x000D_
_x000D_
The changes seen involving the thoracolumbar spine are probably degenerative and associated with chronic disc degeneration. There is some lucency associated with the cranial aspect of L2, so an infectious process involving these vertebrae should still be ruled out.</t>
  </si>
  <si>
    <t>CBC, serum chemistry, and urinalysis is recommended._x000D_
Fungal panel is recommended._x000D_
The left sided alveolar consolidation would likely be amenable to ultrasound-guided sampling for cytology and culture._x000D_
Supportive care and empiric antibiotic therapy is recommended.</t>
  </si>
  <si>
    <t xml:space="preserve">
1.The spleen is within normal limits._x000D_
2.There is decreased detail in the cranial abdomen._x000D_
3.Liver size, shape and margin are normal._x000D_
4.The stomach is partially distended with food material and fluid._x000D_
5.The small intestinal track is mostly fluid filled uniform in diameter._x000D_
6.The colon is gas filled in corrugated.</t>
  </si>
  <si>
    <t xml:space="preserve">Patient Name : Laney Babikan, Date of study: Jul 26, 2024
3 images are provided for review
Canine Abdomen (3 Images) - 2 Lateral, 1 Vd
Previous images dated [07/22/2024 Case#2716523] are available for comparison.
Liver: The liver is subjectively normal in size.
Spleen: The spleen is normal in size with smooth margins and homogeneous soft tissue.
Kidneys: Small mineral foci are consistently over the left and right kidney in orthogonal images.  The kidneys are subjectively normal in size.  
Retroperitoneum: Retroperitoneal detail is adequate.
Urogenital: The urinary bladder is normal in size, homogeneous soft tissue, and smoothly marginated.
Peritoneum: Peritoneal detail is adequate.
Gastrointestinal tract: The stomach contains a mild volume of gas or is empty.  Gastric rugal folds are mildly prominent.   The stomach is within normal limits for size.
The small intestine contains mild to moderate gas and fluid with a subjectively uniform population for size.   
The colon contains mild gas and heterogeneous soft tissue or is empty.  The colon is within normal limits for size.  
Previously identified granular gastrointestinal mineral is not identified in this examination.
Musculoskeletal: Presumed prior pelvis fractures and resultant pelvic asymmetry.  The remaining included musculoskeletal structures are normal.
</t>
  </si>
  <si>
    <t xml:space="preserve">1. Prominent gastric rugal folds such as from non-specific gastritis versus variation of normal.
2. Non-specific small intestinal and colon appearance such as from enteritis/colitis or given reported signs, less likely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3. Bilateral nephroliths, unchanged from prior.
4. Presumed prior pelvic fractures and resultant asymmetry.  </t>
  </si>
  <si>
    <t>Consider GI panel, fecal analysis/deworming, and routine blood work for further evaluation if not recently performed.  Abdominal ultrasonography given clinical signs are persistent and repeat radiographs are inconclusive.    Empirical therapy and supportive care in the interim as needed.  Monitoring as directed or sooner if clinical signs acutely change, fail to improve or worsen.</t>
  </si>
  <si>
    <t>5 images of the thorax and abdomen are presented for review.  The cardiovascular and pulmonary structures are normal.  No pulmonary nodules or enlarged intrathoracic lymph nodes are seen.  The pleural and mediastinal structures are normal.  Abdominal serosal detail is adequate in all quadrants.  The stomach contains a small amount of ingesta.  The small intestines are normal in size.  Gas and feces are present in the colon.  The urinary bladder is moderately distended.  The remaining abdominal organs are normal.  Hemivertebrae are present in the thoracic and caudal spine.</t>
  </si>
  <si>
    <t>Radiographically normal thorax and abdomen.  Congenital hemivertebrae.</t>
  </si>
  <si>
    <t xml:space="preserve">Patient Name : Nickey Dove, Date of study: Jul 26, 2024
4 images are provided for review
There are no previous radiographs for comparison.  Minimal overexposure and saturation artifact of the lungs.  
Pulmonary parenchyma: A minimal diffuse bronchial pattern is present.
Pulmonary vasculature: The pulmonary vasculature is subjectively normal in size and tapers in the periphery of the lungs.
Cardiac silhouette: The cardiac silhouette is tall and occupies 2/3 the height of the thorax.  The trachea maintains a caudoventral declination towards the base of the cardiac silhouette.  
Mediastinum: The cranial mediastinum is normal.
Trachea: The trachea is normal.
Esophagus: The esophagus contains minimal fluid or is empty.  
Pleural space: The pleural space is normal.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Gas is in the pylorus in the left lateral image.  The stomach is within normal limits for size.
The small intestine contains mild gas and  fluid or is empty with a subjectively uniform population for size. 
The colon contains mild heterogeneous soft tissue material and gas. The colon wall is mildly spastic.   The colon is within normal limits for size.  
Musculoskeletal: The included musculoskeletal structures are normal.
</t>
  </si>
  <si>
    <t>1. Minimal diffuse bronchial pulmonary pattern such as from fibrosis from prior disease, age-related changes, or less likely infectious/immune-mediated lower airway disease (mycoplasma spp., bordetella spp., parasitism, or other), inhaled allergen/irritant, or unlikely other.
2. Possible left ventricular enlargement versus artifact from phase of the cardiopulmonary cycle/patient confirmation.
- If present, consider myxomatous mitral valvular disease and infussicieny.
- There is no current evidence of left-sided congestive heart failure.  
3. Microhepatia versus individual variation of normal.
- If present, consider portosystemic shunting vessel or unlikely chronic hepatitis/cirrhosis.
4. Non-specific small intestinal and colon appearance such as from enteritis, colitis, or recent bowel movement/individual variation of normal.</t>
  </si>
  <si>
    <t>Consider echocardiography, eCG and blood pressure, with/without routine blood work for further evaluation.   This examination does not rule out occult dynamic airway disease.  Consider airway sampling/respiratory PCR panel and tracheoscopy/bronchoscopy/fluoroscopy for further evaluation of dynamic airway disease. Empirical therapy and supportive care in the interim as needed.  Monitoring as directed or sooner if clinical signs acutely change, fail to improve or worsen.</t>
  </si>
  <si>
    <t xml:space="preserve">
1.Resource: https://platform.v2.vetology.net/doc/liver_disease_x000D_
2.The spleen is normal in size._x000D_
3.Peritoneal serosal detail is adequate._x000D_
4.The liver is subjectively mildly small. The gastric axis is in a normal to slightly cranially deviated position._x000D_
5.The stomach contains minimal gas and is normal in size._x000D_
6.The small intestine contains mild soft tissue, fluid, or is empty._x000D_
7.The small intestine is normal in size._x000D_
8.The colon contains mild gas and heterogeneous soft tissue material.</t>
  </si>
  <si>
    <t>5 views of the neck, thorax, and abdomen are submitted for review._x000D_
No definitive abnormalities noted in the cervical spine or ventral cervical soft tissues.  A ventrally distributed alveolar pattern is noted in the region of the right middle lung lobe.  The remainder of the lung fields are within normal limits.  No pleural effusion or intrathoracic lymphadenopathy is seen.  The cardiovascular structures are normal.  The trachea is normal in diameter._x000D_
In the abdomen, the stomach contains a moderate amount of gas and food like material.  The small bowel is normal and uniform in diameter.  A mild amount of stool is noted in the colon.  The liver, spleen, and renal silhouettes appear within normal limits.  The urinary bladder appears minimally distended.  The prostate appears enlarged.  Serosal detail is normal.  No aggressive bony changes are noted.</t>
  </si>
  <si>
    <t>Ventrally distributed alveolar pattern in the right middle lung lobe.  This is most consistent with bacterial bronchopneumonia, likely associated with aspiration._x000D_
The prominent appearance of the prostate is most consistent with benign prostatic hypertrophy which would be typical for an intact male.  However, I cannot rule out the possibility of concurrent prostatitis._x000D_
No definitive abnormalities are noted in the cervical spine to explain the clinical signs in this region.  Occult intervertebral disc disease is not excluded.  Other soft tissue injury is also possible.</t>
  </si>
  <si>
    <t>Broad-spectrum antibiotic therapy appears indicated.  A urinalysis with culture and sensitivity is also recommended. An abdominal ultrasound could be considered as well if clinical signs persist.</t>
  </si>
  <si>
    <t xml:space="preserve">
1.Resource: https://platform.v2.vetology.net/doc/microhepatia_and_giulcers_x000D_
2.Liver size is at the lower limits of normal to slightly small with cranial displacement of the gastric axis._x000D_
3.Splenic size, shape and margin are normal._x000D_
4.Cranial abdominal detail is mildly decreased._x000D_
5.The stomach is mildly to moderately gas distended._x000D_
6.The small bowel is diffusely gas- and fluid-filled with intestinal distention approaching the upper limit of normal. In a small portion of cases, uterine horn distention could mimic small bowel dilation.</t>
  </si>
  <si>
    <t>Study:_x000D_
Thoracic and abdominal radiography: six images dated July 25, 2024_x000D_
_x000D_
Findings:_x000D_
The cardiac silhouette and pulmonary vasculature are normal in size. There is a mild generalized bronchointerstitial pulmonary pattern. No pulmonary nodules or masses are present. The pleural space is normal. There is no intrathoracic lymphadenopathy. The trachea is normal in diameter and course. The abdominal serosal detail is normal with no apparent peritoneal effusion present. A 6.5 cm round soft tissue opaque mass bulges from the tail the spleen. The liver extends mildly beyond the costal arch with smooth and sharp margins. The stomach contains a small amount of unstructured heterogeneous soft tissue material presumed to be ingesta. The small intestines are normal in size, course and content. The colon contains formed fecal material. The renal silhouettes are normal in size and contour. The urinary bladder is normal in size and opacity. There is mild right elbow periarticular bone formation.</t>
  </si>
  <si>
    <t>1. There is no radiographic evidence of pulmonary metastatic disease._x000D_
2. In the absence of any reported respiratory signs, the mild generalized bronchointerstitial pulmonic pattern is likely a benign age-related change. Allergic, inflammatory, infectious, inhaled irritant or parasitic bronchitis cannot be completely excluded._x000D_
3. Splenic mass. Rule out neoplasia, hyperplasia or hematoma. Splenectomy (as planned) should be considered._x000D_
4. The mild hepatomegaly is nonspecific. Rule out metabolic/vacuolar hepatopathy, hyperplasia, hepatitis or infiltrative neoplasia. Correlate with recent sonography._x000D_
5. Mild right elbow osteoarthrosis.</t>
  </si>
  <si>
    <t>Lateral and VD views of the abdomen are provided._x000D_
_x000D_
No foreign bodies are identified in the GI tract. There is no dilation of the stomach or intestine. The volume of gas in the GI tract is within normal limits. Abdominal serosal detail is normal. The liver is at the small end of acceptable range for patient size. In the VD view there is a moderately defined ovoid opacity superimposed over the diaphragm on midline that would be compatible with hiatal hernia. There is a more subtle but still suspicious shadow in this area in the lateral view. Interstitial opacity in the perihilar region is increased._x000D_
There is narrowing of intervertebral disc spaces in the caudal thoracic spine.</t>
  </si>
  <si>
    <t>The appearance of the GI tract is unremarkable. There is no foreign body or obstructive pattern. Obstruction at the level of the pylorus cannot be entirely excluded on the basis of survey radiographs but is considered unlikely since this area is fairly well visualized in the VD view and appears normal._x000D_
_x000D_
The liver is smaller than expected, so there is potential for a portosystemic shunt or chronic hepatopathy with fibrosis, but this is unlikely to be responsible for the current clinical signs given the age of the patient._x000D_
_x000D_
There is suspicion of a hiatal hernia. This could be a transient finding secondary to the vomiting, or a primary pathology responsible for the clinical signs. Considering the age of the patient, this is more likely to be a transient secondary problem but this is still speculative._x000D_
_x000D_
Increased opacity in the perihilar region is probably artifactual secondary to the expiratory nature of the lateral abdomen radiograph. Follow up radiographs of the thorax should still be considered if relevant respiratory signs are present.</t>
  </si>
  <si>
    <t>Supportive care and symptomatic therapy for gastroenteritis/pancreatitis is recommended._x000D_
_x000D_
Toxin ingestion or metabolic disease should also be ruled out._x000D_
CBC, serum chemistry including pancakes specific lipase, and urinalysis is recommended._x000D_
Bile acids testing should also be considered to rule out pathologic causes of small liver._x000D_
_x000D_
Depending on clinical signs and suspicion and response to therapy, follow up radiograph of the thorax to reassess the esophagus and rule out a persistent hiatal hernia could be considered.</t>
  </si>
  <si>
    <t>Study:_x000D_
Thoracic/abdominal radiography: three images dated July 25,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stomach contains unstructured heterogeneous/granular soft tissue material presumed to be ingesta. The small intestines are normal in size, course and content. The colon contains a small volume of gas. The liver and spleen are normal in size and margin. The kidneys are normal in size and contour. The urinary bladder is not visualized is likely small/empty. The uterus is not visualized. The osseous structures are unremarkable. The reported mammary mass is visualized along the mid ventral abdomen on both lateral views.</t>
  </si>
  <si>
    <t>1. Normal thorax. There is no radiographic evidence of pulmonary metastatic disease._x000D_
2. Unremarkable abdomen.</t>
  </si>
  <si>
    <t>Consider abdominal sonography for further staging.</t>
  </si>
  <si>
    <t>Three radiographs of the thorax, and four views of the abdomen are provided. The cardiac silhouette and pulmonary vessels are normal size and shape. There are several incidental pulmonary osteomas. No soft tissue pulmonary nodules or pleural effusion. Small volume fluid in the caudal esophagus is transient and incidental._x000D_
_x000D_
In the abdomen small volume of formed feces in the distal colon. The stomach and small bowel are minimally distended. There is scant amorphous soft tissue density in the stomach. Normal-sized liver and kidneys. No radiopaque urolithiasis.</t>
  </si>
  <si>
    <t>Scant soft tissue density in the stomach may be residual ingesta. Foreign material causing gastritis and pyloric outflow obstruction not definitively ruled out and would be suspected if vomiting has persisted. Otherwise normal abdomen and thorax.</t>
  </si>
  <si>
    <t>If vomiting has persisted since these images were obtained, proceeding to gastroscopy would be appropriate. If vomiting has been only occasional/intermittent, a positive contrast gastrogram could be considered to rule out gastric foreign material.</t>
  </si>
  <si>
    <t>Study:_x000D_
Spinal (including the thorax and abdomen) radiography: six images dated July 25, 2024_x000D_
_x000D_
Findings:_x000D_
The dens is intact and well defined. The atlantoaxial joint space is normal. There is mild multifocal thoracolumbar spondylosis deformans. There is no apparent intervertebral disc space or foraminal narrowing. There is no evidence of discospondylitis. There is mild bilateral elbow periarticular bone formation. The included appendicular skeletal structures are otherwise unremarkable. The cervical superficial soft tissues appear unremarkable. There is moderate left ventricular and left atrial enlargement. The pulmonary vasculature is normal in size. The pulmonary parenchyma is unremarkable. The pleural space is normal. There is no intrathoracic lymphadenopathy. The trachea is normal in diameter. The stomach contains unstructured heterogeneous/granular soft tissue material presumed to be ingesta. The small intestines are normal in size, course and content. The colon contains gas with a normal diameter. The liver extends mildly beyond the costal arch with smooth margins. The spleen is normal in size and margin. The kidneys are normal in size and contour. The urinary bladder is normal in size and opacity. There is no prostatomegaly.</t>
  </si>
  <si>
    <t>1. A cause of the neck pain is not evident. Lack of any apparent intervertebral disc space narrowing does not exclude the possibility intervertebral disc disease. Neurology consultation and MRI can be considered for further evaluation if clinical signs persist or worsen in spite of strict activity restriction and pain management._x000D_
2. Moderate left-sided cardiomegaly, indicative of mitral valve disease, without evidence of decompensation. Echocardiography should be considered for further evaluation._x000D_
3. The generalized hepatomegaly is nonspecific. Rule out metabolic/vacuolar hepatopathy, hyperplasia, hepatitis or infiltrative neoplasia. Sonography can be considered for further evaluation._x000D_
4. Mild bilateral elbow osteoarthrosis.</t>
  </si>
  <si>
    <t>3 views of the entire body are presented for review.  The cervical trachea is variable in diameter.  The cardiovascular and pulmonary structures are normal.  The pleural and mediastinal structures are normal.  Abdominal serosal detail is adequate in all quadrants.  The stomach contains a small amount of soft tissue material.  The gastric rugal folds are mildly prominent.  The small intestines are normal in size.  Gas and feces are present in the colon.  The urinary bladder is small.  The remaining abdominal organs are normal.</t>
  </si>
  <si>
    <t>Radiographically normal thorax.  Cervical tracheal narrowing may indicate dynamic tracheal collapse.  Material within the stomach may represent residual ingesta or foreign material.  Consider repeat radiographs following strict fasting to determine if gastric contents persist.  Prominent rugal folds suggestive of gastritis.  This does not rule out underlying pancreatitis, dietary indiscretion, etc.  If clinical signs persist with supportive therapy, abdominal ultrasound could be considered in further evaluation.</t>
  </si>
  <si>
    <t xml:space="preserve">
1.The liver is normal in size and margin._x000D_
2.The stomach is mildly gas and fluid filled with some soft tissue density material. The small bowel is gas and fluid-containing. No obvious obstruction._x000D_
3.Abdominal detail is normal._x000D_
4.Splenic size, shape and margin are normal.</t>
  </si>
  <si>
    <t>Orthogonal views of the thorax and abdomen are provided:_x000D_
_x000D_
Thorax:_x000D_
_x000D_
Cardiac silhouette has a normal shape and size._x000D_
Pulmonary vessels are within normal limits of size and shape._x000D_
Pulmonary parenchyma is within normal limits. _x000D_
There is a small volume of bilateral pleural effusion with visible pleural fissure lines._x000D_
Mediastinum, diaphragm and thoracic wall within normal limits._x000D_
_x000D_
Abdomen:_x000D_
_x000D_
There is abdominal distension due to a moderate volume of free fluid and mottling leading to an almost complete loss of serosal detail._x000D_
The stomach is empty._x000D_
Small intestines are mildly gas and fluid filled, not overtly distended. No signs of mechanical ileus._x000D_
Liver, spleen, kidneys and urinary bladder are poorly distinguished.</t>
  </si>
  <si>
    <t>1) Pleural effusion: rule out pure vs modified transudate vs exudate vs chylothorax. No signs of pulmonary metastases nor signs of thoracic lymphadenopathy._x000D_
2) Large volume of free peritoneal fluid. DDx: transudate vs exudate vs chyloabdomen less likely.</t>
  </si>
  <si>
    <t>Consider CBC and abdominal US with abdominocentesis with fluid analysis to further evaluate causes of free fluid with thoracocentesis with fluid analysis and +/- CT of the thorax.</t>
  </si>
  <si>
    <t xml:space="preserve">
1.On the lateral projection, the liver is mildly enlarged with rounded margins. The ventral abdominal line is pendulous._x000D_
2.Splenic size, shape and margin are normal._x000D_
3.No abnormal AI findings reported._x000D_
4.The GI tract contains regions of gas and fluid but no segmental bowel dilation is noted.</t>
  </si>
  <si>
    <t>3 views of the entire body are presented for review.  The cardiovascular and pulmonary structures are normal.  The pleural and mediastinal structures are normal.  Abdominal serosal detail is adequate in all quadrants.  The stomach contains a moderate amount of soft tissue material.  The small intestines are normal in size.  Gas and feces are present in the colon.  The urinary bladder is small.  The remaining abdominal organs are normal.</t>
  </si>
  <si>
    <t xml:space="preserve">Patient Name : Stella Freeman, Date of study: Jul 25, 2024
6 images are provided for review
There are no previous radiographs for comparison.
Pulmonary parenchyma: A minimal to mild diffuse bronchial pattern is present.  The lungs are hypoinflated.   Retrosternal fat is presumed to superimpose over the right lungs in the ventrodorsal image.  
Pulmonary vasculature: The pulmonary vasculature is subjectively normal in size and tapers in the periphery of the lungs.
Cardiac silhouette: The cardiac silhouette is normal in size and shape.
Mediastinum: The cranial mediastinum is widened in the ventrodorsal image, likely exacerbated on the right due to obliquity.
Trachea: A soft tissue band superimposed over the dorsal aspect of the trachea.  
Esophagus: The esophagus is not well-identified.
Pleural space: The pleural space is normal.
Liver: The gastric axis is in a normal position.  Rounded soft tissue is closely associated with the caudoventral hepatic margin, but may represent the spleen.  
Spleen: The spleen is folded on itself with a rounded medial margin in the ventrodorsal image.  
Kidneys: The right kidneys has mildly undulant caudolateral margin. The left kidney is normal.  
Retroperitoneum: Retroperitoneal detail is adequate.
Urogenital: The urinary bladder is normal in size, homogeneous soft tissue, and smoothly marginated.
Peritoneum: Peritoneal detail is adequate.
Gastrointestinal tract: The stomach contains a moderate gas and soft tissue/fluid or is empty.   The stomach is within normal limits for size.
The small intestine contains mild fluid or is empty with a subjectively uniform population for size. 
The colon contains minimal heterogeneous soft tissue material and gas.  The colon is within normal limits for size.  
Musculoskeletal: The patient is obese.  Spondylosis deformans is present at L4-5 and L7-S1.  The remaining included musculoskeletal structures are normal.
</t>
  </si>
  <si>
    <t xml:space="preserve">1. Possible hepatomegaly versus superimposed spleen.
- if this is the liver, consider vacuolar hepatopathy, nodular hyperplasia, or evolving neoplasia (primary versus metastatic).  
2. Mild splenomegaly and rounded margins or possible mass/
- If present, consider neoplasia such as primary hemangiosarcoma versus other, hematoma, extra-medullary hematopoiesis, or less likely other.
3. Minimal-mild diffuse bronchial pulmonary pattern such as from fibrosis from prior disease, age-related changes, infectious/immune-mediated lower airway disease, inhaled allergen/irritant, or unlikely other.
4. Mild right chronic renal disease and presumed cortical infarcts.
5. Dorsal redundant tracheal membrane with/without underlying dynamic airway disease, versus superimposed normal structures.
6. Obesity.
</t>
  </si>
  <si>
    <t>Consider  routine blood work, urinalysis, SDMA, blood pressure and abdominal ultrasonography for further evaluation of the liver, spleen and kidneys. Coagulation testing and tissue sampling depending on results of ultrasonography. Consider dermatologist consultation for possible otitis versus other.  Empirical therapy and supportive care in the interim as needed.  Monitoring as directed or sooner if clinical signs acutely change, fail to improve or worsen.</t>
  </si>
  <si>
    <t xml:space="preserve">Patient Name : Mars Perez, Date of study: Jul 25, 2024
4 images are provided for review
Canine Abdomen (2 Images) - 2 Lateral
Canine Thorax (2 Images) - 2 Lateral
There are no previous radiographs for comparison.
Bones/Joints:
A dens is present.  There is no evidence of atlantoaxial joint subluxation.
There is no evidence of intervertebral disc space narrowing, or mineral over the intervertebral foramina.  There is no evidence of intervertebral dorsal articulation osteoarthrosis.
Minimal bilateral coxofemoral joint osteoarthrosis is present.  
There is no evidence of medullary sclerosis, osteolysis, endosteal scalloping, or periosteal proliferation.
Soft tissues:  The included soft tissues are normal.
</t>
  </si>
  <si>
    <t xml:space="preserve">1. Minimal bilateral coxofemoral joint osteoarthrosis.
2. No evidence of intervertebral disc disease, vertebral fracture, luxation or aggressive bone lesion.  </t>
  </si>
  <si>
    <t>Consider radiographs focused to the pelvis/pelvic limbs and thoracic limbs over a region of interest for further evaluation.  Orthopedist consultation may be contributory.  Empirical therapy/supportive care in the interim as needed.  Monitoring as directed, or sooner if clinical signs acutely change, fail to improve or worsen.</t>
  </si>
  <si>
    <t>6 images of the thorax and abdomen are provided for review.  The cardiovascular structures are normal.  There is a moderate bronchial pattern in all lung lobes.  The mediastinal and pleural structures are normal.  Abdominal serosal detail is adequate in all quadrants.  The liver margins are rounded and extend mildly beyond the costal arch, causing caudal displacement of the gastric axis.  The stomach contains a small amount of gas.  The small intestines are normal in size.  Gas and feces are present in the colon.  The urinary bladder is small.  The remaining abdominal organs are normal.</t>
  </si>
  <si>
    <t>Mild hepatomegaly=ZZ90= this is a nonspecific finding that may be seen with congestion, vacuolar hepatopathy, inflammation, neoplasia, etc.  Abdominal ultrasound may be helpful in further evaluation if biochemically indicated.  Moderate bronchial pulmonary pattern=ZZ90= consider bronchitis, response to inhaled irritants, response to circulating parasites, eosinophilic bronchopneumopathy.  Airway sampling may be helpful in further evaluation.</t>
  </si>
  <si>
    <t xml:space="preserve">Patient Name : Benzy Bergholm, Date of study: Jul 25, 2024
4 images are provided for review
There are no previous radiographs for comparison.
Liver: The liver is subjectively normal in size.
Spleen: The spleen is normal in size with smooth margins and homogeneous soft tissue.
Kidneys: The left kidney is normal.  The right kidney is obscured without obvious enlargement or mineral.  
Retroperitoneum: Retroperitoneal detail is adequate.
Urogenital: In the caudal abdomen is an ovoid soft tissue structure. Cranial to this, is a second, ovoid soft tissue structure that is partially obscured by intestine in the lateral images, and well-identified in the ventrodorsal image.  The more cranial structure is presumed the urinary bladder. The more caudal structures is presumed the prostate gland.  Spiculated or granular mineral superimposes over the cranioventral margin of the presumed enlarged prostate gland in the lateral images.  The urinary bladder is normal in size, homogeneous soft tissue, and smoothly marginated.
Peritoneum: Peritoneal detail is adequate.
Gastrointestinal tract: The stomach contains a moderate volume of heterogeneous soft tissue material admixed with gas. The stomach is within normal limits for size.
The small intestine contains moderate gas and mild heterogeneous soft tissue with a subjectively uniform population for size. 
The colon contains mild soft tissue material and gas.  The caudal descending colon is subjectively narrowed in a dorsoventral dimension.
Musculoskeletal:  Incidentally, the os penis is suspected to be bipartite with a small separate caudal portion that is smoothly marginated.  L7-S1 spondylosis deformans is present.  Mild to moderate bilateral coxofemoral joint osteoarthrosis is present. The remaining  included musculoskeletal structures are normal.
</t>
  </si>
  <si>
    <t xml:space="preserve">1. Presumed prostatic enlargement and suspected granular/spiculated mineral is suspicious for prostatic carcinoma.
- Given the patient is reportedly intact, prior prostatitis and dystrophic mineral is also possible, but still considered less likely.
2. Suspicious for colonic compression secondary to prostatic enlargement/mass.
3. Gastric material due to recent meal and/or gastritis/delayed emptying, or unlikely other.  
4. Incidental bipartite os penis.
5. Mild-moderate bilateral coxofemroal joint osteoarthrosis, more severe on the right.
</t>
  </si>
  <si>
    <t>Consider abdominal ultrasonography versus computed tomography for further evaluation of the prostate gland/abdomen.  Thoracic computed tomography may also be contributory.  Consider routine blood work and urinalysis if not recently performed. Consider tissue sampling of the prostate gland (traumatic catheterization versus other), or BRAF testing for further evaluation.  Oncologist consultation depending on results.  Empirical therapy and supportive care in the interim as needed.  Monitoring as directed or sooner if clinical signs acutely change, fail to improve or worsen.</t>
  </si>
  <si>
    <t xml:space="preserve">
1.Abdominal detail is normal._x000D_
2.Liver size is normal to upper limits of normal. Liver margin is normal._x000D_
3.Splenic size, shape and margin are normal._x000D_
4.The stomach contains gas and ingesta or prominent rugae. The small bowel is diffusely fluid filled but without segmental small bowel dilation.</t>
  </si>
  <si>
    <t>Study:_x000D_
Thoracic radiography: three images dated July 25, 2024_x000D_
_x000D_
Findings:_x000D_
There is mild left ventricular and left atrial enlargement. The pulmonary vasculature is normal in size. The pulmonary parenchyma is unremarkable. No pulmonary nodules or masses are present. The pleural space is normal. There is no intrathoracic lymphadenopathy. The trachea is normal in diameter. The included abdomen is unremarkable. There is narrowing of the T12-T13 intervertebral disc space. There is mild T12-T13 and L1-L2 spondylosis. There is mild bilateral elbow periarticular new bone formation. _x000D_
_x000D_
A human digit is present in the primary beam on the VD view.</t>
  </si>
  <si>
    <t>1. Mild left sided cardiomegaly, suggestive of mitral valve disease, without evidence of decompensation. Consider echocardiography for further evaluation._x000D_
2. T12-T13 intervertebral disease._x000D_
3. Mild bilateral elbow osteoarthrosis.</t>
  </si>
  <si>
    <t>A definitive cause of the reported lethargy and inappetence is not evident. Abdominal sonography can be considered for further evaluation if the hyporexia persists or worsens.</t>
  </si>
  <si>
    <t xml:space="preserve">Patient Name : Raindrop Reynoso, Date of study: Jul 25, 2024
3 images are provided for review
There are no previous radiographs for comparison.  Cranial abdomen is excluded from the ventrodorsal image.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gas.   The stomach is within normal limits for size.
The small intestine contains moderate gas with a subjectively uniform population for size. 
The colon contains mild to moderate well-defined soft tissue material and gas.  The colon is within normal limits for size.  
Bones/Joints:
The coxofemoral joints have no obvious osteoarthrosis.  There is adequate coverage of the femoral heads by the acetabulums.
The stifles are subjectively normal  on limited evaluation.  
The Included portion of the lumbar spine is normal.
There is no evidence of medullary sclerosis, osteolysis, endosteal scalloping, or periosteal proliferation.
Soft tissues:  The included soft tissues are normal.
</t>
  </si>
  <si>
    <t xml:space="preserve">1. Microhepatia versus artifact from positioning/technique and phase of respiration.
- If present, consider occult portosystemic shunting vessel or microvascular dysplasia or less likely other.
2. No radiopaque urocystoliths are identified.
3. Non-specific gastrointestinal tract appearance such as from variation of normal or unlikely other given reported history.
4. Normal coxofemoral joints.
5.Normal lumbar spine.  </t>
  </si>
  <si>
    <t>Consider routine blood work, urinalysis and urine culture/sensitivity testing as well as coagulation testing.  Consider abdominal ultrasonography for further evaluation of the kidneys and urinary bladder.  Consider cystoscopy depending on results of additional imaging, versus contrast vaginocystourethrography with radiographs and/or computed tomography for further evaluation of the vagnial vault and urethra.  Empirical therapy and supportive care in the interim as needed.  Monitoring with repeat abdominal radiographs if signs fail to improve or worsen in the face of empirical therapy.</t>
  </si>
  <si>
    <t xml:space="preserve">
1.The stomach contains a small amount of gas. The small bowel is diffusely gas- and fluid-filled without segmental small bowel dilation._x000D_
2.Splenic size, shape and margin are normal._x000D_
3.Abdominal detail is normal._x000D_
4.Liver size, shape and margin are normal.</t>
  </si>
  <si>
    <t>ABDOMEN (3 radiographs for review).  Multiple previous examinations are available for comparison, most recently dated 03/05/2024._x000D_
_x000D_
- Peritoneal serosal detail is mildly reduced_x000D_
- The stomach contains a moderate volume of heterogeneous, gas stippled soft tissue opaque material and multiple small mineral opaque foci._x000D_
- The small intestine is mildly diffusely distended with homogenous soft tissue opaque material and gas.  A few segments confer an appearance of mildly thickened walls._x000D_
- The colon contains minimal formed fecal material, gas, has a mildly corrugated appearance and the walls are questionably thickened._x000D_
- The liver, spleen and urinary bladder are normal._x000D_
- The kidneys and caudal thorax are normal._x000D_
- There is mild multifocal spondylosis deformans in the lumbar region._x000D_
- Mild bilateral coxofemoral osteoarthritis.</t>
  </si>
  <si>
    <t>1.  Moderate nonspecific mixed soft tissue and mineral opaque material in the stomach can be a combination of undigested food and/or foreign material from dietary indiscretion. No distinct evidence of pyloric outflow tract obstruction is identified.  Otherwise, the appearance of the small intestine and colon can be compatible with a non-specific generalized functional ileus (e.g. enterocolitis). There is no evidence of small intestinal foreign material or mechanical obstruction. _x000D_
_x000D_
2.  Mild bilateral coxofemoral osteoarthritis._x000D_
_x000D_
3.  Mild multifocal lumbar spondylosis deformans.</t>
  </si>
  <si>
    <t>Consider fasted recheck abdominal radiographs (12-24 hours) to reevaluate the appearance of the material in the stomach over time.  For further assessment of the small intestine and colon, abdominal ultrasonography may be elected.</t>
  </si>
  <si>
    <t>WHOLE-BODY (3 total radiographs for review).  No previous examinations are available for comparison._x000D_
_x000D_
- Numerous variably sized mostly small mineral opaque foci throughout the lungs._x000D_
- Mild diffuse bronchial pulmonary pattern._x000D_
- Cardiac silhouette and pulmonary vasculature are normal._x000D_
- Trachea, pleural space, mediastinum and remaining included intrathoracic structures are unremarkable._x000D_
- Peritoneal serosal detail is mildly reduced in the mid abdomen._x000D_
- The stomach is moderately distended with heterogeneous soft tissue opaque material._x000D_
- The small intestine is moderately homogenously distended with soft tissue opaque material and gas._x000D_
- The cecum and colon are distended with gas and homogenous soft tissue/fluid._x000D_
- The musculoskeletal structures are normal. _x000D_
- The mammary glands are prominent.</t>
  </si>
  <si>
    <t>1.  Mild diffuse bronchial pattern and numerous small mineralized foci throughout the lungs may support chronic lower airway disease such as bronchitis, which could have an infectious, allergic, immune mediated or inhaled irritant underlying component.  This seems to be the most likely cause of the reported wheezing.  If clinically indicated, you may consider treating the patient for lower airway disease and considering a thoracic CT, lower airway sampling and internal medicine consultation for further evaluation._x000D_
_x000D_
2. The appearance the small intestine and colon can be compatible with a non-specific generalized functional ileus (e.g. enterocolitis). There is no evidence of small intestinal foreign material or mechanical obstruction. If clinically indicated, abdominal ultrasonography might be considered._x000D_
_x000D_
3.  Moderate nonspecific gastric undigested food and/or foreign material.  If clinically indicated, fasted recheck abdominal radiographs may provide further clarification on progression of material in the stomach.</t>
  </si>
  <si>
    <t xml:space="preserve">Patient Name : Sandra Furr, Date of study: Jul 25, 2024
3 images are provided for review
There are no previous radiographs for comparison.
Pulmonary parenchyma:  An ill-defined ovoid soft tissue focus over the left 7th intercostal space in the ventrodorsal image is not corroborated in the right lateral image.  A mild diffuse bronchial and minimal to mild diffuse interstitial pattern are present.  The lungs are hypoinflated moderately in all images. 
Pulmonary vasculature: The pulmonary vasculature is subjectively normal in size and tapers in the periphery of the lungs.
Cardiac silhouette: The cardiac silhouette is enlarged and tall, occupying greater than 2/3 the height of the thorax.  The trachea is dorsally displaced. The caudodorsal margin of the cardiac silhouette is flattened or enlarged.  Rounded increased soft tissue is in the region of the left atrium in the ventrodorsal image.  The cardiac silhouette is widened and occupies the width of 3.5-4 intercostal spaces. 
Mediastinum: The cranial mediastinum is normal.
Trachea: The trachea is normal.
Esophagus: The esophagus is not well-identified.
Pleural space: A thin pleural fissure line between the right middle/caudal lung in the ventrodorsal image does not widen in the periphery.
Musculoskeletal: Moderate osteoarthrosis of at least one shoulder joint is present.  Few small soft tissue nodules in the dorsal extra-thoracic soft tissues.  The remaining included musculoskeletal structures are normal.
</t>
  </si>
  <si>
    <t xml:space="preserve">1.  Opacity over the left caudal lung in the ventrodorsal image due to superimposed normal structures/end-on-vessel, superimposed extra-thoracic soft tissue nodule, or less likely pulmonary soft tissue nodule such as from metastatic neoplasia.
2. Moderate left-sided and suspected right-sided cardiomegaly such as from myxomatous mitral valvular disease and insufficiency with/without tricuspid valvular disease or cor pulmonale/pulmonary hypertension, or unlikely other.
3. Mild diffuse bronchial and minimal to mild interstitial pulmonary patterns due to fibrosis from prior disease, age-related changes, infectious/immune-mediated lower airway disease or unlikely other.
4.  Thin pleural fissure due to tangential beam artifact or pleural thickening/folding, or unlikely evolving pleural fluid.
5. Unilateral shoulder osteoarthrosis.  
</t>
  </si>
  <si>
    <t>Echocardiography, ECG and blood pressure for further evaluation.  Routine blood work and urinalysis if not recently performed.  Consider computed tomography of the thorax/abdomen and pelvic canal/perineum for further evaluation and pre-surgical planning of reported anal sac gland mass and a more sensitive evaluation of the thorax for occult metastatic disease.  Consider respiratory PCR panel, airway sampling and fecal analysis/deworming for further evaluation of the lower airways if clinically indicated.  Empirical therapy and supportive care in the interim as needed.  Monitoring as directed or sooner if clinical signs acutely change, fail to improve or worsen.</t>
  </si>
  <si>
    <t xml:space="preserve">
1.The caudoventral margin of the liver is enlarged and rounded._x000D_
2.The abdomen is pendulous._x000D_
3.The overall peritoneal serosal detail is mildly reduced._x000D_
4.The spleen has a slightly rounded, well-defined margin, and is normal in overall size._x000D_
5.The small bowel is diffusely gas- and fluid-filled without segmental small bowel dilation._x000D_
6.The stomach contains granular food material, with a moderately caudally displaced axis.</t>
  </si>
  <si>
    <t>Orthogonal views of the thorax and abdomen are provided for interpretation._x000D_
_x000D_
The cardiovascular structures are within normal limits. Bronchial markings in the lungs are mildly increased but within the limits of what might be expected for age and breed. No thoracic lymphadenopathy or pleural abnormalities are seen._x000D_
_x000D_
The liver is small for patient size. There is a moderate increase in gastrointestinal gas, and the stomach is mildly dilated with gas and normal appearing soft tissue dense ingesta. There are a few loops of small intestine that are mildly gas dilated. There are two moderately gas dilated loops in the caudal abdomen that are suspicious for abnormally distended small intestine but might actually represent colon, since only the distal half of the colon is visible filled with feces. The other abdominal organs are within normal limits. No mass lesions or loss of detail are seen._x000D_
_x000D_
T13 is a transitional vertebra, with ribs arising from the transverse processes. Only six lumbar vertebrae are present. There is moderate narrowing of the disc spaces from L2 to L4. L3-L4 has moderate spondylosis. There is mild lumbosacral spondylosis. No destructive or productive bone lesions are seen. There is mild chronic remodeling involving both femoral heads.</t>
  </si>
  <si>
    <t>There is disc space narrowing in the mid lumbar spine that would be compatible with disc degeneration. Intervertebral disc disease is a potential explanation for the presenting complaint. Other soft tissue pathology not visible in the radiographs that could affect the spinal cord including neoplastic or inflammatory disease should still be ruled out. There is mild osteoarthritis involving both hips, but this may be incidental to the current presenting complaint._x000D_
_x000D_
The liver is smaller than expected for patient size. This is sometimes seen as an incidental finding a small breed but could also be the result of a shunting defect or less likely chronic hepatopathy with cirrhosis. Relevance to the current clinical signs is limited considering the age of the patient._x000D_
_x000D_
There are some gas dilated intestinal loops in the caudal abdomen that are suspicious for a small intestinal obstructive pattern. However, considering the lack of clinical signs referable to intestinal obstruction this is more likely an artifact associated with colon location. Further investigation would be warranted if abdominal pain or other signs concerning for small bowel obstruction appear.</t>
  </si>
  <si>
    <t>Medical management for suspected lumbar intervertebral disc disease is recommended. More advanced imaging such as MRI should be considered if clinical signs worsen or do not improve._x000D_
_x000D_
Bile acids testing should be considered to rule out pathologic causes of small liver.</t>
  </si>
  <si>
    <t>6 views of the thorax and abdomen are submitted for review.  The stomach contains a moderate amount of heterogeneous soft tissue opacity ingesta.  The small bowel is normal and uniform in diameter.  A moderate amount of stool is noted throughout the colon.  The liver and spleen are normal in size, shape, and margination.  The bilateral renal silhouettes are within normal limits.  The urinary bladder is unremarkable.  Serosal detail is normal._x000D_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No significant osseous abnormalities are seen.</t>
  </si>
  <si>
    <t>The material in stomach is nonspecific but could be consistent with food.  Amorphous radiolucent foreign material cannot be definitively excluded but no evidence of mechanical obstruction of the GI tract is seen.  Otherwise, radiographically normal thorax and abdomen.</t>
  </si>
  <si>
    <t>Symptomatic/supportive medical management may be helpful.  Correlation with blood work could be considered.</t>
  </si>
  <si>
    <t>Study:_x000D_
Thoracic/abdominal radiography: three images dated July 23, 2024_x000D_
_x000D_
Findings:_x000D_
There is mild dorsal bulging of the left atrium/training the caudal cardiac waist. The pulmonary vasculature is normal in size. The pulmonary parenchyma is unremarkable. The pleural space is normal. There is no intrathoracic lymphadenopathy. The trachea is normal in diameter. The stomach contains unstructured heterogeneous soft tissue material presumed to be ingesta. The small intestines are normal in size, course and content. The colon contains formed fecal material. The liver extends mildly beyond the costal arch with smooth margins. The spleen is normal in size and margin. The renal silhouettes are normal in size and contour. The urinary bladder is normal in size and opacity. There is narrowing of the L2-L3 through L5-L6 intervertebral disc spaces with mild spondylosis deformans.</t>
  </si>
  <si>
    <t>1. Mild specific left atrial enlargement, suggestive of mitral valve disease, without evidence of decompensation. Echocardiography should be considered for further evaluation._x000D_
2. The generalized hepatomegaly is nonspecific. Rule out metabolic/vacuolar hepatopathy, hyperplasia, hepatitis or infiltrative neoplasia. Sonography can be considered for further evaluation._x000D_
3. Multifocal lumbar intervertebral disc disease.</t>
  </si>
  <si>
    <t xml:space="preserve">Patient Name: Susan Cowan, Date of study: Jul 25, 2024
3 images are provided for review
Canine Abdomen (3 Images) - 2 Lateral, 1 VD
There are no previous radiographs for comparison.
Abdomen:
Liver: The liver margin is smooth. Liver size is at the upper limits of normal. 
Spleen: Normal
Kidneys: Normal
GIL The stomach is empty. The descending duodenum is gas distended with a rigid appearance and the proximal portion of the descending duodenum is axially displaced with an increase in soft tissue opacity lateral to the duodenum. The remainder of the small bowel is diffusely gas filled with a rigid appearance but no evidence of segmental bowel dilation. The colon contains a small quantity of gas with a rigid appearance to the descending colon. 
Mesentery: On the VD projection, a round soft tissue opacity is noted in the region of the cecum, right lateral to the L2-3 vertebrae. Cranial abdominal detail is mildly decreased. No free abdominal air is noted.
Caudal thorax: The CVC is small.
Msk: The T-L disc spaces are narrowed. No endplate or vertebral lysis is noted. </t>
  </si>
  <si>
    <t xml:space="preserve">1) Gastritis, colitis and pancreatitis is the primary consideration. 
2) Soft tissue opacity in the right mid-abdomen. Fluid filled cecum suspected. A small right kidney is not suspected based on the lateral projections.
3) Dehydration or less likely, hypovolemia.
4) T-L disc space narrowing of unknown significant in a young dog. </t>
  </si>
  <si>
    <t xml:space="preserve">Supportive care for dehydration. Abdominal ultrasound for further evaluation. Abdominal fluid collection if a fluid pocket can be identified and safely sampled. </t>
  </si>
  <si>
    <t xml:space="preserve">
1.The small bowel is diffusely fluid distended with a mild disparity in small bowel diameter._x000D_
2.Portions of the colon are gas filled and have a rigid appearance._x000D_
3.The pyloroduodenal is widened and the proximal duodenum contains a mild amount of air._x000D_
4.The gastric lumen contains a mild amount of soft tissue and gas opacity._x000D_
5.The gastric rugae are prominent._x000D_
6.No abnormal AI findings reported._x000D_
7.The liver and spleen are normal._x000D_
8.There is a focal loss of serosal detail in the cranial abdomen on the VD projection.</t>
  </si>
  <si>
    <t>Study:_x000D_
Abdominal radiography: four images dated July 25, 2024_x000D_
_x000D_
Compared to prior study dated July 24, 2024_x000D_
_x000D_
Findings:_x000D_
On the right lateral projection, there is an indistinct round soft tissue opacity in the pyloric region the pylorus. This finding is not repeatable on any of the additional projections and the pylorus is appropriately gas-filled on the left lateral image. Some small intestinal segments contain a small amount of granular soft tissue material. The small intestines are normal in size and course. In the distal descending colon, there is structured soft tissue material containing striated gas and a small mineral opacity. The colon also contains formed fecal material. The liver and spleen are normal in size and margin. The renal silhouettes are normal in size and contour. The urinary bladder is mildly distended, likely secondary conscious retention. The included thorax is unremarkable. No skeletal abnormalities are present.</t>
  </si>
  <si>
    <t>1. The round soft tissue opacity in the pylorus on the right lateral projection is of unknown clinical significance. This opacity does not appear similar to the material in the stomach in the prior examination but could represent food, foreign material or a superimposition artifact. It is unlikely that this is causing a pyloric outflow obstruction._x000D_
2. The structured soft tissue material containing striated gas in the descending colon has the appearance of foreign material (consistent with the patient=ZZ91=s recent defecation history post x-rays)._x000D_
3. There is no evidence of small intestinal mechanical obstruction.</t>
  </si>
  <si>
    <t>Abdominal sonography should be considered for further evaluation if the patient=ZZ91=s clinical signs persist or worsen in spite of ongoing medical management.</t>
  </si>
  <si>
    <t>A lateral thoracoabdominal view and nine radiographs of the lumbar spine including the abdomen, the pelvis, and the hind limbs dated 7-25-24 and a previous orthogonal abdomen study that includes the lumbar spine and most of the pelvis dated 2-20-24 are provided for interpretation and comparison. There are 12 images total._x000D_
_x000D_
There is moderate narrowing of the T10-T11 intervertebral disc space. This is commonly seen as a benign variant an incidental finding, so clinical significance may be limited. The L4-L5 and L5-L6 intervertebral disc spaces appear slightly narrowed. The appearance is similar to the previous radiographs. No destructive endplate lesions are identified. No spinal subluxation or sublumbar mass effect is seen._x000D_
The pelvis and both hip joints are within normal limits. There is a small irregular mineral opacity just medial to the right greater trochanter, which would be compatible with a small avulsion fragment associated with the iliopsoas tendon insertion in this area._x000D_
The stifle and tarsal joints appear normal in both limbs._x000D_
_x000D_
The right kidney is small, with multiple small calculi and mineralization in the pelvis. The other abdominal organs are within normal limits. No mass effect or loss of detail are seen._x000D_
_x000D_
The cardiopulmonary structures are within normal limits.</t>
  </si>
  <si>
    <t>Slight disc space narrowing is seen, the clinical significance of which is unknown. Disc degeneration is possible, but the radiographic appearance is subtle enough as to potentially be incidental and possibly probably artifactual. Clinical disc disease could still be present, but more advanced imaging such as MRI would be necessary for more definitive evaluation. Other soft tissue pathology not visible in the radiographs should still be ruled out._x000D_
_x000D_
The opacity seen medial to the right greater trochanter is probably associated with iliopsoas tendon insertion pathology, but is probably incidental at this time unless right hind limb lameness is present. This finding is incidental in most cases._x000D_
_x000D_
No thoracic abnormalities are identified._x000D_
There is moderate right kidney enough for calcinosis and the small appearance of the kidney would be compatible with atrophy secondary to chronic degenerative change.</t>
  </si>
  <si>
    <t>The radiographic changes are minimal with regard to the presenting complaint._x000D_
Symptomatic therapy is recommended as needed._x000D_
Temporary activity restriction for possible soft tissue injury or inflammation is suggested._x000D_
Depending on the severity of clinical signs, more advanced imaging such as MRI may be indicated if clinical signs do not improve with conservative management.</t>
  </si>
  <si>
    <t>Seven radiographs of the thorax and abdomen are provided. Images dated 3/15/23 are available for comparison. The cardiac silhouette is normal size and shape. There are mild age-related changes in the lungs. No soft tissue pulmonary nodules or pleural effusion. Normal cranial mediastinal width._x000D_
_x000D_
In the abdomen there is no effusion. Gas and small volume amorphous soft tissue density in the stomach. Small bowel are minimally distended with fluid and scant gas. Small volume semi-formed feces in the distal colon. No radiopaque cystic calculi. Mild narrowed L1-2 intervertebral disc space, of doubtful clinical significance today. The coxofemoral joints are congruent.</t>
  </si>
  <si>
    <t>A small amount of soft tissue density in the stomach is unexpected with the history, and may represent residual ingesta. Foreign material is not definitively ruled out but given lesser consideration in the absence of persistent vomiting. Otherwise normal abdomen and thorax.</t>
  </si>
  <si>
    <t>Recommend supportive care and repeat abdominal radiographs following a confirmed fast +/- positive contrast gastrogram to rule out gastric foreign material.</t>
  </si>
  <si>
    <t>Three radiographs of the thorax, orthogonal views of the abdomen, VD pelvis, and lateral view of each stifle are provided. The cardiac silhouette and pulmonary vessels are normal size and shape. There are no abnormalities in the pulmonary parenchyma or pleural space. No enlarged intrathoracic lymph nodes. Small round increased opacity in the right 3rd and 5th intercostal spaces is costochondral junction and end-on pulmonary vessel. Tracheal diameter is adequate. Normal proximal thoracic limbs._x000D_
_x000D_
In the abdomen there is no effusion or organomegaly. Formed feces fills the colon. The stomach and small bowel are minimally filled. Punctate mineral densities in the stomach are likely incidental. No radiopaque cystic calculi. Normal lumbar spine. There is mild degenerative change in both coxofemoral joints. Pelvic limb musculature is possibly reduced on the right side versus difference in positioning between the two limbs on the craniocaudal projection. Soft tissue evaluation is limited by high technique. Well delineated triangular soft tissue density in the cranial aspect of both stifle joint is normal meniscal/synovial tissue. No osseous lysis or periosteal proliferation.</t>
  </si>
  <si>
    <t>1. Bilateral mild coxofemoral osteoarthritis. This is the most likely cause for the clinical signs. No other pelvic limb abnormalities._x000D_
2. Normal thorax and abdomen.</t>
  </si>
  <si>
    <t>Abdomen: There is a mild amount of heterogeneous soft tissue opacity within the gastric lumen.  There is no evidence of overt distention of the stomach.  There is no evidence of a small intestinal foreign body or obstruction.  The liver is considered on the lower limits of normal for size.  The spleen is unremarkable.  There are no abnormalities involving the visible portions of the urinary tract.  Serosal detail is normal.</t>
  </si>
  <si>
    <t>Mild amount of heterogeneous soft tissue opacity within the gastric lumen.  This may represent normal ingesta or possible foreign material._x000D_
_x000D_
Mild microhepatica most likely variation of normal.</t>
  </si>
  <si>
    <t xml:space="preserve">
1.No abnormal AI findings reported._x000D_
2.The pyloroduodenal is widened and the proximal duodenum contains a mild amount of air._x000D_
3.The gastric rugae are mildly prominent on the VD projection._x000D_
4.The small intestine is of uniform population size and is diffusely of soft tissue opacity with minimal gas opacity._x000D_
5.No mechanical ileus is visualized._x000D_
6.A portion of the colon is gas filled and has a rigid and/or corrugated appearance on the lateral projection._x000D_
7.The liver and spleen are normal._x000D_
8.There is a focal decrease of serosal detail in the cranial abdomen, caudal to the stomach, on the lateral projection.</t>
  </si>
  <si>
    <t>ABDOMEN (2 radiographs for review). _x000D_
_x000D_
- Peritoneal serosal detail is normal._x000D_
- The stomach contains mild gas and gas stippled soft tissue opaque material._x000D_
- The small intestine is nondistended and contains mild multifocal gas and soft tissue opaque material._x000D_
- The colon contains minimal formed fecal material and gas._x000D_
- The liver, spleen, kidneys, urinary bladder and remaining abdominal structures are normal._x000D_
- The caudal thorax is unremarkable._x000D_
- The included musculoskeletal structures are normal.</t>
  </si>
  <si>
    <t>1.  There is mild nonspecific undigested gastric and small intestinal food and/or foreign material, without mechanical obstruction.  Otherwise, the appearance of the stomach, small intestine and colon can be compatible with a non-specific generalized functional ileus (e.g. gastroenterocolitis). If clinically indicated (such as if the patient does not improve or worsens despite medical management), abdominal ultrasonography might be considered.</t>
  </si>
  <si>
    <t xml:space="preserve">
1.There is a mildly reduced cranial abdominal serosal detail._x000D_
2.The liver is normal in shape, size and opacity._x000D_
3.The spleen is visible and within normal limits._x000D_
4.The stomach has a normal axis, with subjectively thickened mucosal folding._x000D_
5.The small intestines are mildly dilated with a mixture of gas and fluid, and have a mild turgid appearance._x000D_
6.The ascending, transverse and descending colon contain gradually more formed faeces.</t>
  </si>
  <si>
    <t>Study:_x000D_
Abdominal radiography: right lateral and orthogonal views (two images) June 24, 2024_x000D_
_x000D_
Findings:_x000D_
The abdominal serosal detail is adequate. The stomach contains a small volume of gas. The thickness of the gastric wall is within normal limits for the degree of gastric distention. The small intestines are normal in size, course and content. The colon contains gas and a small amount of poorly formed fecal material. The liver and spleen are normal in size and margin. The renal silhouettes are normal in size and contour. There are indistinct mineral opacities caudal to each kidney. The urinary bladder is not clearly visualized and is likely small/empty. The included thorax is normal. No skeletal abnormalities are present.</t>
  </si>
  <si>
    <t>The indistinct mineral opacities caudal to each kidney may represent suture granulomas from prior ovariohysterectomy. Ureteroliths are considered less likely. The abdomen is otherwise unremarkable. There is no radiographic evidence of gastrointestinal foreign material or small intestinal mechanical obstruction. Abdominal sonography can be considered for further evaluation if clinical signs persist or worsen in spite of medical management.</t>
  </si>
  <si>
    <t>7 images of the thorax, abdomen, pelvis, and pelvic limbs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ingesta.  The small intestines are normal in size.  Gas and feces are present in the colon.  The urinary bladder is small.  The remaining abdominal organs are normal.  The coxofemoral joints are congruent.  No fractures or aggressive osseous lesions are seen.  The joint surfaces are smooth and regular.  Mild soft tissue is present in the left stifle joint.  Spinal alignment is normal with no consistently narrowed intervertebral disc spaces.</t>
  </si>
  <si>
    <t>Radiographically normal abdomen.  Radiographically normal thorax for patient of this age.  Unremarkable spine and pelvis.  Mild left stifle effusion suggestive of soft tissue injury such as to the cranial cruciate ligament or meniscus.</t>
  </si>
  <si>
    <t>Consider supportive therapy versus surgical consultation.  Consider also ruling out canine cognitive dysfunction as a potential cause of the reported clinical signs.</t>
  </si>
  <si>
    <t xml:space="preserve">
1.The liver and spleen are within normal limits for size, with smooth margins._x000D_
2.No abnormal AI findings reported._x000D_
3.No abnormal AI findings reported._x000D_
4.The stomach is partially distended with gas, some fluid and some soft tissue opaque debris._x000D_
5.The small intestine is normal in diameter. No obvious signs of obstruction.</t>
  </si>
  <si>
    <t>Study:_x000D_
Thoracic and radiography: four images dated July 27,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stomach and some small intestinal segments contain granular soft tissue material presumed to be ingesta. The small intestines are normal in size and course. The colon contains formed fecal material with a normal diameter. The liver and spleen are normal in size and margin. The renal silhouettes are poorly visualized due to visceral crowding. There is no overt renomegaly. The urinary bladder is normal in size and opacity. There is no prostatomegaly. There is mild to moderate multifocal thoracolumbar spondylosis deformans.</t>
  </si>
  <si>
    <t>1. Postprandial gastrointestinal tract=ZZ90= otherwise, unremarkable abdomen. A cause of weight loss is not evident. Consider abdominal sonography and a G.I. panel for further evaluation._x000D_
2. Normal thorax. There is no radiographic evidence of cardiopulmonary disease or intrathoracic neoplasia.</t>
  </si>
  <si>
    <t>Study:_x000D_
Abdominal radiography: four images dated July 24, 2024_x000D_
_x000D_
Findings:_x000D_
The stomach contains a small amount of heterogeneous soft tissue material with multiple small interspersed linear mineral opacities. A similar mineral opacities present in a small intestinal segment in the midabdomen The small intestines are otherwise normal in size, course and content. The colon contains poorly formed fecal material with a normal diameter. The liver and spleen are normal in size and margin. The renal silhouettes are normal in size and contour. The urinary bladder is normal in size and opacity. There is no prostatomegaly. The included thorax is normal. The osseous structures are age appropriate.</t>
  </si>
  <si>
    <t>The unstructured heterogeneous soft tissue material in the stomach likely represents ingesta. Foreign material cannot be completely exceeded. The mineral opacities seen in the gastrointestinal tract likely represent bone fragments given the patient=ZZ91=s dietary history. There is no evidence of small intestinal mechanical obstruction. Abdominal sonography should be considered for further evaluation of the reported hematochezia persists or worsens in spite of ongoing medical management.</t>
  </si>
  <si>
    <t>Thorax: The pulmonary parenchyma, cardiac silhouette, and pulmonary vasculature are unremarkable.  There is no evidence of pleural effusion or lymphadenopathy.  On the visible portions of the abdomen there appears to be enlargement of the caudal ventral margins of the liver however this most likely represents summation with the tail of the spleen.  Several segments of small intestine appear to have diffuse wall thickening.  There are no significant abnormalities involving the visible portions of the skeleton.</t>
  </si>
  <si>
    <t>Unremarkable thorax._x000D_
_x000D_
Possible diffuse small intestinal wall thickening.  This is not a definitive finding on survey radiography.  Differential considerations include artifactual, variation of normal, enteritis, or IBD.</t>
  </si>
  <si>
    <t xml:space="preserve">
1.The stomach contains small volume gas and scant soft tissue density. The small bowel is diffusely gas- and fluid-filled without segmental small bowel dilation._x000D_
2.Splenic size, shape and margin are normal._x000D_
3.Abdominal detail is normal._x000D_
4.The liver is mild to moderately enlarged.</t>
  </si>
  <si>
    <t>Four radiographs of the thorax/abdomen are provided. Images dated 3/29/22 were reviewed for comparison. The cardiac silhouette and pulmonary vessels are normal size and shape. There is new development of a round smoothly marginated 2.7 cm soft tissue opaque mass in the caudal lungs, on midline and extending slightly to the right of midline on the VD view. The mass overlies and extends dorsal to the caudal vena cava on the lateral views. No other pulmonary nodules or masses. There is no pleural effusion. Fat deposition is seen along the left-sided the heart on the VD projection. Mild narrowed cervical trachea on the right lateral projection, of doubtful clinical significance today. In the abdomen the liver is upper normal size. Normal size spleen and left kidney. The right kidney is obscured. The gastrointestinal tract and urinary bladder are minimally filled. No osseous abnormalities.</t>
  </si>
  <si>
    <t>1. Solitary pulmonary mass in the caudal lungs. This most likely originates from the right caudal or accessory lung lobe. Primary pulmonary neoplasia is most likely. Metastatic disease from a distant site is next on the differential list. No other thoracic abnormalities._x000D_
2. Normal abdomen.</t>
  </si>
  <si>
    <t>If a definitive diagnosis is desired for type of neoplasia and no external or intraoral lesions are identified that could be a primary lesion, abdominal ultrasound could be considered in an effort to locate a primary lesion for guided sampling purposes. Unfortunately, the thoracic mass is not adjacent to the thoracic wall and would not be visible with ultrasound for guided sampling purposes.</t>
  </si>
  <si>
    <t>Five radiographs of the thorax and abdomen are provided. Cervical vertebral alignment is normal. There are no definitive narrowed cervical intervertebral disc spaces. Normal proximal thoracic limbs. Tracheal diameter and position is normal. The cardiac silhouette is normal size. The lungs are clear. No pleural effusion. In the abdomen the liver is upper normal size with smooth margins. Normal-sized spleen and kidneys. Small volume stippled soft tissue density and punctate mineral densities in the stomach. Small bowel are mildly filled with similar material. Formed feces in the distal colon. No radiopaque cystic calculi. Normal lumbar spine and coxofemoral joints.
(amended on 07/24/2024 14:00)
Correction- There is prominence of the left atrium on the VD views. This is consistent with acquired mitral valve disease, however is of doubtful clinical significance at this time.</t>
  </si>
  <si>
    <t>Normal thorax and abdomen. A reason for discomfort is not identified. Non-mineralized intervertebral disc lesion remains possible. Gastric contents is unexpected with the history of fasting, however does appear to be residual ingesta. If the patient has not been vomiting, this is incidental.</t>
  </si>
  <si>
    <t>Recommend routine blood work and urinalysis.</t>
  </si>
  <si>
    <t>Three radiographs of the abdomen are provided. The liver is prominent with smooth margins. Normal-sized spleen and kidneys. Moderate volume soft tissue opaque ingesta in the stomach. Small bowel are mildly filled. Formed feces fills the distal colon. The urinary bladder is moderately distended and there are several punctate cystic calculi. The prostate is mildly enlarged, consistent with the reproductive status of this patient. The L1-2 intervertebral foramen is slightly reduced in size, of doubtful significance today. Normal caudal thorax.</t>
  </si>
  <si>
    <t>1. Prominent liver, a nonspecific finding that is most likely normal variant or steroid or other hepatopathy. Acute hepatic inflammation or neoplasia are given lesser consideration. This should be correlated with history and blood work._x000D_
2. Punctate cystic calculi, of a size that should be able to pass the urethra.</t>
  </si>
  <si>
    <t>Ultrasound evaluation of the liver and adrenal glands could be considered.</t>
  </si>
  <si>
    <t xml:space="preserve">
1.Splenic size, shape and margin are normal._x000D_
2.Mild to moderate hepatomegaly with smooth margins is likely present on the lateral projection._x000D_
3.Abdominal detail is satisfactory._x000D_
4.The ventral abdominal line is likely pendulous._x000D_
5.In most cases, there is a small quantity of ingesta in the stomach and the pylorus is caudally displaced by the hepatomegaly. Infrequently, the stomach is ingesta distended and overlying the liver creating the appearance of hepatomegaly._x000D_
6.No small intestinal obstruction is noted.</t>
  </si>
  <si>
    <t>Six radiographs of the abdomen and pelvis are provided. The urinary bladder is mildly distended and soft tissue opaque. There are a few punctate mineral densities overlying the cranial urinary bladder on the lateral views, however there is also superimposed feces at this level. Punctate increased opacity overlying the urinary bladder on the VD projections may represent superimposed nipple. There is a spiculated 1.0 cm mineral density overlying the plane of the urethra immediately caudal to the pelvis on the lateral view, not definitively seen on the VD projection. The remaining plane of the urethra is unremarkable. Formed feces filled the descending colon. Curved soft tissue opacity caudal to the urinary bladder on the lateral views may represent the prostate versus normal musculature. If this is the prostate, is not significantly enlarged. There is no effusion. Small bowel are mildly filled. Moderate volume kibble-like soft tissue density fills the stomach. Normal-sized liver, spleen. The kidneys are obscured. Normal coxofemoral joints.</t>
  </si>
  <si>
    <t>Urethral calculus caudal to the pelvis, of a size that may not be able to pass successfully. Possible sand-like cystic calculi. Cystitis and urethritis are likely. Partial urethral obstruction may be present. There is no severe urinary bladder distention to suggest complete obstruction. No other abdominal abnormalities.</t>
  </si>
  <si>
    <t>Recommend urohydropulsion.</t>
  </si>
  <si>
    <t>Opposite lateral and VD views of the thorax and abdomen are provided for interpretation. Previous thoracic radiographs dated one-6-23 are compared._x000D_
_x000D_
There is a mild diffuse bronchial pattern which is improved relative to the previous radiographs. There is moderate mineralization in the lungs, and which was also seen previously. This is most prominent involving the left cranial lobe. There is increased interstitial opacity and bronchial markings in the cranial subsegment of the left cranial lobe, although this appearance is also improved relative to the previous study. There is a mild leftward mediastinal shift suggesting there is mild volume loss associated with the abnormal left cranial lobe segment. The cardiovascular structures are within normal limits. No tracheal or esophageal abnormalities are identified._x000D_
_x000D_
The abdominal organs are within normal size and shape limits. No mass effect is seen in the abdomen. The appearance of the gastrointestinal tract is unremarkable. Serosal detail in the abdomen is normal._x000D_
_x000D_
The T10-T11 able disc space is moderately narrowed. T11-T12 is mildly narrowed. No destructive or productive bone lesions are seen.</t>
  </si>
  <si>
    <t>No significant abdominal abnormalities are identified._x000D_
_x000D_
There is some to space narrowing in the caudal thoracic spine. Disc degeneration might account for the sensitivity on palpation of this area, but there is no evidence of discospondylitis or other associated pathology that might account for the presenting complaint._x000D_
_x000D_
The pulmonary changes are improved relative to the previous study, so relevance to the current clinical presentation is unknown._x000D_
_x000D_
The left cranial lobe changes are suspected to be mostly the result of permanent scarring from a previous insult. Mild recurrence of the previous bronchopneumonia cannot be excluded.</t>
  </si>
  <si>
    <t>Considering the mild leukocytosis in the changes in the left cranial lobe as the only significant anatomic abnormality, empiric antibiotic therapy is suggested.</t>
  </si>
  <si>
    <t>Opposite lateral and VD abdomen views are provided._x000D_
_x000D_
There is a mineral opacity superimposed over the bladder in the left lateral views but in the right lateral and VD views this appears to be near the bladder on the left side but not within the bladder. The bladder is not distended. No cystic calculi or urethral abnormalities are identified. There is another partially mineralized nodular structure in the right mid dorsal abdomen. The appearance of both of these opacities is consistent with benign mineralized granuloma, considered an incidental finding of no significance._x000D_
There is mild mineralization within the center of both kidneys. The left kidney is small, but still has normal shape and margination. The spleen is prominent, but suspected to still be within normal limits and more prominent due to positioning. The spleen margins are smooth. The other organs are unremarkable._x000D_
There is moderate to severe disc space narrowing and spondylosis deformans involving the lumbosacral joint.</t>
  </si>
  <si>
    <t>No cystic calculi are identified. The appearance of the bladder is normal._x000D_
The left kidney is small, likely the result of chronic generalized nephrosis and abiotrophy._x000D_
Mild mineralization is suspected in both kidneys, which could be associated with crystalluria._x000D_
_x000D_
Disc degeneration at the lumbosacral junction is likely present.</t>
  </si>
  <si>
    <t>Urinalysis and culture is recommended. Medical management for the transient urethral obstruction is recommended.</t>
  </si>
  <si>
    <t xml:space="preserve">
1.No abnormal AI findings reported._x000D_
2.No abnormal AI findings reported._x000D_
3.Borderline enlarged spleen._x000D_
4.The stomach and intestinal tract appear within normal limits.</t>
  </si>
  <si>
    <t>The AI result for this case is most compelling for: mild hepatomegaly: This is nonspecific, with etiologies including steroid hepatopathy, endocrine (diabetes mellitus, Cushings), infectious-inflammatory (hepatitis-viral-parasitic), hemodynamic (right heart failure), and infiltrative origins (nodular hyperplasia-round cell infiltration-lymphoma-adenoma-adenocarcinoma). Borderline splenomaegaly is nonspecific and could be positional or induced by sedation. Less likely considerations include lymphoid hyperplasia, extramedullary hematopoiesis or infiltrative neoplasia.</t>
  </si>
  <si>
    <t xml:space="preserve">
Virtual Radiologist Case Difficulty: MODERATE_x000D_
Virtual Radiologist Confidence: MODERATE_x000D_
Supportive care and blood work, if not already performed. Abdominal ultrasound could also be considered for further evaluation.</t>
  </si>
  <si>
    <t>Orthogonal radiographs of the thorax, and three views of the abdomen are provided. The heart and pulmonary vessels are normal size and shape. Round soft tissue density ventral to the tracheal bifurcation is end-on pulmonary vessel. There are no abnormalities in the pulmonary parenchyma or pleural space. The trachea is normal diameter._x000D_
_x000D_
In the abdomen serosal detail is adequate. Small volume gas in the stomach. Small and large bowel are minimally filled. The cecum is gas dilated. Punctate mineral density overlying the stomach on the left lateral view is not seen on the other projections and is likely artifact. The liver, spleen, and left kidney are normal size. The right kidney is obscured. No radiopaque urolithiasis. Osseous structures are unremarkable.</t>
  </si>
  <si>
    <t>Normal thorax and abdomen. Gastroenteritis secondary to dietary indiscretion is most likely. Small radiolucent gastric foreign material is given lesser consideration.</t>
  </si>
  <si>
    <t>If the patient does not improve with supportive care, strictly fasted abdominal ultrasound should be considered. If not available, a positive contrast gastrogram is another option.</t>
  </si>
  <si>
    <t>Study:_x000D_
Abdominal radiography: four images dated July 24, 2024_x000D_
_x000D_
Findings:_x000D_
There is a heterogeneous soft tissue opacity in the fundic portion of the stomach on both VD views. The pylorus is appropriately gas-filled on the left lateral image. The small intestines are segmentally gas filled and normal in size and course. The colon contains formed fecal material. The liver and spleen are normal in size and margin. The renal silhouettes are normal in size and contour. The urinary bladder is unremarkable. The included thorax is normal. The osseous structures are unremarkable.</t>
  </si>
  <si>
    <t>The heterogeneous soft tissue material in the stomach may represent food or foreign material. There is no evidence of small intestinal mechanical obstruction. Repeat fasted radiography can be considered to ensure gastric emptying. Alternatively, sonography can be considered if clinical signs persist or worsen in spite of medical management.</t>
  </si>
  <si>
    <t>Five radiographs of the thorax and abdomen are provided. The cardiac silhouette and pulmonary vessels are normal size and shape. The lungs are clear. No pleural effusion. Normal tracheal diameter. The plane of the esophagus is unremarkable._x000D_
_x000D_
In the abdomen, there is small volume gas in the stomach. Small bowel are mildly filled with fluid and scant gas. The cecum is gas dilated. The colon is minimally filled. No radiopaque gastrointestinal foreign material. No effusion is appreciated. Normal-sized liver, spleen, kidney. The urinary bladder is minimally filled. Osseous structures are unremarkable.</t>
  </si>
  <si>
    <t>Normal thorax and abdomen. Gastroenteritis/pancreatitis is most likely. There is no evidence of an obstructive process.</t>
  </si>
  <si>
    <t>A CBC, blood chemistry profile, fecal examination, and abdominal ultrasound are recommended.</t>
  </si>
  <si>
    <t>Opposite lateral and VD views of the abdomen made yesterday and a follow up study made today after fasting are provided for interpretation and comparison._x000D_
_x000D_
In the initial radiographs made yesterday, the stomach is slightly dilated with gas, amorphous soft tissue dense ingesta, and a small quantity of mineral dense foreign material. There is also a subtle linear shadow in the dorsal part of the stomach that is suspicious for a thin flexible foreign material such as cellophane. There is granular mineral density within the fecal material in the colon, and a small quantity within the small intestine. One loop of small intestine in the mid to caudal ventral abdomen contains a curvilinear mineral opacity compatible with a small foreign body. No dilation or plication of the intestine is seen. Serosal detail is normal. The other organs are within normal limits._x000D_
_x000D_
In the follow up radiograph made today, the GI tract appears empty and nondistended. Serosal detail is still normal. The mineral density and unusual foreign appearing shadows are no longer present._x000D_
Both femoral heads appear slightly flattened.</t>
  </si>
  <si>
    <t>The original radiographs made yesterday show changes consistent with probable dietary indiscretion. No obstructive pattern or evidence of peritonitis was seen._x000D_
In the follow up radiographs the GI tract appears empty and entirely normal.</t>
  </si>
  <si>
    <t>No additional diagnostics or treatment are indicated unless clinical signs return.</t>
  </si>
  <si>
    <t xml:space="preserve">
1.The stomach is mildly to moderately gas distended._x000D_
2.Liver size is at the lower limits of normal to slightly small with cranial displacement of the gastric axis._x000D_
3.Resource: https://platform.v2.vetology.net/doc/microhepatia_and_giulcers_x000D_
4.Splenic size, shape and margin are normal._x000D_
5.Cranial abdominal detail is mildly decreased._x000D_
6.The small bowel is diffusely gas- and fluid-filled with intestinal distention approaching the upper limit of normal. In a small portion of cases, uterine horn distention could mimic small bowel dilation.</t>
  </si>
  <si>
    <t>Three radiographs of the abdomen are provided. There is a large (at least 3.1 cm) curved soft tissue opacity ventral to the distal descending colon and overlying the urinary bladder on both of the lateral views. This is possibly seen in the cranial left quadrant on the VD projection. Normal-sized spleen, liver, left kidney. The right kidney is obscured. The gastrointestinal tract is minimally filled. There is gas in the cecum and stomach. Normal caudal thorax. Both acetabula are shallow, with minimal coverage of the femoral heads.</t>
  </si>
  <si>
    <t>1. Fluid distended uterus most consistent with pyometra. Mucometra or early pregnancy is given lesser consideration._x000D_
2. Bilateral hip dysplasia with subluxation.</t>
  </si>
  <si>
    <t>Recommend ovariohysterectomy.</t>
  </si>
  <si>
    <t>3 views of the abdomen are provided for review.  Serosal detail is adequate in all quadrants.  The stomach contains a large amount of gas and the rugal folds are prominent.  The small intestines are normal in size.  Gas and feces are present in the colon.  The urinary bladder is small.  The remaining abdominal organs are normal.</t>
  </si>
  <si>
    <t xml:space="preserve">
1.The stomach contains small volume gas and scant amorphous soft tissue density material. Diffuse, mildly filled small bowel without evidence of obstruction._x000D_
2.Liver size, shape and margin are normal._x000D_
3.Splenic size, shape and margin are normal._x000D_
4.Abdominal detail is normal.</t>
  </si>
  <si>
    <t>Four radiographs of the abdomen are provided. The urinary bladder is mildly filled and uniformly soft tissue opaque. No abnormalities along the plane of the urethra or in the region of the medial iliac lymph nodes. The kidneys are normal size, shape, and opacity. Normal-sized liver and spleen. Formed feces fills the distal colon. The stomach and small bowel are minimally filled. No osseous abnormalities.</t>
  </si>
  <si>
    <t>Normal abdomen. There is no evidence of radiopaque urolithiasis. Radiolucent calculi or urinary bladder wall lesion remains possible.</t>
  </si>
  <si>
    <t>Ultrasound evaluation of the urinary tract should be considered.</t>
  </si>
  <si>
    <t xml:space="preserve">
1.Liver size, shape and margin are normal._x000D_
2.Splenic size, shape and margin are normal._x000D_
3.The stomach contains gas and ingesta or prominent rugae, suggestive of gastritis. The small bowel is diffusely fluid filled but without segmental small bowel dilation._x000D_
4.Abdominal detail is normal.</t>
  </si>
  <si>
    <t>Three radiographs of the thorax/abdomen are provided. Images dated 10/13/23 are available for comparison. The cardiac silhouette and pulmonary vessels are normal size. There are no abnormalities in the pulmonary parenchyma. No pleural effusion. Tracheal diameter and position are normal. No abnormalities along the plane of the esophagus. The patient is overweight, with moderate volume subcutaneous fat. In the abdomen, soft tissue density ventral to the pylorus may represent enlarged liver versus normal splenic tail nestled adjacent to the liver. The gastrointestinal tract is minimally filled. No radiopaque cystic calculi. Osseous structures are unremarkable.</t>
  </si>
  <si>
    <t>Possible prominent liver versus normal splenic tail. Differentials for hepatomegaly are varied and includes steroid or other hepatopathy, or acute inflammation. This should be correlated with blood work. Otherwise normal thorax and abdomen. A reason for respiratory signs is not identified.</t>
  </si>
  <si>
    <t>Recommend CBC, blood chemistry profile, and visual inspection of the pharyngeal/laryngeal region.</t>
  </si>
  <si>
    <t xml:space="preserve">
1.The stomach and small bowel are minimally filled. No signs of obstruction._x000D_
2.No abnormal AI findings reported._x000D_
3.The liver is prominent with smooth margins._x000D_
4.The spleen is within normal limits for size.</t>
  </si>
  <si>
    <t xml:space="preserve">Patient Name : Molly Nair, Date of study: Jul 24, 2024
6 images are provided for review
Canine Abdomen (4 Images) - 2 Vd, 2 Lateral
Canine Thorax (2 Images) - 2 Lateral
There are no previous radiographs for comparison.
Pulmonary parenchyma: In the left lateral images, an ill-defined ovoid soft tissue opacity superimposes over the caudal lung.  In the ventrodorsal image, an ill-defined ovoid soft tissue opacity superimposes over the left caudal lung in the left 7th intercostal space.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on limited evaluation.  
Trachea: The trachea is normal.
Esophagus: The esophagus is not well-identified.
Pleural space: The pleural space is normal.
Liver: The liver is subjectively normal in size.
Spleen: The spleen is minimally enlarged and prominent in the mid-ventral abdomen, with well-defined and slightly rounded margins.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fluid and gas or is empty.  The stomach is within normal limits for size.
The small intestine contains mild gas or is empty with a subjectively uniform population for size. 
The colon contains mild to moderate well-defined soft tissue material and gas. The colon is within normal limits for size.
Musculoskeletal: In the left extra-thoracic soft tissues at the level of T8-9, is a well-defined, ovoid, soft tissue nodule that deforms the cutaneous surface and widens fat in nearby fascial planes.  The remaining that included musculoskeletal structures are normal.
</t>
  </si>
  <si>
    <t xml:space="preserve">1. Suspected left caudal lung soft tissue nodule or less likely artifact/superimposed normal structures, or unlikely other.
- If present, this may be due to primary pulmonary carcinoma, metastatic disease from reported historic sarcoma, or least likely granulomatous/fungal pneumonia such as from blastomycosis spp. infection.
2. Minimal-mild splenomegaly due to passive congestion from sedation (if administered), extramedullary hematopoiesis, lymphoid hyperplasia, splenitis, or evolving metastatic neoplasia, or unlikely other.
3. Left-extra-thoracic soft tissue nodule is suspicious for reported historic sarcoma.  </t>
  </si>
  <si>
    <t>Consider computed tomography of the thorax for further evaluation of the suspected left caudal lung soft tissue nodule and pre-surgical planning of left extra-thoracic nodule incisional/excisional biopsy.  Consider routine blood work and abdominal ultrasonography for further evaluation of the spleen.  Oncologist consultation depending on results of additional diagnostics.  Empirical therapy and supportive care in the interim as needed.  Monitoring as directed, or sooner if clinical signs acutely change, fail to improve or worsen.</t>
  </si>
  <si>
    <t xml:space="preserve">
1.The spleen is within normal limits._x000D_
2.Abdominal detail is questionably decreased, although this may be due to artifact._x000D_
3.The gastrointestinal tract is unremarkable containing only small volumes of gas and fluid with a moderate volume of fecal material within the colon._x000D_
4.There is mild hepatomegaly._x000D_
5.Resource: https://platform.v2.vetology.net/doc/liver_disease</t>
  </si>
  <si>
    <t>Three radiographs of the thorax, and three views of the abdomen are provided. The cardiac silhouette and pulmonary vessels are normal size. There are no abnormalities in the pulmonary parenchyma. No pleural effusion. Mild narrowed cervical trachea on the left lateral view. Scant fluid in the caudal esophagus is transient and incidental._x000D_
_x000D_
In the abdomen the gastrointestinal tract is mildly filled. The cecum is gas dilated. Normal size liver, spleen, kidney. No radiopaque cystic calculi. Punctate mineral density overlying the L1-2 intervertebral foramen is likely incidental.</t>
  </si>
  <si>
    <t>Probable dynamic cervical tracheal collapse, the most likely cause for coughing. Inhaled irritant/allergens could be contributing. Otherwise normal thorax and abdomen.</t>
  </si>
  <si>
    <t>Recommend symptomatic treatment for the cough and utilization of a body harness in place of a neck lead.</t>
  </si>
  <si>
    <t>A three view thoracoabdominal study is provided for interpretation._x000D_
_x000D_
The cardiovascular structures are within normal limits. Bronchial markings in the lungs are mildly increased, primarily due to what appears to be age related bronchial wall mineralization. Concerning bronchial wall thickening is not seen. No pleural abnormalities are identified. There is ill defined opacity superimposed over the apex of the heart in the right lateral view that is believed to correspond to a similar but more faint opacity in the left caudal thorax adjacent to the apex of the heart in the DV view. This is suspected to represent mediastinal fat accumulation in the caudal mediastinum. There is moderate narrowing of the cervical trachea._x000D_
_x000D_
The abdominal organs are within normal size and shape limits. No mass lesions or loss of detail are seen in the abdomen._x000D_
There is severe narrowing of intervertebral disc spaces in the thoracolumbar region from T13 to L2.</t>
  </si>
  <si>
    <t>No pulmonary nodules are identified._x000D_
There is a focal area of increased opacity in the left caudal ventral thorax. This is suspected to be the result of call mediastinal fat accumulation secondary to the overweight body condition of the patient. Early development of a mass in this area cannot be entirely excluded but is felt unlikely at this time._x000D_
The increased bronchial markings is a mild change that appears subjectively consistent with age related changes. Viral or allergic lung disease or low-grade chronic bronchitis still cannot be excluded._x000D_
_x000D_
There is moderate narrowing of the cervical trachea. The appearance is not severe enough to be diagnostic for collapsing trachea, but dynamic tracheal collapse could still be present as a cause of the cough without more prominent radiographic changes._x000D_
_x000D_
No abdominal abnormalities are identified._x000D_
_x000D_
There is evidence of disc degeneration in the thoracolumbar spine.</t>
  </si>
  <si>
    <t>Symptomatic therapy for the cough is recommended._x000D_
_x000D_
No contraindication to removal of the reported new gingival mass is identified._x000D_
_x000D_
No findings convincing for metastatic neoplasia are identified._x000D_
A follow-up three view radiographic study to reassess the opacity seen in the caudoventral thorax is recommended in 6 to 8 weeks.</t>
  </si>
  <si>
    <t>Survey abdomen (lateral view): There are no abnormalities identified._x000D_
_x000D_
Upper GI series: Positive contrast has progressed from the stomach to the descending colon.  There is no evidence of an obstructive process.  There are persistent filling defects within the antrum/pylorus of the stomach.  The remainder of the abdomen is unremarkable.</t>
  </si>
  <si>
    <t>The persistent filling defects involving the antrum/pylorus of the stomach may represent thickening of the gastric wall at this level or possible foreign material.</t>
  </si>
  <si>
    <t xml:space="preserve">
1.The peritoneal serosal detail is normal._x000D_
2.The liver is normal in size and shape._x000D_
3.The spleen is within normal limits._x000D_
4.Small intestines are mildly fluid and gas filled. No signs of complete obstruction.</t>
  </si>
  <si>
    <t>Study:_x000D_
Three images that include the caudal thoracic/lumbosacral spine, pelvis and pelvic limbs dated July 23, 2024_x000D_
_x000D_
Findings:_x000D_
There is narrowing of the T 12-T 13 and L4-L5 intervertebral disc spaces. There is moderate to severe right hip dysplasia and remodeling/thickening of the femoral head and neck. There is good coverage of the left femoral head by the acetabulum. The patella is in the correct anatomic location bilaterally. There is no stifle joint effusion/capsular thickening or degenerative change. The pelvic limb musculature is bilaterally symmetric. The included abdomen is unremarkable.</t>
  </si>
  <si>
    <t>1. Moderate to severe right hip dysplasia and coxofemoral osteoarthrosis._x000D_
2. T 12-T 13 and L4-L5 intervertebral disc disease. Neurology consultation and MRI can be considered for further evaluation if the clinical signs persist or worsen in spite of continued pain management and activity restriction.</t>
  </si>
  <si>
    <t xml:space="preserve">Patient Name : Sakima Armstrong, Date of study: Jul 23, 2024
3 images are provided for review
Canine Abdomen (3 Images) - 2 Lateral, 1 Vd
Prior images dated July 13, 2023 and prior are available.  
Liver: The liver is mildly enlarged with a rounded caudoventral margin extending to the level of the 13th ribs.  
Spleen: The spleen is minimally enlarged with undulant or slightly rounded margins.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The stomach is within normal limits for size. Gastric rugal folds are prominent.  Gas is in the pylorus in the left lateral image.
The small intestine contains mild to moderate heterogeneous soft tissue admixed with gas.  The small intestine has a subjectively uniform population for size. 
The colon contains mild soft tissue material, fluid or is empty and minimal gas.  The colon is within normal limits for size.  
Musculoskeletal: The T11-12 intervertebral disc space is narrow.  Spondylosis deformans is at T11-12 and T12-13.  The remaining included musculoskeletal structures are normal.
</t>
  </si>
  <si>
    <t>1. Mild hepatomegaly due to vacuolar hepatopathy, hepatitis/cholangiohepatitis, nodular hyperplasia, or less likely evolving neoplasia.
2. Minimal splenomegaly and possible nodules due to extra-medullary hematopoiesis, evolving neoplasia (primary versus metastatic/multicentric), or less likely other.
3. Prominent gastric rugal folds such as from non-specific gastritis versus variation of normal.  
4. Non-specific small intestinal and colon appearance such as from enteritis, colitis or individual variation of normal.
- There is no current evidence of gastrointestinal mechanical ileus.
- Differential diagnoses include dietary indiscretion, toxin ingestion, diet/antibiotic responsive disease, inflammatory bowel disease, pancreatitis, occult systemic disease or unlikely other.
5. T11-12 intervertebral disc disease.</t>
  </si>
  <si>
    <t>Consider GI panel, fecal analysis/deworming and routine blood work for further evaluation.   Abdominal ultrasonography for further evaluation of the liver, spleen and gastrointestinal tract.  Coagulation testing and tissue sampling depending on results. If phenobarbital is chronically administered for seizures, consider this a primary etiology of mild hepatomegaly. 
 Empirical therapy and supportive care in the interim as needed for non-specific gastroenterocolitis.  Monitoring with repeat abdominal radiographs if signs fail to improve or worsen.</t>
  </si>
  <si>
    <t xml:space="preserve">
1.The hepatic silhouette is enlarged, with smooth, rounded borders._x000D_
2.The peritoneal serosal detail is normal._x000D_
3.The stomach contains a moderate amount of food material, but has a normal axis._x000D_
4.The small intestines are within normal limits for shape, size and contents._x000D_
5.The large colon contains a minor amount of poorly formed faeces._x000D_
6.Prominent spleen.</t>
  </si>
  <si>
    <t>Study:_x000D_
Thoracic, abdominal and skull radiography: six images dated July 23, 2024_x000D_
_x000D_
Findings:_x000D_
The cardiac silhouette and pulmonary vasculature are normal in size. The pulmonary parenchyma is unremarkable. The pleural space is normal. There is no intrathoracic lymphadenopathy. The larynx and pharynx are normal. The trachea is normal in diameter and course.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There is no prostatomegaly. The osseous structures included in the thoracic and abdominal images are unremarkable. The skull appears normal. The dentition is unremarkable with the reported 108 fracture not appreciated radiographically.</t>
  </si>
  <si>
    <t>ABDOMEN (3 radiographs for review). _x000D_
_x000D_
- Peritoneal serosal detail is normal._x000D_
- The stomach contains mild gas and gas-stippled soft-tissue opaque material_x000D_
- The small intestine is mildly multifocally distended with soft tissue/fluid and gas._x000D_
- The colon contains gas, soft-tissue/fluid and mild formed fecal material._x000D_
- The liver, spleen, region of the kidneys and urinary bladder are normal._x000D_
- The caudal thorax is normal_x000D_
- No musculoskeletal abnormalities are noted.</t>
  </si>
  <si>
    <t xml:space="preserve">Patient Name : Gus Pezzanite, Date of study: Jul 23, 2024
3 images are provided for review
There are no previous radiographs for comparison.
Liver: The liver is mildly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to moderate volume of gas. The stomach is within normal limits for size.  Gas is in the pylorus in the left lateral image.  
The small intestine contains mild gas and moderate fluid or is empty with a subjectively uniform population for size. 
The colon contains mild heterogeneous soft tissue material admixed with gas.  The colon is subjectively normal in size.  
Musculoskeletal: The included musculoskeletal structures are normal.
</t>
  </si>
  <si>
    <t xml:space="preserve">1. Non-specific gastrointestinal tract appearance such as from enteritis, colitis, or unlikely individual variation of normal given reported history.
- There is no evidence of gastrointestinal mechanical ileus.
- Etiology of reported clinical signs and suspected large bowel diarrhea (urgency, mucous in stool) is not definitively identified.  Consider occult dietary indiscretion versus inflammatory bowel disease, parasitism/primary infectious disease, or occult/evolving neoplasia.
2. Mild microhepatia versus artifact from positioning/technique and phase of respiration.
- If present, consider occult portosystemic shunt or microvascular dysplasia.
</t>
  </si>
  <si>
    <t>Consider GI panel, fecal analysis/deworming, and routine blood work with/without bile acid testing for further evaluation.  Consider abdominal ultrasonography versus colonoscopy and internist consultation for further evaluation of reported large bowel diarrhea.  Thoracic imaging for further evaluation if not recently performed. Empirical therapy and supportive care in the interim as needed.  Monitoring as directed, or sooner if clinical signs fail to improve or worsen in the face of empirical therapy.</t>
  </si>
  <si>
    <t xml:space="preserve">
1.The stomach has a normal axis, with subjectively thickened mucosal folding._x000D_
2.The small intestines are mildly dilated with a mixture of gas and fluid, and have a mild turgid appearance._x000D_
3.The liver is normal in shape, size and opacity._x000D_
4.There is a mildly reduced cranial abdominal serosal detail._x000D_
5.The ascending, transverse and descending colon contain gradually more formed faeces._x000D_
6.The spleen is visible and within normal limits.</t>
  </si>
  <si>
    <t xml:space="preserve">Patient Name : Maleficent Merino, Date of study: Jul 23, 2024
4 images are provided for review
There are no previous radiographs for comparison.
Liver: The liver is subjectively small with cranial displacement of the gastric axis.  
Spleen: The spleen is severely enlarged and extends into the caudoventral and left abdomen. The spleen is superimposed over the intestine in the lateral images.  This results in rightward displacement of the intestine in the ventrodorsal image.  Splenic margins are smooth and well-defined.
Kidneys: The kidneys are normal in size and shape without obvious mineral.
Retroperitoneum: Retroperitoneal detail is adequate.
Urogenital: The urinary bladder is partially obscured without obvious mineral or enlargement.  
Peritoneum: Peritoneal detail is decreased with fluid opaque striations best identified in the caudal abdomen in the lateral images and the left caudal abdomen in the ventrodorsal image.
Gastrointestinal tract: The stomach contains a moderate gas and mild fluid.  Gastric rugal folds are mildly prominent.  The stomach is subjectively within normal limits for size.
The small intestine contains mild to moderate gas, mild fluid or is empty with a subjectively uniform population for size. 
In the left lateral image, the descending colon contains minimal soft tissue material or is empty.
Musculoskeletal: The included musculoskeletal structures are normal.
</t>
  </si>
  <si>
    <t xml:space="preserve">1. Severe splenomegaly.
- Differential diagnoses include splenitis such as from tick-borne illnesses (mycoplasma or anaplasma spp. versus other), evolving neoplasia such as lymphosarcoma versus other.
2. Mild caudal abdominal peritoneal effusion due to hemorrhage such as from systemic coagulopathy/rodenticide intoxication versus other, peritonitis such as from splenitis or systemic disease, or unlikely malignant effusion or other.  
3. Prominent gastric rugal folds due to non-specific gastritis versus variation of normal.
4. Non-specific small intestinal and colon appearance such as from enteritis, or less likely given reported signs, variation of normal.
</t>
  </si>
  <si>
    <t>Consider abdominal ultrasonography versus computed tomography for further evaluation of the spleen and gastrointestinal tract/colon. Consider abdominocentesis and peritoneal fluid analysis/cytology for further evaluation if confirmed.  Routine blood work, coagulation testing and 4Dx testing, as well as thoracic imaging to screen for systemic disease.  Empirical therapy and supportive care in the interim as needed.  Monitoring as directed or sooner if clinical signs acutely change, fail to improve or worsen.</t>
  </si>
  <si>
    <t xml:space="preserve">
1.Liver size, shape and margin are normal._x000D_
2.It seems to be mostly in the cranial abdomen, where there is also an ill defined decrease in detail with a mild increase in soft tissue opacity._x000D_
3.There are multiple small bowel loops that are mildly to moderately distended with gas._x000D_
4.There is a loop of intestine that appears as if it may be descending colon but the appearance is also concerning for pathologically distended small intestine._x000D_
5.Splenic size, shape and margin are normal.</t>
  </si>
  <si>
    <t>The AI result for this case is most compelling for: Small intestinal obstruction or a severe functional ileus. Submission of this case for radiologist evaluation is recommended. Gas distention of many small intestinal loops is identified, ranging from mild to severe. There is potential for this to represent pathologic small intestinal distention concerning for a mechanical intestinal obstruction. Physiologic ileus can appear similar, but there are many loops of small bowel that have normal diameter, so mechanical obstruction is a concern in this case.</t>
  </si>
  <si>
    <t xml:space="preserve">
Virtual Radiologist Case Difficulty: MODERATE_x000D_
Virtual Radiologist Confidence: MODERATE_x000D_
There is significant potential for mechanical obstruction of the small intestine in this patient. Submission of this radiographic study for radiologist evaluation is recommended._x000D_
Alternatively, abdominal ultrasound or a barium study is recommended._x000D_
Surgical exploration may be indicated.</t>
  </si>
  <si>
    <t>Patient Name: Inosuke King, Date of study: July 23, 2024.
Canine thorax/abdomen (3 Images) - 2 Lateral, 1 VD
There are no previous radiographs for comparison.
Findings:
Cardiac silhouette: The cardiac silhouette is normal in size and shape.
Pulmonary vessels: The pulmonary arteries and veins are normal in size and are symmetrical.
Pulmonary parenchyma: There is a ventrally distributed interstitial to alveolar pattern in the cranioventral thorax (worse in the left cranial lung lobe). The remainder of the pulmonary parenchyma is within normal limits.
Pleural space: The pleural space is within normal limits.
Mediastinum: The mediastinum is normal in width and opacity. There is no evidence of intrathoracic lymphadenopathy.
Trachea: The trachea is normal in diameter and course.
Esophagus: The intrathoracic esophagus is mildly distended with gas. The cervical esophagus is within normal limits.
Gastrointestinal tract: There is heterogeneous ingesta admixed with gas within the stomach. The stomach is normal in size and position. The duodenum is gas-filled and normal in size. Several small intestinal segments contain heterogeneous ingesta, similar to the gastric content. The colon is normal in size and contains loosely formed feces.
Liver: The liver is normal in size and shape.
Spleen: The spleen is unremarkable.
Urinary: The urinary bladder is mildly distended and normal in opacity. The visible margins of the kidneys are within normal limits.
Peritoneal space: Serosal detail is adequate.
Musculoskeletal: There are several congenitally anomalous mid thoracic vertebral bodies, consistent with the breed. There is mild spondylosis deformans of the mid to cranial thoracic spine.</t>
  </si>
  <si>
    <t xml:space="preserve">1. Cranioventral interstitial to alveolar pulmonary pattern, worse in the left cranial lung lobe. This is most consistent with aspiration pneumonia given the history of vomiting. Infectious bronchopneumonia is not ruled out. 
2. Mild esophageal gas dilation, consider esophagitis. Aerophagia and megaesophagus are thought to be less likely. 
3. The gastrointestinal tract is consistent with a post-prandial appearance. There is no evidence of mechanical small intestinal obstruction or mineral/metal opaque foreign body. Gastroenteritis, gastroesophageal reflux disease, and pancreatitis should be considered. 
4. Upper respiratory infection/disease is not ruled out given the history of sneezing. </t>
  </si>
  <si>
    <t xml:space="preserve">Medical management for pneumonia and esophagitis are recommended. Consider repeat radiographs after completion of therapy to monitor for resolution of the described pulmonary pattern. Airway sampling (respiratory PCR, lavage, wash) is recommended to guide treatment. 
Fasted recheck radiographs could be considered to confirm the stomach fully empties. If vomiting persists an abdominal ultrasound or upper GI series would be recommended. A cPL would be recommended if not recently performed. </t>
  </si>
  <si>
    <t>WHOLE-BODY (3 total radiographs for review). _x000D_
_x000D_
- Peritoneal serosal detail is normal._x000D_
- The stomach contains moderate gas-stippled soft-tissue opaque material_x000D_
- The small intestine contains mild multifocal gas and soft-tissue opaque material_x000D_
- The colon contains gas, soft-tissue/fluid and moderate formed fecal material._x000D_
- The liver, spleen, region of the kidneys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normal._x000D_
- No musculoskeletal abnormalities are noted.</t>
  </si>
  <si>
    <t>1.  A discrete cause for the reported lethargy and hyporexia is not clearly identified.  Radiographic sensitivity for diffuse gastrointestinal functional ileus such as gastroenteritis may be limited.  There is no distinct evidence of mechanical obstruction.  If clinically indicated, consider abdominal ultrasonography for further assessment._x000D_
_x000D_
2.  Mildly desiccated fecal material in the colon can be compatible with a history of constipation._x000D_
_x000D_
3.  The material in the stomach resembles recent ingesta, less likely foreign material.  Rechecking the abdominal radiographs with fasting may provide further clarification on the contents within the stomach if there is suspicion for gastric foreign material._x000D_
_x000D_
4.  Normal thorax.</t>
  </si>
  <si>
    <t xml:space="preserve">
1.The liver and spleen are within normal limits for size, with smooth margins._x000D_
2.The stomach is partially distended with gas, some fluid and some soft tissue opaque debris._x000D_
3.The small intestine is normal in diameter. No obvious signs of obstruction._x000D_
4.No abnormal AI findings reported._x000D_
5.No abnormal AI findings reported.</t>
  </si>
  <si>
    <t>3 views of the abdomen are presented for review.  Serosal detail is adequate in all quadrants.  The stomach contains a moderate amount of gas.  The small intestines are mildly variable in diameter but overall normal in size.  Gas is present in the colon and cecum.  The urinary bladder is small.  The remaining abdominal organs are normal.</t>
  </si>
  <si>
    <t>Variable small intestinal diameter.  This may represent enteritis or early/partial obstruction.</t>
  </si>
  <si>
    <t>Consider repeat radiographs following supportive therapy to monitor for progression/resolution.</t>
  </si>
  <si>
    <t xml:space="preserve">
1.The liver and spleen appear within normal limits._x000D_
2.Serosal detail is normal._x000D_
3.No abnormal AI findings reported._x000D_
4.The stomach contains small volume fluid and gas._x000D_
5.Small intestines are diffusely mild to moderately filled with fluid and gas. No convincing obstruction.</t>
  </si>
  <si>
    <t>Five radiographs of the abdomen are provided. Peritoneal detail is reduced. The stomach contained small volume gas. Small intestines are mildly filled with fluid and scant gas. The colon contains small volume fluid. There is no radiopaque gastrointestinal foreign material. The urinary bladder is mildly filled and contains several smoothly marginated round mineral opaque calculi measuring up to 0.5 cm. No abnormalities along the plane of the distal urethra. There is mineral opacity overlying the L7-S1 intervertebral foramen. Mild to moderate degenerative change in the coxofemoral joints. In the caudal thorax there is increased opacity and air bronchograms in the ventral lungs. Congenital vertebral malformations in the caudal thoracic spine are of doubtful clinical significance today.</t>
  </si>
  <si>
    <t>1. Mild peritoneal effusion with liquid diarrhea and fluid filled small bowel, most consistent with gastroenteritis/pancreatitis. There is no evidence of an obstructive process._x000D_
2. Cystic calculi, of a size that may or may not be able to pass the urethra._x000D_
3. Ventral alveolar pattern consistent with aspiration pneumonia._x000D_
4. Probable intervertebral disc disease at the lumbosacral junction, of doubtful significance today.</t>
  </si>
  <si>
    <t>Antibiotics for aspiration pneumonia, and treatment for gastroenteritis/pancreatitis is recommended. If the patient does not rapidly improve, abdominal ultrasound would be recommended.</t>
  </si>
  <si>
    <t>ABDOMEN (3 radiographs for review).  A previous examination is available for comparison from 2022._x000D_
_x000D_
- Peritoneal serosal detail is normal._x000D_
- The stomach contains mild gas and gas-stippled soft-tissue opaque material_x000D_
- The small intestine contains mild multifocal gas and soft-tissue opaque material_x000D_
- The colon contains gas, soft-tissue/fluid and mild formed fecal material._x000D_
- The liver, spleen, region of the kidneys and urinary bladder are normal._x000D_
- The prostate gland is prominent._x000D_
- The caudal thorax is normal_x000D_
- No musculoskeletal abnormalities are noted.</t>
  </si>
  <si>
    <t>1. The appearance of the stomach, small intestine and colon can be compatible with a non-specific generalized functional ileus (e.g. gastroenterocolitis or infiltrative bowel disease such as immune-mediated enteropathy/IBD or less likely neoplasia). There is no evidence of small intestinal foreign material or mechanical obstruction. Abdominal ultrasonography might be considered in this case._x000D_
_x000D_
2.  The prostate gland is slightly prominent for a patient reported as male neutered.  This may indicate the patient was neutered at an advanced age.  Prostatic neoplasia is less likely, but possible.  Correlate to results of rectal examination if not recently performed.</t>
  </si>
  <si>
    <t xml:space="preserve">
1.Abdominal detail is normal._x000D_
2.The liver and spleen are normal size and shape._x000D_
3.No abnormal AI findings reported._x000D_
4.The stomach contains small volume gas and equivocal scant soft tissue density._x000D_
5.Small intestines are minimally distended. No evidence of obstruction.</t>
  </si>
  <si>
    <t>3 views of the abdomen are provided for review.  Serosal detail is adequate in all quadrants.  The stomach contains a moderate amount of mottled soft tissue material.  The small intestines are normal in size.  Gas and feces are present in the colon.  The head of the spleen is irregular on the VD view.  The urinary bladder is small.  The remaining abdominal organs are normal.</t>
  </si>
  <si>
    <t>Material within the stomach may represent normal ingesta or foreign material.  Consider repeat radiographs following strict fasting to determine if gastric contents persist.  The appearance of the spleen on the VD view may indicate nodules such as inflammation, neoplasia, regeneration, etc.  Abdominal ultrasound may be helpful.</t>
  </si>
  <si>
    <t xml:space="preserve">
1.Splenic size, shape and margin are normal._x000D_
2.Mid abdominal detail is decreased on the lateral projection but this is attributed to technique and not pathology._x000D_
3.The small intestinal tract contains normal volumes of fluid, gas and ingesta._x000D_
4.The ascending, transverse and descending colon are in a normal position and contain gradually more formed faeces._x000D_
5.The stomach contains a small amount of air and either has prominent gastric rugae or contains a small amount of soft tissue material._x000D_
6.Liver size is at the lower limits of normal on the VD projection but normal on the lateral projection.</t>
  </si>
  <si>
    <t xml:space="preserve">
Virtual Radiologist Case Difficulty: MODERATE_x000D_
Virtual Radiologist Confidence: MODERATE_x000D_
Empirical management with fluids, antiemetics, antacids, prophylactic deworming, and gastroprotectants as clinically indicated and repeat radiographs may be considered._x000D_
If GI signs persist despite medical therapy, an upper GI contrast study or abdominal ultrasound may be considered.</t>
  </si>
  <si>
    <t>Four radiographs that include the abdomen, pelvis, and stifles are provided._x000D_
_x000D_
Several large lipomas are identified. One is seen caudal to the right stifle, another in the area of the left hip, and another is suspected in the right caudal flank region. No invasion of muscle planes is evident in the radiographs. No associated bony abnormalities are seen._x000D_
The pelvis and hip joints are within normal limits. No bony abnormalities are seen involving the stifles. Potential for stifle joint effusion or mild soft tissue swelling cannot be evaluated due to overexposure in the lateral views._x000D_
There is mild to moderate spondylosis at the lumbosacral junction. Slight ventral subluxation of the lumbosacral joint is suspected, but this is a subtle change that could be the result of positional artifact._x000D_
_x000D_
No mass effect is seen in the abdomen or pelvic canal. The abdominal organs are within normal limits.</t>
  </si>
  <si>
    <t>Large lipomas are present, which are probably histologically benign but could potentially interfere with muscle movement. Relevance to the current lameness cannot be definitively determined. Cross sectional imaging such as CT or MRI would be ideal for more definitive evaluation._x000D_
_x000D_
There is some evidence of lumbosacral degeneration. Associate cauda equina compression should also be ruled out as a possible cause of the clinical signs. MRI would be ideal for more definitive evaluation._x000D_
_x000D_
No other significant orthopedic abnormalities are identified._x000D_
No abdominal abnormalities are identified.</t>
  </si>
  <si>
    <t>Need for more aggressive diagnostics would depend on severity of clinical signs._x000D_
Symptomatic therapy and restricted activity for possible soft tissue injury could be considered._x000D_
Cross sectional imaging such as MRI considered to rule out clinically significant lumbosacral pathology or invasive or compressive characteristics of the reported lipomas.</t>
  </si>
  <si>
    <t>Orthogonal views of the right hind limb and a lateral view of the abdomen that includes the lumbar spine are provided (three images)._x000D_
_x000D_
There is severe chronic remodeling involving the right hip joint, and moderate chronic remodeling involving the left hip. Femoral head coverage by the acetabulum is suboptimal in both hips._x000D_
No patellar luxation is seen. There is moderate swelling of the right stifle joint. Minimal periarticular remodeling changes are present involving the right stifle and tarsus. No fractures or destructive/productive bone lesions are identified._x000D_
No spinal abnormalities are identified._x000D_
There is moderate hepatomegaly. The other abdominal organs are within normal limits. No mass effect is seen in the sublumbar area or pelvic canal.</t>
  </si>
  <si>
    <t>Right stifle joint effusion is suspected. Intra-articular injury such as a ligament rupture or meniscal tear should be ruled out._x000D_
_x000D_
There is severe osteoarthritis involving the right hip joint could account for lameness but may not relevant to the current presentation due to the recent onset. The hip changes are chronic._x000D_
_x000D_
The liver is enlarged. Diffuse liver diseases including metabolic or endocrine associated hepatopathies, hepatitis, or less likely neoplasia such as hepatic lymphoma should be ruled out. If the patient is on chronic steroids due to the reported PLE, the hepatomegaly may be iatrogenic.</t>
  </si>
  <si>
    <t>Sedated orthopedic exam to best assess stifle joint stability and rule out cruciate ligament tear or meniscal tear is recommended.</t>
  </si>
  <si>
    <t xml:space="preserve">
1.The stomach is displaced by the cranial abdominal mass or infrequently, the cranial abdominal mass could represent a severely distended stomach._x000D_
2.The intestinal tract is displaced by the cranial abdominal mass. The displaced bowel is diffusely gas- and fluid-filled but no segmental bowel dilation is noted._x000D_
3.Abdominal detail is decreased, particularly in the cranial abdomen. DDx: soft tissue mass only vs. mass and mesenteric inflammation and/or regional abdominal fluid._x000D_
4.The abdomen is mildly pendulous._x000D_
5.A soft tissue mass in the splenic region has been identified. This could represent confluence of a single cranial abdominal mass vs. two separate masses affecting the liver and spleen._x000D_
6.A soft tissue mass is identified in the cranial abdomen. The liver is enlarged and mass-like, with caudal displacement of the gastric axis.</t>
  </si>
  <si>
    <t xml:space="preserve">Patient Name : Chanel Estepa, Date of study: Jul 23, 2024
3 images are provided for review
This examination is compared to prior dated January 19, 2024.
Liver: The liver is subjectively normal in size.
Spleen: The spleen is normal in size with smooth margins and homogeneous soft tissue.
Kidneys: The left kidney is obscured or normal without renomegaly or mineral.  The right kidney is obscured without obvious renomegaly or mineral.  
Retroperitoneum: Retroperitoneal detail is adequate.
Urogenital: Some tubular soft tissue structures are over the urinary bladder and are similar in size to small intestine. The urinary bladder is not well-identified without obvious enlargement or mineral.  
Peritoneum: Peritoneal detail is adequate.
Gastrointestinal tract: The stomach contains a moderate volume of soft tissue material admixed with gas.  Gas is in the pylorus and descending duodenum in the left lateral image.  The stomach is within normal limits for size.
The small intestine contains mild to moderate gas and fluid or is empty with a subjectively uniform population for size. 
The colon contains mild gas and heterogeneous soft tissue material.  The colon is normal in size.
Musculoskeletal: Femoral trochlear hypoplasia is present.  Unchanged positioning of S3-Cd1 vertebrae and caudal vertebrae. The remaining included musculoskeletal structures are normal.
</t>
  </si>
  <si>
    <t>1. Possible evolving uterine enlargement versus normal variation or normal small intestine.
- Given reported intact status, recent heart cycle and vulvar discharge, evolving uterine enlargement such as from pyometra is suspected. 
2.Gastric material due to recent meal versus gastritis/delayed gastric emptying or unlikely pyloric outflow tract obstruction given lack of vomiting in reported history.
3. Non-specific small intestinal and colon appearance such as from variation of normal, recent bowel movement, enteritis, colitis, or unlikely other.</t>
  </si>
  <si>
    <t>Consider abdominal ultrasonography for confirmation of uterine enlargement versus exploratory celiotomy.  Fasting for 8-12 hours and empirical therapy to monitor for passage of gastric material, and repeat abdominal imaging prior to celiotomy for re-evaluation of suspicious uterine enlargement may also be beneficial.  Empirical therapy and supportive care in the interim as needed.  Monitoring as directed, or sooner if clinical signs acutely change, fail to improve or worsen.</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</si>
  <si>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prominent.  The small intestines are normal in size.  Gas and feces are present in the colon.  The urinary bladder is small.  Prostate is not visible.  The remaining abdominal organs are normal.  There is spondylosis deformans of the lumbar spine.</t>
  </si>
  <si>
    <t>Prominent rugal fold suggestive of gastritis.  This does not rule out underlying pancreatitis or infiltrative neoplasia.  Abdominal ultrasound could be considered.  Radiographically normal thorax for patient of this age.</t>
  </si>
  <si>
    <t>Five radiographs of the thorax and abdomen are provided. The cardiac silhouette and pulmonary vessels are normal size and shape. The lungs are clear. No pleural effusion. The plane of the esophagus is unremarkable. In the abdomen serosal detail is adequate. Normal-sized liver, spleen, left kidney. The right kidney is incompletely visible. Small volume gas in the stomach. Small bowel is mildly filled with fluid and gas. There is gas in the colon. No radiopaque foreign material or urolithiasis.</t>
  </si>
  <si>
    <t>Normal thorax and abdomen. A reason for the clinical signs is not identified. Gastroenteritis secondary to dietary indiscretion is most likely. There is no evidence of an obstructive process.</t>
  </si>
  <si>
    <t xml:space="preserve">
1.No abnormal AI findings reported._x000D_
2.The stomach is mildly gas and fluid dilated._x000D_
3.There is gas and mild fluid dilation noted within the descending duodenum._x000D_
4.The small bowel contains gas and fluid but is largely normal in diameter throughout._x000D_
5.There is also gas and fluid distention of the cecum and the entire length of the colon._x000D_
6.View GI resource: https://platform.v2.vetology.net/doc/GI_x000D_
7.The liver and spleen are normal for size._x000D_
8.Abdominal detail is normal.</t>
  </si>
  <si>
    <t>A three view thoracoabdominal study is provided for interpretation._x000D_
_x000D_
No spinal abnormalities are identified. Soft tissues around the spine are unremarkable. There is mild flattening of both femoral heads. No subluxation of the hips is seen. No soft tissue swelling is identified._x000D_
_x000D_
 No mass lesions or organomegaly are seen in the abdomen. Abdominal serosal detail is normal. The GI tract is unremarkable._x000D_
_x000D_
The cardiopulmonary structures are within normal limits.</t>
  </si>
  <si>
    <t>No no anatomic abnormalities felt to be clinically significant regard to the presenting complaint are identified._x000D_
There is mild flattening of both femoral heads, but this is a relatively mild change and is not suspected to be associated with the clinical signs._x000D_
No significant abdominal abnormalities are identified. If intermittent abdominal distention is present, his could be associated with transient gas accumulation is not present in the current study.</t>
  </si>
  <si>
    <t>Symptomatic therapy is recommended as needed.</t>
  </si>
  <si>
    <t>Airway sampling may be helpful in further evaluation.  Upper airway examination may also be helpful to rule out concurrent brachycephalic airway syndrome.</t>
  </si>
  <si>
    <t>Prominent rugal folds suggestive of gastritis.  This does not rule out underlying dietary indiscretion, food allergy, etc.</t>
  </si>
  <si>
    <t xml:space="preserve">
1.The gastric rugae are prominent._x000D_
2.The small bowel is diffusely fluid distended with a mild disparity in small bowel diameter._x000D_
3.Portions of the colon are gas filled and have a rigid appearance._x000D_
4.No abnormal AI findings reported._x000D_
5.The liver and spleen are normal._x000D_
6.There is a focal loss of serosal detail in the cranial abdomen on the VD projection._x000D_
7.The pyloroduodenal is widened and the proximal duodenum contains a mild amount of air._x000D_
8.The gastric lumen contains a mild amount of soft tissue and gas opacity.</t>
  </si>
  <si>
    <t>Six radiographs of the abdomen are provided. Images dated 11/9/23 are available for comparison. There is no peritoneal or retroperitoneal effusion. There is small volume gas in the stomach. Equivocal scant amorphous soft tissue density in the stomach only on the VD view. Normal rugal folds are visible. Small intestines are mildly filled with fluid and gas. Formed feces fills the entire colon. No radiopaque gastrointestinal foreign material is appreciated. The liver, spleen, and kidneys are normal size and shape. The caudal thorax is normal.</t>
  </si>
  <si>
    <t>Normal abdomen. Gastritis secondary to dietary indiscretion is most likely. Small, residual radiolucent gastric foreign material is not definitively ruled out. There is no intestinal obstruction.</t>
  </si>
  <si>
    <t>If vomiting persists, consider a positive contrast gastrogram to rule out gastric foreign material. Strictly fasting abdominal ultrasound is another option, with the understanding that there must be minimal gas in the stomach at the time of imaging.</t>
  </si>
  <si>
    <t xml:space="preserve">Patient Name : June Carter Miller, Date of study: Jul 23, 2024
1 images are provided for review
Canine Abdomen (1 Images) - 1 Lateral
Previous images dated July 10, 2024 are available for evaluation.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to large volume of heterogeneous soft tissue material and gas. The stomach is in normal position in the cranial abdomen.
The small intestine contains mild gas with a subjectively uniform population for size.   The intestine is positioned in the mid-abdomen.
The colon contains moderate well-defined soft tissue material and gas.  The colon is within normal limits for size.  
Caudal thorax:  The diaphragm is smoothly marginated and well-defined.  The caudal vena cava clearly is confluent with the right diaphragmatic crus, normal appearance for a right lateral radiograph.  
Musculoskeletal: Multiple metal skin staples in the caudal abdominal/inguinal region.  The remaining included musculoskeletal structures are normal.
</t>
  </si>
  <si>
    <t xml:space="preserve">1. There is no evidence of a diaphragmatic hernia.  
2. Gastric material presumed from recent meal, or unlikely gastritis/delayed gastric emptying or pyloric outflow obstruction given lack of reported gastrointestinal signs in recent history.  
</t>
  </si>
  <si>
    <t xml:space="preserve">Epirical therapy and supportive care in the interim as needed.  Monitoring as directed.  </t>
  </si>
  <si>
    <t>Additional history-patient ate several pieces of deli meat a few hours ago, no vomiting._x000D_
_x000D_
Nine radiographs of the thorax/abdomen are provided. The cardiac silhouette and pulmonary vessels are normal size and shape. There are no abnormalities in the pulmonary parenchyma. The diaphragm is intact. No rib fractures. Normal thoracic spine. Lumbar vertebral alignment is normal. There is a moderate amount of mineral density overlying the L5-6 intervertebral foramen. The associated disc space is also reduced in size. No other lumbar spinal abnormalities. Thin curved bone fragment along the dorsal aspect of the ilial wings is normal apophysis. In the abdomen there is no effusion or organomegaly. The stomach contains a moderate amount of granular soft tissue density and several thin flat/folded soft tissue densities. Small bowel are minimally filled. There is gas in the cecum and proximal colon, with moderate volume of formed feces in the distal colon. No radiopaque urolithiasis. No pelvic fractures. The sacroiliac and coxofemoral joints are congruent.</t>
  </si>
  <si>
    <t>1. The appearance of L5-6 is most consistent with a protruded/extruded intervertebral disc. Such a lesion at this or another site is the most likely cause for the clinical signs. Soft tissue sprain/strain is next on the differential list._x000D_
2. Gastric contents appears to be normal ingesta and deli meat/treat material. The thin folded soft tissue density could be foreign material, but is given much lesser consideration in the absence of vomiting._x000D_
3. Normal thorax.</t>
  </si>
  <si>
    <t>If the patient has significant neurologic deficits, significant/persistent spinal pain, cross-sectional imaging of the spine with CT/MRI would be recommended.</t>
  </si>
  <si>
    <t>Three radiographs of the thorax/abdomen are provided. Previous abdominal images dated 1/11/24 are available for comparison. There is prominence of the left atrium. Pulmonary vessels are normal size. There is soft tissue opacity with air bronchograms in the ventral left lungs. No pleural effusion or rib lesions. Redundant dorsal trachealis membrane causes moderate to severe narrowed cervical trachea. In the abdomen there is large volume gas in the stomach consistent with aerophagia. The liver is upper normal size with smooth margins,. Normal sized spleen and kidneys. Small intestines are mildly fluid-filled. Scant gas in the colon. No radiopaque urolithiasis.</t>
  </si>
  <si>
    <t>1. Ventral alveolar pattern on the left most consistent with aspiration pneumonia._x000D_
2. Prominent left atrium consistent with acquired mitral valve disease. There is no pulmonary venous congestion or evidence of heart failure. This is of doubtful clinical significance today._x000D_
3. Cervical tracheal collapse._x000D_
4. No abdominal abnormalities.</t>
  </si>
  <si>
    <t>Recommend antibiotics and supportive care. If GI signs persist, abdominal ultrasound would be recommended.</t>
  </si>
  <si>
    <t>Three radiographs of the thorax, and three views of the abdomen are provided. Abdominal images dated 9/16/23 are available for comparison. There is equivocal prominence of the left atrium on the VD projection, not definitively seen on the lateral views. The right heart appears prominent on the VD view due to mild rotation. There are no abnormalities in the pulmonary parenchyma. No pleural effusion. Small volume fat deposition between the right cranial and middle lung lobe is incidental. Moderate narrowed cervical trachea on the right lateral view. No esophageal dilation._x000D_
_x000D_
In the abdomen the stomach contains moderate volume soft tissue opaque ingesta. Small bowel are mildly gas-filled. There is gas in the cecum. The colon is minimally filled. Normal-sized liver, spleen, left kidney. The right kidney is obscured. No radiopaque urolithiasis. Normal osseous structures.</t>
  </si>
  <si>
    <t>1. Dynamic cervical tracheal collapse, the most likely cause for coughing. Inhaled irritant/allergens or infectious airway disease could be contributing._x000D_
2. Prominent left atrium suggestive of chronic degenerative mitral valve disease. There is no evidence of pulmonary venous congestion or pulmonary edema. This is of doubtful clinical significance today, and not responsible for the cough._x000D_
3. Normal abdomen.</t>
  </si>
  <si>
    <t xml:space="preserve">
1.The stomach contains a small amount of gas and the gastric rugae are prominent._x000D_
2.The spleen and kidneys are normal size._x000D_
3.The liver is mildly enlarged but retains a smooth margin._x000D_
4.No abnormal AI findings reported.</t>
  </si>
  <si>
    <t>3 views of the thorax are provided for review.  The cardiovascular structures are normal.  There is a mild bronchial pattern in all lung lobes.  The trachea is narrowed in the cervical region.  The mediastinal and pleural structures are normal.  Cranial abdominal detail is adequate.</t>
  </si>
  <si>
    <t>Cervical tracheal narrowing suggestive of tracheal collapse.  Mild bronchial pulmonary pattern=ZZ90= consider bronchitis, response to inhaled irritants, response to circulating parasites, eosinophilic bronchopneumopathy.</t>
  </si>
  <si>
    <t>ABDOMEN (3 radiographs for review). _x000D_
_x000D_
- Peritoneal serosal detail is normal._x000D_
- The liver is mildly enlarged, with rounded margins. On the LLAT projection, there is a broad-based rounding associated with the caudoventral hepatic margin._x000D_
- The stomach contains mild gas and gas-stippled soft-tissue opaque material_x000D_
- The small intestine contains mild multifocal gas and soft-tissue opaque material_x000D_
- The colon contains gas, soft-tissue/fluid and mild formed fecal material._x000D_
- The spleen, region of the kidneys and urinary bladder are normal._x000D_
- The caudal thorax is normal_x000D_
- No musculoskeletal abnormalities are noted.</t>
  </si>
  <si>
    <t>1.  The poorly-formed appearance of the fecal material in the colon is supportive of the history of loose stool and can be consistent with colitis._x000D_
_x000D_
2. Mild hepatomegaly with suspected small liver mass (caudoventral and likely right-sided). The hepatic enlargement is most likely due to vacuolar (metabolic) hepatopathy but might be hepatitis or neoplasia. The hepatic mass could be neoplasia (e.g. adenoma, adenocarcinoma) or non-neoplastic abscess, granuloma or hematoma.  Consider abdominal ultrasonography with ultrasound-guided fine-needle aspiration for further assessment as indicated by imaging results.</t>
  </si>
  <si>
    <t xml:space="preserve">
1.The liver is mildly enlarged with smooth margins._x000D_
2.Small volume ingesta is present within the stomach._x000D_
3.Small intestines are displaced from the mid-abdomen but the bowel is minimally filled._x000D_
4.Formed feces is present in the colon._x000D_
5.On the lateral view, an increase in soft tissue opacity is noted in the splenic region. This soft tissue opacity is displacing bowel indicative of a mass or mass effect._x000D_
6.Abdominal detail is mildly decreased diffusely.</t>
  </si>
  <si>
    <t>Orthogonal views of the abdomen are provided:_x000D_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show bilateral renoliths._x000D_
Urinary bladder WNL. No signs of cystic/urethral calculi._x000D_
_x000D_
Visible thorax shows a mildly enlarged left atrium.
(amended on 07/24/2024 03:25)
Membranous urethra not included in the lateral views. Thus urethral calculi in the membranous urethra can not be excluded.</t>
  </si>
  <si>
    <t>1) Bilateral renoliths. Can not exclude further pathology in the lower urinary tract.</t>
  </si>
  <si>
    <t>Consider abdominal US to further evaluate the urinary tract with renal function test, urinalysis, UPC and urine culture. Evaluate the convenience of an ACTH stimulation test._x000D_
3 views of the thorax with cardiology consultation, echocardiogram and ECG.
(amended on 07/24/2024 03:25)
Lateral view of the membranous urethra.</t>
  </si>
  <si>
    <t>Seven radiographs of the thorax and abdomen are provided. The heart and pulmonary vessels are normal size. There are no abnormalities in the pulmonary parenchyma. No pleural effusion. Normal tracheal diameter. The esophagus is not dilated._x000D_
_x000D_
In the abdomen the gastrointestinal tract is mildly filled. No radiopaque cystic calculi. Normal-sized liver and spleen. The kidneys are obscured. Curved 1.7 cm soft tissue opacity between the abdominal body wall and os penis on the left lateral view is likely a cutaneous nodule such as the one seen in the right flank region on the VD view.</t>
  </si>
  <si>
    <t>Normal thorax and abdomen. A reason for coughing is not identified. Inhaled irritants/allergens is suspected. Although no tracheal abnormalities are appreciated on this study, dynamic collapse remains possible. This should be correlated with characteristic of the cough and tracheal palpation. There is no evidence of cardiovascular disease on this study. Small valvular regurgitant jet can result in a relatively loud murmur.</t>
  </si>
  <si>
    <t xml:space="preserve">
Virtual Radiologist Case Difficulty: MODERATE_x000D_
Virtual Radiologist Confidence: MODERATE_x000D_
In a vomiting or anorexic patient, supportive care and therapy for gastroenteritis are recommended.  If the symptoms persist, repeat abdominal radiographs following no food for 12-15 hours, access to water or IV fluid therapy is recommended. If material persists in the stomach, concern for gastric foreign material increases and an abdominal ultrasound could be considered.</t>
  </si>
  <si>
    <t>Four radiographs of the thorax/abdomen are provided. There is a well-defined round 3.8 cm soft tissue opaque mass caudal to the tracheal bifurcation. This mass causes ventral and lateral displacement of the mainstem bronchi. There are several (at least four) additional smaller pulmonary nodules measuring up to 1.8 cm. Multiple lung lobes are affected. There is no pleural effusion. Moderate narrowed caudal cervical trachea. In the abdomen serosal detail is adequate. The liver is mildly enlarged. Normal-sized spleen and kidneys. The gastrointestinal tract is mildly filled. No radiopaque urolithiasis. The prostate is not definitively seen.</t>
  </si>
  <si>
    <t>1. Large mass at the tracheal bifurcation with several pulmonary nodules. Since the largest mass is most likely lymph node origin, neoplasia such as histiocytic sarcoma is the top differential. The largest mass may be a primary pulmonary mass or metastatic disease from a distant site._x000D_
2. Mild hepatomegaly, a nonspecific finding that may be steroid or other hepatopathy, acute inflammation, or neoplasia. No other definitive abdominal abnormalities.</t>
  </si>
  <si>
    <t>The thoracic masses are not adjacent to the thoracic wall therefore would not be visible with ultrasound for guided sampling purposes if a definitive diagnosis is desired. With the multiple lesions, complete surgical resection is not possible.</t>
  </si>
  <si>
    <t>Orthogonal views of the abdomen are provided:_x000D_
_x000D_
Abdomen:_x000D_
_x000D_
The stomach is empty._x000D_
Small intestines are mildly gas and fluid filled, not overtly distended. No signs of mechanical ileus._x000D_
The cecum and colon are alternatively filled with gas and fluid, consistent with the history._x000D_
Serosal detail is preserved._x000D_
Liver and spleen are within normal limits of size and smoothly marginated._x000D_
Kidneys and urinary bladder WNL.</t>
  </si>
  <si>
    <t>1) Unremarkable abdomen. Rule out HGE vs pancreatitis vs hypersensitivity GI reaction.</t>
  </si>
  <si>
    <t>Consider abdominal US to further evaluate causes of HGE.</t>
  </si>
  <si>
    <t xml:space="preserve">
1.The liver and spleen are normal for size._x000D_
2.Abdominal detail is normal._x000D_
3.The stomach is mildly gas and fluid dilated._x000D_
4.There is gas and mild fluid dilation noted within the descending duodenum._x000D_
5.The small bowel contains gas and fluid but is largely normal in diameter throughout._x000D_
6.There is also gas and fluid distention of the cecum and the entire length of the colon._x000D_
7.View GI resource: https://platform.v2.vetology.net/doc/GI_x000D_
8.No abnormal AI findings reported.</t>
  </si>
  <si>
    <t>Eleven radiographs are provided, with images of the thorax, abdomen, thoracolumbar spine, pelvis, stifles. The cardiac silhouette and pulmonary vessels are normal size and shape. There are several incidental pulmonary osteomas. No soft tissue pulmonary nodules or pleural effusion. Normal cranial mediastinal width and tracheal diameter. Narrowed T5-6, T6-7 intervertebral disc spaces, likely incidental._x000D_
_x000D_
In the abdomen the liver, spleen, and kidneys are normal size. Moderate volume soft tissue opaque ingesta in the stomach. Small and large bowel are minimally filled. No radiopaque cystic calculi. The T13-L1 intervertebral foramen, L1-2 intervertebral disc space are narrowed. Vertebral alignment is normal. The coxofemoral joints are congruent and without degenerative change. There is increased opacity overlying the cranial aspect of the right stifle joint, although stifle joint evaluation of both limbs is limited by superimposed prepuce. There are no abnormalities with the right tibial implants.</t>
  </si>
  <si>
    <t>1. Suspect right stifle effusion, concerning for cranial cruciate ligament tear/rupture._x000D_
2. The appearance of T13-L1 and L1-2 may represent a protruding/extruded intervertebral disc. Such a lesion at these or another site is the most likely cause for neurologic deficits._x000D_
3. Normal abdomen and thorax.</t>
  </si>
  <si>
    <t>Recommend palpation for right stifle instability. In light of the neurologic deficits, consultation with a neurologist and advanced spinal imaging such as MRI should be considered.</t>
  </si>
  <si>
    <t xml:space="preserve">
1.No intestinal abnormalities are appreciated._x000D_
2.The cecum is gas filled._x000D_
3.The abdomen is pendulous._x000D_
4.Moderate volume ingesta fills the stomach._x000D_
5.The liver is enlarged._x000D_
6.Splenic size, shape and margin are normal.</t>
  </si>
  <si>
    <t>Three radiographs of the thorax and three views of the abdomen are provided. The cardiac silhouette is normal size and shape. Pulmonary vessels are obscured by the lung pattern. There is a tremendous amount of small variably sized round soft tissue opaque nodules throughout the lungs. The nodules measure up to 1.7 cm, and all lung lobes are severely affected. No pleural effusion. Adequate tracheal diameter. No osseous abnormalities._x000D_
_x000D_
In the abdomen there is scant mid ventral peritoneal effusion. The liver is upper normal size. Normal-sized spleen and kidneys. The gastrointestinal tract is mildly filled. No radiopaque cystic calculi.</t>
  </si>
  <si>
    <t>Scant peritoneal effusion and diffuse, severe pulmonary metastatic disease. Although a mass lesion is not definitively seen, neoplasia originating from the abdomen such as hemangiosarcoma is most likely.</t>
  </si>
  <si>
    <t>Prognosis is very poor.</t>
  </si>
  <si>
    <t>Abdomen: The stomach is gas distended.  There is a several heterogeneous appearing soft tissue opacity within the gastric lumen.  There is no evidence of a small intestinal foreign body or obstruction.  The liver and spleen are unremarkable.  The urinary tract is unremarkable.  Serosal detail is normal.</t>
  </si>
  <si>
    <t>The subtle soft tissue opacity within the gastric lumen may represent gas outlining rugal folds however foreign material cannot be ruled out.</t>
  </si>
  <si>
    <t>Orthogonal views of the thorax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Unremarkable lateral abdomen (spleen summating with the liver)._x000D_
Uterus is not distinguished.</t>
  </si>
  <si>
    <t>1) Unremarkable thorax without signs of pulmonary metastases nor signs of thoracic lymphadenopathy.</t>
  </si>
  <si>
    <t>Consider abdominal US to rule out abdominal metastases and to further evaluate the uterus.</t>
  </si>
  <si>
    <t xml:space="preserve">
1.The mass may be an artifact caused by fluid in the stomach the appearance is more suggestive of a mass involving the spleen._x000D_
2.There is a slight reduction in serosal detail in the abdomen suggestive of a small volume of free fluid._x000D_
3.There is a mildly defined rounded mass effect in the cranial ventral abdomen._x000D_
4.No hepatomegaly is identified however a caudate liver lobe mass extending caudal to the stomach cannot be excluded._x000D_
5.No abnormal AI findings reported.</t>
  </si>
  <si>
    <t>Orthogonal views of the thorax are provided:_x000D_
_x000D_
Thorax:_x000D_
_x000D_
There is severe left atrium enlargement that dorsally displaces the carina, producing an overall severe cardiomegaly._x000D_
The pulmonary veins are enlarged when crossing the 4th ribs._x000D_
There is a peri-hilar and generalized interstitial lung pattern worse in the caudal lung lobes where there is a diffuse caudodorsal alveolo-interstitial pulmonary pattern._x000D_
Normal mediastinum, diaphragm and thoracic wall._x000D_
_x000D_
Liver extends beyond the costal arch with sharp margins.</t>
  </si>
  <si>
    <t>1) Cardiomegaly (left sided), enlarged pulmonary veins with peri-hilar and generalized interstitial lung pattern worse in the caudal lung lobes where there is a diffuse caudodorsal alveolo-interstitial pulmonary pattern. Findings consistent with left sided congestive heart failure secondary to chronic mitral endocardiosis. Rule out tricuspid endocardiosis with post-capillary pulmonary hypertension._x000D_
2) Hepatomegaly: Metabolic vs Vacuolar infiltration vs Early right sided congestive heart failure vs Hepatic nodular hyperplasia vs Inflammatory vs Toxic vs Neoplastic or a combination of these differentials.</t>
  </si>
  <si>
    <t>Consider oxygen supplementation, pro bnp, BP and lasix trial (prior evaluation of the renal function) with recheck radiographs in 12 hours (or sooner if clinically indicated) to re-evaluate and to monitor the response to treatment. Consider a cardiology consultation with ECG and echocardiogram once the patient is stable._x000D_
Consider an abdominal US to further evaluate the hepatomegaly.</t>
  </si>
  <si>
    <t xml:space="preserve">
1.The liver is mildly enlarged, with normal shape and smooth margins._x000D_
2.The spleen and the other organs are within normal limits._x000D_
3.Abdominal detail is adequate._x000D_
4.The stomach and small intestines are within normal limits. No segmental small bowel dilation is noted.</t>
  </si>
  <si>
    <t>The AI result for this case is most compelling for: Mild hepatomegaly. This is a nonspecific finding that could represent a normal variant, steroid hepatopathy, or less likely, acute inflammation or infiltrative neoplasia.</t>
  </si>
  <si>
    <t>Three radiographs of the thorax, and orthogonal views of the abdomen are provided. The cardiac silhouette is normal size on the lateral views. The heart is partially obscured due to lung pattern on the VD projection. There is soft tissue opacity with air bronchograms in the ventral lungs on both sides, markedly worse on the left. No pleural effusion. Tracheal diameter and position are normal. Possible gas and fluid in the caudal esophagus on the lateral views but is not definitively seen on the VD view. Breed-related congenital vertebral malformations in the mid thoracic spine are likely incidental today._x000D_
_x000D_
In the abdomen serosal detail is adequate. Small volume gas in the stomach and throughout the small bowel. Moderate volume of formed feces in the colon. No radiopaque foreign material. Small volume gas and scant amorphous soft tissue density in the stomach. Enlarged prostate questionably visible on the lateral views, consistent with the reproductive status of this patient. The spleen and kidneys are obscured. Both acetabula are shallow, with poor coverage of the femoral heads. Both femoral heads are less rounded than expected, with mild thickened femoral necks. There is degenerative change in one of the stifles.</t>
  </si>
  <si>
    <t>1. Bilateral ventral alveolar pattern most consistent with aspiration pneumonia. Acute pneumonia prior to associated white blood cell changes is suspected. Thromboembolic insult, contusions, or neoplasia are given much lesser consideration._x000D_
2. Dilated caudal esophagus appears to be transient and is likely incidental regurgitation due to positioning for radiographs +/- esophagitis. Megaesophagus is given lesser consideration today._x000D_
3. No intra-abdominal abnormalities._x000D_
4. Bilateral hip dysplasia with subluxation and mild osteoarthritis.</t>
  </si>
  <si>
    <t>Aggressive antibiotics are recommended, with follow-up radiographs upon completion (or sooner if clinical signs worsen) to monitor for resolution of pneumonia and to determine if the esophageal dilation is persistent.</t>
  </si>
  <si>
    <t xml:space="preserve">
1.No gastrointestinal abnormalities._x000D_
2.On the lateral projection, the liver is mildly enlarged._x000D_
3.On the VD projection, a mild decrease in cranial abdominal detail is present. This is suspected to be secondary to caudal extension of the liver._x000D_
4.Splenic size, shape and margin are normal._x000D_
5.As mentioned above, cranial abdominal detail is mildly decreased. A global reduction in abdominal detail is NOT present._x000D_
6.The ventral abdominal line is mildly pendulous.</t>
  </si>
  <si>
    <t>A two view study of the abdomen is provided._x000D_
_x000D_
There is a small quantity of granular mineral density within the intestinal tract. The distal colon and rectum are mildly distended with firm appearing fecal balls. No dilation of the stomach or small intestine is seen. No foreign objects of significant size are identified. Serosal detail is suboptimal, but typical for the young age of the patient. No mass effect or organomegaly is identified.</t>
  </si>
  <si>
    <t>The distended appearance of the distal colon and rectum is compatible with constipation._x000D_
The fragmented mineral density in the intestinal tract is mostly compatible with dirt but could also include tiny bone fragments or tiny bits of foil. No clumps of foil considered an obstructive hazard are identified. There is no obstructive pattern.</t>
  </si>
  <si>
    <t>Symptomatic therapy for gastroenteritis is recommended._x000D_
If the patient is not defecated the next 24 hours, enema could be considered.</t>
  </si>
  <si>
    <t>Three radiographs of the thorax and three views of the abdomen are provided. Images dated 2/21/24 are available for comparison. There is equivocal prominence of the left atrium. Pulmonary vessels are normal size. There is a mild bronchial pattern throughout the lungs. Increased opacity overlying the ventral heart on the lateral view are superimposed skin folds. No definitive interstitial infiltrates. There is no pleural effusion. Adequate tracheal diameter. No esophageal dilation. Fat opaque 4.4 cm lipomatous thickening ventral to the caudal sternum is incidental._x000D_
_x000D_
In the abdomen the liver is prominent as before. Hepatic margins are smooth. Normal-sized spleen and kidneys. The stomach contains a large amount of soft tissue opacity that is stippled with gas. Several ovoid kibble-like contours within the stomach. Small bowel are minimally filled. Formed feces fills the descending colon. No radiopaque cystic calculi. Radiopaque ovoid neuticles seen caudodorsal to the os penis. Punctate mineral density cranial to the left femoral greater trochanter is incidental.</t>
  </si>
  <si>
    <t>1. Gastric contents appears to be normal ingesta. All or a portion of gastric contents could be foreign material causing gastritis and  pyloric outflow obstruction. There is no evidence of small bowel obstruction._x000D_
2. Mild bronchial pattern may be normal age-related change versus airway inflammation due to inhaled irritant/allergens or infectious airway disease. No other abnormalities are identified to explain the cough._x000D_
3. Prominent left atrium consistent with acquired mitral valve disease. There is no pulmonary venous congestion or evidence of heart failure.</t>
  </si>
  <si>
    <t>Recommend supportive care and repeat abdominal radiographs following a confirmed fast +/- positive contrast gastrogram to rule out gastric foreign material. With the volume of gastric contents, extended fast may be necessary. Strictly fasted abdominal ultrasound is another option, as long as there is minimal gas in the stomach at the time of imaging.</t>
  </si>
  <si>
    <t>Three radiographs of the thorax, and three views of the abdomen are provided. The cardiac silhouette and pulmonary vessels are normal size and shape. There are no abnormalities in the pulmonary parenchyma or pleural space. Adequate tracheal diameter._x000D_
_x000D_
In the abdomen there is no effusion. The urinary bladder is mildly filled and soft tissue opaque. No evidence of medial iliac lymphadenomegaly. Normal size, shape, opacity of the kidneys. Normal-sized liver and spleen. The gastrointestinal tract is mildly filled. Osseous structures are normal.</t>
  </si>
  <si>
    <t>Normal thorax and abdomen. There is no evidence of radiopaque urolithiasis. Radiolucent calculi or urinary bladder wall abnormality remains possible.</t>
  </si>
  <si>
    <t>Further evaluation of the urinary tract with ultrasound should be considered.</t>
  </si>
  <si>
    <t>Opposite lateral and VD thoracoabdominal views including the neck are provided for interpretation._x000D_
_x000D_
There is moderate redundant dorsal tracheal membrane in the cervical trachea. The larynx is partially included and no abnormalities are seen. The intrathoracic trachea is within normal limits. The shape of the heart is consistent with mild left atrial dilation. Heart size is borderline to slightly enlarged overall. Pulmonary vessels are normal. There is a mild diffuse bronchial pattern in the lungs. No pleural effusion is seen._x000D_
The abdominal organs are all within normal size and shape limits. No mass lesions or loss of detail are identified. The GI tract is unremarkable._x000D_
No disc space narrowing or spinal subluxation is seen. No soft tissue swelling or destructive/productive bone lesions are identified.</t>
  </si>
  <si>
    <t>There is mild left side cardiomegaly. There is no evidence of heart failure. Mitral regurgitation is the most likely etiology. Relevance to the clinical signs is probably limited._x000D_
_x000D_
There is a mild bronchial pattern. The appearance would be compatible with low-grade bronchitis. Idiopathic or allergic chronic bronchitis would be most likely. Low-grade infectious bronchitis cannot be excluded. No evidence of pneumonia or neoplasia is seen._x000D_
_x000D_
The redundant dorsal tracheal membrane in the cervical trachea is probably incidental in the absence of coughing as a significant clinical sign._x000D_
_x000D_
No abdominal abnormalities or musculoskeletal abnormalities are identified._x000D_
Metabolic or systemic infectious disease should still be ruled out with appropriate lab work.</t>
  </si>
  <si>
    <t>CBC and heartworm test, serum chemistry, and urinalysis is recommended.</t>
  </si>
  <si>
    <t>Three radiographs of the thorax/abdomen, and an oblique lateral radiograph of the head/neck are provided. Images dated 8/29/23 are available for comparison. The cardiac silhouette and pulmonary vessels are normal size. There are mild age-related changes in the lungs, to include several pulmonary osteomas. The cranial lobar bronchus is mildly dilated on the left lateral view, present before and incidental. There is no intrathoracic lymphadenomegaly or pleural effusion. Normal tracheal diameter. In the abdomen the gastrointestinal tract is minimally filled. The urinary bladder is not definitively seen. Normal-sized liver, kidneys, spleen. No osseous abnormalities. On the head/neck image, there is mild soft tissue thickening caudodorsal to the dorsally positioned globe. No adjacent osseous lysis or proliferation. No gas or foreign material within the swelling. Frontal and nasal sinuses are normally air-filled. No mandibular osseous abnormalities are appreciated. No pharyngeal/laryngeal abnormalities.</t>
  </si>
  <si>
    <t>Caudodorsal periocular soft tissue swelling, with no adjacent osseous abnormalities. Etiology is uncertain. An inflammatory process (recent trauma, allergies) is suspected. Soft tissue neoplasia is given lesser consideration. The thorax and abdomen are normal.</t>
  </si>
  <si>
    <t>There is no contraindication for general anesthesia based on this study. If the periocular swelling persists and further evaluation of the head is desired, computed tomography would be recommended.</t>
  </si>
  <si>
    <t xml:space="preserve">
1.The stomach contains a mild to moderate volume of gas and soft tissue material. The gastric axis is cranially positioned due to the microhepatia._x000D_
2.Mild microhepatia is present with cranial positioning to the gastric axis._x000D_
3.Resouce: https://platform.v2.vetology.net/doc/liver_disease_x000D_
4.Splenic size, shape and margin are normal._x000D_
5.Abdominal detail is normal._x000D_
6.The small bowel is diffusely gas- and fluid-filled without segmental small bowel dilation._x000D_
7.The colon contains mild to moderate heterogeneous soft tissue material and gas.</t>
  </si>
  <si>
    <t>Abdomen: There is no evidence of a gastrointestinal foreign body or obstruction.  The prostate is enlarged.  There are numerous urethral calculi at the level of the mid body of the os penis.  Evaluation of the remainder of the urinary tract is compromised by silhouetting and superimposition of adjacent viscera.  The liver and spleen are unremarkable.  Serosal detail is normal._x000D_
_x000D_
Pelvis: There is right coxofemoral joint subluxation with severe shallowed right acetabulum, right acetabulum osseous remodeling, and femoral neck osseous remodeling.</t>
  </si>
  <si>
    <t>Urethral calculi._x000D_
_x000D_
In light of provided history of intact male, the size of the prostate most likely represents benign prostatic hypertrophy however neoplasia cannot be ruled out._x000D_
_x000D_
Right coxofemoral osteoarthrosis.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</si>
  <si>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margins are rounded and extend beyond the costal arch.  The stomach contains a moderate amount of ingesta.  The small intestines are normal in size.  Gas and feces are present in the colon.  The urinary bladder is small.  The remaining abdominal organs are normal.</t>
  </si>
  <si>
    <t>Radiographically normal thorax for patient of this age.  Lack of specific changes does not rule out dynamic tracheal collapse or chronic bronchitis.  Fluoroscopy or bronchoscopy with airway sampling could be considered.  Hepatomegaly=ZZ90= this is a nonspecific finding that may be seen with congestion, vacuolar hepatopathy, inflammation, neoplasia, etc.  Abdominal ultrasound may be helpful in further evaluation if biochemically indicated.</t>
  </si>
  <si>
    <t xml:space="preserve">
1.The liver extends beyond the costal arch with a rounded caudal margin._x000D_
2.Splenomegaly is detected however hepatomegaly extending caudally and overlapping the splenic region can mimic splenomegaly._x000D_
3.There is questionable loss of cranial abdominal serosal detail._x000D_
4.The stomach contains a small amount of gas._x000D_
5.The small intestines are a combination of gas-filled and fluid-filled/collapsed, and all are within normal limits for diameter._x000D_
6.The colon contains a combination of gas and granular fecal material.</t>
  </si>
  <si>
    <t>SPINE (6 radiographs for review). No previous for comparison._x000D_
_x000D_
- The cervical vertebrae and cervicothoracic junction are normal._x000D_
- The thoracic vertebrae and thoracolumbar junction are normal._x000D_
- L2-3 disc space collapse with endplate sclerosis and spondylosis deformans._x000D_
- Lumbosacral junction normal._x000D_
- The sacrum and sacroiliac joints are normal._x000D_
- The pelvic bones are normal._x000D_
- The coxofemoral joints are normal._x000D_
- Dynamic medial luxation of the right patella. Left patella is normally positioned._x000D_
- Mild to moderate bilateral stifle joint periarticular osteophyte formation._x000D_
- Thickening of the left patellar ligament._x000D_
- Mild increased soft-tissue opacity left stifle joint capsule.</t>
  </si>
  <si>
    <t>1. L2-3 intervertebral disc disease. Radiographic specificity for determining sites of spinal cord compression from intervertebral disc disease can be limited/inaccurate, however the changes at this site are relatively prominent.  If clinically indicated, consultation with a veterinary neurologist regarding advanced imaging of the spine might be considered. Otherwise normal spine._x000D_
_x000D_
2. Dynamic medial luxation of the right patella, with mild right stifle osteoarthritis._x000D_
_x000D_
3. The left patellar luxation repair is relatively unremarkable and the osteotomy sites (if performed) are not visible. There is thickening of the left patellar ligament that is compatible with patellar ligament desmitis, which may or may not be related to the prior surgery. There is mild effusion in the left stifle joint. Concurrent cranial cruciate ligament injury is not excluded although seems less likely if there is no lameness reported.</t>
  </si>
  <si>
    <t xml:space="preserve">
1.The stomach contains gas and ingesta or prominent rugae. The small bowel is diffusely fluid filled but without segmental small bowel dilation._x000D_
2.Liver size is normal to upper limits of normal. Liver margin is normal._x000D_
3.Splenic size, shape and margin are normal._x000D_
4.Abdominal detail is normal._x000D_
5.Resource: https://platform.v2.vetology.net/doc/liver_disease</t>
  </si>
  <si>
    <t>Orthogonal radiographs of the thorax, three views of the head, and two views of the abdomen are provided. The cardiac silhouette and pulmonary vessels are normal size and shape. There are no abnormalities in the pulmonary parenchyma. Fat deposition is present in the cranial mediastinum. Tracheal diameter is adequate._x000D_
_x000D_
Head radiographs include two oblique lateral views and a closed mouth dorsoventral projection. There is a lucent halo surrounding the root of one of the caudal left maxillary teeth on the dorsoventral projection. This is likely the 4th premolar or 1st molar. Evaluation of this area is limited on the lateral views due to rotation. Nasal sinuses are normal opacity, with no lysis appreciated. Frontal sinuses are reduced, an incidental variant. Soft tissue thickening ventral to the caudal mandibles. Tympanic bullae are normally air-filled. Round 0.9 cm soft tissue opaque nodule in the right pinna is of doubtful clinical significance today._x000D_
_x000D_
In the abdomen there is no effusion. The liver is upper normal size. Normal-sized spleen and kidneys. There is a round 5.7 cm soft tissue density caudomedial to the left kidney on the VD projection, overlying the ventral abdomen on the lateral view.</t>
  </si>
  <si>
    <t>1. Probable caudal left maxillary tooth root abscess. This is the most likely cause for the reported swelling. Other inflammatory process or neoplasia are given secondary consideration. Thickened caudal submandibular tissue may be lymphadenomegaly versus skin fold. This should be correlated with palpation._x000D_
2. Ventral midabdominal mass-effect. Neoplasia originating from the spleen such as hemangiosarcoma is most likely. Hematoma or hemangioma are next on the differential list._x000D_
3. Normal thorax.</t>
  </si>
  <si>
    <t>Recommend abdominal ultrasound and focused dental imaging.</t>
  </si>
  <si>
    <t xml:space="preserve">
1.Abdominal detail is decreased._x000D_
2.The gastric axis is caudally displaced by the hepatomegaly and the gastric lumen contains amorphous, soft-tissue-opaque material, most consistent with food._x000D_
3.The small intestines are displaced caudally by the hepatomegaly and contain a combination of gas-filled and fluid-filled/collapsed, and all are within normal limits for diameter._x000D_
4.The colon contains a combination of gas and granular fecal material._x000D_
5.The liver is enlarged._x000D_
6.Resource: https://platform.v2.vetology.net/doc/cushings_1_x000D_
7.The spleen is caudally displaced by the hepatomegaly but retains a smooth margin.</t>
  </si>
  <si>
    <t xml:space="preserve">Patient Name : Archer Glefke, Date of study: Jul 22, 2024
6 images are provided for review
Canine Abdomen (3 Images) - 2 Lateral, 1 Vd
Canine Thorax (3 Images) - 2 Lateral, 1 Vd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mildly tall and occupies at least 2/3 the height of the thorax, with slight dorsal tracheal displacement.  The cardiac silhouette has a slightly flat caudodorsal margin.  Sligh lateral displacement of mainstem bronchi is suspected in the ventrodorsal image.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is not well-identified, without obvious enlargement or mineral.  The left kidney is at the lower limits of normal for size.  
Retroperitoneum: Retroperitoneal detail is adequate.
Urogenital: The urinary bladder is normal in size, homogeneous soft tissue, and smoothly marginated.
Peritoneum: Peritoneal detail is adequate.
Gastrointestinal tract: The stomach contains a moderate volume of gas.  Gastric rugal folds are mildly prominent.  The stomach is within normal limits for size.   
The small intestine contains moderate gas and fluid or is empty with a subjectively uniform population for size. 
The colon contains mild heterogeneous soft tissue material and gas.  The colon is within normal limits for size.  
Musculoskeletal: T12-13 is suspiciously narrowed in some of the lateral images.  No obvious mineral is over the intervertebral foramina.   Multifocal thoracolumbar spondylosis deformans is present.  The remaining  included musculoskeletal structures are normal.
</t>
  </si>
  <si>
    <t>1. Suspected left-sided cardiomegaly such as from myxomatous mitral valvular disease and insufficiency, versus artifact from phase of the cardiopulmonary cycle/patient body conformation. 
- There is no evidence of left-sided congestive heart failure.
2. Mild diffuse bronchial pulmonary pattern due to fibrosis from prior disease, age-related changes, infectious/immune-mediated lower airway disease, or unlikely other.
3. Mild left chronic renal disease.
4. Prominent gastric rugal folds such as from non-specific gastritis, or normal variation.
5. Possible T12-13 intervertebral disc disease versus artifact from positioning.</t>
  </si>
  <si>
    <t>Consider routine blood work, and echocardiography, eCG and blood pressure, especially if a murmur is later identified.  Consider neurologist consultation given reported right hind limb proprioceptive deficits and advanced imaging depending on results.  Consider GI panel, fecal analysis/deworming for further evaluation given reported fecal staining and non-specific signs (hyporexia, etc.).  Empirical therapy and supportive care in the interim as needed.  Consider abdominal ultrasonography for further evaluation, especially if signs fail to improve or worsen.  Monitoring as directed or sooner if clinical signs acutely change, fail to improve or worsen.</t>
  </si>
  <si>
    <t>Six radiographs are provided, reviewed images of the thorax, abdomen, pelvis, stifles. There is mild left atrial and ventricular enlargement. Pulmonary vessels are normal size. No abnormalities in the pulmonary parenchyma. Adequate tracheal diameter. Mild narrowed T12-13 intervertebral disc space, of doubtful clinical significance today. There is large volume formed feces fills the distal descending colon. The fecal column measures up to 1.9 cm diameter, which is relatively large for this patient. The stomach and small bowel are minimally filled. Normal-sized liver, spleen, kidneys. No radiopaque urolithiasis. The prostate is not definitively delineated._x000D_
The coxofemoral joints are congruent. Pelvic limb musculature is approximately symmetric. Patella location is normal. No definitive stifle joint effusion. Smoothly contoured broad-based 0.5 x 0.1 cm osseous protuberance along the cranial aspect of the mid right tibial diaphysis is incidental. No popliteal lymphadenomegaly.</t>
  </si>
  <si>
    <t>1.Mild left-sided cardiomegaly consistent with acquired mitral valve disease. There is no pulmonary venous congestion or evidence of heart failure. Otherwise normal thorax._x000D_
2. Probable constipation. No other intra-abdominal abnormalities._x000D_
3. Normal pelvic limbs. Soft tissue sprain/strain remains possible.</t>
  </si>
  <si>
    <t>If the patient does not rapidly improve following enema administration, abdominal ultrasound would be recommended. Follow-up echocardiogram should also be considered to help guide treatment.</t>
  </si>
  <si>
    <t xml:space="preserve">
1.Serosal detail is adequate._x000D_
2.The liver and spleen are within normal limits._x000D_
3.No abnormal AI findings reported._x000D_
4.The stomach is mildly gas and fluid filled with some soft tissue density material. The small bowel is gas and fluid-containing. No obvious obstruction.</t>
  </si>
  <si>
    <t>Orthogonal views of the abdomen are provided (poorly exposed cranial abdomen):_x000D_
_x000D_
Abdomen:_x000D_
_x000D_
There is abdominal distension with a poorly exposed cranial abdomen with poor contrast._x000D_
The stomach contains food._x000D_
Small intestines are mildly gas and fluid filled, not overtly distended. No signs of mechanical ileus._x000D_
Serosal detail is preserved._x000D_
Liver and spleen are within normal limits of size and smoothly marginated._x000D_
Kidneys are WNL. Tiny cystic calculi in the urinary bladder. No evidence of urethral calculi.</t>
  </si>
  <si>
    <t>1) Tiny cystic calculi in the urinary bladder._x000D_
2) Cranial abdomen can not be evaluated in this study.</t>
  </si>
  <si>
    <t>Consider abdominal US to further evaluate causes of V/D and the urinary tract with renal function test, urinalysis, UPC and urine culture.</t>
  </si>
  <si>
    <t xml:space="preserve">
1.The liver is upper limits of normal for size to mildly enlarged but retains smooth margins._x000D_
2.Small volume ingesta is present within the stomach._x000D_
3.Small intestines are displaced into the mid and caudal abdomen but the bowel diameter is normal._x000D_
4.Formed feces is present in the colon._x000D_
5.A soft tissue mass effect is present in the mid-abdomen causing bowel displacement from this region._x000D_
6.Pendulous abdomen secondary to organomegaly._x000D_
7.Abdominal detail is diffusely decreased diffusely but with the most severe decrease in abdominal detail caudal to the stomach.</t>
  </si>
  <si>
    <t xml:space="preserve">Patient Name : Dixie Guertin, Date of study: Jul 22, 2024
3 images are provided for review
There are no previous radiographs for comparison.
Pulmonary parenchyma: A minimal to mild diffuse interstitial and minimal bronchial pattern is present.
Pulmonary vasculature: The pulmonary vasculature is subjectively normal in size and tapers in the periphery of the lungs.
Cardiac silhouette: The cardiac silhouette is subjectively normal in size and shape.
Mediastinum: The cranial mediastinum is excluded.
Trachea: The trachea is normal.
Esophagus: The esophagus is not well-identified.
Pleural space: The pleural space is normal.
Liver: The liver is subjectively normal in size.
Spleen: Arising from the mid-abdomen in the region of the spleen is a large, well-defined, ovoid soft tissue mass.  The spleen is normal in size with smooth margins and homogeneous soft tissue.  This results in rightward, caudal and dorsal displacement of the intestine.  In the ventrodorsal image, this mass is confluent with the spleen and the spleen has undulant/nodular margins.  
Kidneys: The kidneys are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volume of gas.  Gastric rugal folds are mildly prominent.  The stomach is within normal limits for size.
The small intestine contains fluid or is empty with a subjectively uniform population for size. 
The colon contains minimal soft tissue material and gas.
Musculoskeletal: Multifocal thoracolumbar spondylosis deformans is present.  The remaining included musculoskeletal structures are normal.
</t>
  </si>
  <si>
    <t xml:space="preserve">1. Large mid-abdominal splenic soft tissue mass.
- The primary differential diagnosis is neoplasia such as hemangiosarcoma or less likely hemangioma, hematoma or other.
- No obvious peritoneal fluid is identified.
2. Minimal-mild diffuse interstitial pulmonary pattern due to fibrosis from prior disease, age-related changes, hypoinflation/artifact, or less likely other.  </t>
  </si>
  <si>
    <t>Consider abdominal ultrasonography versus computed tomography for further evaluation of the spleen/abdomen and for a more sensitive evaluation of the lungs for occult systemic disease.  Routine blood work if not recently performed.  Splenectomy and histopathology as well as oncologist consultation for further evaluation.  Empirical therapy and supportive care in the interim as needed.  Monitoring as directed or sooner if clinical signs acutely change, fail to improve or worsen.</t>
  </si>
  <si>
    <t xml:space="preserve">
1.The gastrointestinal tract is within normal limits except in a small number of cases where severe gastric distention mimics the finding of hepatomegaly or a liver mass._x000D_
2.The liver is enlarged with suspicion of asymmetric hepatomegaly or a liver mass._x000D_
3.The spleen is mildly enlarged with a focal bulge in the splenic capsular margin._x000D_
4.There is reduced abdominal serosal detail.</t>
  </si>
  <si>
    <t>A three view thoracoabdominal study is provided for interpretation._x000D_
_x000D_
The cardiovascular structures are within normal limits. No pulmonary infiltrates or bronchial thickening are identified. No tracheal abnormalities are seen._x000D_
The liver is mildly enlarged. The appearance is more prominent than in the previous radiographs on this patient. The right kidney is not clearly visualized and could be small. The spleen is prominent but still within normal size limits. No abnormalities are identified involving the gastrointestinal tract. Serosal detail in the abdomen is normal.</t>
  </si>
  <si>
    <t>The GI tract is unremarkable. No radiographic abnormalities that would explain the vomiting are identified._x000D_
_x000D_
There is mild hepatomegaly. Clinical significance of this finding varies. Significant hepatitis could be present, but incidental metabolic or endocrine associated hepatopathies could appear similar. Lymphoreticular neoplasia should also be ruled out as a less likely possibility depending on the severity of illness._x000D_
_x000D_
The cause of cough is also not apparent in the radiographs. Viral or allergic lung disease could still be present.</t>
  </si>
  <si>
    <t>Symptomatic therapy and supportive care as needed is recommended.</t>
  </si>
  <si>
    <t xml:space="preserve">
1.Splenic size, shape and margin are normal._x000D_
2.Formed feces in the distal colon._x000D_
3.In most cases, the stomach and small bowel are minimally filled however in a small number of cases, gastric distention will silhouette with the liver artifactually creating the appearance of hepatomegaly._x000D_
4.On the lateral projection, the liver is mildly enlarged with rounded margins. Less commonly, gastric distention silhouetting with the liver can trigger this AI result._x000D_
5.Abdominal detail is satisfactory._x000D_
6.The ventral abdominal line is pendulous._x000D_
7.Resource: https://platform.v2.vetology.net/doc/liver_disease</t>
  </si>
  <si>
    <t>6 images of the thorax and abdomen are provided for review.  The cardiovascular structures are normal.  There is a moderate bronchial pattern in all lung lobes.  The mediastinal and pleural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</si>
  <si>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Moderate bronchial pulmonary pattern, likely inflammatory change secondary to her pulm disease illness patient.  No cardiovascular changes to contraindicate therapy.</t>
  </si>
  <si>
    <t>Three radiographs of the thorax, and three views of the abdomen are provided. Images dated 12/26/23 are available for comparison. The cardiac silhouette is normal size and shape with no chamber enlargement. There is a mild unstructured interstitial pattern consistent with age and superimposed subcutaneous fat. Faint bronchial markings are present. No pleural effusion. Slight narrowed cervical trachea on the right lateral view compared to the left lateral projection. No laryngeal abnormalities._x000D_
_x000D_
In the abdomen the liver is upper normal size as before. Hepatic margins are smooth. The kidneys are obscured. The gastrointestinal tract is mildly filled. The curved fat opaque lipomatous contour measuring 10.5 cm again identified overlying the retroperitoneal space and causing ventral displacement of intestines. There are similar size lipomatous lesions in the flank region on either side of the VD projection as before. Narrowed L4-5 and L5-6 intervertebral disc spaces with mild ventral spondylosis deformans, mildly progressive and of doubtful clinical significance today.</t>
  </si>
  <si>
    <t>This study is essentially unchanged compared to the previous study. Cervical tracheal diameter varies between the two current lateral images. Coupled with the variations seen on the previous study, this is consistent with dynamic collapse and is the most likely cause for coughing. Faint bronchial markings may represent normal aging change. Chronic airway inflammation such as bronchitis may be present and contributing to the cough. Otherwise normal thorax and abdomen.</t>
  </si>
  <si>
    <t>Recommend weight management, symptomatic treatment for the cough, and utilization of a body harness in place of a neck read.</t>
  </si>
  <si>
    <t xml:space="preserve">
1.Detail in the abdomen is adequate to mildly decreased._x000D_
2.The stomach is displaced caudally by the hepatomegaly. No significant gastric distention is noted. The small intestinal tract is normal in diameter._x000D_
3.The liver is enlarged with rounded borders._x000D_
4.The spleen is prominent and mostly in the left side of the abdomen.</t>
  </si>
  <si>
    <t>A ventral dorsal radiograph of the thorax/abdomen, and a lateral view of the thoracolumbar spine are provided. Images dated 7/28/2020 are available for comparison. Cardiovascular structures are normal size. There are faint bronchial markings consistent with age. No soft tissue pulmonary nodules or pleural effusion. Fat deposition in the cranial mediastinum. Congenital breed-related vertebral malformations in the thoracic spine. In the abdomen there is no effusion or organomegaly. Formed feces fills the distal colon. The stomach and small bowel are minimally filled. Normal-sized spleen. The gastric axis is in normal position. The kidneys are obscured. No radiopaque cystic calculi. No definitive narrowed lumbar intervertebral disc bases.</t>
  </si>
  <si>
    <t>Congenital vertebral malformations are typically incidental, however can predispose to spinal canal stenosis and instability. Intervertebral disc disease is the most likely cause for the clinical signs. The abdomen and thorax are normal.</t>
  </si>
  <si>
    <t>Recommend consultation with a neurologist and advanced spinal imaging with CT/MRI.</t>
  </si>
  <si>
    <t xml:space="preserve">Patient Name : Atlas Henson, Date of study: Jul 22, 2024
5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and fluid or is empty.  The pylorus contains gas in the left lateral image.  The stomach is within normal limits for size.  Gastric rugal folds are mildly prominent.  
The small intestine contains mild fluid or is empty with a subjectively uniform population for size. 
The colon contains mild gas.  The colon is normal in size.
Musculoskeletal: The included musculoskeletal structures are normal.
</t>
  </si>
  <si>
    <t>1. Prominent gastric rugal folds such as from non-specific gastritis versus variation of normal.  
2. Non-specific small intestinal and colon changes such as from enteritis/colitis or individual variation of normal.
- There is no evidence of mechanical ileus.
- Differential diagnoses include dietary indiscretion, toxin ingestion, diet/antibiotic responsive disease, inflammatory bowel disease, parasitism/primary infectious disease, or unlikely other.</t>
  </si>
  <si>
    <t>Empirical therapy for gastroenterocolitis in the interim as needed.  Consider GI panel, fecal analysis/deworming and routine blood work if not recently performed.  Diet elimination trial requires a single protein source/single nutrition source to be effective, consider internist consultation.  Monitoring as directed or sooner if clinical signs acutely change, fail to improve or worsen.</t>
  </si>
  <si>
    <t>Prominent rugal folds suggestive of gastritis.  This does not rule out underlying pancreatitis, dietary discretion, etc.</t>
  </si>
  <si>
    <t>Four radiographs of the thorax/abdomen are provided. The cardiac silhouette and pulmonary vessels are normal size and shape. There are no abnormalities in the pulmonary parenchyma or pleural space. No intrathoracic lymphadenomegaly. Tracheal diameter is adequate. In the abdomen there is round lobulated soft tissue opaque mass measuring at least 10.5 cm in the cranioventral great abdomen. No definitive gastric axis deviation on the lateral view, where the mass extends caudal to the stomach. There is severe leftward deviation of the stomach and proximal descending duodenum on the VD projection. Scant adjacent effusion. Normal-sized splenic head and both kidneys. The gastrointestinal tract is mildly filled. No radiopaque urolithiasis.</t>
  </si>
  <si>
    <t>1. Large cranial right abdominal mass, with scant adjacent effusion. Neoplasia originating from the liver such as carcinoma or hemangiosarcoma is most likely. A large hepatic cyst or abscess is given much lesser consideration._x000D_
2. Normal thorax.</t>
  </si>
  <si>
    <t>Three radiographs of the abdomen are provided. Images dated 7/17/2020 are available for comparison. There is moderate volume kibble-like soft tissue density in the stomach. Small and large bowel are mildly filled. There is no effusion. Normal-sized liver, spleen. The kidneys are partially visible, with no abnormalities appreciated. The urinary bladder is minimally distended. No radiopaque cystic calculi. Congenital vertebral malformations in the caudal thoracic and mid lumbar spine are likely incidental today. One of the patellas is medially/laterally displaced on one of the lateral views.</t>
  </si>
  <si>
    <t>Normal abdomen. There is no radiopaque urolithiasis. Radiolucent calculi or urinary bladder wall lesion remain possible.</t>
  </si>
  <si>
    <t>Ultrasound evaluation of the urinary tract is recommended.</t>
  </si>
  <si>
    <t>Nine radiographs are provided, with images of the head/neck, and thorax. There is small (2.2 cm) soft tissue bulge ventral to the larynx on the lateral views. This may be due to superimposed skin fold, as a collar contour is immediately adjacent to this area. No laryngeal or hyoid apparatus abnormalities. The common pharyngeal region is normally air-filled. No skull abnormalities. On the VD view, the cervical trachea is sharply deviated towards the right at the level of C2-3. No persistent tracheal deviation on the lateral views. The cardiac silhouette and pulmonary vessels are normal size and shape. No abnormalities in the pulmonary parenchyma. There is no pleural effusion. Normal cranial mediastinal width. Several incidental pulmonary osteomas. Normal proximal thoracic limbs._x000D_
_x000D_
In the abdomen there is no effusion. Formed feces fills the distal colon. The stomach and small bowel are mildly filled. Normal-sized liver, spleen, kidneys. No osseous abnormalities.</t>
  </si>
  <si>
    <t>1. Rightward deviation of the cranial cervical trachea, possibly related to the reported mass lesion. Origin of the lesion is not known. A granuloma, abscess, or soft tissue neoplasm should be considered. Thyroid carcinoma is not ruled out._x000D_
2. Normal thorax and abdomen.</t>
  </si>
  <si>
    <t>Cytology of the cervical lesion is recommended for a definitive diagnosis. Additional imaging of the lesion with ultrasound or CT could be considered.</t>
  </si>
  <si>
    <t>Three radiographs of the thorax, and orthogonal views of the abdomen are provided. Images dated 5/25/23 are available for comparison. There is equivocal prominence of the left atrium as before. Cardiac to thoracic ratio and pulmonary vessel size is normal. Mild age-related changes in the lungs. No soft tissue pulmonary nodules or pleural effusion. Adequate tracheal diameter._x000D_
_x000D_
In the abdomen there is no effusion. The liver, spleen, and left kidney are normal size. The right kidney is obscured. Moderate volume soft tissue opaque ingesta. Small bowel and colon are minimally filled. Round gas lucency in the mid right abdomen is normal cecum. No radiopaque cystic calculi. The cranioventral left extra abdominal mass on the previous study is not present today. Osseous structures are unremarkable.</t>
  </si>
  <si>
    <t>Equivocal prominent left atrium as before, suggestive of acquired mitral valve disease. This is of no clinical significance today. Otherwise normal thorax and abdomen.</t>
  </si>
  <si>
    <t>Two lateral radiographs of the thorax/abdomen, VD pelvis, and lateral view of each stifle are provided. Images dated 4/12/24 are available for comparison. Moderate to severe cardiomegaly is again identified. Subsequent dorsal deviation of the thoracic trachea and mainstem bronchi. No abnormalities in the pulmonary parenchyma or pleural space. Adequate tracheal diameter. The mainstem bronchi are compressed. In the abdomen there is no effusion or organomegaly. Two small wire or objects in the cranioventral abdomen as before, incidental. Formed feces fills the colon. The stomach and small bowel are minimally filled. No radiopaque urolithiasis. Narrowed T12-13 intervertebral disc space as before. No other definitive spinal abnormalities. The coxofemoral joints are congruent. The left patella is medially displaced. Pelvic limb musculature is reduced on the left. No right stifle joint abnormalities. Left stifle evaluation is limited by rotation. No lysis, fracture, subluxation. No popliteal lymphadenomegaly.</t>
  </si>
  <si>
    <t>1. The appearance of T12-13 is similar to the previous study and intervertebral disc disease at this or another site is the most likely cause for the pelvic limb weakness._x000D_
2. Medial patellar luxation on the left._x000D_
3. Moderate to severe cardiomegaly, unchanged. This is consistent with acquired mitral and tricuspid valve disease. There is no pulmonary venous congestion or evidence of heart failure, however there is mainstem bronchial compression. No other thoracic abnormalities._x000D_
4. Normal abdomen.</t>
  </si>
  <si>
    <t xml:space="preserve">
1.Mineral dense material and distended viscus are present in the region of the uterine horns._x000D_
2.In cases of pregnancy, fetal mineralization indicates fetal age of &gt;45 days._x000D_
3.IMPORTANT: This AI evaluation currently DOES NOT assess for the presence of fetal mummification and/or abnormal gas within or around the fetus (fetal viability) and/or fetal number._x000D_
4.The liver is mildly enlarged but with smooth margins. No liver mass is noted._x000D_
5.Abdominal detail is normal however the abdomen is mildly pendulous._x000D_
6.The stomach is normal. The small bowel contains gas and fluid but no segmental small bowel dilation is noted._x000D_
7.Splenic size, shape and margin are normal.</t>
  </si>
  <si>
    <t xml:space="preserve">
Further evaluation of the liver via blood work +/- pre- and post-prandial bile acids._x000D_
Adrenal function testing if clinical signs are suggestive of Cushing's disease._x000D_
Abdominal ultrasound if a hepatopathy and/or metabolic cause (i.e. Cushing's disease or diabetes) for the hepatomegaly is present._x000D_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generate._x000D_
Evaluate fetal skeletal structures on radiographs, via ultrasound or submit for radiology review if fetal number and/or evaluation of fetal viability is needed.</t>
  </si>
  <si>
    <t>Patient Name : Temmie Keating, Date of study: Jul 21, 2024
6 images are provided for review
There are no previous radiographs for comparison.
The stomach contains gas and homogeneous soft tissue.  
There is a segment of bowel in the mid-abdomen which courses in a "reverse C" shape, on the right lateral images the segment is predominantly filled with homogeneous soft tissue, and on the left lateral images there is gas filling of the segment.  The segment measures ~2.6 cm in diameter.
The small intestines are uniformly measuring ~0.8 cm in diameter and contain gas and homogeneous soft tissue.  The colon measures 2.0 cm in diameter and contains unformed feces.
The liver, spleen, kidneys, and urinary bladder are normal.
The serosal detail is normal.
There is multifocal spondylosis deformans.
The caudal thorax is normal.</t>
  </si>
  <si>
    <t>1. Central abdominal distended segment of bowel.  This segment is suspected to be small intestinal, and therefore is concerning for a small intestinal mechanical obstruction.  A distinct foreign body is not seen, therefore radiolucent foreign bodies or an extraluminal obstruction (e.g. small intestinal mass) are considered.  Less likely consider that the segment is colonic.</t>
  </si>
  <si>
    <t>Abdominal ultrasonography may be useful to confirm small intestinal mechanical obstruction and determine if this is due to foreign body or a small intestinal mass.  Exploratory surgery without further imaging may also be considered.</t>
  </si>
  <si>
    <t xml:space="preserve">
1.Cranial abdominal detail, caudal to the stomach, is slightly decreased._x000D_
2.There is a small to moderate quantity of normal appearing soft tissue dense ingesta in the stomach._x000D_
3.On the VD projection, at least one gas filled, rigid appearing bowel segment is present._x000D_
4.Liver size, shape and margin are normal._x000D_
5.On the VD projection, there is increased soft tissue opacity in the splenic region. This may be due to splenomegaly or superimposition of a normal spleen and the left kidney. No splenic mass is identified.</t>
  </si>
  <si>
    <t>Patient Name : Miracle Martinez, Date of study: Jul 21, 2024
3 images are provided for review
There are no previous radiographs for comparison.
Findings:
Thorax:
There is mild dynamic narrowing of the intrathoracic trachea (being more narrowed on the right lateral image).
The cardiac silhouette is tall and wide, causing dorsal displacement of the trachea, and there is bulging soft tissue in the region of the left atrium.
The lungs are normal.
The pleural space is normal.
Abdomen:
The liver is enlarged and has rounded margins.
The gastrointestinal tract, spleen, kidneys, and urinary bladder are normal.
The serosal detail is normal.
There are several thin curvilinear metallic structures in the peritoneum, seen in the right cranial abdomen, 1 of which is superimposed with the liver.
There are multiple narrowed lumbar intervertebral disc spaces, and there is associated spondylosis deformans.
There are 3 metallic sutures along the midline of the cranioventral abdominal body wall.</t>
  </si>
  <si>
    <t>1.  Dynamic tracheal narrowing due to chondromalacia.
2.  Left cardiomegaly, due to mitral insufficiency, no congestive heart failure.
3.  Nonspecific hepatomegaly (vacuolar/endocrine hepatopathy, hepatitis, or neoplasia).
4.  Incidental peritoneal wire foreign bodies.
5.  Multifocal lumbar intervertebral disc disease.</t>
  </si>
  <si>
    <t>Given the signalment, history, and imaging findings, tracheal collapse is the most likely cause of the patient's cough.  As radiographs are less insensitive for airway disease, tracheoscopy and/or fluoroscopy may be considered for further evaluation of the airways.  
An echocardiogram may be useful for further assessment of the patient's heart murmur.
Peritoneal wire foreign bodies are an incidental finding, it is rare for this to lead to clinical signs.</t>
  </si>
  <si>
    <t xml:space="preserve">Patient Name : Diesel Garcia, Date of study: Jul 21, 2024
3 images are provided for review
There are no previous radiographs for comparison.  Presumed left lateral image has an electronic "R" label.  Mild motion in the ventrodorsal image.
Liver: The liver is subjectively normal in size.
Spleen: The spleen is normal in size with smooth margins and homogeneous soft tissue.
Kidneys: The kidneys are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to large volume of heterogeneous soft tissue material and gas.  Soft tissue material is suspecte din the pylorus in the left lateral image that is partially surrounded by gas.  Mild gas is suspected in the descending duodenum in the left lateral image.  
The small intestine contains mild to moderate heterogeneous soft tissue material admixed with gas.  The small intestine has a subjectively uniform population for size. 
The colon contains moderate heterogeneous soft tissue material and gas.  The colon is subjectively normal in size.  
Musculoskeletal: The included musculoskeletal structures are normal.
</t>
  </si>
  <si>
    <t>1. Suspicious for gastric foreign material with/without evolving or current pyloric outflow tract obstruction.
- This is consistent with reported history of dietary indiscretion.  
2. Non-specific small intestinal changes such as from passing ingesta/foreign material with/without enteritis, or less likely variation of normal.
- There is no current evidence of small intestinal mechanical ileus.</t>
  </si>
  <si>
    <t>Consider gastroscopy for retrieval of suspicious gastric material given reported history, especially if signs of vomiting manifest.  The identified duodenum is suspected to be normal in the left lateral image, ruling down possibility of evolving pyloroduodenal obstruction and stranding linear material from the pylorus. Empirical therapy and supportive care for gastritis/enteritis in the interim as needed. Medical therapy and monitoring for passage of gastric material could be attempted. Monitoring as directed or sooner if clinical signs acutely change, fail to improve or worsen.</t>
  </si>
  <si>
    <t xml:space="preserve">
1.Moderate volume soft tissue opacity and/or gas fills the stomach._x000D_
2.Small intestines are mildly filled with a mixture of fluid and gas._x000D_
3.No segmental small intestinal distention is present._x000D_
4.No effusion is present._x000D_
5.The liver and spleen are normal size._x000D_
6.No abnormal AI findings reported.</t>
  </si>
  <si>
    <t>Patient Name : Molly Whisten, Date of study: Jul 21, 2024
3 images are provided for review
Canine Abdomen (3 Images) - 1 VD, 2 Lateral
There are no previous radiographs for comparison.
Findings:
Thorax:
There is bulging soft tissue in the region of the left atrium.  
The lungs are normal.
The pleural space is normal.
Abdomen:
The stomach contains a small amount of gas.  The small intestines are normal and uniform in size and contain gas and homogeneous soft tissue.  The colon contains gas and homogeneous soft tissue.
The liver, spleen, kidneys, and urinary bladder are normal.
There are small mineral structures caudal to the kidneys and dorsal to the cranial margin of the urinray bladder.
The osseous structures are normal.</t>
  </si>
  <si>
    <t>1.  No gastrointestinal mechanical obstruction.
2.  Left atriomegaly, due to mitral insufficiency.  There is no congestive heart failure.
3.  Mineralized spay granulomas (ovarian pedicles and uterine stump).</t>
  </si>
  <si>
    <t>An abdominal ultrasound may be useful if clinical signs are persistent despite medical management.</t>
  </si>
  <si>
    <t>Patient Name : Kingston Anzola, Date of study: Jul 21, 2024
3 images are provided for review
There are no previous radiographs for comparison.
Findings:
The stomach contains gas several tubular mineral opaque structures, which are persistently in the pyloric region on all images.
There are a few small intestinal segments which contain mineral small mineral structures, and there is also a segment in the caudoventral abdomen (best seen on the right lateral image) which contains heterogeneous soft tissue.  Best seen on the VD image, there are a few small intestinal segments in the left caudal abdomen which have a serpentine course and contain some pointed gas bubbles.
The liver, kidneys, and urinary bladder are normal.
The musculoskeletal structures are normal.
The caudal thorax is normal.</t>
  </si>
  <si>
    <t>1. Gastric (pyloric) foreign material with suspected small intestinal linear foreign body obstruction.</t>
  </si>
  <si>
    <t>Abdominal ultrasonography may be useful to confirm presence/absence of small intestinal linear foreign body.  Alternatively, exploratory surgery may be pursued as there is definitive gastric foreign matter and suspected small intestinal linear foreign matter.</t>
  </si>
  <si>
    <t>Patient Name : Beau Wallace, Date of study: Jul 21, 2024
4 images are provided for review
There are no previous radiographs for comparison.
Findings:
The stomach contains a small amount of gas.  The small intestines are normal and uniform in size and contain gas and homogeneous soft tissue.  The colon contains gas and feces, and there is also a 12mm long rectangular mineral structures in the descending colon.
The liver, spleen, kidneys, and urinary bladder are normal.
The serosal detail is normal.
T13 has hypoplastic ribs.
The caudal thorax is normal.  Transferred</t>
  </si>
  <si>
    <t>1. Colonic foreign matter (mineral, possible bone fragment).
2. There is no intestinal mechanical obstruction.  Given the patient history, findings are most likely due to gastroenteritis.</t>
  </si>
  <si>
    <t xml:space="preserve">An abdominal ultrasound may be useful if clinical signs are persistent despite medical management.
</t>
  </si>
  <si>
    <t>3 views of the thorax are provided for review.  The trachea is mildly dorsally deviated, indicating left ventricular enlargement.  There is straightening of the caudal cardiac waist in the region of the left atrium.  No pulmonary infiltrates or nodules are seen.  The pulmonary vasculature is normal in size.  The mediastinal and pleural structures are normal.  Cranial abdominal detail is adequate.</t>
  </si>
  <si>
    <t>Mild left-sided cardiomegaly without current evidence of cardiogenic pulmonary edema.</t>
  </si>
  <si>
    <t>Echocardiography may be helpful in further evaluation.</t>
  </si>
  <si>
    <t>Patient Name : Oreo roberts, Date of study: Jul 21, 2024
3 images are provided for review
There are no previous radiographs for comparison.
Findings:
The stomach contains gas.  The small intestines are normal and uniform in size and contain predominantly homogeneous soft tissue.  The colon contains gas and some unformed feces.
The liver, spleen, kidneys, and urinary bladder are normal.
The serosal detail is normal.
The musculoskeletal structures are normal.
The caudal thorax is normal.</t>
  </si>
  <si>
    <t>1. Non-specific gastrointestinal tract changes, given the patient history, findings are most likely due to gastroenterocolitis which may be due to a dietary indiscretion, toxin ingestion, parasitism/primary infectious disease, or pancreatitis or occult systemic disease.  There is no current evidence of gastrointestinal mechanical obstruction.</t>
  </si>
  <si>
    <t>If clinical signs are persistent despite medical management, then repeated imaging and further laboratory testing may be useful.</t>
  </si>
  <si>
    <t xml:space="preserve">
1.Splenic size, shape and margin are normal._x000D_
2.Detail in the abdomen is adequate._x000D_
3.The stomach is distended with gas, fluid and some granular luminal material._x000D_
4.The small intestinal track is mostly fluid filled and mildly dilated._x000D_
5.There is soft appearing fecal material within the colon._x000D_
6.The entire liver or a portion of the liver is at the lower limits of  normal for size to slightly small.</t>
  </si>
  <si>
    <t xml:space="preserve">Patient Name : Bella Arango, Date of study: Jul 21, 2024
3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gas and minimal fluid. The stomach is normal in size subjectively.
In the craniodorsal and mid-abdomen is a segment of intestine that is severely enlarged and contains gas and fluid/soft tissue material. SMall intestinal segments contains mild to moderate gas and are displaced into the caudodorsal abdomen as a result of the enlarged intestinal segment.  
The identified descending colon segment contains mild heterogeneous soft tissue material and gas.  The transverse and ascending colon are not well-identified.  
Musculoskeletal: The included musculoskeletal structures are normal.
</t>
  </si>
  <si>
    <t>1. Severe enlargement of an intestinal segment with minimal fluid/soft tissue material and gas.
- Given reported acute onset of vomiting, this is suspicious for a severely enlarged small intestinal segment such as from mechanical ileus and occult foreign material, or intussusception or less likely other.
- If this segment is the colon, consider mechanical ileus from intussusception (ileocolic, cecocolic or other), or unlikely partial torsion, or foreign material or mass/other.</t>
  </si>
  <si>
    <t>Consider pneumocolonogram and/or compression images over the enlarged intestinal segments to further assess if the segment is small intestinal or colonic.  Abdominal ultrasonography may also be contributory. 
Consider celiotomy and decompression/enterotomy if mechanical ileus is confirmed.  Consider CBC, serum biochemistry to screen for occult systemic disease if not recently performed.  Empirical therapy and supportive care in the interim as needed.  Monitoring as directed or sooner if clinical signs acutely change, fail to improve or worsen.</t>
  </si>
  <si>
    <t>Opposite lateral and VD views of the thorax and abdomen, orthogonal pelvis views, and lateral views of both stifles are provided. There are 12 images total._x000D_
_x000D_
There is an approximately 8 x 10 cm moderately well marginated ovoid mass caudal to the right distal femur in the right lateral stifle view. This lesion appears soft tissue dense in this view, and possibly associated with the popliteal lymph node. In the VD view this mass effect appears as if it may be fat dense. Moderate enlargement of popliteal lymph nodes on the left side is identified. No significant abnormalities are seen involving the stifle joints._x000D_
No mass is visible in the hip region. The pelvis and hip joints are within normal limits. No sublumbar soft tissue abnormalities are seen. There is moderate to severe lumbosacral spondylosis and severe spondylosis involving the cranial lumbar spine. No destructive bone lesions are identified._x000D_
There is an elliptical mineral opacity lateral to the right hip in the VD pelvis view that appears subjectively benign and is suspected to be an incidental mineral deposit in this area. The cardiovascular structures are within normal limits. Bronchial markings are mildly increased but within the limits of age related change. No pulmonary nodules or pleural effusion are seen. There is a fat dense subcutaneous mass consistent with a lipoma on the right caudal thorax._x000D_
_x000D_
The abdominal organs are all within normal size and shape limits. No mass lesions or loss of detail are seen in the abdomen.</t>
  </si>
  <si>
    <t>There is suspicion of a large soft tissue mass in the right caudal thigh region. This might be the mass indicated in the history. Neoplasia is the primary differential. A cystic lesion could appear similar but would be unusual in this location. Cystic lymph node is a possibility. No bone involvement is seen._x000D_
_x000D_
The left popliteal lymph nodes enlarged. The appearance would be most compatible with reactive change. Lymphoreticular neoplasia should still be ruled out._x000D_
_x000D_
No significant thoracic or abdominal abnormalities are identified._x000D_
_x000D_
The lumbar spondylosis is considered incidental.</t>
  </si>
  <si>
    <t>Follow up imaging such as ultrasound or CT to evaluate the right proximal hind limb mass could be helpful. If this lesion is not cystic, biopsy is indicated._x000D_
The left popliteal lymph node appears enlarged. FNA for cytologic evaluation should be considered.</t>
  </si>
  <si>
    <t xml:space="preserve">Patient Name : Chapo Cisneros, Date of study: Jul 20, 2024
3 images are provided for review
Canine Thorax (3 Images) - 1 Vd, 2 Lateral
There are no previous radiographs for comparison.
Pulmonary parenchyma: A  mild to moderate diffuse bronchial pattern is present.  A minimal to mild diffuse interstitial pulmonary pattern is present.  This is more severe in the right cranial lung in the ventrodorsal image, and the lungs are mildly hypoinflated in all images.  
Pulmonary vasculature: The pulmonary vasculature is subjectively normal in size and tapers in the periphery of the lungs.
Cardiac silhouette: The cardiac silhouette enlarged and tall, occupying greater than 2/3 the height of the cardiac silhouette, with dorsal tracheal displacement.  The caudodorsal aspect of the cardiac silhouette if flattened.  Rounded increased soft tissue is in the region of the left atrium in the ventrodorsal image.  
Mediastinum: The cranial mediastinum is widened with a slightly convex left lateral margin in the ventrodorsal image.  Ill-defined increased soft tissue is suspected in the cranial and dorsal aspect of the mediastinum in the lateral images without ventral tracheal displacement.  This may be due to superimposition of the thoracic limbs over the cranial thorax.  
Trachea: A soft tissue band superimposes over the cervical and thoracic tracheal segments.  
Esophagus: The esophagus is not well-identified.
Pleural space: The pleural space is normal.
Musculoskeletal: The patient is obese.  The remaining included musculoskeletal structures are normal.
</t>
  </si>
  <si>
    <t>1. Moderate left-sided cardiomegaly such as from myxomatous mitral valvular disease and insufficiency.
2. Mild-moderate diffuse bronchial and minimal-mild interstitial pulmonary patterns, likely exacerbated by hypoinflation.
- Differential diagnoses include evolving left-sided congestive heart failure, and/or infectious/immune-mediated lower airway disease,. fibrosis from prior disease, age-related changes, or unlikely other.
3. Cranial mediastinal widening due to fat deposition/superimposed normal structures versus evolving lymphadenomegaly (reactive or neoplastic) or mass, or unlikely other.
(amended on 07/21/2024 07:53)
4. Dorsal redundant tracheal membrane with/without underlying dynamic airway disease, versus superimposed normal structures.</t>
  </si>
  <si>
    <t>Consider diuretic therapy, oxygen therapy and monitoring with 3- or 4-view thoracic radiographs for resolution/progression of the pulmonary pattern.  Consider echocardiography, ECG and blood pressure, urinalysis and routine blood work if not recently performed.  Consider respiratory PCR panel, airway sampling, and fecal analysis/deworming for further evaluation if signs fail to improve with therapy for suspected cardiac disease.  Abdominal imaging for further evaluation of the liver, and consider blood work screening for endocrinopathy/cushing disease if clinically indicated.  Monitoring as directed or sooner if clinical signs acutely change, fail to improve or worsen.</t>
  </si>
  <si>
    <t xml:space="preserve">
1.The liver appears to be enlarged._x000D_
2.A mass effect is present in the mid ventral abdomen on the lateral projection._x000D_
3.There is loss of serosal detail._x000D_
4.The abdomen is pendulous._x000D_
5.The small bowel is displaced away from the mid ventral abdomen and portions of the small bowel have a rigid appearance suggestive of a functional ileus.</t>
  </si>
  <si>
    <t>Reduced abdominal serosal detail consistent with fluid within the peritoneal space. Consideration could be given to a modified transudate, transudate, exudate, chyle or hemorrhage. Mass-effect in the mid ventral abdomen. DDx: secondary to a mass or secondary to fluid. A lesion originating from the spleen, severe gastric distention or a pancreatic lesion are the primary considerations. In the presence of GI symptoms, appearance to the small bowel is suggestive of enteritis and functional ileus secondary to abdominal fluid such as peritonitis or hemorrhage. Aerophagia is a lesser consideration. Hepatomegaly. Pendulous abdomen, likely related to abdominal fluid +/- mass effect.</t>
  </si>
  <si>
    <t xml:space="preserve">
Virtual Radiologist Case Difficulty: MODERATE_x000D_
Virtual Radiologist Confidence: MODERATE_x000D_
Abdominal ultrasound._x000D_
Abdominocentesis if fluid is confirmed and can be safely sampled.</t>
  </si>
  <si>
    <t xml:space="preserve">Patient Name : Lani Washburn, Date of study: Jul 20, 2024
4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gas and soft tissue material.  The stomach is within normal limits for size.  Minimal gas is suspected in the pylorus.  
The small intestine contains mild to moderate gas and fluid or is empty with a subjectively uniform population for size. 
The colon contains mild gas.  The colon wall is minimally or mildly spastic.  The colon is within normal limits for size.  
Musculoskeletal: The included musculoskeletal structures are normal.
</t>
  </si>
  <si>
    <t>1. Minimal gastric material due to recent meal, versus gastritis/delayed gastric emptying  or unlikely other.
2. Non-specific small intestinal and colon appearance such as from enteritis, colitis, or individual variation of normal/recent bowel movement.
- Differential diagnoses for enteritis/colitis include dietary indiscretion, toxin ingestion, diet/antibiotic responsive disease, inflammatory bowel disease, parasitism/primary infectious disease, or pancreatitis or occult systemic disease.
- There is no current evidence of gastrointestinal mechanical ileus.</t>
  </si>
  <si>
    <t xml:space="preserve">Patient Name : Ella Valadao, Date of study: Jul 20, 2024
6 images are provided for review
There are no previous radiographs for comparison. Ungloved human digits primary beam.
Bones/Joints:
Mild  left coxofemoral joint osteoarthrosis is suspected.  The right coxofemroal joint is normal.  There is adequate coverage of the femoral heads by the acetabulums.
Mild to moderate left stifle osteoarthrosis is present, with osteophytes at the apex of the patella, femoral trochlear ridges, medial/lateral tibial condyles, and fabellae. Mild to moderate increased soft tissue partially obscures the left infrapatellar fat pad.  
The included left tarsus, metatarsus and digits are normal.
Mild to moderate right stifle osteoarthrosis is present, with osteophytes at the apex of the patella, femoral trochlear ridges, medial/lateral tibial condyles, and fabellae.  Mild to moderate increased soft tissue partially obscures the right infrapatellar fat pad.  
The included right tarsus, metatarsus and digits are normal.  
L5-6 spondylosis deformans is present.
There is no evidence of medullary sclerosis, osteolysis, endosteal scalloping, or periosteal proliferation.
Soft tissues:  The right thigh soft tissues are small compared to the left.  The remaining included soft tissues are normal.
</t>
  </si>
  <si>
    <t xml:space="preserve">1. Mild-moderate right stifle osteoarthrosis and mild-moderate synovial effusion/proliferation.
- The primary differential diagnosis is cranial cruciate ligament injury, or less likely other such as from IMPA.
2. Mild-moderate left stifle osteoarthrosis mild-moderate synovial effusion/proliferation.
- The primary differential diagnosis is cranial cruciate ligament injury, or less likely other such as from IMPA.
3. Mild left coxofemoral joint osteoarthrosis.
4. Right gluteal/thigh  disuse muscle atrophy is suspected.  </t>
  </si>
  <si>
    <t>Consider orthopedist consultation and possible surgical intervention to the right stifle if clinically indicated. Routine blood work if not recently performed to screen for occult systemic disease. 
 Empirical therapy and supportive care in the interim as needed.  Monitoring as directed or sooner if clinical signs acutely change, fail to improve or worsen.</t>
  </si>
  <si>
    <t>6 images of the abdomen are provided for review.  Serosal detail is adequate in all quadrants.  The stomach contains a moderate amount of mottled soft tissue material.  Material appears mildly reduced on the final image.  The small intestines are normal in size.  Gas and feces are present in the colon.  The urinary bladder is small.  The remaining abdominal organs are normal.</t>
  </si>
  <si>
    <t>Material within the stomach concerning for foreign material.  Time from initial to final image is not described in the information provided.</t>
  </si>
  <si>
    <t>Consider repeat radiographs following strict fasting for at least 8 hours to determine if gastric contents persist.</t>
  </si>
  <si>
    <t>WHOLE-BODY (3 total radiographs for review). _x000D_
_x000D_
- Peritoneal serosal detail is normal._x000D_
- The stomach contains mild gas and gas-stippled soft-tissue opaque material_x000D_
- The small intestine is overall nondistended and contains mild multifocal gas and soft-tissue opaque material_x000D_
- The colon contains moderate, desiccated and mineral opaque fecal material._x000D_
- The liver, spleen, region of the kidneys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normal._x000D_
- No musculoskeletal abnormalities are noted.</t>
  </si>
  <si>
    <t>1.  A discrete radiographic cause for the reported anorexia is not clearly identified.  There is a moderate accumulation of relatively desiccated material in the colon which could indicate constipation, an obvious predisposing factor for which is not noted.  You may consider abdominal ultrasonography in this patient if clinically indicated to further evaluate for potential causes of anorexia and constipation._x000D_
_x000D_
2.  Mild nonspecific gastric ingesta._x000D_
_x000D_
3.  Normal thorax.  Despite lack of radiographic evidence of cardiomegaly, given the reported heart murmur it may be reasonable to consider echocardiography regardless._x000D_
_x000D_
4.  Normal thoracolumbar junction.  A discrete spinal cause for back pain is not clearly noted however radiographic sensitivity can be limited.</t>
  </si>
  <si>
    <t xml:space="preserve">
1.No abnormal AI findings reported._x000D_
2.No abnormal AI findings reported._x000D_
3.The small intestine is normal in diameter. No obvious signs of obstruction._x000D_
4.The liver and spleen are within normal limits for size, with smooth margins._x000D_
5.The stomach is partially distended with gas, some fluid and some soft tissue opaque debris.</t>
  </si>
  <si>
    <t>Orthogonal views of the thorax and abdomen are provided:_x000D_
_x000D_
Thorax:_x000D_
_x000D_
Cervical trachea is not included. No evidence of tracheal collapse._x000D_
Cardiac silhouette shows a moderate enlargement of the left atrium dorsally displacing the carina._x000D_
Pulmonary vessels are within normal limits of size and shape._x000D_
Superimposed or within the pulmonary parenchyma there is an oval nodular opacity superimposed with the cardiac silhouette in the RL view, not seen in the other views._x000D_
Pleural space, mediastinum, diaphragm and thoracic wall within normal limits._x000D_
_x000D_
Abdomen:_x000D_
_x000D_
The stomach is distended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t>
  </si>
  <si>
    <t>1) Left atrial enlargement secondary to chronic mitral endocardiosis without signs of CHF. Rule out concomitant tricuspid endocardiosis with post-capillary pulmonary hypertension._x000D_
2) Lack of visualization of tracheal collapse does not exclude this differential (especially taking into account the breed). Unremarkable lungs do not exclude a bronchitis of allergic vs inflammatory/infectious or parasitic origin. _x000D_
3) Nodular opacity compatible with a true pulmonary nodule (neoplastic vs metastatic vs granuloma) vs skin/SC nodule._x000D_
4) Hepatomegaly: Metabolic vs Vacuolar infiltration vs Hepatic nodular hyperplasia vs Inflammatory vs Toxic vs Neoplastic or a combination of these differentials.</t>
  </si>
  <si>
    <t>Consider a cardiology consultation with ECG and echocardiogram prior to a fluoroscopy (followed by tracheobronchoscopy, BAL and culture/cytology) to rule in/out extrathoracic vs intrathoracic tracheal collapse or bronchial component, evaluating treatment options. Take advantage of the bronchoscopy to further evaluate the larynx given 30% of patients with tracheal collapse display different degrees of laryngeal paralysis. If negative, consider empirical treatment for chronic bronchitis._x000D_
Take new thoracic radiographs after ruling out a potential skin or SC nodule and if necessary consider a CT of the thorax._x000D_
Consider abdominal US to further evaluate the liver.</t>
  </si>
  <si>
    <t xml:space="preserve">
1.No abnormal AI findings reported._x000D_
2.On the lateral projection, the liver is mildly enlarged with rounded margins. The ventral abdominal line is pendulous._x000D_
3.On the VD projection, a mild asymmetric increase in soft tissue opacity is noted in the cranial abdomen. DDx: superimposition of the hepatomegaly and GI tract vs. far less likely, caudal extension of a hepatic mass._x000D_
4.Splenic size, shape and margin are normal._x000D_
5.Formed feces in the distal colon._x000D_
6.The stomach and small bowel are minimally filled.</t>
  </si>
  <si>
    <t>Lateral views of the thorax and abdomen are provided:_x000D_
_x000D_
Thorax:_x000D_
_x000D_
Cardiac silhouette shows a questionable mild enlargement of the left atrium dorsally displacing the carina._x000D_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_x000D_
Visible spine is unremarkable without signs of disc herniation, aggressive bone lesions, vertebral fractures or subluxations (again, just lateral views so the exam is incomplete).</t>
  </si>
  <si>
    <t>1) Rule out left atrial enlargement secondary to chronic mitral endocardiosis without signs of CHF._x000D_
2) Hepatomegaly: Metabolic vs Vacuolar infiltration vs Hepatic nodular hyperplasia vs Inflammatory vs Toxic vs Neoplastic or a combination of these differentials._x000D_
This study is incomplete without VD views of both thorax and abdomen.</t>
  </si>
  <si>
    <t>Consider VD views of both thorax and abdomen and abdominal US to further evaluate the liver and entire abdomen to further evaluate causes of lethargy._x000D_
Consider a cardiology consultation with ECG and echocardiogram. _x000D_
Underlying causes for panting include pain, acid-base imbalance, Cushing=ZZ91=s disease, spinal cord compression, intracranial disease, hyperthermia and PTE._x000D_
Consider work up for panting with CBC, biochemistry, abdominal US, neuro exam and upper airway exam.</t>
  </si>
  <si>
    <t>WHOLE-BODY (9 total radiographs for review). _x000D_
_x000D_
- Mild left-sided cardiomegaly, characterized by straightening of the caudal cardiac margin and dorsal displacement of the caudal thoracic trachea.  There is a rounded soft tissue opacity in the region of the left atrium._x000D_
- There is a mild diffuse bronchial pattern and a few thickened pleural fissures._x000D_
- The pulmonary vasculature is normal._x000D_
- The trachea, esophagus and remainder of the mediastinum are normal._x000D_
- The pleural space and remaining intrathoracic structures are normal._x000D_
- Peritoneal serosal detail is normal._x000D_
- The spleen is moderately enlarged._x000D_
- The stomach is nondistended and contains mild soft tissue opaque material and gas._x000D_
- The small intestine is nondistended/empty._x000D_
- The colon contains a small volume of formed fecal material._x000D_
- The liver, region of the kidneys and urinary bladder are normal._x000D_
- Bilateral mild to moderate coxofemoral periarticular osteophyte formation._x000D_
- Mild multifocal spondylosis deformans.</t>
  </si>
  <si>
    <t>1.  Negative examination for evidence of metastatic neoplasia.. _x000D_
_x000D_
2. Mild left-sided cardiomegaly, without pulmonary vasculature congestion or congestive heart failure. Most likely compatible with degeneration of the mitral valve. Consider careful cardiac auscultation and echocardiography/ECG for further assessment._x000D_
_x000D_
3. Mild diffuse bronchial pattern with a few thickened pleural fissures. Most likely representing age-related lower airway changes, however a component of chronic bronchitis is possible, especially if there is a history of abnormal respiratory sounds, wheezing and/or coughing._x000D_
_x000D_
4. Moderate splenomegaly. DDx congestion from sedation, lymphoid hyperplasia, EMH, less likely neoplasia._x000D_
_x000D_
5. Otherwise unremarkable abdomen._x000D_
_x000D_
6. Bilateral coxofemoral osteoarthritis</t>
  </si>
  <si>
    <t xml:space="preserve">Patient Name : Dorian Younglove, Date of study: Jul 20, 2024
3 images are provided for review
There are no previous radiographs for comparison.
Bones/Joints:
Subtle mineral superimposes over the L4-5 intervertebral foramina in the lateral image.  L4-5 intervertebral disc space narrowing in the ventrodorsal image is not well-identified in the lateral images.  Possible narrowing of the L3-4 intervertebral disc space in the ventrodorsal image is not well-identified in the lateral image.  
There is no evidence of intervertebral dorsal articulation osteoarthrosis.
There is no evidence of medullary sclerosis, osteolysis, endosteal scalloping, or periosteal proliferation.
Soft tissues:  The included soft tissues are normal.
</t>
  </si>
  <si>
    <t xml:space="preserve">1. Suspicious for L4-5 intervertebral disc disease and mineralized extruded disc material versus other.
2. Possible L3-4 intervertebral disc disease versus artifact/superimposed normal structures.
</t>
  </si>
  <si>
    <t>Consider neurologist consultation and MRI for further evaluation of the lumbar spine, especially if clinical signs fail to improve or worsen in the interim.  Empirical therapy and supportive care in the interim as needed.  Thoracic imaging and routine blood work prior to referral and advanced imaging if not recently performed.  Monitoring as directed or sooner if clinical signs acutely change, fail to improve or worsen.</t>
  </si>
  <si>
    <t xml:space="preserve">
1.No abnormal AI findings reported._x000D_
2.There is a focal loss of serosal detail in the cranial abdomen on the VD projection._x000D_
3.The pyloroduodenal is widened and the proximal duodenum contains a mild amount of air._x000D_
4.The liver and spleen are normal._x000D_
5.The gastric lumen contains a mild amount of soft tissue and gas opacity._x000D_
6.The gastric rugae are prominent._x000D_
7.The small bowel is diffusely fluid distended with a mild disparity in small bowel diameter._x000D_
8.Portions of the colon are gas filled and have a rigid appearance.</t>
  </si>
  <si>
    <t>Thoracolumbar spine: T10 and T11 appear to be hemivertebra and there appears to be rightward scoliosis centered at this level.  The remainder of the thoracolumbar vertebral column is unremarkable.  Spondylosis deformans is noted at the lumbosacral junction._x000D_
_x000D_
Thorax: There are no abnormalities identified._x000D_
_x000D_
Abdomen: There are no abnormalities identified.</t>
  </si>
  <si>
    <t>Thoracic hemivertebra and suspected thoracic scoliosis.</t>
  </si>
  <si>
    <t xml:space="preserve">
1.Minimal decrease in abdominal detail._x000D_
2.The spleen is normal in size._x000D_
3.The liver is normal in size._x000D_
4.There is a minimal amount of mottled soft tissue density material mixed with gas within the stomach._x000D_
5.Small intestinal bowel loops are normal in size and have a mixed pattern. No obvious obstruction.</t>
  </si>
  <si>
    <t xml:space="preserve">Patient Name: Coco Bard, Date of study: Jul 19, 2024
3 images are provided for review
There are no previous radiographs for comparison.
Image quality: The liver is not included on the left lateral projection. Both lateral projections are rotated. 
Abdomen:
Liver: On the right lateral projection, there is a focal region of decreased opacity overlying the ventral aspect of the liver and the 8th costochondral junction. This portion of the liver is not included on the left lateral projection. On the VD projection, gas opacities overlie both the right cranial and left cranial abdomen with the majority of the right cranial gas opacities within viscus. 
Spleen: The spleen is moderately enlarged with a rounded margin on the right lateral projection and likely the cause of the mass effect in the mid-abdomen on the VD projection. The cranial margin of the spleen is lobular concerning for a splenic nodule.
Kidneys and urinary bladder:  Neither kidney is visible. On the left lateral projection the urinary bladder resides along the ventral abdomen at the level of L4 through L6. A rectangular mineral opacity overlies the caudal aspect of the urinary bladder at the level of caudal L6. This mineral opacity is not visible on the other projections and therefore cannot be localized to within or outside the urinary bladder lumen. Also on the right lateral projection, a thin lucent line contours the urinary bladder margin and appears to reside within the urinary bladder wall or less likely, urinary bladder lumen. 
GI: The stomach is moderately gas filled. The gastric rugae are diffusely thickened. Questionable gastric wall thickening is also present. The small bowel is diffusely gas filled with portions of the small bowel having a rigid appearance. No segmental small bowel dilation is noted however the majority of the small bowel is displaced caudally by the cranial to mid-abdominal soft tissue mass. The colon is moderately distended with formed, but not desiccated, feces. 
Abdominal detail: On the left lateral projection, abdominal detail is focally decreased at the caudal aspect of the splenic margin in the ventral abdomen. 
Caudal thorax: The CVC is normal. No abnormalities are noted in the caudal thorax.
Msk: No abnormalities noted. </t>
  </si>
  <si>
    <t>1) Gastritis, enteritis and suspected mesenteric inflammation or abdominal fluid. Rule out non-septic vs. septic peritonitis. 
2) Decreased opacity overlying the liver on the right lateral projection. This focal opacity raises concern for gas within the liver parenchyma. If this represents gas in the liver parenchyma, the focal accumulation is most consistent with a hepatic abscess. 
3) Gas opacity which appears to reside within the urinary bladder wall or bladder lumen. Emphysematous cystitis is suspected. Rule out diabetes and e. coli infection causing the urinary bladder wall emphysema and hepatic abscess. Mineral opacity overlying the urinary bladder. 
4) Moderate splenomegaly. Decreased abdominal detail. One consideration is pancreatitis causing splenic vein thrombosis resulting in splenomegaly and pancreatitis associated with diabetic hepatopathy causing the hepatic and urinary bladder changes. Other consideration is splenomegaly secondary to splenic congestion due to another cause such as splenic displacement vs. splenitis vs. tick borne disease.</t>
  </si>
  <si>
    <t xml:space="preserve">Bloodwork and urinalysis with culture. Empirical therapy for gastritis and enteritis. AFAST for abdominal fluid collection and initiate supportive care +/- antibiotic therapy. Full abdominal ultrasound is recommended to further assess the liver, spleen and urinary bladder. </t>
  </si>
  <si>
    <t xml:space="preserve">
1.No abnormal AI findings reported._x000D_
2.The liver and spleen appear within normal limits for size and contour._x000D_
3.The stomach appears within normal limits._x000D_
4.Small intestines are diffusely mildly fluid-filled. No evidence to suggest obstruction._x000D_
5.Abdominal detail is adequate.</t>
  </si>
  <si>
    <t>8 views of the thorax and abdomen and pelvis are submitted for review._x000D_
In the thorax, the cardiac silhouette and pulmonary vasculature are within normal limits.  Mild bronchial and interstitial markings are noted throughout the lung fields.  No evidence of intrathoracic lymphadenopathy is seen.  No pleural effusion or mediastinal abnormalities are noted.  The trachea is normal in diameter._x000D_
In the abdomen, the stomach contains a moderate amount of gas.  The small bowel is diffusely mildly gas-filled without overt dilation or plication.  A moderate amount of stool is noted throughout the colon.  The margins of the liver are subjectively normal.  The spleen appears normal in size and shape.  The renal silhouettes are normal.  The prostate is markedly enlarged.  Serosal detail is normal._x000D_
Multifocal narrowed intervertebral disc disease are noted in the cranial lumbar spine from approximately T13-L3.  Marked spondylosis deformans is noted in this region._x000D_
The bilateral coxofemoral joints are mildly incongruent.  No significant degenerative changes are noted in the hips.  The sacroiliac joints are normal.  The limited view of the stifles are unremarkable.</t>
  </si>
  <si>
    <t>1.  Radiographically normal geriatric thorax.  The appearance of the lung fields is most consistent with incidental age-related change.  No evidence of pulmonary metastatic disease or intrathoracic lymphadenopathy is noted._x000D_
2.  Marked prostatomegaly.  This is most consistent with benign prostatic hypertrophy, typical for an intact male._x000D_
3.  Chronic intervertebral disc disease and degenerative change of the lumbar spine.</t>
  </si>
  <si>
    <t>Clinical correlation is recommended for significance.</t>
  </si>
  <si>
    <t>6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and small bowel contain a mild amount of gas.  The small bowel is normal and uniform in diameter without dilation or plication.  Formed stool is noted in the colon.  The liver and spleen are normal in size, shape, and margination.  The bilateral renal silhouettes are within normal limits.  The urinary bladder is unremarkable.  Serosal detail is normal._x000D_
No osseous abnormalities are seen.</t>
  </si>
  <si>
    <t>Radiographically normal thorax._x000D_
The appearance of the GI tract is nonspecific and could be consistent with gastroenteritis from any cause.  Acute pancreatitis is also possible.</t>
  </si>
  <si>
    <t>Symptomatic/supportive medical management may be helpful in the short-term.  If clinical signs persist, an abdominal ultrasound to be considered.</t>
  </si>
  <si>
    <t xml:space="preserve">
1.In the abdomen the stomach contains small volume gas, soft tissue and mildly prominent rugae._x000D_
2.Small intestines are minimally filled._x000D_
3.The colon contains gas and scant semiformed feces._x000D_
4.The liver and spleen are normal size._x000D_
5.The cranial right quadrant has a hazy appearance on the VD projection otherwise serosal detail is adequate._x000D_
6.No abnormal AI findings reported.</t>
  </si>
  <si>
    <t xml:space="preserve">Patient Name : Shadow Perez, Date of study: Jul 19, 2024
7 images are provided for review
There are no previous radiographs for comparison.
Bones/Joints:A left sacroiliac joint luxation is present. A small curvilinear mineral focus is just medial to the left ilial wing in the ventrodorsal image, possibly a corner of the sacrum
A left mid-acetabular articular fracture is present with mild comminution suspected.  The left ilium is severely displaced cranial and lateral left as a result.  The left femur is mildly displaced medially.  
Comminuted fractures of the pelvic floor are present in the cranial arms of the pubic bones bilaterally.  An oblique fracture extends from left cranial to right caudal through mid-line in the caudal ischium.
The coxofemoral joints have no obvious osteoarthrosis. 
Bilateral femoral trochlea hypoplasia is present, without current patella luxation.  
The left stifle has no evidence of osteoarthrosis.  The left infrapatellar fat pad is well-defined.
The included left tarsus, metatarsus are normal.  
The right stifle has no evidence of osteoarthrosis.  The right infrapatellar fat pad is well-defined.
The included right tarsus, metatarsus are normal.
There is no evidence of medullary sclerosis, osteolysis, endosteal scalloping, or periosteal proliferation.
Soft tissues:  The prepubic tendon is suspected to be well-defined.  The soft tissues of left pelvic limb are moderately circumferentially enlarged.  The remaining included soft tissues are normal.
</t>
  </si>
  <si>
    <t>1. Left sacroiliac joint luxation and suspicious for left sacral wing fracture fragment versus other.
2. Left acetabular articular fracture with femoral luxation.
3. Comminuted pubic bone fractures and mid-line ischial fracture.
4. Moderate left pelvic limb soft tissue swelling due to trauma and hemorrhage, or unlikely other.
(amended on 07/20/2024 13:27)
5. Bilateral femoral trochlear hypoplasia without current patella luxation.</t>
  </si>
  <si>
    <t>Possible involvement of the left sacral wing versus left sciatic nerve given reported clinical signs.  Consider MRI and/or computed tomography of the caudal lumbar spine and pelvic for further evaluation.  Neurologist and/or surgeon consultation for further evaluation depending on results.  Empirical therapy and supportive care in the interim as needed.</t>
  </si>
  <si>
    <t>Three radiographs of the abdomen are provided. The liver is upper normal size with smooth margins. Normal sized spleen and kidneys. The cranial right quadrant has a hazy appearance on the VD projection. Otherwise serosal detail is adequate. The gastrointestinal tract is mildly filled. No radiopaque foreign material or urolithiasis. Curved increased opacity medial to the splenic head on the VD projection is likely caused by curved incidental 3.7 cm opaque lipomatous mass ventral to the cranial abdomen on the lateral view. A similar 6.7 cm lipomatous mass cranial to the prepuce is also incidental. On the VD projection right lateral extra-abdominal tissues have a wispy soft tissue opacity and are mildly thickened. Normal caudal thorax. No lumbar spinal abnormalities.</t>
  </si>
  <si>
    <t>1. Hazy cranial abdomen is typically concerning for gastritis/pancreatitis. This may be scatter artifact due to summating tissue. No other intra-abdominal abnormalities._x000D_
2. Wispy soft tissue thickening in the right extra-abdominal tissues may be due to recent injections. Trauma with contusion or edema are given lesser consideration in the absence of discomfort with palpation.</t>
  </si>
  <si>
    <t>A CBC and blood chemistry profile are recommended.</t>
  </si>
  <si>
    <t>10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Liver and spleen are smoothly margined and normal in size.  The stomach contains a moderate amount of ingesta.  The small intestines are normal in size.  Gas and feces are present in the colon.  The urinary bladder is small.  The remaining abdominal organs are normal.  Mild osteophyte formation is seen on the left femoral neck.</t>
  </si>
  <si>
    <t>Radiographically normal abdomen.  Radiographically normal thorax for patient of this age.  Mild left coxofemoral DJD</t>
  </si>
  <si>
    <t xml:space="preserve">
1.Small small-volume amorphous soft tissue opacity is present within the stomach. The small bowel is diffusely gas- and fluid-filled without segmental small bowel dilation._x000D_
2.Abdominal detail is normal._x000D_
3.Liver size, shape and margin are normal._x000D_
4.Splenic size, shape and margin are normal.</t>
  </si>
  <si>
    <t xml:space="preserve">Patient Name : Brutus Billips, Date of study: Jul 19, 2024
5 images are provided for review
There are no previous radiographs for comparison.
Liver: The liver is slightly small with slight cranial displacement of the gastric axis.  The liver occupies approximately two intercostal spaces width in the ventrodorsal image.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admixed with gas.
The small intestine contains mild to moderate gas and minimal soft tissue material, with a subjectively uniform population for size. 
The colon contains mild to moderate gas and mild soft tissue material.  The colon is within normal limits for size.  The colon wall is minimally spastic in one lateral image.  
Musculoskeletal: The presumed L1 vertebra is transitional with ribs.  There are six lumbar vertebra without ribs.  The remaining included musculoskeletal structures are normal.
</t>
  </si>
  <si>
    <t>1. Gastric material due to recent meal, and gastritis/delayed gastric emptying versus pyloric outflow tract obstruction.occult foreign material, or a combination of these.
2. Non-specific small intestinal and colon appearance such as from enteritis, colitis, or variation of normal.
- Differential diagnoses include dietary indiscretion, toxin ingestion, diet/antibiotic responsive disease, inflammatory bowel disease, or secondary to occult systemic diseases (hepatitis/other), or unlikely other. 
3. Mild microhepatia versus artifact from positioning/technique.
- If present, consider occult portosystemic shunt or unlikely chronic hepatitis/cirrhosis.</t>
  </si>
  <si>
    <t xml:space="preserve">Repeat abdominal radiographs after 8-12 hours of fasting to monitor for passage of gastric material.  Consider gastroscopy if persistment material consistent with foreign material is present in repeat imaging. Consider GI panel, fecal analysis/deworming, and bile acid testing.  Consider abdominal ultrasonography versus computed tomography for further evaluation of the stomach/pylorus and liver/portal system, especially given patient body size/conformation. Empirical therapy and supportive care in the interim as needed for gastritis/enteritis. </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</si>
  <si>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t>
  </si>
  <si>
    <t>1) Unremarkable thorax without signs of pulmonary metastases nor signs of thoracic lymphadenopathy._x000D_
2) Hepatomegaly: Metabolic (Cushings) vs Vacuolar infiltration vs Hepatic nodular hyperplasia vs Inflammatory vs Toxic vs Neoplastic or a combination of these differentials.</t>
  </si>
  <si>
    <t>Evaluate the benefit of an abdominal US to further evaluate the liver and entire abdomen.</t>
  </si>
  <si>
    <t xml:space="preserve">Patient Name : Lucy Van Horn, Date of study: Jul 19, 2024
4 images are provided for review
There are no previous radiographs for comparison.
Liver: The liver is subjectively normal in size.
Spleen: The spleen is normal in size with smooth margins and homogeneous soft tissue.
Kidneys: The kidneys are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volume of gas and heterogeneous soft tissue material. The stomach is normal in size.  Gas is in the pylorus in the left lateral image, and descending duodenum in the ventrodorsal image.  
The small intestine contains moderate gas with a subjectively uniform population for size. 
The colon contains moderate soft tissue material and gas.  Minimal mineral is admixed with colonic contents.  The colon is normal in size.
Musculoskeletal: Caudal vertebral anomalies are consistent with the breed (screw tail anomaly).  The remaining included musculoskeletal structures are normal.
</t>
  </si>
  <si>
    <t>1. Gastric material due to recent meal/normal ingesta and /or residual foreign material given reported history
- There is no current evidence of pyloric outflow tract obstruction.
2. Non-specific small intestinal appearance such as from enteritis, or individual variation of normal/aerophagia or unlikely evolving mechanical ileus. 
3. Minimal colonic mineral material due to dietary indiscretion/passing foreign material with/without underlying colitis.</t>
  </si>
  <si>
    <t>Empirical therapy for gastritis/enteritis and dietary indiscretion in the interim.  Consider compression radiographs over the mid-abdomen for further evaluation, or repeat abdominal radiographs after 8-12 hours of fasting and therapy to monitor for passage of gastric material.  Consider ultrasonography if additional radiographs are inconclusive, especially if signs fail to improve or worsen with empirical therapy.  Routine blood work if not recently performed.  Monitoring as directed or sooner if clinical signs acutely change, fail to improve or worsen.</t>
  </si>
  <si>
    <t xml:space="preserve">Patient Name : Moka Ly, Date of study: Jul 19, 2024
5 images are provided for review
Canine Abdomen (5 Images) - 3 Lateral, 2 Vd
There are no previous radiographs for comparison.
Liver: The liver has a rounded caudoventral margin and the gastric axis is caudal in some lateral images, but the liver occupies approximately two intercostal spaces width.  In the ventrodorsal image, the stomach is displaced leftward.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some tubular soft tissue structures partially superimpose over the urinary bladder or between the colon and urinary bladder, but they are similar in size to small intestinal segments.  
Peritoneum: Peritoneal detail is adequate.
Gastrointestinal tract: The stomach contains a moderate volume of heterogeneous soft tissue material and gas.  The stomach is within normal limits for size.  
The small intestine contains mild to moderate fluid and minimal gas, or is empty with a subjectively uniform population for size. 
The colon contains minimal soft tissue material and gas.  The descending colon is mildly spastic.  The colon is within normal limits for size.
Musculoskeletal: The L1-2 intervertebral disc space is slightly narrowed relative to L2-3.  The remaining included musculoskeletal structures are normal.
</t>
  </si>
  <si>
    <t>1. No specific evidence of uterine horn enlargement, but this does not rule out evolving pyometra versus other.
2. Gastric material due to recent meal, versus gastritis/delayed gastric emptying or unlikely pyloric outflow tract obstruction given lack of vomiting in reported history.
3. Non-specific small intestinal and colon appearance such as from enteritis, colitis, or individual variation of normal/recent bowel movement.
4. Mild hepatomegaly or less likely artifact from positioning/technique. 
 - If present, differential diagnoses include vacuolar change, nodular hyperplasia, hepatitis, or evolving neoplasia, or unlikely other.
5. Suspected L1-2 intervertebral disc disease.</t>
  </si>
  <si>
    <t xml:space="preserve">Consider echocardiography, eCG and blood pressure if not recently performed.  Consider abdominal ultrasonography versus computed tomography of the abdomen/pelvic canal for further evaluation of source of reported vulvar blood.  If uterine enlargement is confirmed, consider hemometra/evolving pyometra the primary differential diagnosis, and consider celiotomy/ovariohysterectomy.  Empirical therapy and supportive care in the interim as needed. </t>
  </si>
  <si>
    <t xml:space="preserve">
1.The stomach is mildly gas and fluid filled with some soft tissue density materal. The small bowel is gas and fluid-containing. No obvious obstruction._x000D_
2.No abnormal AI findings reported._x000D_
3.The liver is mildly enlarged._x000D_
4.Serosal detail is within normal limits._x000D_
5.Serosal detail is normal.</t>
  </si>
  <si>
    <t>Orthogonal views of the thorax are provided:_x000D_
_x000D_
Thorax:_x000D_
_x000D_
No abnormalities seen in the trachea._x000D_
Cardiac silhouette shows a subjective mild enlargement of the left atrium dorsally displacing the carina._x000D_
Pulmonary vessels are within normal limits of size and shape._x000D_
Pulmonary parenchyma shows a generalized broncho-interstitial lung pattern. No evidence of pneumonia._x000D_
Pleural space, mediastinum, diaphragm and thoracic wall within normal limits._x000D_
_x000D_
Liver extends beyond the costal arch with rounded margins._x000D_
Poor caudal abdominal serosal detail.</t>
  </si>
  <si>
    <t>1) Rule out left atrial enlargement secondary to chronic mitral endocardiosis without signs of CHF._x000D_
2) Generalized broncho-interstitial lung pattern is compatible with a chronic bronchitis of allergic origin vs eosinophilic bronchopneumopathy vs inflammatory/infectious or parasitic origin. _x000D_
3) Hepatomegaly: Metabolic vs Vacuolar infiltration vs Hepatic nodular hyperplasia vs Inflammatory vs Toxic vs Neoplastic or a combination of these differentials._x000D_
4) Poor caudal abdominal serosal detail.Rule out scant effusion vs artifact.</t>
  </si>
  <si>
    <t>Consider a cardiology consultation with ECG and echocardiogram prior to an empirical treatment for chronic bronchitis evaluating response to treatment. If clinical signs persist, consider a bronchoscopy with BAL, culture, cytology, Baermann test and deworming.</t>
  </si>
  <si>
    <t xml:space="preserve">Patient Name : Venus Dominguez-Malpas, Date of study: Jul 19, 2024
3 images are provided for review
Previous images dated [07/11/2024 Case#2708699] are available for comparison.
Liver: The liver is small and ill-defined, with cranial displacement of the gastric axis.  
Spleen: The spleen is not well-identified, but no obvious masses are present.  
Kidneys: The kidneys are normal in size and shape without obvious mineral.
Retroperitoneum: Retroperitoneal detail is adequate.
Urogenital: In the left lateral image, a tubular soft tissue structure is ventral to the urinary bladder.  The urinary bladder is normal in size, homogeneous soft tissue, and smoothly marginated.
Peritoneum: Peritoneal detail is adequate.
Gastrointestinal tract: The stomach contains a moderate gas and is within normal limits for size.  Gas is in the pylorus in the left lateral image.  
The small intestine contains fmild gas and fluid or is empty with a subjectively uniform population for size. 
The colon contains moderate well-defined soft tissue material and gas.  The colon is normal in size.  
Musculoskeletal: L7-S1 spondylosis deformans is present.  Minimal mineral is just dorsal to the L1-2 intervertebral disc space in the left lateral image. Multiple nipples are prominent, consistent with the neuter status of this patient.  The remaining remaining included musculoskeletal structures are normal.
</t>
  </si>
  <si>
    <t>1. The stomach/pylorus contains gas without current evidence of pyloric outflow tract obstruction.  
2. Possible uterine horn enlargement in the caudoventral abdomen, versus small intestinal segment, or unlikely other.
- If this is the uterine horn, this may be due to evolving pyometra, mucometra, metritis, or unlikely other.
3. Microhepatia versus individual variation of normal.
- If present, consider occult portosystemic shunt, microvascular dysplasia, or unlikely chronic hepatitis/cirrhosis.
4. Minimal L1-2 dorsal annular or other soft tissue mineral, versus superimposed lateralized spondylosis, or unlikely mineralized herniated disc material.</t>
  </si>
  <si>
    <t xml:space="preserve">Patient has a chronic history of intermittent gastrointestinal signs over various modalities.  Consider computed tomography of the abdomen for a more sensitive evaluation, especially for occult mechanical ileus/persistent foreign material, or other.  Consider cystourethrography for further evaluation of the reported urinary bladder lesion.  Urinalysis and culture/sensitivity testing to rule out occult cystitis contributing to clinical signs if not recently performed. Bile acid testing and routine blood work if not recently performed.  Empirical therapy and supportive care in the interim as needed. Depending on results, pursue additional diagnostics versus continued empirical therapy if results are inconclusive.  </t>
  </si>
  <si>
    <t>Three radiographs of the thorax and three views of the abdomen are provided. The cardiac silhouette is normal size and shape, with no chamber enlargement. There are no abnormalities in the pulmonary parenchyma. No pleural effusion. Small volume fluid in the caudal esophagus is transient and incidental. Tracheal diameter and position are normal._x000D_
_x000D_
In the abdomen the stomach contains a moderate amount of soft tissue opaque ingesta and small volume mineral opaque debris that is likely incidental. Small bowel are mildly gas-filled. Small volume formed feces in the colon. Serosal detail is normal. The liver, spleen, and left kidney are normal size and shape. The right kidney is obscured. No radiopaque cystic calculi.</t>
  </si>
  <si>
    <t>Normal thorax and abdomen. A reason for respiratory signs is not identified. No tracheal abnormalities are appreciated on this study, however dynamic collapse remains possible, as it may not be imaged on a static radiographic study.</t>
  </si>
  <si>
    <t>Routine blood work is recommended to rule out a metabolic abnormality.</t>
  </si>
  <si>
    <t xml:space="preserve">
1.Serosal detail is normal._x000D_
2.The stomach is unremarkable._x000D_
3.The small intestines contain gas and fluid and are normal in diameter._x000D_
4.The colon is unremarkable._x000D_
5.The liver is normal in size with smooth serosal margins._x000D_
6.The spleen is smoothly margined and at the upper limits of normal for size to mildly enlarged on the lateral projection.</t>
  </si>
  <si>
    <t xml:space="preserve">Patient Name: Tyrion Gibbons, Date of study: Jul 19, 2024
3 images are provided for review
There are no previous radiographs for comparison.
Abdomen:
Liver: Microhepatia is present resulting in cranial positioning to the pylorus on the left lateral projection. 
Spleen: Normal
Kidneys and urinary bladder: The left kidney and urinary bladder are normal. The right kidney is not visible on the VD projection. The prostate is mildly enlarged but no mineralization is noted. 
GI: The stomach is gas distended on all projections. Wispy fibrous appearing material is also present in the stomach and the descending duodenum is mildly distended with a fibrous appearance on the right lateral projection. No gas is noted within the small bowel which is an atypical finding consistent with a pyloroduodenal or proximal duodenal obstruction. The descending colon is gas distended and has a rigid appearance. 
Abdominal detail: Cranial abdominal detail is decreased.
Caudal thorax: The CVC is distended. The visible portion of the cardiac silhouette is suggestive of right sided cardiomegaly. 
Msk: Congenital caudal thoracic, T-L, L-S and caudal vertebral abnormalities are present with the most severe caudal thoracic vertebral abnormalities consisting of butterfly and hemivertebrae and resulting in narrowing to the spinal canal. 
Focal fat accumulation is noted dorsal to the caudal sacral and caudal vertebrae. The caudal vertebrae also have a lucent appearance with osseous irregularity. </t>
  </si>
  <si>
    <t xml:space="preserve">1) Pyloric outflow obstruction. Given the breed, rule out foreign material only vs. concurrent congenital pyloric stenosis with foreign material. 
2) No hiatal hernia noted on this study.
3) Microhepatia. Rule out microvascular dysplasia vs. portosystemic shunt vs. less likely, chronic hepatopathy. 
4) Cardiomegaly with CVC distention. Congenital right heart disease suspected. 
5) Congenital T-L, L-S and caudal vertebral abnormalities resulting in caudal thoracic spinal stenosis. 
6) Congenital spina bifida resulting in epidural fat herniation dorsal to the caudal vertebrae should be ruled out. </t>
  </si>
  <si>
    <t xml:space="preserve">Ultrasound evaluation of the pyloroduodenal region vs. exploratory laparotomy with evaluation for concurrent pyloric stenosis at the time of surgery. 
Thoracic radiographs to assess for aspiration pneumonia prior to surgery. Cardiac ultrasound to assess for right heart disease prior to surgery. Coagulation profile, platelet count and PCV prior to surgery as liver biopsies should be obtained at the time of surgery. 
Neurologist consultation to assess the spinal canal stenosis and potential epidural fat herniation after addressing the cardiac and abdominal findings. </t>
  </si>
  <si>
    <t xml:space="preserve">Patient Name : Viper Harris, Date of study: Jul 19, 2024
5 images are provided for review
There are no previous radiographs for comparison.
Liver: The liver is subjectively normal in size.
Spleen: The spleen is enlarged and extends into the caudal/ventral abdomen, but has smooth, well-defined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to moderate volume of gas and fluid.  Gas is in the pylorus in the left lateral image.  The stomach is normal in size. 
In the left lateral image, segments of suspected small intestine in the mid-abdomen contains mild to moderate gas and fluid.  Some segments are suspiciously plicated and some smaller segments have suspected eccentric and comma-shaped or angular luminal foci.   No obvious mineral material is identified in the small intestine.  
The colon contains mild gas and is normal in size.
Musculoskeletal: The included musculoskeletal structures are normal.
</t>
  </si>
  <si>
    <t>1. Suspicious for small intestinal plication and linear foreign body obstruction/mechanical ileus, or suspected less likely enteritis/functional ileus.
2. Non-specific colon appearance such as from colitis or recent bowel movement.</t>
  </si>
  <si>
    <t>Consider abdominal ultrasonography versus abdominal radiographs with compression over the mid-ventral abdomen and suspicious small intestinal segments.  Consider celiotomy and retrieval of foreign material if confirmed.  In the interim, therapy and supportive care for suspected dietary indiscretion and enteritis/colitis.  If mechanical ileus is ruled out, continue empirical therapy and consider routine blood work, fecal analysis/deworming and GI panel for further evaluation. Monitoring as directed or sooner if clinical signs acutely change, fail to improve or worsen.</t>
  </si>
  <si>
    <t>Three radiographs of the abdomen are provided. There is no peritoneal or retroperitoneal effusion. Moderate volume gas, small volume fluid, and scant amorphous soft tissue density in the stomach. Small bowel are mildly gas-filled. Moderate volume semi-formed feces in the colon. Normal-sized liver and spleen. The kidneys are incompletely visible. No radiopaque gastrointestinal foreign material or urolithiasis. Normal caudal thorax.</t>
  </si>
  <si>
    <t>The amorphous soft tissue density in the stomach appears to be residual ingesta. All or a portion of this could be foreign material causing gastritis and intermittent pyloric outflow obstruction. There is no evidence of small bowel obstruction.</t>
  </si>
  <si>
    <t xml:space="preserve">Patient Name : Jasmine Oddo, Date of study: Jul 19, 2024
4 images are provided for review
Previous images dated [07/19/2024 Case#2715254] are available for comparison.
Pulmonary parenchyma: In the left caudal lung lobe is a well-defined, round, soft tissue mass.  This mass is in the periphery of the left caudal lung lobe over the 8 and 9th intercostal spaces in the ventrodorsal image.  A mild to moderate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and gas.  The stomach is within normal limits for size.
The small intestine contains mild gas fluid or is empty with a subjectively uniform population for size. 
The colon contains mild well-defined soft tissue material and gas or is empty.  The colon is normal in size.
Musculoskeletal: Multifocal thoracolumbar spondylosis deformans is present.   Mild osteoarthrosis of one shoulder joint is present.  A TPLO has been performed in one of the pelvic limbs. 
A broad-based fat opaque nodule arises from the left extra-abdominal soft tissues, presumably a benign lipoma.  The remaining included musculoskeletal structures are normal.
</t>
  </si>
  <si>
    <t>1. Left caudal lung lobe soft tissue mass.
- The primary differential diagnosis is neoplasia such as a primary pulmonary carcinoma or less likely metastatic disease from an occult primary malignancy, or unlikely other.
2. Mild-moderate diffuse bronchial pattern due to fibrosis from prior disease, age-related changes, infectious/immune-mediated lower airway disease, inhaled allergen/irritant, or unlikely other.
3. Gastric material due to recent meal and/or gastritis/delayed gastric emptying, or unlikely pyloric outflow tract obstruction given lack of reported vomiting in history.  
4. Non-specific small intestinal and colon appearance such as from enteritis, colitis, or individual variation of normal.</t>
  </si>
  <si>
    <t>Consider computed tomography for further evaluation of the left caudal lung lobe mass as well as routine blood work if not recently performed.  Tissue sampling of this mass for further evaluation.  Oncologist consultation depending on results.  Empirical therapy and supportive care in the interim as needed.  Monitoring as directed, or sooner if clinical signs acutely change, fail to improve or worsen.</t>
  </si>
  <si>
    <t>Orthogonal views of the abdomen are provided:_x000D_
_x000D_
Abdomen:_x000D_
_x000D_
The stomach is empty._x000D_
Small intestines are mildly gas and fluid filled, not overtly distended. No signs of mechanical ileus._x000D_
Unformed feces in the colon._x000D_
Serosal detail is preserved._x000D_
Liver and spleen are within normal limits of size and smoothly marginated._x000D_
Kidneys and urinary bladder WNL.</t>
  </si>
  <si>
    <t>1) Unformed feces in the colon. Rule out colitis of allergic/inflammatory/idiopathic origin vs IBD flare up vs colitis secondary to dietary indiscretion/diet change.</t>
  </si>
  <si>
    <t xml:space="preserve">
1.There is no evidence of a gastrointestinal obstruction._x000D_
2.The liver and spleen are normal in size with smooth margins._x000D_
3.Serosal detail is adequate._x000D_
4.The stomach is mildly gas and fluid filled with dense material. The small bowel is gas and fluid-containing._x000D_
5.No abnormal AI findings reported.</t>
  </si>
  <si>
    <t>Patient Name : BAMBI MARX, Date of study: Jul 19, 2024
6 images are provided for review
There are no previous radiographs for comparison.
Liver: The liver is subjectively normal in size.
Spleen: The spleen is normal in size with smooth margins and homogeneous soft tissue.
Kidneys: The left kidney is small and measures less than 2.5x the L2 vertebral body.  The left renal margins are undulant or concave in the ventrodorsal image.  The right kidney is subjectively normal.  
Retroperitoneum: Retroperitoneal detail is adequate.
Urogenital: The urinary bladder is normal in size, homogeneous soft tissue, and smoothly marginated.
Peritoneum: Peritoneal detail is adequate.
Gastrointestinal tract: The stomach contains a large volume of gas and ill-defined soft tissue material. In the region of the pylorus in the right lateral image, are at least two, well-defined, barrel-shaped mineral foci.  The stomach has undulant serosal margins and does not appear taught, subjectively.  Gas is in the pylorus in the left lateral image.  The descending duodenum is not well-identified.  
The small intestine contains mild gas fluid or is empty with a subjectively uniform population for size. 
The colon contains mild gas or is empty.  The colon is segmentally spastic.
Musculoskeletal: L1-2 and L2-3 spondylosis deformans is present.  The remaining included musculoskeletal structures are normal.</t>
  </si>
  <si>
    <t xml:space="preserve">1. Gastric enlargement without obvious taught shape, and suspected presently non-obstructive mineral foreign material,
- This is suspicious for chronic or evolving pyloric outflow tract obstruction, such as from pyloric antral hyperplasia/hypertrophy, stenosis, occult neoplasia, or unlikely occult soft tissue foreign material.
- The ovoid mineral foci may exacerbate the above conditions, or less likely may be the primary etiology of pyloric outflow tract obstruction.
2. Recent bowel movement versus non-specific colitis or other.
3. No evidence of small intestinal mechanical ileus, but a proximal duodenal obstruction is not completely ruled out.  
4. Left chronic renal disease with presumed cortical infarcts.
 </t>
  </si>
  <si>
    <t>Consider repeat abdominal radiographs after 8-12 hours of fasting and empirical therapy/supportive care to monitor for passage of gastric content.  Consider gastroscopy for further evaluation of the pylorus and possibly retrieval of the small mineral foci if they persist in the stomach.  Routine blood work and urinalysis/SDMA and blood pressure if not recently performed.  Empirical therapy and supportive care in the interim as needed.  Monitoring as directed, or sooner if clinical signs acutely change, fail to improve or worsen.</t>
  </si>
  <si>
    <t xml:space="preserve">
1.The stomach contains small volume gas and scant soft tissue density. The small bowel is diffusely gas- and fluid-filled without segmental small bowel dilation._x000D_
2.Splenic size, shape and margin are normal._x000D_
3.The liver is mild to moderately enlarged._x000D_
4.Abdominal detail is normal.</t>
  </si>
  <si>
    <t>Thorax: There is a soft tissue masslike structure superimposed over the cranial dorsal aspect of the cardiac silhouette.  On the ventrodorsal view this may be associated with the right hemithorax however this is compromised by placing obliquity.  There is a mild bronchial pattern.  The remainder of the thorax is unremarkable.  There appears to be a soft tissue mass involving the caudal aspect of one of the thoracic limbs (distal humerus/elbow._x000D_
_x000D_
There appears to be a subcutaneous lipoma along the ventral aspect of the thorax._x000D_
_x000D_
Abdomen: There is rounding of the caudal ventral margins of the liver.  There is soft tissue opacities and small mineral opacities within the gastric lumen.  The remainder of the abdomen is unremarkable.  There is collapse of the intervertebral disc space at T12-13.  Spondylosis deformans is noted at this level.  There is a subcutaneous lipoma along the left lateral abdomen.  On the visible portions of the pelvis there is moderate left femoral head and neck osseous remodeling.</t>
  </si>
  <si>
    <t>Mass within the cranial thorax near the level of the cranial dorsal cardiac silhouette._x000D_
_x000D_
Diffuse bronchial pattern which may be age-related or bronchitis._x000D_
_x000D_
Diffuse hepatomegaly._x000D_
_x000D_
Intervertebral disc disc disease at T12-13._x000D_
_x000D_
Left coxofemoral osteoarthrosis.</t>
  </si>
  <si>
    <t xml:space="preserve">
1.Splenic size, shape and margin are normal._x000D_
2.The stomach contains small volume gas and scant soft tissue density. The small bowel is diffusely gas- and fluid-filled without segmental small bowel dilation._x000D_
3.Abdominal detail is normal._x000D_
4.The liver is mild to moderately enlarged.</t>
  </si>
  <si>
    <t xml:space="preserve">Patient Name : Max Cantu, Date of study: Jul 19, 2024
7 images are provided for review
There are no previous radiographs for comparison.
Bones/Joints: The T12-13 intervertebral disc space is suspected to be narrowed.  The C2-3 intervertebral disc space is slightly narrowed compared to C3-4.  The right 13th rib is thin and ill-defined proximally, presumably from partial transitional vertebra.  
 C2-3 and L7-S1 spondylosis deformans.
A dens is present.  There is no evidence of atlantoaxial joint subluxation.
There is no evidence of intervertebral mineral over the intervertebral foramina.  There is no evidence of intervertebral dorsal articulation osteoarthrosis.
The coxofemoral joints have no obvious osteoarthrosis.  There is adequate coverage of the femoral heads by the acetabulums.
The patellas are suspiciously medially positioned over the distal femurs in the ventrodorsal image, likely exacerbated by obliquity.  
The left stifle has no evidence of osteoarthrosis.  The left infrapatellar fat pad is well-defined.
The included left tarsus, metatarsus and digits are normal.
The right stifle has no evidence of osteoarthrosis.  The right infrapatellar fat pad is well-defined.
The included right tarsus, metatarsus and digits are normal.  
There is no evidence of medullary sclerosis, osteolysis, endosteal scalloping, or periosteal proliferation.
Soft tissues:  The included soft tissues are normal.
</t>
  </si>
  <si>
    <t xml:space="preserve">1. Suspected T12-13 intervertebral disc disease.
2. Suspected C2-3 intervertebral disc disease.
3. Presumed artifact from positioning, versus bilateral medial patella subluxation.
4. No evidence of right stifle osteoarthrosis.
5. No evidence of left stifle osteoarthrosis.
6. No evidence of bilateral coxofemoral joint osteoarthrosis.  
</t>
  </si>
  <si>
    <t>Consider neurologist consultation and MRI of the cervical and thoracolumbar spine for further evaluation of the reported clinical signs.  Empirical therapy and supportive care in the interim as needed.  Monitoring as directed or sooner if clinical signs acutely change, fail to improve or worsen.</t>
  </si>
  <si>
    <t>6 views of the thorax and abdomen are submitted for review._x000D_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liver is mildly enlarged with rounded serosal margins.  The spleen is normal in size and shape.  The renal silhouettes and urinary bladder are normal.  The stomach contains a mild amount of gas.  The small bowel is normal in uniform diameter.  A mild amount of gas is noted throughout the colon.  Serosal detail is normal._x000D_
No significant osseous abnormalities are seen.</t>
  </si>
  <si>
    <t>The appearance of the liver is nonspecific and most consistent with vacuolar hepatopathy.  Inflammation, or much less likely neoplasia cannot be excluded.  The appearance of the colon is nonspecific but could be consistent with diarrhea.  No evidence of mechanical obstruction of the GI tract seen._x000D_
Radiographically normal thorax.  An explanation for the reported clinical signs is not definitively seen.</t>
  </si>
  <si>
    <t>Correlation with blood work may be helpful.  Symptomatic/supportive medical management appears appropriate.</t>
  </si>
  <si>
    <t>ABDOMEN (3 radiographs for review). No previous for comparison._x000D_
_x000D_
- Peritoneal serosal detail is normal._x000D_
- The stomach is moderately distended with heterogeneous, gas-stippled soft-tissue opaque material._x000D_
- The small intestine is non-distended and contains soft-tissue/fluid and multiple small gas bubbles._x000D_
- The colon contains gas and mild formed fecal material._x000D_
- The liver is mildly enlarged, extending caudal to the costal arch with rounded margins_x000D_
- The caudal thorax and included musculoskeletal structures are normal.</t>
  </si>
  <si>
    <t>1. Negative examination for evidence of obvious gastrointestinal foreign material and/or mechanical obstruction. The material in the stomach is most resembling of normal ingesta, less likely foreign material. There may be an associated functional ileus (e.g. enteritis). If clinically indicated, abdominal ultrasonography might be considered for further evaluation._x000D_
_x000D_
2. Mild hepatomegaly. DDx benign vacuolar/metabolic hepatopathy, less likely hepatitis or neoplasia.</t>
  </si>
  <si>
    <t>Prominent rugal folds suggestive of gastritis.  This does not rule out underlying pancreatitis, inflammatory bowel disease, infiltrative neoplasia, etc.</t>
  </si>
  <si>
    <t xml:space="preserve">
1.The spleen is within normal limits._x000D_
2.Serosal detail in the abdomen is normal._x000D_
3.The stomach is mildly gas and fluid filled with some soft tissue density material. The small bowel is gas and fluid-containing. No evidence of obstruction._x000D_
4.The liver appears borderline to mildly small, with slight deviation of the gastric axis. This is more prominent on the lateral projection.</t>
  </si>
  <si>
    <t xml:space="preserve">Patient Name : Mia Moore, Date of study: Jul 19, 2024
3 images are provided for review
Canine Abdomen (3 Images) - 1 Vd, 2 Lateral
There are no previous radiographs for comparison.
Abdomen:
Liver: The liver is minimally to mildly enlarged. On both lateral projections, focal convexity is noted to the caudal liver margin in the mid-portion of the liver. 
Spleen; Splenic size is normal on the VD projection. On the lateral projection, splenic margin is rounded but no discrete mass is noted.
Kidneys and urinary bladder: Mild flattening to the renal margin appears to be present on the lateral projections. Renal size cannot be determined due to overlying colonic contents. 
GI: The stomach contains a minimal amount of mixed contents. No gastric distention is noted. Mineralized gastric contents are present. The pyloroduodenal angle is widened on the VD projection and the proximal duodenum is gas filled with a rigid appearance. The remainder of the small bowel is normal. The colon is feces distended but no constipation or excessive colonic distention is noted.
Abdominal detail: The mesentery ventral to the stomach has a wispy appearance suggestive of scant abdominal fluid or mesenteric inflammation. 
Caudal thorax: CVC size is mildly decreased on the lateral projections. No pulmonary nodules are noted. 
Msk: Bilateral medial patella luxation is present. Osteophyte formation affects both stifles. </t>
  </si>
  <si>
    <t xml:space="preserve">1) Minimal hepatomegaly. Convex caudal liver margin. Given the thrombocytopenia, rule out a liver mass.
2) Cranioventral mesenteric fluid or inflammation. DDx: secondary to abdominal hemorrhage vs. secondary to right cranial abdominal inflammation.
3) Widening to the pyloroduodenal angle. DDx: pancreatitis vs. cranial abdominal inflammation secondary to pyloroduodenal or biliary disease. No free abdominal air noted.
4) Bilateral medial patella luxation. Stifle arthritis. Question owners about NSAID usage. 
5) Small CVC. DDx: dehydration vs. hypovolemia. </t>
  </si>
  <si>
    <t xml:space="preserve">Abdominal ultrasound for further evaluation ruling in/out a liver lesion and/or right cranial abdominal inflammation. Abdominocentesis if abdominal fluid is present and a fluid pocket can be safely sampled. Fluid therapy if dehydration is present. 
Question owners about NSAID usage. 
Ortho consultation for the patella luxation. </t>
  </si>
  <si>
    <t xml:space="preserve">Patient Name : Gracie Martin, Date of study: Jul 19, 2024
3 images are provided for review
Canine Abdomen (3 Images) - 1 Vd, 2 Lateral
There are no previous radiographs for comparison.
Liver: In the left lateral image, possible rounding of the caudoventral limer margin is suspected, but this is not corroborate in the right lateral image.  
Spleen: The spleen is normal in size with smooth, well-defined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and gas.  The stomach is normal in size.
The small intestine contains mild gas and fluid or is empty with a subjectively uniform population for size. 
The colon contains moderate well-defined soft tissue material and gas.
Musculoskeletal: The included musculoskeletal structures are normal.
</t>
  </si>
  <si>
    <t xml:space="preserve">1. Non-specific gastrointestinal tract appearance such as from enteritis, gastritis, or recent meal/individual variation of normal.
- Differential diagnoses for enteritis/gastritis include dietary indiscretion, toxin ingestion, diet/antibiotic responsive disease, inflammatory bowel disease, parasitism/primary infectious disease, pancreatitis or occult systemic disease.
- There is no current evidence of gastrointestinal mechanical ileus.
2. Presumed artifact/superimposed normal structures, or unlikely focal hepatomegaly/hepatic nodule.
3. No obvious abdominal mass/mass-effect is identified.  </t>
  </si>
  <si>
    <t>Consider GI panel, fecal analysis/deworming, and routine blood work for further evaluation.  Consider abdominal ultrasonography for further evaluation of the liver and right abdomen given reported palpable mass that is not identified in this examination.  Empirical therapy and supportive care in the interim as needed.  Monitoring as directed or sooner if clinical signs acutely change, fail to improve or worsen.</t>
  </si>
  <si>
    <t>ABDOMEN (3 radiographs for review).  Multiple previous examinations are available for comparison._x000D_
_x000D_
- Peritoneal serosal detail is normal._x000D_
- There is a single, tiny mineral opacity persistently superimposed over the region of the left renal pelvis._x000D_
- On both lateral projections, the cranial margin of the urinary bladder is overlain by multiple small intestinal segments which contain granular soft tissue and mineral opaque material.  No distinct intraluminal mineralized foci are detected._x000D_
- The stomach contains mild gas and gas-stippled soft-tissue opaque material_x000D_
- The small intestine contains mild multifocal gas and soft-tissue opaque material_x000D_
- The colon contains gas, soft-tissue/fluid and moderate formed fecal material._x000D_
- The liver, spleen, region of the kidneys and urinary bladder are normal._x000D_
- The caudal thorax is normal_x000D_
- No musculoskeletal abnormalities are noted.</t>
  </si>
  <si>
    <t>1. Suspected small left nephrolith.  For further investigation, consider abdominal ultrasound to characterize the renal architecture._x000D_
_x000D_
2.  Although no overt radiopaque cystoliths are detected, assessment of the urinary bladder is mildly limited due to superimposition of the small intestine.  If abdominal ultrasonography is elected for further evaluation of the kidneys, the urinary bladder could be simultaneously assessed.  Alternatively, spoon compression of the caudal abdomen and retake abdominal radiographs could provide further clarification.</t>
  </si>
  <si>
    <t>Five radiographs of the thorax, and four views of the abdomen are provided. The heart and pulmonary vessels are normal size. Mild unstructured interstitial pattern and several pulmonary osteomas is normal for the age of this patient. There are no soft tissue pulmonary nodules or enlarged intrathoracic lymph nodes. Round increased opacity in the lateral aspect of the right 8th intercostal space is a costochondral junction._x000D_
_x000D_
In the abdomen the stomach contains a large amount of soft tissue opaque ingesta. Small and large bowel are minimally filled. The liver, spleen, and both kidneys are normal size and shape. The urinary bladder is mildly filled and the prostate is not enlarged. Round soft tissue contour in the cranial right quadrant on the VD view is fluid within the pylorus. There is curved follow-up 4.4 x 2.8 cm soft tissue opacity in the inguinal region on the lateral views. No osseous abnormalities.</t>
  </si>
  <si>
    <t>1. Inguinal mass, likely inguinal lymphadenopathy. This is concerning for metastatic disease, but could also represent a retained testicle. No intra-abdominal abnormalities._x000D_
2. Normal thorax.</t>
  </si>
  <si>
    <t>Recommend palpation to confirm both testicles are located within the scrotum. Cytology/histopathology of the inguinal mass could be considered for a definitive diagnosis. There is no contraindication for general anesthesia based on this study.</t>
  </si>
  <si>
    <t xml:space="preserve">
1.In most cases, the stomach and small bowel are minimally filled however in a small number of cases, gastric distention will silhouette with the liver artifactually creating the appearance of hepatomegaly._x000D_
2.Formed feces in the distal colon._x000D_
3.On the lateral projection, the liver is mildly enlarged with rounded margins. Less commonly, gastric distention silhouetting with the liver can trigger this AI result._x000D_
4.Resource: https://platform.v2.vetology.net/doc/liver_disease_x000D_
5.Splenic size, shape and margin are normal._x000D_
6.Abdominal detail is satisfactory._x000D_
7.The ventral abdominal line is pendulous.</t>
  </si>
  <si>
    <t>Three radiographs of the abdomen are provided. There is no peritoneal or retroperitoneal effusion. The stomach contains a moderate amount of soft tissue opacity that is stippled with gas. Small intestines are mildly filled with fluid, gas, and small volume stippled soft tissue density. No severe intestinal distention. The cecum is gas-filled. Formed feces fills the distal colon. A few punctate mineral densities in the colon are of doubtful significance. No other evidence of foreign material. Normal-sized liver, spleen, kidneys. Mineral density overlying the ventral aspect of the L4-5 intervertebral foramen. Punctate gas lucencies dorsal to L6 are likely from recent injection.</t>
  </si>
  <si>
    <t>Normal postprandial abdomen. Gastric contents appears to be normal ingesta. Foreign material is felt to be unlikely in the absence of vomiting or hyporexia/anorexia. The reason for discomfort is not identified. The appearance of L4-5 is suggestive of intervertebral disc disease, however since the patient is not painful with spinal palpation this is likely incidental.</t>
  </si>
  <si>
    <t>With the marked abdominal pain, abdominal ultrasound is recommended. Strict fasting of at least 12 hours would be ideal prior to additional imaging.</t>
  </si>
  <si>
    <t xml:space="preserve">
1.The liver and spleen are within normal limits._x000D_
2.The abdominal detail is normal._x000D_
3.The stomach is within normal limits. Small intestinal bowel loops are normal in size and distribution and have a mixed pattern. No signs of obstruction._x000D_
4.No abnormal AI findings reported.</t>
  </si>
  <si>
    <t>The AI result for this case is most compelling for: No abdominal abnormalities detected. The appearance of the stomach is likely related to normal ingesta in the absence of GI symptoms. However, if GI symptoms are present, gastroenteritis secondary to dietary indiscretion or infectious etiology could be considered.</t>
  </si>
  <si>
    <t>Three radiographs of the thorax, and three views of the abdomen are provided. Abdominal images dated 9/27/23 are available for comparison. The cardiac silhouette and pulmonary vessels are normal size and shape. There are no abnormalities in the pulmonary parenchyma. No pleural effusion or intrathoracic lymphadenomegaly. Adequate tracheal diameter._x000D_
_x000D_
In the abdomen the liver is equivocally prominent, with smooth margins. Smoothly irregular mineral density overlying the ventral liver consistent with gallbladder debris, typically incidental. Normal-sized spleen and kidneys. There is no effusion. The urinary bladder is markedly distended and soft tissue opaque. The gastrointestinal tract is minimally filled. No significant osseous abnormalities.</t>
  </si>
  <si>
    <t>Equivocal prominent liver, a nonspecific finding that may be normal variant or steroid or other hepatopathy. This is relatively similar to the previous study and is most likely incidental. Otherwise normal abdomen and thorax.</t>
  </si>
  <si>
    <t>If further evaluation of the nasal sinuses is desired, computed tomography would be recommended.</t>
  </si>
  <si>
    <t>3 views of the entire body are provided for review. The trachea is dorsally deviated, indicating left ventricular enlargement. A bulge is present in the area of the left atrium. The pulmonary vasculature is normal in size. There is mineralization if the airways. The pleural and mediastinal structures are normal. Abdominal serosal detail is adequate. The stomach contains a moderate amount of gas and the rugal folds are prominent. The small intestines are normal in size. Gas is present in the colon. The remaining abdominal organs are normal.</t>
  </si>
  <si>
    <t>Left sided cardiomegaly without current evidence of cardiogenic pulmonary edema. Bronchial mineralization assists chronic lower airway disease such as bronchitis. Prominent rugal folds suggestive of gastritis. This does not rule out underlying pancreatitis or infiltrative neoplasia.</t>
  </si>
  <si>
    <t xml:space="preserve">
1.The hepatic silhouette is enlarged, with a smooth round and borders._x000D_
2.The ventral abdominal line is pendulous._x000D_
3.The spleen is also enlarged with a smooth outline._x000D_
4.Peritoneal detail is decreased._x000D_
5.The stomach contains a moderate amount of food material, but has a normal axis._x000D_
6.The small intestines are within normal limits for shape, size and contents._x000D_
7.The large colon contains a minor amount of poorly formed faeces.</t>
  </si>
  <si>
    <t xml:space="preserve">
Virtual Radiologist Case Difficulty: MODERATE_x000D_
Virtual Radiologist Confidence: MODERATE_x000D_
Abdominal ultrasound is advised._x000D_
FNA of liver and spleen may be considered after normal blood work, and coagulation panel.</t>
  </si>
  <si>
    <t>4 images of the thorax and abdomen are presented for review.  The trachea is variably narrowed in the cervical region.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mildly reduced in the mid abdomen.  The liver margins are rounded and extend beyond the costal arch.  A rounded soft tissue structure protrudes from the tail of the spleen.  The stomach contains a moderate amount of ingesta.  The small intestines are normal in size.  Gas and feces are present in the colon.  The urinary bladder is small.  The remaining abdominal organs are normal.</t>
  </si>
  <si>
    <t>Tracheal narrowing consistent with tracheal collapse. Hepatomegaly=ZZ90= this is a nonspecific finding that may be seen with congestion, vacuolar hepatopathy, inflammation, neoplasia, etc.  Small splenic mass=ZZ90= consider neoplasia, hematoma, regeneration, inflammatory.  Mildly reduced peritoneal serosal detail may indicate mild free fluid.</t>
  </si>
  <si>
    <t xml:space="preserve">
1.No abnormal AI findings reported._x000D_
2.No abnormal AI findings reported._x000D_
3.There is a subtle region of focally increased opacity with mass effect in the cranial abdomen. The small bowel is diffusely gas- and fluid-filled without segmental small bowel dilation._x000D_
4.There is a reduction in serosal detail in the abdomen.Abdominal detail is normal.</t>
  </si>
  <si>
    <t>The AI result for this case is most compelling for: Cranial abdominal pathology, suspicious for a mass. This may represent a mass originating from the liver, stomach, spleen, or pancreas. Given the reduction in serosal detail, this could also represent pancreatitis, abscess, mesenteric lymph node enlargement, or fluid distended bowl loops.</t>
  </si>
  <si>
    <t xml:space="preserve">
Abdominal ultrasound and supportive care and symptomatic therapy for pancreatitis and gastroenteritis is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</si>
  <si>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 xml:space="preserve">Patient Name : Nova Rodrigues, Date of study: Jul 19, 2024
4 images are provided for review
Canine Abdomen (4 Images) - 2 Lateral, 2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gas and heterogeneous soft tissue material.  Gastric rugal folds are slightly prominent in the ventrodorsal image. The pylorus contains gas in the left lateral image.  The descending duodenum contains gas in the left lateral image. 
The small intestine contains mild gas and fluid or is empty with a subjectively uniform population for size. 
In the ventrodorsal image, the colon is suspected to contain mild heterogeneous soft tissue material at the level of T13-L1.  The colon otherwise contains minimal heterogeneous soft tissue material and gas or is empty.  The colon is normal in size.  
Musculoskeletal: The included musculoskeletal structures are normal.
</t>
  </si>
  <si>
    <t>1. Presumed ascending colonic material in the right cranial abdominal intestinal segment, or less likely foreign material in the small intestine such as the ascending limb of the duodenum with occult small intestinal mechanical ileus.
2. Gastric material due to recent meal, versus gastritis/delayed gastric emptying.
- There is no evidence of pyloric outflow tract obstruction.
3. Non-specific small intestinal and colon appearance such as from enteritis, colitis, or individual variation of normal/recent bowel movement.
- Differential diagnoses for enteritis include dietary indiscretion, toxin ingestion, inflammatory bowel disease, diet/antibitoc responsive disease, pancreatitis/occult systemic disease, or other.</t>
  </si>
  <si>
    <t xml:space="preserve">Consider repeat radiographs after 8-12 hours of fasting and empirical therapy /supportive care, versus contrast gastrography/pneumocolonogram or abdominal ultrasonography for further evaluation.   Consider GI panel, fecal analysis/deworming, and routine blood work for further evaluation if additional imaging is inconclusive.  Empirical therapy and supportive care in the interim as needed.  Monitoring as directed, or sooner if clinical signs fail to improve or worsen. </t>
  </si>
  <si>
    <t xml:space="preserve">Patient Name : Sadie Thompson, Date of study: Jul 19, 2024
3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and mild fluid.  The stomach is normal in size.  Gas is in the pylorus in the left lateral image.    Ill-defined mineral is suspected in the pylorus. Small mineral foci are suspected in the small intestine in the right cranial abdomen.  
The small intestine contains mild fluid or is empty with a subjectively uniform population for size. 
The colon contains minimal soft tissue material or is empty, and mild granular mineral material.  The colon is normal in size.  
Musculoskeletal: L1-2 spondylosis deformans is present.  A broad-based caudoventral extra-thoracic fat to soft tissue nodule is present.  The remaining included musculoskeletal structures are normal.
</t>
  </si>
  <si>
    <t xml:space="preserve">1. Suspected pyloric, small intestinal and colonic mineral material such as from dietary indiscretion, with presumed gastritis/enteritis/colitis.
- There is no current evidence of small intestinal mechanical ileus.
2. No obvious evidence of uterine horn enlargement, but this does not completely rule out evolving pyometra given reported history.
</t>
  </si>
  <si>
    <t>Empirical therapy and supportive care for gastroenterocolitis and dietary indiscretion in the interim.  Monitoring with repeat abdominal radiographs versus abdominal ultrasonography, especially if signs attributable to pyometra manifest.  Empirical therapy and supportive care in the interim as needed.  Monitoring as directed, or sooner if clinical signs acutely change, fail to improve or worsen.</t>
  </si>
  <si>
    <t xml:space="preserve">
1.The liver and spleen are normal._x000D_
2.Serosal detail is normal._x000D_
3.No abnormal AI findings reported._x000D_
4.The GI tract is unremarkable.</t>
  </si>
  <si>
    <t>Three lateral radiographs of the abdomen are provided. There is no peritoneal or retroperitoneal effusion. The urinary bladder is mildly filled and soft tissue opaque. No abnormalities in the region of the medial iliac lymph nodes. Formed feces fills the descending colon. The small intestines are minimally distended. There is gas in the stomach. Normal-sized liver, spleen, kidneys. The caudal thorax is unremarkable.</t>
  </si>
  <si>
    <t>Urinalysis is recommended.</t>
  </si>
  <si>
    <t xml:space="preserve">Patient Name : Dozer Martin, Date of study: Jul 19, 2024
1 images are provided for review
Previous images dated [07/17/2024 Case#2713262] and others, are available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fluid and mild gas, but is normal in size.
In the final three lateral images, the pylorus contains multiple well-defined variably sized metal opaque spheres (BIPS).  In the final image of the series from 7/19/2024, the pylorus contains minimal ill-defined mineral, and is normal in size.  
The small intestine contains mild fluid or is empty with a subjectively uniform population for size. 
In the initial series, ill-defined mineral material is in the caudal abdomen, possibly in the colon.  In the images from 7/18/2024, this mineral material is not well-identified and is suspected to be admixed with coloni contents.  In the final lateral image from 7/19/2024, the BIPS are presumed to be in the descending colon, but only one image is provided.  
The colon contains moderate gas and minimal soft tissue material admixed with gas.
Musculoskeletal: The included musculoskeletal structures are normal for a skeletally immature patient.  
</t>
  </si>
  <si>
    <t xml:space="preserve">1. Gastric BIPS with presumed passage into the colon in the final series.
- There is no evidence of gastrointestinal mechanical ileus.
2.  Non-specific small intestinal appearance due to individual variation versus enteritis or other.
- Differential diagnoses for enteritis include dietary indiscretion, toxin ingestion, inflammatory bowel disease, parasitism, pancreatitis or occult systemic disease.  </t>
  </si>
  <si>
    <t>Consider empirical therapy/supportive care for gastritis and possible enteritis.  Routine blood work if not recently performed.  Abdominal ultrasonography if signs fail to improve or worsen in the face of empiircal therapy.  Monitoring as directed or sooner if clinical signs acutely change, fail to improve or worsen.</t>
  </si>
  <si>
    <t xml:space="preserve">
1.The stomach contains a moderate amount of mixed gas and fluid._x000D_
2.Small intestinal bowel loops are normal in size and distribution and have mainly a soft tissue pattern._x000D_
3.The colon contains gas and fluid._x000D_
4.Cranial abdominal detail is mildly decreased._x000D_
5.Resource: https://platform.v2.vetology.net/doc/pancreatitis_x000D_
6.The spleen is normal._x000D_
7.Resource: https://platform.v2.vetology.net/doc/gi_protectants_1_x000D_
8.The liver is mildly enlarged.</t>
  </si>
  <si>
    <t>4 images of the entire body are presented for review.  The cardiovascular and pulmonary structures are normal.  The pleural and mediastinal structures are normal.  Abdominal serosal detail is adequate in all quadrants.  The stomach contains a moderate amount of ingesta.  The small intestines are normal in size.  Gas and feces are present in the colon.  The urinary bladder is small.  No mineral is seen associated with the urinary tract.  The remaining abdominal organs are normal.  Spinal alignment is normal with no consistently narrowed intervertebral disc spaces.  The coxofemoral joints are congruent.  No fractures or aggressive osseous lesions are seen.</t>
  </si>
  <si>
    <t>Radiographically normal thorax and abdomen.  Unremarkable osseous structures.</t>
  </si>
  <si>
    <t>Three orthogonal survey radiographs of the thorax and abdomen dated 18th July 2024 are available for review. There are no previous radiographs available for comparison. These images are submitted for assessment of the thorax._x000D_
_x000D_
Thorax: _x000D_
Airway findings: The trachea has a normal position. Within the caudal dorsal and caudal ventral lung parenchyma there is a moderate bronchointerstitial opacification. No nodules or masses are seen. Superimposed on the hepatic silhouette, there is some mineral stippling and smoothly marginated mineral opacity consistent with gallbladder mineralisation._x000D_
_x000D_
Cardiovascular findings: There is a large smoothly marginated soft tissue opacity contiguous with the caudal dorsal border of the cardiac silhouette. A soft tissue opacity is superimposed on the caudal cardiac silhouette in the dorsoventral image.  The overall cardiac silhouette is tall. The pulmonary veins are enlarged. The cardiac silhouette is widened and the ventrodorsal image. There is a bulge in the region of the right atrium/aorta in the ventrodorsal image._x000D_
_x000D_
Mediastinum and pleural space: No significant abnormalities are detected._x000D_
_x000D_
Abdomen: As described above, likely gallbladder mineralisation._x000D_
_x000D_
Musculoskeletal findings: No significant abnormalities are detected.</t>
  </si>
  <si>
    <t>1. Left atrial dilation with left-sided cardiomegaly. Severe mitral insufficiency is more likely than dilated cardiomyopathy. The bronchointerstitial opacification is most likely due to early cardiogenic pulmonary oedema, but is slightly atypical. A combination with chronic bronchitis (environmental, allergic, viral-bacterial, parasitic) is possible. Heart worm is possible.</t>
  </si>
  <si>
    <t>Radiography is insensitive for early cardiac insufficiency, therefore ECG, blood pressure measurements, and echocardiography is advised prior to any steroid therapy. Treatment trial with diuretics, and repeat radiographs may be considered._x000D_
If cardiac workup is negative, respiratory workup including CBC, serum chemistry, urinalysis, Baermann faecal testing, 4DX, +/- respiratory panel or fungal testing may be considered, or empirical therapy for lower airway disease, empirical deworming, and removal of allergens and environmental irritants (i.e. smoke, dust, perfumes, etc.) is advised.</t>
  </si>
  <si>
    <t xml:space="preserve">Patient Name : Capri Kita, Date of study: Jul 18, 2024
3 images are provided for review
Canine Abdomen (3 Images) - 2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heterogeneous soft tissue material admixed with gas.  The stomach is normal in size.  Gas is in the pylorus in the left lateral image.  
The descending duodenum contains mild gas in the ventrodorsal image.  
The small intestine contains mild heterogeneous soft tissue material, fluid and gas or is empty with a subjectively uniform population for size. 
The colon contains moderate well-defined soft tissue material and gas.  The colon is normal in size.   
Musculoskeletal: The included musculoskeletal structures are normal.
</t>
  </si>
  <si>
    <t>1. Gastric material due to recent meal, versus gastritis/delayed gastric emptying unlikely other.
- Differential diagnoses for gastritis include dietary indiscretion, toxin ingestion, diet/antibiotic responsive disease, inflammatory bowel disease, parasitism/primary infectious disease, or pancreatitis or occult systemic disease.
2. Non-specific small intestinal appearance such as from enteritis, or individual variation of normal/recent meal and passing ingesta.
- There is no evidence of small intestinal mechanical ileus.
3. No obvious urocystoliths are identified.</t>
  </si>
  <si>
    <t xml:space="preserve">Etiology of reported urinary incontinence is not definitively identified. Consider occult ureteral ectopic/congenital anomaly, urinary bladder sphincter dyssynergia or spay associated incontinence of underlying micturition disorder from occult myelopathy, or unlikely other.  This is unlikely due to overflow/polydipsia given reportedly normal USG.  Consider computed tomogrpahy excretory urography and/or contrast vaginocystourethrography or urethroscopy for further evalaution.  Empirical therapy and supportive care in the interim as needed.  Consider neurologist consultation if additional diagnostics are inconclusive.  </t>
  </si>
  <si>
    <t>6 views of the thorax and abdomen are submitted for review.  The cardiac silhouette and pulmonary vasculature are normal.  No abnormalities are noted in the lung fields.  No pleural or mediastinal abnormalities are seen.  The trachea is normal._x000D_
In the abdomen, the stomach contains mild amount of gas.  The small bowel is normal and uniform in diameter.  The colon is empty.  No organomegaly is seen.  Serosal detail is adequate._x000D_
No significant osseous abnormalities are noted.</t>
  </si>
  <si>
    <t>Radiographically normal thorax and abdomen.  An explanation for the clinical signs is not identified.</t>
  </si>
  <si>
    <t>Correlation with blood work is recommended.  An abdominal ultrasound could also be considered.</t>
  </si>
  <si>
    <t xml:space="preserve">
1.No abnormal AI findings reported._x000D_
2.No abnormal AI findings reported._x000D_
3.The stomach is partially distended with gas, some fluid and some soft tissue opaque debris._x000D_
4.The small intestine is normal in diameter. No obvious signs of obstruction._x000D_
5.The liver and spleen are within normal limits for size, with smooth margins.</t>
  </si>
  <si>
    <t xml:space="preserve">Patient Name : Emma Lorson, Date of study: Jul 18, 2024
3 images are provided for review
There are no previous radiographs for comparison.
Liver: The liver is subjectively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to moderate volume of gas and soft tissue material.  The stomach is normal in size.  
The small intestine contains mild gas and fluid or is empty with a subjectively uniform population for size. 
The colon contains moderate heterogeneous soft tissue material and gas.  There is no obvious colonic enlargement.  There is no obvious rectal narrowing.  
Musculoskeletal: The right pelvis limb is absent distal to the proximal femoral diaphysis.   Comminuted fracture of the right ilial body/acetabulum and pelvic floor including both pubis and ischial bones.  The right femoral head/acetabulum is severely displaced medially into the pelvic canal.   An osseous excresences arses from the lateral surface of the left wing of the ilium. The remaining included musculoskeletal structures are normal.
</t>
  </si>
  <si>
    <t xml:space="preserve">1. Microhepatia versus artifact from positioning/technique  or normal variation.
- If present, consider occult portosystemic shunt or unlikely chronic hepatitis/cirrhosis or other.
2. Prior sub-total right pelvic limb amputation distal to the proximal femur.
3. Comminuted pelvic floor fractures.
4. Left ilial wing excresence from prior injury or abnormal weight bearing due to other injuries.
</t>
  </si>
  <si>
    <t>Etiology of reported biochemistry changes is not definitively identified.  Consider abdominal ultrasonography for further evaluation of the liver, with/without bile acid testing or computed tomography portography.  If signs of tenesmus/constipation manifest, consider computed tomography of the pelvis and reduction of pelvic floor fractures as well as surgeon consultation.  Empirical therapy and supportive care in the interim as needed. Monitoring as directed or sooner if clinical signs acutely change, fail to improve or worsen.</t>
  </si>
  <si>
    <t>Four radiographs of the thorax/abdomen are provided. The cardiac silhouette is normal size on the lateral views, with no chamber enlargement appreciated. The heart appears larger on the VD projection due to thoracic conformation. Pulmonary vessels are normal size. There is a mild bronchial pattern throughout the lungs. No soft tissue pulmonary nodules or pleural effusion. Severe narrowed mainstem bronchi on the right lateral view. No pleural effusion. Adequate tracheal diameter. Small volume fluid in the caudal esophagus is transient and incidental. In the abdomen, the stomach contains a large amount of ovoid kibble-like soft tissue density. Small bowel are minimally distended. There is gas in the cecum and proximal colon, with semi-formed feces in the distal colon. No radiopaque urolithiasis. Normal-sized spleen, liver, left kidney. The right kidney is obscured. No osseous abnormalities.</t>
  </si>
  <si>
    <t>Dynamic mainstem bronchial collapse, the most likely cause for respiratory signs. Mild bronchial pattern may be normal age change versus allergic bronchitis which could be contributing to the cough. Otherwise normal thorax and abdomen.</t>
  </si>
  <si>
    <t>A CBC, blood chemistry profile are recommended to rule out a metabolic abnormality. This patient may benefit from symptomatic treatment for the cough.</t>
  </si>
  <si>
    <t xml:space="preserve">
1.Splenic size, shape and margin are normal._x000D_
2.Abdominal detail is normal._x000D_
3.Liver size is normal to upper limits of normal. Liver margin is normal._x000D_
4.The stomach contains gas and ingesta or prominent rugae. The small bowel is diffusely fluid filled but without segmental small bowel dilation.</t>
  </si>
  <si>
    <t>3 views of the abdomen are provided for review.  Serosal detail is adequate in all quadrants.  The liver margins are rounded and extend mildly beyond the costal arch, causing caudal displacement of the gastric axis.  The stomach contains a moderate amount of ingesta.  The small intestines are normal in size.  Gas and feces are present in the colon.  The urinary bladder is small.  Uterus is not visible.  The remaining abdominal organs are normal.</t>
  </si>
  <si>
    <t xml:space="preserve">
1.No abnormal AI findings reported._x000D_
2.Abdominal serosal detail is normal._x000D_
3.On the VD projection, the stomach contains a small amount of gas and has slightly prominent rugal folds or a small amount of soft tissue. Additionally, there is a round soft tissue shadow in the region of the splenic head which likely represents superimposition of the spleen and left kidney._x000D_
4.The small bowel is gas filled._x000D_
5.No segmental small bowel dilation is noted to suggest obstruction._x000D_
6.The liver is at the upper end of normal range for size.</t>
  </si>
  <si>
    <t>Three radiographs of the thorax/abdomen are provided. The cardiac silhouette and pulmonary vessels are normal size and shape. There are no abnormalities in the pulmonary parenchyma. No pleural effusion or esophageal dilation. Tracheal diameter is adequate. Mild congenital vertebral malformations in the thoracic spine, likely incidental. In the abdomen there is small volume ovoid kibble-like soft tissue densities and gas in the stomach. Small bowel are minimally distended with gas and small volume soft tissue density. The cecum is gas-filled. Formed feces in the colon. Normal-sized liver, spleen, left kidney. The right kidney is obscured. No radiopaque cystic calculi. The uterus is not definitively seen. The coxofemoral joints are congruent. One of the patellas may be medially displaced on the left lateral view.</t>
  </si>
  <si>
    <t>Normal thorax and postprandial abdomen. There is no evidence of megaesophagus. The reason for regurgitation is not identified.</t>
  </si>
  <si>
    <t>If clinical signs persist, a positive contrast gastrogram should be considered.</t>
  </si>
  <si>
    <t>Three radiographs of the caudal abdomen/pelvis, and a lateral view of each stifle are provided. No peritoneal or retroperitoneal effusion. Small round soft tissue density ventral to L5 is end-on deep circumflex iliac vessel. No radiopaque urolithiasis. The gastrointestinal tract is mildly filled. Normal-sized liver and spleen. The kidneys are incompletely visible. No narrowed intervertebral disc spaces or foramina. There is no endplate lysis. The coxofemoral joints are congruent. Pelvic limb musculature is mildly reduced on the right. Patella location is normal. There is small volume fluid in the cranial aspect of the right stifle joint. No definitive left stifle joint effusion. No stifle degenerative change or popliteal lymphadenomegaly.</t>
  </si>
  <si>
    <t>Mild right stifle effusion most consistent with cranial cruciate ligament tear/rupture. This is the cause for lameness. Normal coxofemoral joints, lumbar spine, caudal abdomen.</t>
  </si>
  <si>
    <t>Surgical stabilization of the right stifle is recommended.</t>
  </si>
  <si>
    <t xml:space="preserve">Patient Name : Abby Beltran, Date of study: Jul 18, 2024
9 images are provided for review
There are no previous radiographs for comparison.
Bones/Joints:
The coxofemoral joints have no obvious osteoarthrosis.  There is adequate coverage of the femoral heads by the acetabulums.
Bilateral femoral trochlear hypoplasia is present.  No evidence of patella luxation in the ventrodorsal image.  Slight increased soft tissue is suspected in the left stifle joint compared to the right.
The left stifle has no evidence of osteoarthrosis.
The included left tarsus, metatarsus and digits are normal.
The right stifle has no evidence of osteoarthrosis.  The right infrapatellar fat pad is well-defined.
The included right tarsus, metatarsus and digits are normal.  
The included lumbar spine is normal.
There is no evidence of medullary sclerosis, osteolysis, endosteal scalloping, or periosteal proliferation.
Soft tissues:  The patient is obese.  The remaining included soft tissues are normal.
</t>
  </si>
  <si>
    <t>1. Suspected left stifle joint synovial effusion/proliferation versus artifact from positioning/technique. 
- If present, this may be due to cranial cruciate ligament injury, consistent with reported history.  
2. Bilateral femoral trochlear hypoplasia without current evidence of patella luxation.
3. Normal right stifle 
4. Normal coxofemoral joints.</t>
  </si>
  <si>
    <t>Consider orthopedic consultation for further evaluation of the left stifle and medical versus surgical therapy as desired..  Empirical therapy and supportive care in the interim as needed..  Monitoring as directed, or sooner if clinical signs acutely change, fail to improve or worsen.</t>
  </si>
  <si>
    <t xml:space="preserve">
1.The stomach is normal. The small bowel is diffusely gas- and fluid-filled without segmental small bowel dilation._x000D_
2.Abdominal detail is normal._x000D_
3.The liver is mildly enlarged with smooth margins_x000D_
4.Splenic size, shape and margin are normal.</t>
  </si>
  <si>
    <t>WHOLE-BODY (7 total radiographs for review). _x000D_
_x000D_
- Peritoneal serosal detail is normal._x000D_
- The urinary bladder is mildly distended with soft-tissue/fluid._x000D_
- Best appreciated on the left lateral projection of the abdomen, the prostate gland is mildly enlarged for a patient reported as male neutered, having rounded margins. There are a few ill-defined mineral opacities superimposed over the parenchyma._x000D_
- The region of the sublumbar lymph nodes is normal._x000D_
- The kidneys are of somewhat limited assessment, but otherwise normal._x000D_
- The stomach contains moderate gas and gas-stippled soft-tissue opaque material_x000D_
- The small intestine contains mild multifocal gas and soft-tissue opaque material_x000D_
- The colon contains gas, soft-tissue/fluid and mild formed fecal material._x000D_
- The liver is mildly to moderately enlarged, with rounded margins._x000D_
- The spleen, region of the kidneys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normal._x000D_
- Minimal multifocal vertebral spondylosis deformans._x000D_
- Small lipomatous mass in the region of the xiphoid.</t>
  </si>
  <si>
    <t>1. Mild prostatomegaly with possible mineralization. As the patient is reported as castrated male, this would raise concern for prostatic neoplasia (e.g. carcinoma). Correlate to results of rectal examination and abdominal ultrasonography +/- FNA._x000D_
_x000D_
2. Moderate hepatomegaly. Most likely vacuolar (metabolic) hepatopathy. Hepatic congestion, hepatitis or neoplasia are less likely, but possible._x000D_
_x000D_
3. Normal thorax._x000D_
_x000D_
4. A discrete cause for the reported neurologic signs is not clearly identified. Besides mild multifocal spondylosis deformans, the vertebral column is unremarkable. Consider if clinically indicated veterinary neurologist consultation +/- advanced imaging._x000D_
_x000D_
5. Small lipomatous mass in the region of the xiphoid.</t>
  </si>
  <si>
    <t xml:space="preserve">
1.The spleen is visible and within normal limits._x000D_
2.The small intestines are mildly dilated with a mixture of gas and fluid, and have a mild turgid appearance._x000D_
3.The ascending, transverse and descending colon contain gradually more formed faeces._x000D_
4.The stomach has a normal axis, with subjectively thickened mucosal folding._x000D_
5.The liver is normal in shape, size and opacity._x000D_
6.There is a mildly reduced cranial abdominal serosal detail.</t>
  </si>
  <si>
    <t>8 views of the thorax, abdomen, thoracic limbs, and pelvic limbs are submitted for review.  No definitive abnormalities noted in the cervical spine.  The thoracic spine appears within normal limits as well.  No definitively narrowed intervertebral disc spaces are noted in the lumbar spine.  Moderate spondylosis deformans is noted at the caudal lumbar spine.  The bilateral coxofemoral joints and sacroiliac joints are within normal limits.  Moderate to severe degenerative changes are noted at the distal femur, proximal tibia, and patella in both stifles.  The patellas appear medially displaced on the VD view._x000D_
No definitive abnormalities noted in the thoracic limbs._x000D_
The cardiovascular structures are within normal limits.  Mild bronchointerstitial markings are noted throughout the lung fields.  No pleural or mediastinal abnormalities are seen._x000D_
In the abdomen, the liver is mildly enlarged.  A small mineral opacity structure consistent with a gallstone is noted at the cranioventral aspect of the abdomen.  The spleen appears within normal limits.  Mild mineralization is noted in the region of the kidneys.  The urinary bladder is minimally distended.  An ill-defined mineral opacity structure is noted immediately ventral to the colon and dorsal to the plane of the urinary bladder on the lateral views.  The GI tract is unremarkable.  Serosal detail is adequate.</t>
  </si>
  <si>
    <t>Moderate to severe degenerative joint disease in both stifles with suspected medial patellar luxation.  Concurrent cranial cruciate ligament injury is also likely.  Occult intervertebral disc disease cannot be definitively excluded._x000D_
The appearance of the liver is nonspecific and consistent with vacuolar hepatopathy.  Mild cholelithiasis of unknown clinical significance.  Mild renal changes, consistent with chronic nephritis and degenerative change unknown clinical significance.  The mineral opacity structure in the caudal abdomen may represent dystrophic mineralization at the uterine stump associated with hysterectomy.  The clinical significance is doubtful.</t>
  </si>
  <si>
    <t>Consultation with an orthopedic specialist regarding the stifles could be considered.  An abdominal ultrasound appears indicated.  If neurological deficits present, cross-sectional imaging of the vertebral column may also be indicated.</t>
  </si>
  <si>
    <t xml:space="preserve">
1.The abdomen is pendulous but abdominal detail is normal._x000D_
2.Small-volume amorphous soft tissue ingesta within the stomach._x000D_
3.Small intestines are mildly filled._x000D_
4.Formed feces fills the colon._x000D_
5.The spleen is normal size._x000D_
6.The liver extends slightly beyond the costal arch but maintains sharp margins and there is no deviation of the gastric axis.</t>
  </si>
  <si>
    <t>WHOLE-BODY (7 total radiographs for review). No previous for comparison._x000D_
_x000D_
- The patient has a lean body condition and limited peritoneal fat available for contrast._x000D_
- The stomach is non-distended and contains a small volume of soft-tissue opaque material._x000D_
- The small intestine contains mild multifocal soft-tissue opaque material and gas._x000D_
- The colon contains minimal formed fecal material and gas._x000D_
- The liver, spleen, kidneys and urinary bladder are of limited assessment however no discrete abnormalities are noted._x000D_
- The cardiac silhouette, pulmonary parenchyma, pleural space, trachea, mediastinum and remaining included intrathoracic structures are normal._x000D_
- Multiple open physes are present, consistent with the patient age._x000D_
- No discrete musculoskeletal abnormalities are detected</t>
  </si>
  <si>
    <t>1. Moderate multifocal heterogeneous soft-tissue opaque material throughout the small intestine, without obvious obstruction. This may indicate dietary indiscretion and there may be an associated gastrointestinal functional ileus (e.g. enteritis). If clinically indicated, you may consider abdominal ultrasonography and/or recheck radiographs._x000D_
_x000D_
2. Normal thorax.</t>
  </si>
  <si>
    <t>Orthogonal views of the abdomen are provided:_x000D_
_x000D_
Abdomen:_x000D_
_x000D_
The stomach is filled with some food._x000D_
Small intestines are mildly gas and fluid filled, not overtly distended. No signs of mechanical ileus._x000D_
Unformed feces in the colon consistent with the history._x000D_
Serosal detail is preserved._x000D_
Liver and spleen are within normal limits of size and smoothly marginated._x000D_
Kidneys and urinary bladder WNL.</t>
  </si>
  <si>
    <t>1) Unformed feces in the colon. Rule out colitis of allergic/inflammatory/idiopathic origin vs EPI.</t>
  </si>
  <si>
    <t>Consider abdominal US to further evaluate causes of chronic diarrhea.</t>
  </si>
  <si>
    <t>A three view thoracoabdominal study is provided for interpretation._x000D_
_x000D_
Moderate heart enlargement is identified. The shape of the heart is most typical of left sided chamber dilation. There is a moderate diffuse bronchial pattern. Patchy interstitial infiltrates are seen in the left caudal lobe. Several thin-walled pulmonary bullae are identified. These appear to be present in the right cranial lobe and both caudal lung lobes._x000D_
_x000D_
The liver is moderately enlarged. There is a crescent-shaped mineral opacity superimposed over the liver in the lateral views that likely represents mineral dense sediment in the gallbladder. The abdomen is distended, and serosal detail is poor consistent with free abdominal fluid. No mass lesions are seen. The appearance of the GI tract is unremarkable.</t>
  </si>
  <si>
    <t>There is moderate cardiomegaly which appears primarily left sided._x000D_
A right-sided component cannot be excluded._x000D_
_x000D_
The primary pulmonary pattern is bronchial, most compatible with chronic bronchitis. There is some increase interstitial opacity in the left caudal lobe, but the overall lung pattern is not typical of congestive heart failure. This remains a differential._x000D_
_x000D_
Multiple thin-walled pulmonary bullae are present, which is probably incidental and not responsible for symptomology at this time._x000D_
_x000D_
There is significant hepatomegaly, and free abdominal fluid. A small quantity of fine mineral dense sediment in the gallbladder is probably incidental._x000D_
_x000D_
The abdominal distention and hepatomegaly could be the result of right-sided heart failure, so biventricular heart failure is a potential explanation for the cough and the abdominal changes. However, separate disease processes causing the thoracic and abdominal changes should be ruled out, such as chronic bronchitis causing cough and neoplasia such as lymphoma causing hepatomegaly and ascites.</t>
  </si>
  <si>
    <t>Primary loss for this patient include biventricular heart failure, and a coincidental cardiac disease and unrelated diffuse liver disease (hepatitis, metabolic or endocrine hepatopathies, and hepatic neoplasia including lymphoma)._x000D_
Possible etiologies for the ascites would include right heart disease, hypoproteinemia, and neoplasia. Abdominal hemorrhage or peritonitis or less likely given the patient is eating and drinking normally._x000D_
_x000D_
CBC and serum chemistry is indicated._x000D_
Echocardiography and ultrasound of the abdomen is recommended._x000D_
_x000D_
Empiric medical management for biventricular heart failure could be considered depending on clinical suspicion and lab results if echocardiography and ultrasound is not an option or readily available.</t>
  </si>
  <si>
    <t xml:space="preserve">
1.The spleen is also questionably enlarged but poorly visible._x000D_
2.The gastric axis is deviated caudally indicating an enlarged liver._x000D_
3.Serosal detail is poor._x000D_
4.Small-volume gas is present within the stomach._x000D_
5.The colon is minimally filled.</t>
  </si>
  <si>
    <t>Eight radiographs are provided, with images of the neck, thorax, distal thoracic limbs, and abdomen. No cervical spinal abnormalities are appreciated. Normal tracheal diameter and position. The cardiac silhouette is normal size and shape. Pulmonary vessels are normal size. There are several incidental pulmonary osteomas. No pleural effusion or intrathoracic lymphadenomegaly. Normal proximal thoracic limbs. There is broad-based curved 3.9 x 1.1 cm thickening medial to the distal right radius. This appears fat opaque, however opacity may be underestimated due to high technique. The cubital and carpal bones are congruent. There is a poorly delineated area of sclerosis and smooth uninterrupted periosteal proliferation in the distal diaphysis/metaphysis of the left 3rd metacarpal bone. Also in the left limb, there is smooth uninterrupted periosteal proliferation on the abaxial aspect of the 1st phalanx of the 3rd digit, and axial margin of the 1st phalanx of the 4th digit of this limb. There is possible mild soft tissue thickening in the proximal aspect of the 3rd and 4th digits, although soft tissue evaluation is limited by high technique. Similar changes are not present in the right limb._x000D_
_x000D_
In the abdomen the liver is prominent with smooth margins. Normal-sized spleen and kidneys. The gastrointestinal tract is moderately filled. No urolithiasis. Severe spondylosis deformans in the caudal thoracic spine and throughout the entire lumbar spine. The coxofemoral joints are congruent.
(amended on 07/19/2024 09:23)
Per Dr. Marlar the DP view of the distal thoracic limbs is mislabeled. The =ZZ92=L=ZZ92= is located on the right side of this patient.</t>
  </si>
  <si>
    <t>1. Osseous proliferation in the left manus may be inflammatory and due to dermatologic abnormality. A soft tissue neoplasm is not ruled out. No definitive right manus abnormalities._x000D_
2. Thickening medial to the distal right radius may represent incidental lipoma. Malignant soft tissue neoplasia is given lesser consideration._x000D_
3. Spondylosis deformans is typically incidental. This could be contributing to discomfort and mobility limitations._x000D_
4. Mild hepatomegaly, a nonspecific finding that may be steroid or other hepatopathy. This should be correlated with history and blood work. No other abdominal abnormalities._x000D_
5. Normal thorax and neck.
(amended on 07/19/2024 09:23)
Based on the updated laterality information, the above conclusions should now read:_x000D_
1. Osseous proliferation in the RIGHT manus may be inflammatory and due to dermatologic abnormality. A soft tissue neoplasm is not ruled out. No definitive LEFT manus abnormalities._x000D_
2. Thickening medial to the distal LEFT radius may represent incidental lipoma. Malignant soft tissue neoplasia is given lesser consideration.</t>
  </si>
  <si>
    <t>Consider fine-needle aspirates of the thickened tissues in the left manus and distal right antebrachium.
(amended on 07/19/2024 09:23)
Based on the updated laterality information, the above conclusions should now read:_x000D_
Consider fine-needle aspirates of the thickened tissues in the RIGHT manus and distal LEFT antebrachium.</t>
  </si>
  <si>
    <t xml:space="preserve">
1.The stomach is normal. The small bowel is diffusely gas- and fluid-filled without segmental small bowel dilation._x000D_
2.Splenic size, shape and margin are normal._x000D_
3.The liver is mildy enlarged._x000D_
4.Abdominal detail is normal.</t>
  </si>
  <si>
    <t xml:space="preserve">Patient Name : Piper Hooton, Date of study: Jul 18, 2024
3 images are provided for review
There are no previous radiographs for comparison.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gas and mild fluid.  Gas is in the pylorus in the left lateral image. Gastric rugal folds are minimally prominent. The stomach is within normal limits for size. 
The small intestine contains mild fluid or is empty with a subjectively uniform population for size. 
The colon contains moderate well-defined soft tissue material and gas.  The colon is normal in size.  
Musculoskeletal: The included musculoskeletal structures are normal.
</t>
  </si>
  <si>
    <t xml:space="preserve">1. Prominent gastric rugal folds such as from non-specific gastritis versus normal variation.
2. Non-specific small intestinal appearance such as from enteritis versus  variation of normal.
- There is no evidence of gastrointestinal mechanical ileus.
3. Microhepatia due to portosystemic shunt or microvascular dysplasia, or unlikely other.  
</t>
  </si>
  <si>
    <t xml:space="preserve">Consider GI panel, fecal analysis/deworming, bile acid testing and routine blood work for further evaluation.  Consider abdominal ultrasonography for further evaluation of the liver and gastrointestinal tract, especially if clinical signs fail to improve or worsen in the face of empirical therapy.  Computed tomogrpahy portography may also be contributory for furthe revaluation of the liver, if clinically indicated.   Empirical therapy and supportive care in the interim as needed.  </t>
  </si>
  <si>
    <t>Three radiographs of the thorax and three views of the abdomen are provided. The heart and pulmonary vessels are normal size. There are no abnormalities in the pulmonary parenchyma. No pleural effusion. The plane of the esophagus is unremarkable. Normal tracheal diameter and position._x000D_
_x000D_
In the abdomen serosal detail is adequate. The stomach contains small volume of fluid and gas. Small bowel are mild to moderately filled with fluid and small volume gas. The colon is minimally filled. No radiopaque foreign material. Normal size liver, spleen, kidneys. No radiopaque urolithiasis. The prostate is not definitively seen.</t>
  </si>
  <si>
    <t>Small intestinal functional ileus. This is a nonspecific finding that may be due to enteritis or partial obstruction. Stress/discomfort or metabolic abnormality are next on the differential list. There is no severe intestinal distention to suggest complete obstruction. The thorax is normal.</t>
  </si>
  <si>
    <t>Recommend supportive care. If the patient does not rapidly improve, abdominal ultrasound would be recommended.</t>
  </si>
  <si>
    <t xml:space="preserve">
1.The liver and spleen are normal size._x000D_
2.The right cranial quadrant has a hazy appearance on the VD projection otherwise serosal detail is adequate._x000D_
3.In the abdomen the stomach contains small volume gas, soft tissue and mildly prominent rugae._x000D_
4.Small intestines are minimally filled. No small intestinal segmental dilation is noted._x000D_
5.The colon contains gas and scant semiformed feces._x000D_
6.No abnormal AI findings reported.</t>
  </si>
  <si>
    <t>A lateral view of the abdomen is presented for review.  Serosal detail is adequate in all quadrants.  The stomach contains a moderate amount of ingesta with mineral structures.  The small intestines are normal in size.  Gas and feces with mineral are present in the colon.  The urinary bladder is small.  No mineral is seen associated with the urinary tract.  The prostate is not visible.  The remaining abdominal organs are normal.</t>
  </si>
  <si>
    <t>Gastric and colonic mineral foreign material, likely incidental.</t>
  </si>
  <si>
    <t>Orthogonal views of the thorax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There is a cranioventral right sided rounded to oval soft tissue mass._x000D_
Unremarkable visible abdomen.</t>
  </si>
  <si>
    <t>1) Unremarkable thorax without signs of pulmonary metastases nor signs of thoracic lymphadenopathy._x000D_
2) Cranioventral right sided rounded to oval soft tissue mass compatible with mammary neoplasia vs soft tissue sarcoma. A benign lesion is not excluded.</t>
  </si>
  <si>
    <t>New FNAs of the mass with abdominal US to rule out abdominal metastases.</t>
  </si>
  <si>
    <t xml:space="preserve">Patient Name : Deuce Beek, Date of study: Jul 18, 2024
3 images are provided for review
There are no previous radiographs for comparison.
Liver: The liver is enlarged with a rounded caudoventral margin extending just past the level of the 13th ribs in the left lateral image.  
Spleen: The dorsal extremity of the spleen is enlarged and baroad in the ventrodorsal image.
Kidneys: The kidneys are obscured without obvious enlargement or mineral.
Retroperitoneum: Retroperitoneal detail is adequate.
Urogenital: The urinary bladder is normal in size, homogeneous soft tissue, and smoothly marginated.
Peritoneum: Ill-defined fluid opaque striations are admixed with mid-abdominal peritoneum.  A mass-effect is present, with caudal displacement of the intestine.  In the left lateral image, this mass effect is suspected to originate from the spleen.  
Gastrointestinal tract: The stomach contains a moderate gas and is normal in overall size.  Gas is in the pylorus in the left lateral image.  
The small intestine contains mild gas and fluid or is empty with a subjectively uniform population for size. 
The colon contains moderate gas.  
Musculoskeletal: L3-4 and L7-S1 spondylosis deformans is present.  The remaining included musculoskeletal structures are normal.
</t>
  </si>
  <si>
    <t>1. Large soft tissue mid-abdominal mass, most likely arising from the spleen such as from neoplasia or unlikely other.
- If this is a splenic mass, consider neoplasia such as hemangiosarcoma versus other.
2. Peritoneal effusion due to malignant effusion and/or hemorrhage, or unlikely other.
3. Mild diffuse hepatomegaly due to vacuolar hepatopathy,nodular hyperplasia, hepatitis, or evolving neoplasia (metastatic or unlikely primary).</t>
  </si>
  <si>
    <t>Consider abdominal ultrasonography versus computed tomography for further evaluation of the spleen and liver.  Consider thoracic radiographs or computed tomography to screen for occult systemic disease.  Abdominocentesis with fluid analysis/cytology may be contributory to confirm suspected hemoabdomen, especially given reported pallor.  Consider splenectomy and histopathology, especially if a splenic mass is confirmed.  Oncologist consultation depending on results.   Empirical therapy and supportive care in the interim as needed.  Monitoring as directed or sooner if clinical signs acutely change, fail to improve or worsen.</t>
  </si>
  <si>
    <t xml:space="preserve">
1.No abnormal AI findings reported._x000D_
2.The liver and spleen are normal size and shape._x000D_
3.Serosal detail is decreased._x000D_
4.The stomach contains a moderate amount of gas and small volume fluid._x000D_
5.The small bowel is moderate to severely dilated with fluid and gas._x000D_
6.The colon contains gas.</t>
  </si>
  <si>
    <t>Segmental small intestinal ileus with moderate to severely dilated loops. This is most consistent with a partial to near complete obstruction. Enteritis is given secondary consideration. The AI result in this case is most compelling for: intestinal obstruction with abdominal fluid or a functional ileus secondary to severe enteritis or anesthesia.</t>
  </si>
  <si>
    <t xml:space="preserve">
Based on these images, if the patient is markedly lethargic, exploratory surgery would be appropriate._x000D_
Supportive care with fluid supplementation and repeating radiographs and/or abdominal ultrasound is another option._x000D_
If the intestines remain segmentally dilated and/or patient clinical status does not improve, surgery would be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</si>
  <si>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 xml:space="preserve">Patient Name : Godric Mizelle, Date of study: Jul 18, 2024
3 images are provided for review
There are no previous radiographs for comparison.  Ventrodorsal image excludes the caudal abdomen.  
Liver: The liver is subjectively normal in size.
Spleen: The spleen is normal in size with smooth margins and homogeneous soft tissue.
Kidneys: The right kidney is obscured without obvious mineral or enlargement.  The left kidney is normal.
Retroperitoneum: Retroperitoneal detail is adequate.
Urogenital: The urinary bladder is normal in size, homogeneous soft tissue, and smoothly marginated.
Peritoneum: Peritoneal detail is adequate.
Gastrointestinal tract: The stomach contains a moderate to large volume of fluid and gas.  Gas is in the pylorus and descending duodenum in the left lateral image.  Granular mineral is in the pylorus in the right lateral image.
The small intestine contains mild gas and fluid or is empty with a subjectively uniform population for size. 
The colon contains mild heterogeneous soft tissue material and gas.  The colon is normal in size.  
Musculoskeletal: The included musculoskeletal structures are normal.
</t>
  </si>
  <si>
    <t xml:space="preserve">1. Gastric material due to gastritis/delayed gastric emptying or less likely pyloric outflow tract obstruction (partial/intermittent) or unlikely recent meal or other given reported history.
2. Non-specific small intestinal and colon appearance such as from enteritis, colitis, or individual variation of normal.
- There is no evidence of small intestinal mechanical ileus on this examination.
Differential diagnoses for gastritis and enteritis include dietary indiscretion, toxin ingestion, diet/antibiotic responsive disease, inflammatory bowel disease, primary infectious disease/parasitism, or pancreatitis, or unlikely other.
</t>
  </si>
  <si>
    <t xml:space="preserve">Empirical therapy for gastritis/enteritis in the interim as needed.  Monitoring with repeat abdominal radiographs after 8-12 hours of fasting to monitor for passage of gastric and intestinal material.  Abdominal ultrasonography may be contributory, especially if signs fail to improve or worsen and repeat radiographs are inconclusive.  Routine blood work, fecal analysis/deworming, and GI panel may be contributory if not recently performed. </t>
  </si>
  <si>
    <t xml:space="preserve">Patient Name : Tinkerbell Keysaer, Date of study: Jul 18, 2024
3 images are provided for review
There are no previous radiographs for comparison.
Pulmonary parenchyma: A mild to moderate diffuse bronchial pattern is present.  The lungs are hypoinflated in the lateral images.  The lobar bronchi are poorly identified and subjectively narrowed in a dorsoventral dimension in the lateral images.
Pulmonary vasculature: The pulmonary vasculature is subjectively normal in size and tapers in the periphery of the lungs.
Cardiac silhouette: The cardiac silhouette is moderately tall and occupies 2/3 the height of the thorax, with dorsal tracheal displacement.  The caudodorsal margin of the cardiac silhouette is flattened and enlarged.  Rounded increased soft tissue results in lateral displacement of the mainstem bronchi in the ventrodorsal image.  
Mediastinum: The cranial mediastinum is normal.
Trachea: The thoracic trachea  and carina are subjectively narrowed in a dorsoventral dimension.  A soft tissue band superimposes over the dorsal margin of the cervical trachea.  
Esophagus: The esophagus is not well-identified.
Pleural space: The pleural space is normal.
Musculoskeletal: The included musculoskeletal structures are normal.
</t>
  </si>
  <si>
    <t xml:space="preserve">1. Moderate left-sided cardiomegaly such as from myxomatous mitral valvular disease and insufficiency.
- There is no current evidence of left-sided congestive heart failure.  
2. Mild to moderate diffuse bronchial pulmonary pattern due to infectious/immune-mediated lower airway disease and/or fibrosis from prior disease, age-related changes, or unlikely other.
3. Suspected tracheal/carina and lobar bronchial narrowing due to dynamic airway disease/chondromalacia and redundant dorsal tracheal membrane.  </t>
  </si>
  <si>
    <t>Echocardiography, ECG and blood pressure for further evaluation.  Consider routine blood work and urinalysis to screen for occult systemic disease if not recently performed.   Respiratory PCR panel and airway sampling with/without bronchoscopy/tracheoscopy/fluoroscopy for further evaluation of underlying airway disease.   Empirical therapy and supportive care in the interim as needed.  Monitoring as directed, or sooner if clinical signs acutely change, fail to improve or worsen.</t>
  </si>
  <si>
    <t xml:space="preserve">
Virtual Radiologist Case Difficulty: MODERATE_x000D_
Virtual Radiologist Confidence: MODERATE_x000D_
Hepatomegaly should be correlated with blood work. An ultrasound evaluation of the liver may also be considered.</t>
  </si>
  <si>
    <t>5 images of the thorax and abdomen are provided for review.  The cardiovascular structures are normal.  There is a moderate bronchial pattern in all lung lobes.  The mediastinal and pleural structures are normal.  Abdominal serosal detail is adequate in all quadrants.  The stomach contains a small amount of gas and the rugal folds are prominent.  The small intestines are normal in size.  Gas and feces are present in the colon.  The urinary bladder is small.  The remaining abdominal organs are normal.  Hemivertebrae are present in the thoracic and caudal spine.</t>
  </si>
  <si>
    <t>Prominent rugal folds suggestive of gastritis.  This does not rule out underlying pancreatitis.  If clinical signs persist with supportive therapy, abdominal ultrasound could be considered in further evaluation.  Moderate bronchial pulmonary pattern=ZZ90= consider bronchitis, response to inhaled irritants, response to circulating parasites, eosinophilic bronchopneumopathy.  Airway sampling may be helpful in further evaluation.</t>
  </si>
  <si>
    <t xml:space="preserve">
1.No abnormal AI findings reported._x000D_
2.The liver and spleen are within normal limits for size with smooth margins._x000D_
3.Abdominal detail is normal._x000D_
4.The stomach is mildly gas and fluid filled with some soft tissue density material. The small bowel is gas and fluid-containing. No overt obstruction.</t>
  </si>
  <si>
    <t>3 views of the entire body are provided for review.  The cardiovascular structures are normal.  Patchy alveolar opacity is present in the right cranial, right middle, and left cranial lung lobes.  The mediastinal and pleural structures are normal.  Abdominal serosal detail is adequate for the age of the patient.  The stomach contains a moderate amount of gas and the rugal folds are prominent.  The small intestines are normal in size.  Gas is present in the colon.  The urinary bladder is small.  The remaining abdominal organs are normal.</t>
  </si>
  <si>
    <t>Prominent rugal folds suggestive of gastritis.  This does not rule out underlying dietary indiscretion, etc.  If clinical signs persist with supportive therapy, abdominal ultrasound could be considered in further evaluation.  Alveolar pulmonary pattern concerning for aspiration type pneumonia.  Airway sampling may be helpful in further evaluation.</t>
  </si>
  <si>
    <t xml:space="preserve">
1.There is questionable loss of cranial abdominal serosal detail._x000D_
2.The stomach contains a small amount of gas._x000D_
3.The liver extends beyond the costal arch with a rounded caudal margin._x000D_
4.Splenomegaly is detected however hepatomegaly extending caudally and overlapping the splenic region can mimic splenomegaly._x000D_
5.The small intestines are a combination of gas-filled and fluid-filled/collapsed, and all are within normal limits for diameter._x000D_
6.The colon contains a combination of gas and granular fecal material.</t>
  </si>
  <si>
    <t>Three orthogonal survey radiographs of the thorax and abdomen dated 18th July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mildly enlarged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Musculoskeletal findings: The patient is overweight. A small ventral thoracic mass is present.</t>
  </si>
  <si>
    <t>The hepatomegaly is most likely due to vacuolar hepatopathy, or underlying endocrine disease. No imaging findings can explain the seizures reported._x000D_
The small ventral thoracic mass is most likely a lipoma, however a soft issue neoplasm is possible.</t>
  </si>
  <si>
    <t>Full neurologic examination is advised if not already performed._x000D_
Consider FNA of the mass.</t>
  </si>
  <si>
    <t xml:space="preserve">
1.The shape of the liver is normal, and the margins are smooth._x000D_
2.There is a small quantity of soft tissue dense ingesta in the stomach._x000D_
3.The intestines are gas and fluid filled, without signs of dilation or obstruction._x000D_
4.The liver is moderately enlarged._x000D_
5.No abnormal AI findings reported._x000D_
6.No abnormal AI findings reported.</t>
  </si>
  <si>
    <t>Nine radiographs of the abdomen are provided. Serosal detail is adequate in the peritoneal and retroperitoneal spaces. There is small volume gas in the stomach. Normal rugal folds are visible. Small and large bowel are minimally distended. There is no radiopaque foreign material. Normal-sized liver, kidneys, spleen. No osseous abnormalities. The caudal thorax is normal.</t>
  </si>
  <si>
    <t>Normal abdomen. A reason for gastrointestinal signs is not identified. Gastroenteritis secondary to dietary indiscretion is most likely. Small radiolucent gastric foreign material is given lesser consideration. There is no intestinal distention to suggest small bowel obstruction.</t>
  </si>
  <si>
    <t>Recommend a CBC, blood chemistry profile, and strictly fasted abdominal ultrasound. If ultrasound is not available, an upper GI series is a 2nd option.</t>
  </si>
  <si>
    <t xml:space="preserve">
1.The liver and spleen appear within normal limits for size and contour._x000D_
2.No abnormal AI findings reported._x000D_
3.No abnormal AI findings reported._x000D_
4.The stomach contains small-volume fluid and gas._x000D_
5.Small intestines are moderately fluid filled.</t>
  </si>
  <si>
    <t xml:space="preserve">Patient Name : Ted Collins, Date of study: Jul 17, 2024
5 images are provided for review
There are no previous radiographs for comparison.
Bones/Joints:  The T11-12 intervertebral disc space is subjectively narrow in one of the lateral images.  
 In situ intervertebral disc mineral is at L1-2 and L2-3. 
There is no evidence of mineral over the intervertebral foramina.  There is no evidence of intervertebral dorsal articulation osteoarthrosis.
There is no evidence of medullary sclerosis, osteolysis, endosteal scalloping, or periosteal proliferation.  The included portion of the coxofemoral joints are normal.  
Soft tissues:  The included soft tissues are normal.
</t>
  </si>
  <si>
    <t xml:space="preserve">1. T11-12 intervertebral disc space narrowing/disc disease is suspected.  
2. L1-2 and L2-3 in situ intervertebral disc mineral without obvious disc space narrowing.
3. Normal coxofemoral joints.  </t>
  </si>
  <si>
    <t xml:space="preserve">Consider neurologist consultation and MRI for further evaluation if clinical signs fail to improve with empirical therapy.  Routine blood work and thoracic imaging prior to referral.  </t>
  </si>
  <si>
    <t>6 images of the spine are provided for review.  No fractures or aggressive osseous lesions are seen.  Mineral opaque intervertebral discs are seen in situ at C2-5 and T11-13.  No consistently narrowed intervertebral disc spaces are seen.  The soft tissue structures included are normal.</t>
  </si>
  <si>
    <t>Multiple sites of intervertebral disc disease without current evidence of herniation/</t>
  </si>
  <si>
    <t>Orthogonal radiographs of the thorax/abdomen are provided. The cardiac silhouette and pulmonary vessels are normal size and shape. There are several incidental pulmonary osteomas system with the patient=ZZ91=s age. No soft tissue pulmonary nodules or pleural effusion. Normal cranial mediastinal width and tracheal diameter. In the abdomen, the gastrointestinal tract is mildly filled. No radiopaque urolithiasis. Normal-sized liver and spleen. The left kidney is reduced in size with smoothly irregular margins. The right kidney is obscured. Narrowed T11-12 intervertebral disc space, of doubtful clinical significance today.</t>
  </si>
  <si>
    <t>Smoothly irregular left kidney with reduced renal size, most consistent with chronic renal disease. Otherwise normal abdomen and thorax.</t>
  </si>
  <si>
    <t>4 images of the entire body and cervical spine are are presented for review.  The trachea is narrowed in the cervical region on the left lateral 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remaining abdominal organs are normal.  There is consistent narrowing of the intervertebral disc spaces at C4-6.  No fractures or aggressive osseous lesions are seen.  The dorsal atlantoaxial space is mildly widened with flexion.</t>
  </si>
  <si>
    <t>Radiographically normal abdomen.  Radiographically normal thorax for patient of this age.  Cervical tracheal narrowing may indicate dynamic tracheal collapse.  Narrowed intervertebral disc spaces suggestive of intervertebral disc herniations.  Mild change in the atlantoaxial space with flexion may indicate underlying instability.</t>
  </si>
  <si>
    <t>CT myelography or MRI may be helpful.</t>
  </si>
  <si>
    <t>Six orthogonal survey radiographs of the thorax and abdomen dated 18th July 2024 are available for review. There are no previous radiographs available for comparison. _x000D_
_x000D_
Thorax: _x000D_
Airway findings: A smoothly marginated soft tissue opacity is variably present overlying the dorsal aspect of the trachea at the thoracic inlet. This opacity reduces approximately 20% of the dorsoventral diameter of the trachea. The intrathoracic trachea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There is mild gas in the granular oesophagus._x000D_
_x000D_
Abdomen: The head of the spleen is poorly visible. The tail of the spleen is prominent. A slight mass effect is present in the central abdomen, with mild loss of serosal detail. The hepatic silhouette is normal in size with smooth borders.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Musculoskeletal findings: No significant abnormalities are detected.</t>
  </si>
  <si>
    <t>1. Suspect splenic mass. Differentials include haematoma, haemangioma, hemangiosarcoma, metastatic neoplasia. Artefact due to additional crowding is considered less likely._x000D_
2.The dorsal attenuation of the trachea is consistent with redundant trachealis membrane or overlying musculature._x000D_
3. Negative metastasis check.</t>
  </si>
  <si>
    <t xml:space="preserve">
1.See Spleen Finding_x000D_
2.There is a mild increase in soft tissue opacity in the splenic region suggestive of splenomegaly. Caudal extension of a liver lobe into the region of the spleen is a lesser consideration. No soft tissue mass is noted in the splenic region._x000D_
3.Abdominal detail is normal._x000D_
4.The stomach is normal._x000D_
5.The small bowel is diffusely gas- and fluid-filled but without segmental bowel dilation.</t>
  </si>
  <si>
    <t>Three radiographs of the abdomen are provided. There is small volume peritoneal fluid. The liver is mildly enlarged. Normal-sized spleen and kidneys. The stomach and small bowel are minimally filled. Small volume of formed feces in the distal colon. No radiopaque foreign material or urolithiasis. Small round increased opacity ventral to L5-6 is end-on deep circumflex iliac vessel. Normal caudal thorax.</t>
  </si>
  <si>
    <t>Mild hepatomegaly and mild peritoneal effusion. An acute inflammatory process should be considered. Neoplasia or metabolic abnormality is not ruled out. Otherwise normal abdomen.</t>
  </si>
  <si>
    <t xml:space="preserve">
1.Mid abdominal peritoneal detail is decreased._x000D_
2.The stomach contains a moderate amount of soft tissue opacity._x000D_
3.This mass causes deviation of bowel loops._x000D_
4.Formed feces fills the colon._x000D_
5.Small intestines are mildly filled._x000D_
6.The liver is normal size._x000D_
7.There is a mid-ventral abdominal soft tissue mass.</t>
  </si>
  <si>
    <t xml:space="preserve">Patient Name : Indy Pocchia, Date of study: Jul 18, 2024
4 images are provided for review
There are no previous radiographs for comparison.
Bones/Joints:
The T13-L1 intervertebral disc space is narrowed.  The endplates are smooth and well-defined.  Spondylosis deformans is present at T13-L1 and L1-2.  
There is no evidence of mineral over the intervertebral foramina.  There is no evidence of intervertebral dorsal articulation osteoarthrosis.
Increased soft tissue over the left stifle in the lateral image.
There is no evidence of medullary sclerosis, osteolysis, endosteal scalloping, or periosteal proliferation.
Soft tissues:  Metal clips are over the inguinal soft tissues, likely from prio orchiectomy.  The patient is thin with slightly concave soft tissues between spinous processes.  The remaining included soft tissues are normal.
</t>
  </si>
  <si>
    <t>1. T13-L1 intervertebral disc disease.
2. No evidence of vertebral lysis or aggressive osseous lesion.
3. Thin body condition, consistent with reported weight loss.  
4. Left stifle synovial effusion/proliferation versus superimposed extra-articular soft tissue/artifact.
- If present, consider synovial effusion from IMPA versus other synovitis, or unlikely hemarthrosis, versus intra-capsular soft tissue injury.</t>
  </si>
  <si>
    <t>Consider neurologist consultation and thoracolumbar MRI for further evaluation.  Empirical therapy and supportive care in the interim as needed.  Routine blood work and thoracic/abdominal imaging to screen for occult systemic disease given reported clinical signs of pain and desire for general anesthesia.   Radiographs centered over the stifles may be contributory if clinically indicated.  Consider arthrocentesis if left stifle effusion is confirmed.  Monitoring as directed, or sooner if clinical signs acutely change, fail to improve or worsen.</t>
  </si>
  <si>
    <t>6 views of the thorax and abdomen are submitted for review.  The study is compared to a previous study May July 9, 2024.  The stomach contains a minimal amount of gas.  The small bowel remains normal and uniform in diameter and contains a mild amount of amorphous soft tissue and mineral opacity ingesta.  No dilated or plicated loops of intestine are seen.  A mild amount of gas and stool is noted in the colon.  The liver and spleen are normal in size, shape, and margination.  The bilateral renal silhouettes are within normal limits.  The urinary bladder is unremarkable.  Serosal detail is normal._x000D_
In the thorax, a ventrally distributed alveolar pattern with air bronchogram formation is noted in the right middle lung lobe.  The remainder of the lung fields appear subjectively normal.  The cardiovascular structures are within normal limits.  No pleural or mediastinal abnormalities are noted.</t>
  </si>
  <si>
    <t>The abdomen remains within normal limits with no evidence of mechanical obstruction of the small bowel.  The ingestant within the small bowel is nondescript but could be consistent with dietary indiscretion._x000D_
The changes in the lung fields compared to the previous study are consistent with bacterial bronchopneumonia, likely secondary to aspiration.  This was not seen previously.</t>
  </si>
  <si>
    <t>Broad-spectrum antibiotic therapy appears indicated. Symptomatic/supportive medical management for acute abdomen also appears appropriate.  If clinical signs persist, an abdominal ultrasound would be indicated.</t>
  </si>
  <si>
    <t>3 views of the thoracolumbar spine are provided for review.  No fractures, luxations, or aggressive osseous lesions are seen.  Hemivertebrae are visible in the sacrocaudal spine.  No mineralized intervertebral discs or consistently narrowed intervertebral disc spaces are seen.  The soft tissue structures included are normal.</t>
  </si>
  <si>
    <t>Congenital hemivertebrae.  This does not rule out intervertebral disc herniation, tethered cord syndrome, or other causes of spinal cord compression.</t>
  </si>
  <si>
    <t>Orthogonal views of the abdomen are provided for review. Serosal detail is adequate. The stomach contains a rounded soft tissue structure. A segment of small intestines is dilated and mildly plicated. The area is consistent with duodenum. An angular mineral structure is in the small intestine at the caudal aspect of this dilation. The remaining small intestines are normal in size. Gas and scant feces are present in the colon. The remaining abdominal organs are normal.</t>
  </si>
  <si>
    <t>Segmental small intestinal dilation and plication consistent with linear foreign body obstruction. Additional mineral opaque small intestinal foreign body and gastric contents suggestive of foreign material.</t>
  </si>
  <si>
    <t xml:space="preserve">
1.Splenic size, shape and margin are normal._x000D_
2.Abdominal detail is normal._x000D_
3.Small small-volume amorphous soft tissue opacity is present within the stomach. 
The small intestines are mildly filled with gas and fluid. No signs of obstruction._x000D_
4.Liver size, shape and margin are normal.</t>
  </si>
  <si>
    <t>Three radiographs of the thorax/abdomen are provided. The cardiac silhouette is normal size with no chamber enlargement. Fat deposition seen on the left side of the heart on the VD projection. Pulmonary vessels are normal size. There is a mild bronchial pattern in the lungs. No pleural effusion. Redundant dorsal trachealis membrane causes moderate narrowed cervical trachea. In the abdomen serosal detail is adequate. There is no organomegaly. The gastrointestinal tract is mildly filled. Narrowed T12-13 and L4-5 intervertebral disc spaces, of doubtful clinical significance today.</t>
  </si>
  <si>
    <t>1. Probable dynamic cervical tracheal collapse, the most likely cause for coughing._x000D_
2. Mild bronchial pattern may be normal age change versus allergic bronchitis, which could be contributing to the cough._x000D_
3. Normal abdomen.</t>
  </si>
  <si>
    <t>Recommend utilization of a body harness in place of a neck lead, and symptomatic treatment for the cough.</t>
  </si>
  <si>
    <t>Five radiographs of the thorax/abdomen are provided. There is moderate to severe cardiomegaly, predominantly left-sided. Pulmonary vessels are normal size. There is no loss of perihilar vessel visibility. The caudal thoracic trachea and mainstem bronchi are dorsally deviated. The mainstem bronchi are compressed. Possible redundant dorsal trachealis membrane at the thoracic inlet on the left lateral view. No pleural effusion. In the abdomen the liver is upper normal size. Normal sized spleen and kidneys. No gastrointestinal abnormalities. There is faint punctate mineral density overlying the urinary bladder, however appears to be an artifact. No osseous abnormalities.</t>
  </si>
  <si>
    <t>1. Moderate to severe cardiomegaly, predominantly left-sided. This is consistent with acquired mitral and tricuspid valve disease. There is no pulmonary venous congestion or heart failure, however there is mainstem bronchial compression which is the most likely cause for coughing._x000D_
2. Possible dynamic tracheal collapse, could be contributing to the cough._x000D_
3. Normal thorax.</t>
  </si>
  <si>
    <t>Consider utilization of a body harness in place of a neck lead. If the patient develops increased respiratory rate/effort or exercise intolerance, recommend repeat imaging to rule out development of heart failure.</t>
  </si>
  <si>
    <t>RADIOLOGY REPORT_x000D_
Study: VD and Le lateral views of the abdomen, 3 images dated 7/17/2024._x000D_
_x000D_
Imaging findings:_x000D_
- Stomach: WNL, normal opacity, size, and location_x000D_
- Small intestine: WNL, normal opacity, size, and location_x000D_
- Large intestine: WNL, normal opacity, size, and location_x000D_
- Peritoneal and retroperitoneal serosal detail: WNL_x000D_
- Liver and spleen: WNL_x000D_
- Left and right kidneys and the urinary bladder: WNL, normal opacity, size, and location_x000D_
- Caudal thoracic organs: WNL_x000D_
- Skeletal structures included in the views: left and right coxofemoral joints have mild periarticular osteophytes, incidental degenerative joint disease.  L1-L2 intervertebral disc space is mildly narrowed.  Remainder of the thoracic and lumbar vertebrae are normal._x000D_
_x000D_
WNL= within normal limits</t>
  </si>
  <si>
    <t>1.  L1-L2 intervertebral disc degeneration._x000D_
2.  Mild bilateral coxofemoral degenerative joint disease._x000D_
3.  Normal abdomen.</t>
  </si>
  <si>
    <t>The reported back pain could be secondary to cranial lumbar IVD degeneration.  The remainder of the thoracic and lumbar vertebrae are normal and there are no findings of fracture, luxation, discospondylitis, or aggressive bone lesions present.  The abdomen is normal._x000D_
_x000D_
If the patient has persistent or worsening back pain or clinical features of myelopathy (conscious proprioceptive and/or motor deficits), consider emergency referral and consultation with a veterinary neurologist and possible MR imaging of the spine.</t>
  </si>
  <si>
    <t>Andrew Gendler</t>
  </si>
  <si>
    <t xml:space="preserve">
1.No abnormal AI findings reported._x000D_
2.The stomach is minimally distended with fluid and gas._x000D_
3.The small intestine is gas and fluid filled with regions of moderate distension._x000D_
4.The liver and spleen are within normal limits._x000D_
5.Slight decrease in abdominal detail.</t>
  </si>
  <si>
    <t>Orthogonal views of the abdomen are provided:_x000D_
_x000D_
Abdomen:_x000D_
_x000D_
The stomach is empty._x000D_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are WNL. Multiple cystic calculi seen in the urinary bladder._x000D_
Sublumbar lymph nodes moderately enlarged ventrally displacing the caudal descending colon._x000D_
The prostate gland is enlarged with irregular mineralization protruding in the caudal abdomen pushing the bladder cranially._x000D_
No signs of aggressive bone lesions in the caudal lumbar vertebrae, pelvis or proximal hind limbs.</t>
  </si>
  <si>
    <t>1) Hepatomegaly: Metabolic vs Vacuolar infiltration vs Hepatic nodular hyperplasia vs Inflammatory vs Toxic vs Neoplastic or a combination of these differentials._x000D_
2) Enlarged and mineralized prostate gland most consistent with prostatic neoplasia such as carcinoma._x000D_
3) Cystic calculi._x000D_
4) Sublumbar lymphadenopathy: neoplastic vs reactive.</t>
  </si>
  <si>
    <t>Consider abdominal US to further evaluate the liver and the urinary tract with renal function test, urinalysis, UPC and urine culture. Evaluate the convenience of a urethral guided catheter biopsy from the prostate gland along with three views of the thorax.</t>
  </si>
  <si>
    <t xml:space="preserve">
1.The liver is enlarged with rounded borders._x000D_
2.The spleen is within normal limits._x000D_
3.There is decreased detail in the cranial abdomen._x000D_
4.The stomach is partially distended with food material and fluid._x000D_
5.The small intestinal track is mostly fluid filled uniform in diameter._x000D_
6.The colon is gas filled in corrugated.</t>
  </si>
  <si>
    <t>Orthogonal views of the abdomen are provided:_x000D_
_x000D_
Abdomen:_x000D_
_x000D_
The stomach is gas filled._x000D_
Small intestines are mildly gas and fluid filled, not overtly distended. No signs of mechanical ileus._x000D_
Unformed feces in the colon._x000D_
Serosal detail is preserved._x000D_
Liver and spleen are within normal limits of size and smoothly marginated._x000D_
Kidneys and urinary bladder WNL._x000D_
_x000D_
T11-T12 IVDS is moderately narrow.</t>
  </si>
  <si>
    <t>1) Unremarkable abdomen. _x000D_
2) T11-T12 IVDS. Rule out acute disc herniation.</t>
  </si>
  <si>
    <t xml:space="preserve">
1.Serosal detail in the cranial abdomen is mildly decreased on the lateral projection._x000D_
2.The liver and spleen are normal._x000D_
3.The gastric rugae are prominent._x000D_
4.No abnormal AI findings reported._x000D_
5.The small bowel is diffusely gas- and fluid-filled but without segmental bowel dilation._x000D_
6.On the VD projection, a portion of the colon is gas filled and has a rigid appearance.</t>
  </si>
  <si>
    <t>Orthogonal views of the thorax and abdomen are provided:_x000D_
_x000D_
Thorax:_x000D_
_x000D_
Marked cervical tracheal collapse._x000D_
Cardiac silhouette has a normal shape and size._x000D_
Pulmonary vessels are within normal limits of size and shape._x000D_
Pulmonary parenchyma shows two different sized pulmonary nodules in the right caudal lung lobe (8th and 11th intercostal spaces in the VD view). Ventral irregular masses are also superimposed with the lungs (likely mammary masses)._x000D_
Pleural space, mediastinum, diaphragm and thoracic wall within normal limits._x000D_
_x000D_
Abdomen:_x000D_
_x000D_
The stomach is empty._x000D_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_x000D_
Bilateral hip dysplasia with bilateral misshapen femoral heads and severe periarticular osteophytosis.</t>
  </si>
  <si>
    <t>1) Marked cervical tracheal collapse._x000D_
2) Pulmonary nodules most consistent with pulmonary metastases. _x000D_
3) Hepatomegaly: Metabolic vs Vacuolar infiltration vs Hepatic nodular hyperplasia vs Inflammatory vs Toxic vs Neoplastic or a combination of these differentials._x000D_
4) Ventral mammary masses compatible with mammary neoplasms vs hyperplasia.</t>
  </si>
  <si>
    <t>Consider abdominal US to further evaluate the liver ruling out abdominal metastases along with US guided Fnas from the pulmonary nodules.</t>
  </si>
  <si>
    <t>Thorax: There is left and right-sided cardiomegaly.  The main pulmonary artery appears mildly dilated.  There is a diffuse bronchial pattern.  There is no evidence of pleural effusion or lymphadenopathy._x000D_
_x000D_
Abdomen: There are no abnormalities identified.</t>
  </si>
  <si>
    <t>Diffuse bronchial pattern.  Chronic bronchitis is the primary differential._x000D_
_x000D_
Generalized cardiomegaly and mild dilation of the main pulmonary artery.  There is no evidence of decompensation.</t>
  </si>
  <si>
    <t>Consider consultation with veterinary cardiologist.</t>
  </si>
  <si>
    <t xml:space="preserve">
1.No abnormal AI findings reported._x000D_
2.Serosal detail is adequate._x000D_
3.The stomach appears within normal limits. The small bowel contains a mild amount of gas. No obvious signs of obstruction._x000D_
4.The liver is mildly enlarged with normal shape and smooth margins.</t>
  </si>
  <si>
    <t>Orthogonal views of the thorax and abdomen are provided:_x000D_
_x000D_
Thorax:_x000D_
_x000D_
Cardiac silhouette has a normal shape and size._x000D_
Pulmonary vessels are within normal limits of size and shape._x000D_
Pulmonary parenchyma shows an alveolar pulmonary pattern with air bronchograms ventrally located in the region of projection of the right middle lung lobe. No evidence of pulmonary nodules/masses.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poor likely due to small volume of free fluid._x000D_
Liver extends beyond the costal arch with sharp margins._x000D_
Spleen is within normal limits of size and smoothly marginated._x000D_
Kidneys and urinary bladder WNL.</t>
  </si>
  <si>
    <t>1) Alveolar pulmonary pattern with air bronchograms in the  region of projection of the right middle lung lobe could be secondary to dynamic positional atelectasis, however, given the history an aspiration pneumonia should be excluded._x000D_
2) Hepatomegaly: Metabolic vs Vacuolar infiltration vs Hepatic nodular hyperplasia vs Inflammatory vs Toxic vs Neoplastic or a combination of these differentials._x000D_
3) Small volume of free fluid likely due to chronic enteropathy.</t>
  </si>
  <si>
    <t>Consider focal thoracic US prior to an empirical treatment for pneumonia with follow up radiographs every 48/72 hours to evaluate response to treatment. Rule out any predisposing cause for vomition, regurgitation or neurological condition such as laryngeal paralysis._x000D_
Consider abdominal US to further evaluate the liver, GI wall and peritoneum.</t>
  </si>
  <si>
    <t xml:space="preserve">Patient Name : Dapper Burton, Date of study: Jul 17, 2024
3 images are provided for review
There are no previous radiographs for comparison.  Ventrodorsal image excludes the cranial abdomen.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and mild fluid.  The stomach is normal in overall size.  Gas is suspected in the pylorus in the left lateral image.  
The small intestine contains mild gas and fluid or is empty with a subjectively uniform population for size. 
The colon contains mild heterogeneous soft tissue material and gas.  The colon is normal in size.  
Musculoskeletal: Multifocal thoracolumbar spondylosis deformans is present.  Bilateral stifle osteoarthrosis is present.  The remaining included musculoskeletal structures are normal.
</t>
  </si>
  <si>
    <t xml:space="preserve">1.  No obvious evidence of radiopaque urocystoliths.
2. Non-specific gastrointestinal tract appearance such as from enteritis, colitis, or individual variation of normal.
- Differential diagnoses for enteritis/colitis include dietary indiscretion, toxin ingestion, diet/antibiotic responsive disease, inflammatory bowel disease, parasitism/primary infectious disease, or pancreatitis or occult systemic disease.
- There is no evidence of small intestinal mechanical ileus.
</t>
  </si>
  <si>
    <t>Consider urinalysis, urine culture/sensitivity testing, and routine blood work for further evaluation.  Thoracic imaging for further evaluation of reported exercise intolerance.  Consider abdominal ultrasonography for further evaluation of the urinary bladder, prostate gland and kidneys.  This examination does not rule out idiopathic renal hematuria.  Empirical therapy and supportive care in the interim as needed.  Monitoring as directed or sooner if clinical signs acutely change, fail to improve or worsen.</t>
  </si>
  <si>
    <t xml:space="preserve">Patient Name : May Evans, Date of study: Jul 17, 2024
3 images are provided for review
Canine Thorax (3 Images) - 1 Vd, 2 Lateral
There are no previous radiographs for comparison.
Pulmonary parenchyma: A minimal to mild diffuse bronchial pattern is present.  A minimal diffuse interstitial pattern is present.
Pulmonary vasculature: The pulmonary vasculature is subjectively normal in size and tapers in the periphery of the lungs.
Cardiac silhouette: The cardiac silhouette has a slightly flattened caudodorsal margin.  Increased soft tissue is in the region of the left atrium in the ventrodorsal image.  A slight soft tissue bulge is suspected at the 2-3 o'clock region (left auricular appendage) in the ventrodorsal image.  
Mediastinum: The cranial mediastinum is normal.
Trachea: The trachea is normal.
Esophagus: The esophagus is not well-identified.
Pleural space: The pleural space is normal.
Musculoskeletal: The included musculoskeletal structures are normal.
</t>
  </si>
  <si>
    <t xml:space="preserve">1. Mild left-sided cardiomegaly such as from myxomatous mitral valvular disease and insufficiency.
- There is no current evidence of cardiogenic pulmonary edema.
2. Minimal diffuse bronchial and interstitial pulmonary patterns due to fibrosis from prior disease, age-related changes, and/or infectious/immune-mediated lower airway disease (mycoplasma spp., bordetella spp., parasitism such as lung worms, or less likely other), or unlikely other.
</t>
  </si>
  <si>
    <t>Echocardiography, ECG and blood pressure for further evaluation.  Routine blood work and urinalysis if not recently performed.  Consider respiratory PCR panel, fecal analysis/deworming and airway sampling for further evaluation of underlying pulmonary disease if clinically indicated.  Empirical therapy and supportive care in the interim as needed.  Monitoring as directed or sooner if clinical signs acutely change, fail to improve or worsen.</t>
  </si>
  <si>
    <t xml:space="preserve">
1.Microhepatia is present with cranial positioning to the gastric axis._x000D_
2.Abdominal detail is normal._x000D_
3.Splenic size, shape and margin are normal._x000D_
4.See liver finding. The small bowel is diffusely gas- and fluid-filled without segmental small bowel dilation.</t>
  </si>
  <si>
    <t>Orthogonal views of the abdomen are provided:_x000D_
_x000D_
Abdomen:_x000D_
_x000D_
The stomach is empty._x000D_
Small intestines are mildly gas and fluid filled, not overtly distended. No signs of mechanical ileus._x000D_
There are alternating feces and gas in the descending colon._x000D_
Unformed feces in the colon._x000D_
Serosal detail is preserved._x000D_
Liver and spleen are within normal limits of size and smoothly marginated._x000D_
Kidneys and urinary bladder WNL.</t>
  </si>
  <si>
    <t>1) Unformed feces in the colon. Rule out HGE vs gastroenterocolitis of allergic/inflammatory/idiopathic origin vs IBD flare up.</t>
  </si>
  <si>
    <t>Consider empirical treatment for HGE followed by abdominal US.</t>
  </si>
  <si>
    <t xml:space="preserve">
1.The liver and spleen are normal size._x000D_
2.Cranial abdominal detail is decreased however this is attributed to a confluence of soft tissues or lack of intra-abdominal fat over mesenteric inflammation and/or abdominal fluid._x000D_
3.A portion of the colon is gas filled and rigid consistent with inflammation._x000D_
4.No abnormal AI findings reported._x000D_
5.The small intestines are distended._x000D_
6.The gastric rugae are prominent or the gastric lumen contains soft tissue opaque material mimicking the appearance of prominent gastric rugae.</t>
  </si>
  <si>
    <t xml:space="preserve">Patient Name : Dozer Martin, Date of study: Jul 17, 2024
3 images are provided for review
Canine Abdomen (3 Images) - 2 Lateral, 1 Vd
There are no previous radiographs for comparison.  Images are overexposed with saturation of soft tissues.  
Liver: The liver is subjectively normal in size.
Spleen: The spleen is normal in size with smooth margins and homogeneous soft tissue.
Kidneys: The right kidney is obscured.  The left kidney is normal.
Retroperitoneum: Retroperitoneal detail is adequate.
Urogenital: The urinary bladder is normal in size, homogeneous soft tissue, and smoothly marginated.
Peritoneum: Peritoneal detail is adequate.
Gastrointestinal tract: The stomach contains moderate soft tissue material or fluid and mild gas.  Gas is suspected in the pylorus in the left lateral image.  
In the caudal-abdomen, best identified in the left lateral image, ill-defined tubular mineral material is admixed with gas and soft tissue material.   This material is suspected just righward of L5 in the ventrodorsal image, but is not well-defined. The small intestine in the right and mid-ventral abdomen contains mild gas and minimal fluid or is empty with a subjectively uniform population for size. The colon is not well-identified.  
Musculoskeletal: The included musculoskeletal structures are normal for a skeletally immature patient.  
</t>
  </si>
  <si>
    <t xml:space="preserve">1. Suspected caudal abdominal intestinal mineral material.
- This material is not typical for cloth/sock foreign bodies, but this does not rule out occult cloth material.
- If this is the small intestine, and if the patient is vomiting, this is suspicious for  small intestinal mechanical ileus.
- If this is in the colon, passing foreign material and enteritis/colitis may be more likely, especially if the patient is not vomiting.
2. No obvious gastric material is identified.  </t>
  </si>
  <si>
    <t xml:space="preserve">Consider pneumocolonogram to confirm position of the colon.  Consider compression radiographs over the mid-abdomen to further evaluate the suspicious material, and confirm if this is small intestinal or colonic.  Ultrasonography could also be beneficial if further radiographs are inconclusive.  If foreign material in the small intestine/mechanical ileus is confirmed, celiotomy and retrieval of this material.  Empirical therapy and supportive care in the interim as needed.  </t>
  </si>
  <si>
    <t xml:space="preserve">
1.The small intestines contain gas and fluid and are normal in diameter._x000D_
2.The stomach contains gas, fluid, and a small amount of amorphous soft tissue opaque material._x000D_
3.Throughout the mid-abdomen on the lateral projection, abdominal detail is decreased. This may be secondary to splenomegaly or a confluence of other soft tissue structures such as overlying bowel and/or lymph node enlargement._x000D_
4.The colon is primarily gas filled with a small amount of what appears to be semi-formed fecal material within the distal descending colon._x000D_
5.The spleen is mildly enlarged but retains a smooth margin._x000D_
6.The liver is normal in size with smooth serosal margins.</t>
  </si>
  <si>
    <t>Decreased mid-abdominal detail. DDx: secondary to splenomegaly vs. other confluence of soft tissue structures, including mid-abdominal lymph node enlargement. Mild splenomegaly. Extramedullary hematopoiesis, hyperplasia, inflammation, mild congestion or much less likely, an infiltrative neoplasia could be considered.</t>
  </si>
  <si>
    <t>Three radiographs of the abdomen are provided. Possible mild reduced detail in the cranial abdomen. No other evidence of effusion. The stomach is minimally distended. Small bowel are mildly filled with gas and scant fluid. There is gas in the cecum and colon. No radiopaque gastrointestinal foreign material. The liver, spleen, and kidneys are normal size and shape. Normal caudal thorax.</t>
  </si>
  <si>
    <t>Hazy cranial abdomen suggestive of scant effusion/inflammation. Gastritis/pancreatitis is most likely. Small radiolucent gastric foreign material is not definitively ruled out. There is no intestinal obstruction appreciated on this study.</t>
  </si>
  <si>
    <t>Consider strictly fasted abdominal ultrasound. If vomiting is severe/persistent, proceeding to gastroscopy would be recommended. If the patient becomes painful or markedly depressed, exploratory surgery would be appropriate.</t>
  </si>
  <si>
    <t xml:space="preserve">
1.Small intestines are diffusely mild to moderately filled with fluid and gas. No convincing obstruction._x000D_
2.The stomach contains small volume fluid and gas._x000D_
3.No abnormal AI findings reported._x000D_
4.The liver and spleen appear within normal limits._x000D_
5.Serosal detail is normal.</t>
  </si>
  <si>
    <t>Three radiographs of the thorax are provided. The cardiac silhouette is upper normal size. Possible enlarged and blunted left caudal pulmonary artery versus summating vessel and lung pattern. There is soft tissue opacity with air bronchograms in the cranioventral lungs bilaterally. The left lungs are more affected. No pleural effusion. Adequate tracheal diameter. Normal cranial abdomen.</t>
  </si>
  <si>
    <t>Bilateral ventral alveolar pattern most consistent with aspiration pneumonia. With the suspect enlarged blunted left caudal pulmonary artery, thromboembolic insult is possible but given lesser consideration.</t>
  </si>
  <si>
    <t>Recommend antibiotics and testing for heartworms. If the patient is still on antibiotics from previous episode, recommend switching or additional antibiotics.</t>
  </si>
  <si>
    <t>Abdomen: The stomach is distended with a moderate amount of heterogeneous soft tissue opacity.  There is no evidence of a small intestinal foreign body or obstruction.  The liver and spleen are unremarkable.  The visible portions of the urinary tract are unremarkable.  Serosal detail is normal.</t>
  </si>
  <si>
    <t>The appearance of the gastric lumen most likely represents normal ingesta however foreign material cannot be ruled out.</t>
  </si>
  <si>
    <t>A lateral radiograph of the thorax, and three views of the abdomen are provided. The cardiac silhouette and pulmonary vessels are normal size and shape. There are no abnormalities in the pulmonary parenchyma. No pleural effusion. Adequate tracheal diameter. Narrowed T11-12 intervertebral disc space, of doubtful clinical significance today._x000D_
_x000D_
In the abdomen there is no effusion. The urinary bladder is mildly filled and soft tissue opaque. Small round increased opacity ventral to L6 is end-on deep circumflex iliac vessel. The gastrointestinal tract is mildly filled. Normal-sized liver, spleen, kidneys. Previous right femoral head ostectomy. Moderate left coxofemoral osteoarthritis.</t>
  </si>
  <si>
    <t>Normal thorax and abdomen. There is no evidence of radiopaque urolithiasis. Cystitis is most likely.</t>
  </si>
  <si>
    <t>Current diagnostic/treatment plan is appropriate.</t>
  </si>
  <si>
    <t>ABDOMEN (2 radiographs for review). _x000D_
_x000D_
- Peritoneal serosal detail is mildly reduced in the mid abdomen_x000D_
- The stomach contains mild gas and gas-stippled soft-tissue opaque material_x000D_
- The small intestine contains mild multifocal gas and soft-tissue opaque material_x000D_
- The colon is mildly distended, contains gas, soft-tissue/fluid and minimal formed fecal material. It has a mildly rigid appearance._x000D_
- The liver, spleen, region of the kidneys and urinary bladder are normal._x000D_
- The caudal thorax is normal_x000D_
- Thickened right rib of T13. Otherwise normal MSK structures.</t>
  </si>
  <si>
    <t>1. The appearance of the stomach, small intestine and colon can be compatible with a non-specific generalized functional ileus (e.g. gastroenterocolitis). There is no evidence of small intestinal foreign material or mechanical obstruction. If clinically indicated (such as if the patient does not improve or worsens despite medical management), abdominal ultrasonography might be considered._x000D_
_x000D_
2. Transitional T13 vertebral segment.</t>
  </si>
  <si>
    <t>Three orthogonal radiographs of the abdomen dated 17th July 2024 are available for review. T these are compared with previous radiographs dated 26th March 2024._x000D_
_x000D_
Intra-abdominal findings: The urinary bladder is small. No radiopaque material seen superimposed on the urinary bladder. The hepatic silhouette is normal in size with smooth borders. The spleen is normal in shape, size and position. The kidneys are partially obscured by gastrointestinal contents, but the visible aspect are normal. The stomach is empty. There is appropriate gas in the pylorus on the left lateral image. The small intestines are mainly empty containing mainly gas. The descending colon contains gas and formed faeces.  The serosal detail is normal._x000D_
_x000D_
Extra-abdominal findings: No significant abnormalities are detected._x000D_
_x000D_
Included thorax: No significant abnormalities are detected.</t>
  </si>
  <si>
    <t>No evidence of mineral cystoliths. Non radiopaque (urate, cysteine), cystoliths may be present. Alternatively, cystitis (stress induced, polypoid, infectious), urinary bladder neoplasia (transitional cell carcinoma, squamous cell carcinoma) may be considered as alternate differentials. The history does not provide information as to resolution of the condition.</t>
  </si>
  <si>
    <t xml:space="preserve">
1.Liver size, shape and margin are normal._x000D_
2.Splenic size, shape and margin are normal._x000D_
3.Abdominal detail is normal._x000D_
4.The gastric rugae are prominent suggestive of gastritis._x000D_
5.The small bowel is diffusely fluid filled without segmental small bowel dilation.</t>
  </si>
  <si>
    <t>No small bowel obstruction noted. Potential gastritis.</t>
  </si>
  <si>
    <t xml:space="preserve">
Empirical therapy for gastritis/gastroenteritis as clinically warranted. Blood work and abdominal ultrasound as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</si>
  <si>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WHOLE-BODY (3 total radiographs for review). _x000D_
_x000D_
- Peritoneal serosal detail is normal._x000D_
- The liver is moderately enlarged, with rounded margins._x000D_
- The stomach contains mild gas and gas-stippled soft-tissue opaque material_x000D_
- The small intestine is mildly homogeneously distended and contains mild multifocal gas and soft-tissue opaque material_x000D_
- The colon contains gas, soft-tissue/fluid and mild formed fecal material._x000D_
- The spleen, region of the kidneys and urinary bladder are normal._x000D_
- Mild diffuse gas distention of the majority of the thoracic esophagus._x000D_
- Narrowing of the disc space and endplate sclerosis at T12-13 and T13-L1.</t>
  </si>
  <si>
    <t>1. The appearance of the stomach, small intestine and colon can be compatible with a non-specific generalized functional ileus (e.g. gastroenterocolitis). There is no evidence of small intestinal foreign material or mechanical obstruction. If clinically indicated, abdominal ultrasonography might be considered._x000D_
_x000D_
2. Diffuse esophageal gas distention can be from aerophagia or from primary esophageal dysmotility (e.g. megaesophagus). You may consider rechecking the thoracic radiographs to determine if this persists over time, in which case the concern for esophageal dysmotility would increase._x000D_
_x000D_
3. Moderate hepatomegaly. Most likely vacuolar (metabolic) hepatopathy. Hepatic congestion, hepatitis or neoplasia are less likely, but possible._x000D_
_x000D_
4. T12-13 and T13-L1 intervertebral disc disease</t>
  </si>
  <si>
    <t xml:space="preserve">
1.The liver and spleen are within normal limits._x000D_
2.No abnormal AI findings reported._x000D_
3.Abdominal detail immediately caudal to the stomach is slightly decreased._x000D_
4.The stomach contains gas._x000D_
5.The small intestines are predominantly gas-filled and normal in diameter._x000D_
6.The colon contains gas and some fecal material.</t>
  </si>
  <si>
    <t>3 views of the abdomen are provided for review.  Serosal detail is adequate in all quadrants.  The stomach contains a moderate amount of gas.  The small intestines are normal in size and displaced towards midline.  Gas and feces are present in the colon.  The urinary bladder is small.  The uterus is generally enlarged.  No mineralized fetal structures are seen.  The remaining abdominal organs are normal. The mammae are prominent.  The thoracic structures included are normal.</t>
  </si>
  <si>
    <t>Enlarged uterus consistent with recent parturition.</t>
  </si>
  <si>
    <t xml:space="preserve">
1.The stomach appears within normal limits. The small bowel contains a mild amount of gas. No obvious signs of obstruction._x000D_
2.Serosal detail is adequate._x000D_
3.No abnormal AI findings reported._x000D_
4.The liver is mildly enlarged with normal shape and smooth margins.</t>
  </si>
  <si>
    <t>Three radiographs of the thorax and two views of the abdomen are provided. The cardiac silhouette and pulmonary vessels are normal size and shape. There are no abnormalities in the pulmonary parenchyma. No pleural effusion or intrathoracic lymphadenomegaly. The plane of the esophagus is unremarkable._x000D_
_x000D_
In the abdomen there is small volume gas in the stomach and small bowel. Small-volume semi-formed feces in the distal colon. No radiopaque foreign material. Normal size kidneys, liver, spleen. The urinary bladder is mildly filled and soft tissue opaque. No osseous abnormalities.</t>
  </si>
  <si>
    <t>Normal thorax and abdomen. The reason for the clinical signs is not identified.</t>
  </si>
  <si>
    <t xml:space="preserve">
1.The hepatic silhouette is normal._x000D_
2.Abdominal detail is normal._x000D_
3.There is a moderate amount of fluid and gas within the stomach._x000D_
4.The stomach has a normal axis._x000D_
5.The small intestines are homogenously fluid-filled, and mildly dilated._x000D_
6.The colon is gas-filled._x000D_
7.The descending colon contains mainly fluid opaque material._x000D_
8.The spleen is normal for size, shape and margin.</t>
  </si>
  <si>
    <t>4 views of the thorax and abdomen are submitted for review._x000D_
In the thorax, the cardiac silhouette and pulmonary vasculature are within normal limits.  No pulmonary parenchymal or maladies are seen.  No pleural effusion or thoracic lymphadenopathy is noted.  The trachea is normal._x000D_
In the abdomen, the stomach contains mild to moderate amount of gas.  The small bowel is normal in uniform diameter.  A mild amount of stool is noted in the colon.  The liver, spleen, renal silhouettes, and urinary bladder are within normal limits.  Serosal detail is adequate._x000D_
No significant osseous abnormalities are seen.</t>
  </si>
  <si>
    <t>Radiographically normal thorax and abdomen.  An explanation of the clinical signs is not identified.</t>
  </si>
  <si>
    <t>An abdominal ultrasound could be considered for further evaluation.</t>
  </si>
  <si>
    <t xml:space="preserve">
1.The stomach contains a moderate volume gas and a small amount of fluid._x000D_
2.A few loops of minimally filled small bowel are also present._x000D_
3.There are several loops severely dilated intestines in the mid abdomen._x000D_
4.The colon is minimally filled._x000D_
5.An increase in soft tissue, potentially a soft tissue mass, is identified in the cranial abdomen and may be arising from the liver or spleen._x000D_
6.Serosal detail is decreased._x000D_
7.No abnormal AI findings reported.</t>
  </si>
  <si>
    <t>Rule out a small intestinal obstruction with peritonitis vs. abdominal mass with hemorrhage or peritonitis.</t>
  </si>
  <si>
    <t xml:space="preserve">
AFAST vs. full abdominal ultrasound. Abdominocentesis if fluid is confirmed on ultrasound and can be safely sampled for fluid analysis, cytology +/- culture._x000D_
Full blood work if not already performed._x000D_
Three view thoracic radiographs if an abdominal mass is identified on ultrasound._x000D_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</si>
  <si>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Right lateral and ventrodorsal abdominal radiographs (2 images) dated July 17, 2024._x000D_
_x000D_
_x000D_
The liver measures at the lower limits of normal size and is normal in shape. The spleen is unremarkable. The kidneys are only partially visible with no overt abnormalities identified. The urinary bladder is small and fluid opaque. The stomach is moderately distended with gas and a smaller amount of fluid. The small intestine is unremarkable in diameter and has broad ropelike turns in its course to give it a subjectively turgid appearance. The colon contains a small amount of poorly formed stool. Retroperitoneal and peritoneal detail are normal. No regional lymphadenopathy is evident._x000D_
The included caudal thorax and osseous structures are unremarkable.</t>
  </si>
  <si>
    <t>The appearance of the G.I. tract is most compatible with gastroenteritis and colitis. The gastric soft-tissue content likely reflects normal ingesta or fluid pooling from a functional gastric stasis=ZZ90= clinically significant foreign material causing gastric irritation or a pyloric outflow obstruction is less likely but cannot be completely ruled out. Rule out dietary indiscretion or toxin vs. food allergy/intolerance vs. flareup of a chronic enteropathy (ex: IBD) vs. GI infectious vs. systemic/extra GI causes (liver or kidney injury/disease, pancreatitis, endocrine disorder, systemic infection, non-GI neoplasia).</t>
  </si>
  <si>
    <t>Supportive care with fluid rehydration, antiemetics, gastroprotectants/omeprazole, and bland diet.  General health profile (CBC, chemistry, UA, fecal) +/- spec cPL and baseline cortisol to screen for underlying causes.  Repeat fasted abdominal radiographs or ultrasound if the patient fails medical management._x000D_
_x000D_
_x000D_
For all patients with upper GI clinical signs and the potential for a mechanical obstruction, three-view abdominal radiographs are encouraged and should be obtained in the order of left lateral, ventrodorsal, and right lateral. This helps to examine the mobility of the gastric material and assess for gas buildup in the non-dependent pyloric antrum and proximal duodenum on the left lateral view (essentially a negative contrast study).</t>
  </si>
  <si>
    <t xml:space="preserve">
1.Splenic size, shape and margin are normal._x000D_
2.Liver size is at the lower limits of normal but retains a smooth margin._x000D_
3.The ascending, transverse and descending colon are in a normal position and contain gradually more formed feces._x000D_
4.Abdominal detail in the cranial abdomen is mildly decreased on the lateral projection._x000D_
5.A mild amount of air is present in the cranial duodenum in the ventrodorsal image._x000D_
6.The small intestinal tract contains normal volumes of fluid, gas and ingesta but portions have a rigid appearance._x000D_
7.The stomach contains a small amount of air and either has prominent gastric rugae or contains a small amount of soft tissue material.</t>
  </si>
  <si>
    <t xml:space="preserve">Patient Name : Dorothy Hoyle, Date of study: Jul 17, 2024
3 images are provided for review
Canine Abdomen (3 Images) - 1 Vd, 2 Lateral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soft tissue material and/or fluid.  Minimal gas is suspected in the descending duodenum in the left lateral image. The stomach is within normal limits for size.
The small intestine contains mild fluid or is empty with a subjectively uniform population for size. 
The colon contains mild heterogeneous soft tissue material and gas.
Musculoskeletal: The included musculoskeletal structures are normal.
</t>
  </si>
  <si>
    <t>1. Gastric material due to recent meal, versus gastritis/delayed gastric emptying or unlikely pyloric outflow tract obstruction given reported history.
2. Non-specific small intestinal and colon appearance such as from enteritis, colitis, or individual variation of normal.
- There is no evidence small intestinal mechanical ileus.
- Differential diagnoses for enteritis include dietary indiscretion, toxin ingestion, inflammatory bowel disease, diet/antibiotic responsive disease, primary infectious disease/parasitism, or occult systemic disease.</t>
  </si>
  <si>
    <t>Empirical therapy for gastritis/enteritis in the interim as needed.  Consider GI panel and abdominal ultrasonography for further evaluation, especially if signs fail to improve or worsen with empirical therapy.  Monitoring as directed or sooner if clinical signs acutely change, fail to improve or worsen.</t>
  </si>
  <si>
    <t>Eight radiographs are provided, with images of the thorax, abdomen, pelvis, and stifles. Thoracic images dated 8/13/21 are available for comparison. The cardiac silhouette and pulmonary vessels are normal size. There are no abnormalities in the pulmonary parenchyma or pleural space. Prominence of the main pulmonary arterial segment on the VD projection is due to rotation. Normal tracheal diameter. No cervicothoracic spinal abnormalities. Normal proximal thoracic limbs. In the abdomen there is no effusion or organomegaly. The gastrointestinal tract is mildly filled. No radiopaque urolithiasis. There is mineralized intervertebral disc material in situ at T10-11, T11-12, incidental. The T12-13 intervertebral disc space is narrowed. No lumbar spinal abnormalities. The coxofemoral joints are congruent. Pelvic limb musculature is symmetric. Patellar location is normal. No stifle joint effusion is appreciated, although stifle joint evaluation is somewhat limited due to rotation. No popliteal lymphadenomegaly.</t>
  </si>
  <si>
    <t>The appearance of T12-13 is suggestive of a protruding/extruded intervertebral disc. Such a lesion at this or another site is the most likely cause for the clinical signs. The thorax, abdomen, pelvis, and stifles are normal.</t>
  </si>
  <si>
    <t>Recommend palpation for spinal discomfort, and a neurologic examination.</t>
  </si>
  <si>
    <t xml:space="preserve">
1.The liver, spleen and peritoneal serosal detail are normal._x000D_
2.No abnormal AI findings reported._x000D_
3.No abnormal AI findings reported._x000D_
4.The small intestine contains a mild volume of gas or fluid or are empty, and are mildly enlarged with a uniform population._x000D_
5.The stomach is normal in size and contains a mild volume of gas._x000D_
6.The colon and cecum contain a moderate or large volume of gas.</t>
  </si>
  <si>
    <t>Differential diagnoses include diet/antibiotic responsive disease, inflammatory bowel disease, dietary indiscretion, parasitism or other primary infectious enterocolitis. Moderate non-specific colonic, cecal and small intestinal changes, without obvious evidence of mechanical ileus.</t>
  </si>
  <si>
    <t xml:space="preserve">
If GI signs are present, empirical therapy for gastroenteritis and 8-12 hours of fasting with repeat 3-view abdominal radiographs for monitoring._x000D_
Fecal analysis and/or empirical deworming may be beneficial._x000D_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</si>
  <si>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Four radiographs of the abdomen are provided. There is no effusion. There is gas in the cecum and proximal colon, with fluid-filled distal colon. Small intestines are minimally distended. Small volume gas in the stomach. No radiopaque foreign material. Normal-sized liver, spleen, kidneys. The urinary bladder is minimally filled and soft tissue opaque. Normal osseous structures.</t>
  </si>
  <si>
    <t>Liquid diarrhea. No other gastrointestinal abnormalities. Gastroenterocolitis secondary to dietary indiscretion is most likely. There is no evidence of an obstructive process. Small radiolucent gastric foreign material is not definitively ruled out.</t>
  </si>
  <si>
    <t>Current diagnostics and treatment is appropriate. Depending on lab work results and patient response to supportive care, further investigation with abdominal ultrasound may be indicated.</t>
  </si>
  <si>
    <t xml:space="preserve">
1.The small intestines have a diffuse fragmented gas pattern._x000D_
2.There is a heterogeneous soft tissue opacity associated with the gastric lumen._x000D_
3.Liver size, shape and margin are normal._x000D_
4.Splenic size, shape and margin are normal._x000D_
5.Serosal detail is adequate to slightly decreased.</t>
  </si>
  <si>
    <t>Three radiographs of the thorax/abdomen are provided. Peritoneal and retroperitoneal detail is adequate. There is gas in the proximal colon, with fluid in the distal descending colon. Small bowel are minimally distended. The stomach contains a moderate amount of amorphous soft tissue density. There is small volume mineral opaque debris throughout the gastrointestinal tract. Normal-sized liver, spleen, and kidneys. No radiopaque cystic calculi. Normal osseous structures. In the thorax, cardiovascular structures are normal size and shape. Soft tissue bulge along the cranial left aspect of the heart is due to mild rotation. The lungs are clear. No esophageal dilation.</t>
  </si>
  <si>
    <t>Liquid diarrhea. No other definitive gastrointestinal abnormalities. Gastroenterocolitis secondary to dietary indiscretion is most likely. There is no evidence of an obstructive process. Mineral debris in the GI tract is likely incidental. The thorax is normal.</t>
  </si>
  <si>
    <t>Recommend supportive care for gastroenterocolitis. If the patient does not rapidly improve, abdominal ultrasound would be recommended.</t>
  </si>
  <si>
    <t xml:space="preserve">
1.Liver size, shape and margin are normal._x000D_
2.The spleen is at the upper limits of normal to mildly enlarged but retains a smooth margin._x000D_
3.There is a focal decrease in cranial abdominal serosal detail._x000D_
4.The gastric lumen contains a mild amount of soft tissue and gas opacity._x000D_
5.The gastric rugae are prominent._x000D_
6.The small intestine is of uniform population size and is diffusely of soft tissue opacity with minimal gas opacity._x000D_
7.No mechanical ileus is visualized._x000D_
8.The colon is gas filled and has a rigid appearance.</t>
  </si>
  <si>
    <t>Three radiographs of the thorax and three views of the abdomen are provided. The cardiac silhouette is normal size and shape. Mild age-related changes in the lungs. No pleural effusion. Adequate tracheal diameter. No cervicothoracic spinal abnormalities._x000D_
_x000D_
In the abdomen the liver is prominent with smooth margins. Normal-sized spleen and kidneys. The gastrointestinal tract is minimally filled. Small volume semi-formed feces in the proximal colon. No radiopaque foreign material or cystic calculi. No narrowed lumbar intervertebral disc spaces or foramina. The coxofemoral joints are congruent. The left patella is likely medially displaced.</t>
  </si>
  <si>
    <t>1. Mild hepatomegaly, a nonspecific finding that may be steroid or other hepatopathy, acute inflammation, or least likely neoplasia. This should be correlated with history and blood work. Otherwise normal abdomen._x000D_
2. Probable medial patellar luxation on the left._x000D_
3. Normal thorax.</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</si>
  <si>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 fat opacity mass is seen in the subcutaneous tissues along the left lateral thorax.  A similar mass is seen along the lateral aspect of the left lateral abdomen.  Abdominal serosal detail is adequate in all quadrants.  The stomach contains a small amount of gas.  The small intestines are normal in size.  Gas and feces are present in the colon.  The urinary bladder is small.  The remaining abdominal organs are normal.  There is narrowing of the intervertebral disc space and spondylosis deformans at L1-2.</t>
  </si>
  <si>
    <t>Radiographically normal abdomen.  Radiographically normal thorax for patient of this age.  Lumbar changes suggest chronic intervertebral disc herniation.  Multiple subcutaneous lipomas.</t>
  </si>
  <si>
    <t>Five radiographs of the abdomen are provided. There is no peritoneal or retroperitoneal effusion. Small volume gas in the stomach. Small intestines are minimally distended with fluid. There is gas in the cecum and colon. No radiopaque gastrointestinal foreign material. The liver, spleen, and left kidney are normal size. The right kidney is incompletely visible. Normal caudal thorax.</t>
  </si>
  <si>
    <t>Normal abdomen. Gastroenteritis/pancreatitis is most likely. Small radiolucent gastric foreign material causing gastritis and pyloric outflow obstruction is next on the differential list.</t>
  </si>
  <si>
    <t>If vomiting is at least somewhat controlled, a positive contrast gastrogram could be considered to rule out gastric foreign material.  If vomiting is persistent/severe despite supportive care, proceeding to gastroscopy or exploratory surgery may be necessary.</t>
  </si>
  <si>
    <t>Fifteen orthogonal thoracic and abdominal radiographs including a upper GI contrast study (10 images) dated 16th July 2024 are available for review._x000D_
_x000D_
Abdomen: Precontrast: The hepatic silhouette is normal in size with smooth borders. The spleen is normal in shape, size and position. The kidneys are partially obscured by gastrointestinal contents, but the visible aspect are normal. The stomach is mainly empty with a normal axis. There is appropriate gas in the pyloric region on the left lateral image. To small intestines are variably filled with gas and fluid/soft tissue opaque material. No segmental dilation is noted. The descending colon contains gas and poorly formed faeces. The serosal detail is mildly reduced due to underexposure. Postcontrast: There is good filling of the stomach on the initial images, and immediate transfer of barium to the small intestines. The pylorus is patent on the ventrodorsal image. No filling defects are present. No segmental dilation is noted. No abnormalities are noted in the included thorax.</t>
  </si>
  <si>
    <t>1. Relatively unremarkable abdomen. A mild diffuse enterocolitis due to dietary indiscretion or infectious-inflammatory origin may be considered.</t>
  </si>
  <si>
    <t xml:space="preserve">
1.Liver size, shape and margin are normal._x000D_
2.On the VD projection, there is increased soft tissue opacity in the splenic region. This may be due to splenomegaly or superimposition of a normal spleen and the left kidney. No splenic mass is identified._x000D_
3.Cranial abdominal detail, caudal to the stomach, is slightly decreased._x000D_
4.There is a small to moderate quantity of normal appearing soft tissue dense ingesta in the stomach._x000D_
5.On the VD projection, at least one gas filled, rigid appearing bowel segment is present.</t>
  </si>
  <si>
    <t>Three radiographs of the abdomen are provided. The prostate is mildly enlarged consistent with the reproductive status of this patient. There is no peritoneal or retroperitoneal effusion. The stomach is moderately distended with fluid, gas, small volume amorphous soft tissue density, and a few punctate mineral densities. Small and large bowel are minimally filled. The cecum is gas dilated. Normal-sized liver, kidneys, spleen. The urinary bladder is mildly filled and soft tissue opaque. Normal caudal thorax.</t>
  </si>
  <si>
    <t>Gastric contents is most likely residual ingesta. Foreign material is given lesser consideration in the absence of vomiting. Otherwise normal abdomen.</t>
  </si>
  <si>
    <t>Recommend a CBC, blood chemistry profile, cranial nerve assessment, and medical support. Recommend close monitoring for development of respiratory signs over the next 24 hours, as noncardiogenic pulmonary edema can develop following episodes such as seizures or Bufo toad toxicity.</t>
  </si>
  <si>
    <t>Eight orthogonal survey radiographs of the thorax and abdomen dated 17th July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stomach contains some kibble. The axis is normal. There is appropriate gas in the pyloric region on the left lateral image. The small intestines are variably filled with fluid/soft tissue opaque material or gas. The gas filled loops have a subjectively thickened wall. The transverse and descending colon gradually contains more formed faeces. The urinary bladder is normal. The hepatic silhouette is normal in size with smooth borders. The spleen is normal in shape, size and position. The kidneys are partially obscured by gastrointestinal contents, but the visible aspect are normal. There is mild loss of serosal detail in the cranial aspect of the abdomen._x000D_
_x000D_
Musculoskeletal findings: No significant abnormalities are detected.</t>
  </si>
  <si>
    <t>1. Differentials include a mild enteritis of infectious-inflammatory origin, diffuse enteropathy such as IBD, food allergy, unlikely intestinal lymphoma. In light of mild loss of cranial serosal detail, pancreatitis is possible.</t>
  </si>
  <si>
    <t>Supportive management including rehydration, gastroprotectants,  full blood work, if clinically indicated is advised, if not already performed. Consider an abdominal ultrasound or further workup for chronic malabsorptive disease.</t>
  </si>
  <si>
    <t xml:space="preserve">
1.The colon is gas filled and a portion of the colon has a rigid appearance._x000D_
2.Liver size, shape and margin are normal._x000D_
3.Splenic size is at the upper limits of normal to mildly enlarged but no mass is noted in the region of the spleen._x000D_
4.Abdominal detail is normal._x000D_
5.The stomach contains a small amount of gas and ingesta. The gastric rugae are prominent. The small bowel is diffusely gas- and fluid-filled without segmental small bowel dilation.</t>
  </si>
  <si>
    <t>Opposite lateral and ventrodorsal abdominal radiographs (6 images) dated July 17, 2024._x000D_
_x000D_
The liver and spleen are unremarkable in size and shape. The kidneys are only partially visible with no abnormalities appreciated. The urinary bladder is small and fluid opaque. The stomach is moderately distended with homogeneous soft-tissue/fluid content and a smaller volume gas. The material is mostly mobile between views, and the pyloric antrum is gas-filled on the left lateral view of the initial study. The duodenum is variably gas distended between views. The small intestine has a moderate variation in diameter with the more distended segments containing gas and the more empty segments collapsed and soft-tissue/fluid opaque. The small bowel has broad ropelike turns in its course to give it a subjectively turgid appearance. The cecum contains gas. The colon is mostly empty aside from gas and a small amount of poorly formed stool. Retroperitoneal and peritoneal detail are adequate. No regional lymphadenopathy is evident.</t>
  </si>
  <si>
    <t>1. The appearance of the gastrointestinal tract is most compatible with gastroenteritis and colitis. A partial or complete small intestinal mechanical is unlikely._x000D_
2. The gastric soft-tissue content is suspected to represent normal ingesta and/or fluid pooling from a functional gastric stasis. Clinically significant foreign material obscured by gastric fluid cannot be completely ruled out but is less likely.</t>
  </si>
  <si>
    <t>Supportive care with fluid rehydration, antiemetics, gastroprotectants/omeprazole, antidiarrheal with probiotic, and bland diet.  General health profile (CBC, chemistry, UA, fecal) and parvovirus testing. Abdominal ultrasound could be considered, especially if the patient fails medical management.</t>
  </si>
  <si>
    <t xml:space="preserve">
1.No abnormal AI findings reported._x000D_
2.Serosal detail is slightly decreased._x000D_
3.The stomach is mildly distended with fluid and gas._x000D_
4.Small intestinal bowel loops are normal in size and distribution and have a mixed pattern, without dilation to suggest complete obstruction._x000D_
5.The distal colon is mildly distended with soft appearing fecal material._x000D_
6.The liver is borderline small, and the spleen is normal in size.</t>
  </si>
  <si>
    <t>The AI result for this case is most compelling for:  gastroenteritis/colitis. This may be due to dietary indiscretion, or infectious-inflammatory causes. There is no evidence of a complete mechanical obstruction. A partial obstruction by non-mineral opaque foreign material could be considered. Pancreatitis can also be seen with these findings.</t>
  </si>
  <si>
    <t xml:space="preserve">
Virtual Radiologist Case Difficulty: MODERATE_x000D_
Virtual Radiologist Confidence: MODERATE_x000D_
Symptomatic therapy and supportive care as needed for dietary indiscretion and gastroenteritis/pancreatitis is recommended._x000D_
If the stomach is still fluid dilated, pyloric obstruction should be ruled out with follow up imaging such as a gastrogram or abdominal ultrasound exam.</t>
  </si>
  <si>
    <t>Three radiographs of the abdomen/proximal pelvic limbs are provided. In the abdomen there is no effusion. The gastrointestinal tract is moderately filled. Normal-sized liver and spleen. The kidneys are obscured. No radiopaque urolithiasis. Metal pin and cerclage wires along the spinous processes of L2 through L6. Narrowed T11-12, T12-13, T 13-L1 intervertebral disc spaces, of uncertain significance today. No pelvic fractures. The sacroiliac and right coxofemoral joint are congruent. The left femur is displaced craniodorsally with respect to the acetabulum. There is soft tissue opacity overlying the cranial aspect of the left stifle on the lateral view, however there are also superimposed skin folds. Medial patellar luxation on the left. No right stifle abnormalities.</t>
  </si>
  <si>
    <t>1. Left coxofemoral luxation. This is the cause for acute discomfort._x000D_
2. Medial patellar luxation on the left may be contributing to discomfort. Soft tissue density overlying the left stifle may be superimposed skin fold. Effusion secondary to cranial cruciate ligament insult is not ruled out. This should be correlated with palpation._x000D_
3. Normal abdomen.</t>
  </si>
  <si>
    <t>Recommend palpate for left stifle discomfort and instability, and reduction of the left coxofemoral joint.</t>
  </si>
  <si>
    <t xml:space="preserve">
1.Mild splenic enlargement._x000D_
2.Slight decrease in abdominal detail._x000D_
3.No abnormal AI findings reported._x000D_
4.The stomach contains small volume gas and scant soft tissue density._x000D_
5.Small intestines are mildly fluid filled. No signs of obstruction.</t>
  </si>
  <si>
    <t>Thoracolumbar spine: There is no evidence of disc space collapse.  There is no evidence of fractures, lysis, or malalignment._x000D_
_x000D_
Thorax: There is mild generalized cardiomegaly.  The pulmonary vasculature and pulmonary parenchyma are unremarkable.  There is no evidence of pleural effusion or lymphadenopathy._x000D_
_x000D_
Abdomen: There are no abnormalities identified.</t>
  </si>
  <si>
    <t xml:space="preserve">Patient Name : lily gayler, Date of study: Jul 16, 2024
3 images are provided for review
There are no previous radiographs for comparison.
Pulmonary parenchyma: A minimal to mild diffuse bronchial pattern is present.  A minimal diffuse interstitial pattern is present, least severe in the caudodorsal portion of the lungs.
Pulmonary vasculature: The pulmonary vasculature is subjectively normal in size and tapers in the periphery of the lungs.
Cardiac silhouette: The cardiac silhouette is severely enlarged and tall, occupying greater than 2/3 the height of the thorax.  The trachea is dorsally displaced. The caudodorsal margin of the cardiac silhouette is rounded and enlarged.  Rounded increased soft tissue is in the region of the left atrium.  A slight soft tissue bulge is at the 2-3 o'clock position (left auricular appendage) in the ventrodorsal image.  
Mediastinum: The cranial mediastinum is mildly symmetrically widened without increased soft tissue in the ventrodorsal image.  A leftward mediastinal shift tis present in the ventrodorsal image.  
Trachea: The trachea is normal.
Esophagus: The esophagus is not well-identified.
Pleural space: The pleural space is normal.
Musculoskeletal: The T13 vertebra is transitional with a thickened left and thinned right ribs.  The remaining included musculoskeletal structures are normal.
</t>
  </si>
  <si>
    <t xml:space="preserve">1. Severe left-sided cardiomegaly such as from reported myxomatous mitral valvular disease and insufficiency.
- No current evidence of left-sided congestive heart failure.  
2. Minimal diffuse bronchial and interstitial pulmonary patterns, least severe in the caudodorsal lungs. 
- Differential diagnoses include fibrosis from prior disease, age-related changes, or unlikely infectious/immune-mediated lower airway disease or other.
3. Cranial mediastinal widening due to fat deposition/variation of normal or unlikely other.  </t>
  </si>
  <si>
    <t>Echocardiography and ECG for further evaluation if not recently performed.  Consider a dorsoventral image of the thorax as well as orthogonal lateral images for further evaluation, especially if clinical signs acutely change or worsen in the interim (such as manifestation of dyspnea).  Routine blood work and urinalysis may be contributory if not recently performed.  Consider empirical therapy/supportive care for cough in the interim as needed.  Monitoring as directed, or sooner if clinical signs acutely change, fail to improve or worsen.</t>
  </si>
  <si>
    <t xml:space="preserve">
1.A mild increase in soft tissue opacity and mild displacement of the bowel away from this region is noted caudal to the stomach on the lateral projection._x000D_
2.On the VD projection, the spleen appears normal. On the lateral projection, the increase in soft tissue opacity and mild bowel displacement away from the region caudal to the stomach raises concern for a small mass effect, potentially due to splenic or pancreatic pathology._x000D_
3.On the lateral projection, the liver is at the upper limits of normal for size to mildly enlarged, but has smooth margins._x000D_
4.The stomach contains a mild amount of gas._x000D_
5.No segmental small intestinal dilation is noted._x000D_
6.The colon contains a moderate amount of heterogeneous soft tissue material.</t>
  </si>
  <si>
    <t>3 views of the abdomen are provided for review.  Serosal detail is adequate in all quadrants.  The stomach contains a small amount of soft tissue and the rugal folds are prominent.  The small intestines are normal in size.  Gas is present in the colon.  The urinary bladder is small.  The remaining abdominal organs are normal.</t>
  </si>
  <si>
    <t>Material within the stomach may represent residual ingesta or foreign material.  Consider repeat radiographs following strict fasting to determine if gastric contents persist.  Prominent rugal folds suggestive of gastritis.  This does not rule out underlying pancreatitis, dietary indiscretion, etc.  If clinical signs persist with supportive therapy, abdominal ultrasound could be considered in further evaluation.</t>
  </si>
  <si>
    <t xml:space="preserve">
1.The stomach contains small volume gas and scant amorphous soft tissue density material. Diffuse, mild to moderate gas dilation of the small bowel without evidence of obstruction._x000D_
2.Abdominal detail is normal._x000D_
3.Splenic size, shape and margin are normal._x000D_
4.Liver size, shape and margin are normal.</t>
  </si>
  <si>
    <t xml:space="preserve">Patient Name : Honey Aditto, Date of study: Jul 16, 2024
2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contains multiple, well-defined, ovoid, variably sized mineral foci.  These are centrally over the urinary bladder in the lateral image.  The urinary bladder is within normal limits for size.  
Peritoneum: Peritoneal detail is adequate.
Gastrointestinal tract: The stomach contains a moderate volume of gas and soft tissue material.  The stomach is normal in size.  Gastric rugal folds are mildly prominent.
The small intestine contains mild gas and fluid or is empty with a subjectively uniform population for size. 
The colon contains moderat well-defined soft tissue material and gas.  The colon is normal in size.  
Musculoskeletal: Moderate right and mild left coxofemoral joint osteoarthrosis is identified.  The remaining included musculoskeletal structures are normal.
</t>
  </si>
  <si>
    <t>1. Multiple urocystoliths and presumed underlying cystitis.
2. Prominent gastric rugal folds such as from non-specific gastritis versus individual variation of normal.
- There is no evidence of small intestinal mechanical ileus.  
3. Moderate right and mild left coxofemoral joint osteoarthrosis.</t>
  </si>
  <si>
    <t>Consider urinalysis, urine culture/sensitivity testing and dissolution diet for further evaluation.  Routine blood work if not recently performed to screen for occult systemic disease. Celiotomy/cystotomy and mineral retrieval with analysis may also be contributory.   Empirical therapy and supportive care in the interim as needed.  Monitoring as directed or sooner if clinical signs acutely change, fail to improve or worsen.</t>
  </si>
  <si>
    <t xml:space="preserve">
1.Abdominal detail is normal._x000D_
2.Splenic size, shape and margin are normal._x000D_
3.The liver is mildly enlarged but with a normal shape and smooth margins. No hepatic mass has been identified._x000D_
4.The stomach and intestinal tract are normal.</t>
  </si>
  <si>
    <t>Patient Name : Sullivan Preciado, Date of study: Jul 16, 2024
3 images are provided for review
There are no previous radiographs for comparison.
Bones/Joints:
There is no evidence of intervertebral disc space narrowing, or mineral over the intervertebral foramina.  There is no evidence of intervertebral dorsal articulation osteoarthrosis.
Osteophytes are present at the left medial tibial condyle.
There is no evidence of medullary sclerosis, osteolysis, endosteal scalloping, or periosteal proliferation.
Soft tissues:  The patient is obese.  The remaining included soft tissues are normal.
(amended on 07/19/2024 13:40)
T11-12 spondylosis deformans is present.  The T11-12 disc is similar to T12-13 in the ventrodorsal image,and subjectively normal.  The T11-12 endplates are smooth and well-defined, best identified in the left lateral image.  Apparent sclerosis is suspected from artifact and superimposition of the spondylosis deformans in this image.</t>
  </si>
  <si>
    <t>1. Left stifle osteoarthrosis.
2. No evidence of intervertebral disc disease.
3. Obesity.
(amended on 07/19/2024 13:40)
4. T11-12 spondylosis deformans.</t>
  </si>
  <si>
    <t>Consider radiographs of the left stifle with comparison images of the right.  Consider routine blood work and thoracic/abdominal imaging to screen for occult systemic disease or etiology of exercise intolerance.  Weight loss.  Empirical therapy and supportive care in the interim as needed.  Consider MRI and neurologist consultation, especially if progressive signs of a myelopathy manifest.   Monitoring as directed, or sooner if clinical signs acutely change, fail to improve or worsen.</t>
  </si>
  <si>
    <t>Orthogonal views of the abdomen are provided:_x000D_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_x000D_
Multifocal signs of chronic IVDD. No signs of disc herniation, aggressive bone lesions, vertebral fractures or subluxations._x000D_
Unremarkable pelvis and stifles (poorly positioned though)._x000D_
No abnormalities seen in the VD view of the thorax.</t>
  </si>
  <si>
    <t>1) Hepatomegaly: Metabolic vs Vacuolar infiltration vs Hepatic nodular hyperplasia vs Inflammatory vs Toxic vs Neoplastic or a combination of these differentials._x000D_
2) Multifocal signs of chronic IVDD._x000D_
3) Unremarkable pelvis and stifles (poorly positioned though).</t>
  </si>
  <si>
    <t>Consider abdominal US to further evaluate the liver._x000D_
Consider a neuro exam with MRI if necessary: if negative, consider an orthopedic exam under sedation.</t>
  </si>
  <si>
    <t xml:space="preserve">
1.The spleen is within normal limits._x000D_
2.Abdominal detail is within normal limits._x000D_
3.The stomach is within normal limits. The small bowel is gas- and fluid-filled without segmental small bowel dilation or signs of obstruction._x000D_
4.The liver is within normal limits.</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</si>
  <si>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soft tissue material.  The small intestines are normal in size.  Gas and feces are present in the colon.  The urinary bladder is small.  The remaining abdominal organs are normal.</t>
  </si>
  <si>
    <t>Material within the stomach may represent residual ingesta or foreign material.  Consider repeat radiographs following strict fasting to determine if gastric contents persist.  Radiographically normal thorax for patient of this age.</t>
  </si>
  <si>
    <t xml:space="preserve">
1.The liver is borderline small._x000D_
2.The spleen appears within normal limits._x000D_
3.The stomach contains mild soft tissue and gas. The small intestines are gas and fluid filled, without signs of obstruction._x000D_
4.No abnormal AI findings reported.</t>
  </si>
  <si>
    <t xml:space="preserve">Patient Name : Miracle Guerra, Date of study: Jul 16, 2024
7 images are provided for review
There are no previous radiographs for comparison.
Pulmonary parenchyma: A mild to moderate diffuse bronchial pattern is present.  Increased interstitial to alveolar soft tissue is present in the accessory lung lobe.  The accessory lung lobe is subjectively reduced in size.  Ill-defined interstitial soft tissue is in the left lung lobes in the ventrodorsal image.   Increased peri-hilar soft tissue is present in the lateral images, with suspected ventral displacement of the caudal lobar bronchi.  
Pulmonary vasculature: The pulmonary vasculature is subjectively normal in size and tapers in the periphery of the lungs.
Cardiac silhouette: The cardiac silhouette is partially obscured at its caudal margin.  No obvious cardiomegaly is identified.
Mediastinum: A rightward mediastinal shift is present.  The cranial mediastinum is normal.
Trachea: The trachea is normal.
Esophagus: The esophagus is not well-identified.
Pleural space: The pleural space is normal.
Musculoskeletal: Multiple variably sized soft tissue nodules arise from the ventral extra-thoracic and extra-abdominal body wall.   L1-2 spondylosis deformans is present. The remaining included musculoskeletal structures are normal.
</t>
  </si>
  <si>
    <t xml:space="preserve">1. Accessory lung lobe increased interstitial to alveolar soft tissue, or unlikely mass, with suspected lung-volume loss and rightward mediastinal shift.
- This may be due to bronchial compression from hilar mass/lymphadenomegaly, bronchial plugging from lower airway disease, pulmonary eosinophilia, lymphomatoid granulomatosis, or unlikely an evolving primary mass given suspected decreased size/mediastinal shift.
- Pulmonary hemorrhage is also possible, but least likely.
2. Left-sided focal interstitial pattern in the ventrodorsal image due to evolving metastatic/multicentric neoplasia, atypical pneumonitis or evolving pneumonia, artifact/atelectasis, or unlikely other.
3. Mild-moderate diffuse bronchial pulmonary pattern due to infectious/immune-mediated lower airway disease, atypical metastatic neoplasia (such as from mammary carcinoma or other), or unlikely other.  
4. Suspected tracheobronchial lymphadenomegaly/mass versus other.
- Tracheobronchial lymphadenomegaly is suspicious for metastatic/multicentric neoplasia or unlikely granulomatous/fungal disease or other.  
5. Multiple extra-thoracic and extra-abdominal body wall soft tissue nodules such as from malignant or benign neoplasia versus other.  </t>
  </si>
  <si>
    <t>Consider thoracic computed tomography for further evaluation of the accessory lung lobe, left lung lobes and to confirm tracheobronchial lymphadenomegaly/mass.  Coagulation testing and tissue sampling if a mass is confirmed via percutaneous aspirates if accessible versus thoracotomy and lung lobectomy.  Empirical therapy and supportive care in the interim as needed. 
 Fungal serology may be contributory if the patient has an appropriate travel/exposure history, and if additional diagnostics are inconclusive.  Monitoring as directed or sooner if clinical signs acutely change, fail to improve or worsen.</t>
  </si>
  <si>
    <t xml:space="preserve">
1.The liver is normal._x000D_
2.The spleen is prominent, with a smooth border._x000D_
3.The peritoneal serosal detail is mildly reduced but this is attributed to underexposure._x000D_
4.The stomach has a normal axis._x000D_
5.The small intestines are evenly filled with a mixture of fluid and gas._x000D_
6.The ascending, transverse and descending colon contain a moderate amount of gas, and well formed faeces.</t>
  </si>
  <si>
    <t>Orthogonal views of the abdomen, a lateral view of the left stifle, and VD views of the pelvis are provided for interpretation._x000D_
_x000D_
No abnormalities are identified involving the left stifle. There are no bony changes or joint effusion. There is a punctate opacity visible just caudal to the femoral condyle in the lateral view, but this is most likely artifactual in this location without associate swelling._x000D_
_x000D_
In the VD pelvis view, focal mineral opacity is identified just cranial to the left greater trochanter. The trochanter appears normal. There is minimal chronic remodeling of both femoral heads. No acetabular remodeling or subluxation is seen. Both patellas appear normally positioned._x000D_
_x000D_
There is mild spondylosis involving the cranial lumbar spine. No disc space narrowing or disc mineralization is identified. No destructive or productive bone lesions are seen. Sublumbar soft tissues are unremarkable._x000D_
_x000D_
The abdominal organs are within normal size and shape limits. No mass lesions are seen. There is a mild overall increase in intestinal gas. No dilation of the intestine is identified.</t>
  </si>
  <si>
    <t>No abnormalities are identified involving the left stifle. Intra-articular injury such as a ligament or meniscal tear could still be present without radiographic abnormalities._x000D_
_x000D_
The opacity seen cranial to the left greater trochanter is a finding that can theoretically be secondary to avulsion involving the insertion of the gluteus musculature in this area. In practice, this is most often seen as an incidental finding. Considering the palpable pain and hip area, muscle/tendon injury should still be ruled out._x000D_
The hip joint changes are minimal and not expected to be clinically significant._x000D_
_x000D_
The lumbar spondylosis is probably incidental._x000D_
No abdominal abnormalities of significance are identified.</t>
  </si>
  <si>
    <t>The orthopedic changes seen in the radiographs are minimal._x000D_
Soft tissue pathology not visible in the radiographs should still be ruled out, including muscle/tendon injury, degenerative spinal cord changes, or soft tissue mass effect within the spinal canal causing spinal cord or nerve root compression._x000D_
_x000D_
MRI would be ideal for more definitive evaluation.</t>
  </si>
  <si>
    <t xml:space="preserve">
1.The stomach appears within normal limits._x000D_
2.Small intestines are diffusely mildly fluid-filled. No evidence to suggest obstruction._x000D_
3.Abdominal detail is adequate._x000D_
4.The liver and spleen appear within normal limits for size and contour._x000D_
5.No abnormal AI findings reported.</t>
  </si>
  <si>
    <t>A single right lateral view of the thorax and orthogonal views of the abdomen are provided:_x000D_
_x000D_
Thorax:_x000D_
_x000D_
Cardiac silhouette has a normal shape and size._x000D_
Pulmonary vessels are within normal limits of size and shape._x000D_
Pulmonary parenchyma shows multiple pulmonary nodules throughout the different lung lobes._x000D_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WNL._x000D_
_x000D_
Visible spine shows questionable poorly defined sclerotic margin of the caudal aspect of L4. No signs of disc herniation, vertebral fractures or subluxations.</t>
  </si>
  <si>
    <t>1) Multiple pulmonary nodules consistent with pulmonary metastases._x000D_
2) Unremarkable abdomen._x000D_
3) Questionable poorly defined sclerotic margin of the caudal aspect of L4. Rule out artifactual vs true lysis.</t>
  </si>
  <si>
    <t>VD view of the thorax, abdominal US to try find a primary neoplasm, US guided FNAs of the reachable pulmonary nodules and full neuro exam with MRI if necessary.</t>
  </si>
  <si>
    <t xml:space="preserve">
1.Liver size, shape and margin are normal._x000D_
2.Abdominal detail is normal._x000D_
3.The stomach contains gas and small amount of amorphous soft tissue density. Small intestines are diffusely, minimally distended._x000D_
4.Splenic size, shape and margin are normal.</t>
  </si>
  <si>
    <t xml:space="preserve">Patient Name : Sophie Hardegree, Date of study: Jul 16, 2024
3 images are provided for review
Canine Abdomen (3 Images) - 2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contains numerous, well-defined small and large mineral foci.  The urinary bladder is normal in size and smoothly marginated.  
Peritoneum: Peritoneal detail is adequate.
Gastrointestinal tract: The stomach contains a mild gas and fluid.  The stomach is normal in size.  Gas is in the pylorus in the left lateral image.
The small intestine contains mild gas and fluid or is empty with a subjectively uniform population for size. 
The colon contains moderate heterogeneous soft tissue material and gas.
Musculoskeletal: The included musculoskeletal structures are normal.
</t>
  </si>
  <si>
    <t xml:space="preserve">1. Numerous urocystoliths with/without cystitis.
2. Non-specific gastrointestinal tract appearance due to normal variation of unlikely enteritis/colitis.
3. No evidence of constipation.  </t>
  </si>
  <si>
    <t>Consider urinalysis and culture/sensitivity testing for further evaluation.  Dissolution protocol versus cystotomy for retrieval of urocystoliths and mineral analysis may be contributory.   Routine blood work may be contributory if not recently performed.  Empirical therapy and supportive care in the interim as needed.  Monitoring as directed or sooner if clinical signs acutely change, fail to improve or worsen.</t>
  </si>
  <si>
    <t xml:space="preserve">
1.The hepatic silhouette is mildly enlarged, with smooth borders._x000D_
2.The stomach is empty, and has a normal axis._x000D_
3.The small intestines are distributed evenly and are within normal limits for shape, size and contents._x000D_
4.The ascending, transverse and descending colon have a normal position and gas and some poorly formed faeces._x000D_
5.The visible spleen is within normal limits._x000D_
6.Mid abdominal detail is mildly decreased.</t>
  </si>
  <si>
    <t>Three radiographs of the thorax and of the abdomen are provided. The cardiac silhouette and pulmonary vessels are normal size and shape. There is a well delineated curved soft tissue opacity measuring at least 3.1 x 3.1 cm in the caudal thorax adjacent to the diaphragm at the level of the caudal vena cava. On the VD projection this is predominantly right-sided, but may extend into the caudal mediastinum. There is loss of visibility of the caudal vena cava margins. There are mild age-related changes in the lungs. Curved soft tissue opacity overlying the mid thorax on the right lateral view is caused by superimposed skin fold. Tracheal diameter and position are normal._x000D_
_x000D_
In the abdomen there is no effusion. Normal-sized liver, spleen, left kidney. The right kidney is obscured by bowel loops. The gastrointestinal tract is mildly filled. No radiopaque cystic calculi. The prostate is visible but not enlarged. Small round soft tissue densities ventral to L6 are end-on vessels. Narrowed T13-L1, L1-2, L2-3 intervertebral disc spaces is likely incidental today.</t>
  </si>
  <si>
    <t>1. Caudal right thoracic mass-effect. A peripheral lung mass or pleural mass are of concern. A lipoma in the caudal mediastinum or small diaphragm rent with extension of a portion of the liver into the thorax are not ruled out. No other thoracic abnormalities. It is unknown if the mass is responsible for the coughing. Inhaled irritant/allergens is also possible. There is no evidence of cardiovascular disease on this study._x000D_
2. Normal abdomen.</t>
  </si>
  <si>
    <t>Ultrasound evaluation of the liver, diaphragm, caudal thorax (using transhepatic window) could be considered to determine if the mass lesion originates from the abdomen versus thorax. A lipoma could also be differentiated from other mass tissue. With the location of the mass, ultrasound-guided sampling is not possible.</t>
  </si>
  <si>
    <t xml:space="preserve">
1.The spleen is within normal limits for size._x000D_
2.The stomach and small bowel are minimally filled. No signs of obstruction._x000D_
3.The liver is prominent with smooth margins._x000D_
4.No abnormal AI findings reported.</t>
  </si>
  <si>
    <t>3 views of the abdomen are provided for review.  Serosal detail is adequate in all quadrants.  The stomach contains a moderate amount of soft tissue material, best visualized in the fundic region on the VD view.  The small intestines are normal in size.  Gas and feces are present in the colon.  The urinary bladder is small.  The remaining abdominal organs are normal.</t>
  </si>
  <si>
    <t>Opposite lateral and VD views of the abdomen are provided for interpretation. The studies compared to a previous dated 2-1-21._x000D_
_x000D_
Serosal detail in the abdomen is reduced. There is ill defined opacity in the cranial abdomen without a discrete mass effect. The GI tract is unremarkable. The spleen is mildly enlarged. The liver is at the upper end of normal range. The other organs are within normal limits._x000D_
There is a well defined curved margin superimposed over the mid abdomen which would be most consistent with superimposition of a dermal or subcutaneous mass. This was not present in the previous study. There is moderate spondylosis deformans involving the cranial lumbar spine, which also was not present previously. No destructive bone lesions are seen.</t>
  </si>
  <si>
    <t>There is reduced abdominal serosal detail overall, and mild splenomegaly._x000D_
Free fluid or inflammation in the cranial abdomen should be ruled out. Mesenteric lymphadenopathy can also contribute to a similar appearance when present._x000D_
Primary rule outs for this patient would include severe pancreatitis, peritonitis of other causes, and neoplasia including lymphoreticular neoplasia.</t>
  </si>
  <si>
    <t>Follow up imaging of the abdomen with ultrasound or CT is recommended._x000D_
CBC and serum chemistry including pancreatic specific lipase is recommended.</t>
  </si>
  <si>
    <t xml:space="preserve">
1.The spleen is mildly enlarged with a focal bulge in the splenic capsular margin._x000D_
2.Within the abdomen, there is reduced abdominal serosal detail._x000D_
3.There is a oval soft tissue opaque mass lesion noted within the mid abdomen._x000D_
4.The gastrointestinal tract is within normal limits._x000D_
5.The liver is enlarged.</t>
  </si>
  <si>
    <t>Six orthogonal survey radiographs of the thorax and abdomen dated 16th July 2024 are available for review. There are no previous radiographs available for comparison. _x000D_
_x000D_
Thorax: _x000D_
Airway findings: The trachea has a normal position. There is widening of the tracheal bifurcation. Throughout the lung parenchyma there is a mild interstitial opacification, most prominent in the perihilar region. No nodules or masses are seen._x000D_
_x000D_
Cardiovascular findings: There is a large smoothly marginated soft tissue opacity contiguous with the caudal dorsal border of the cardiac silhouette. A smoothly marginated soft tissue opacity is superimposed on the caudal cardiac silhouette in the dorsoventral image. The overall cardiac silhouette is enlarged.  The cardiac silhouette occupies over 80% of the width of the thoracic volume. The cranial and caudal pulmonary vasculature are within upper normal limits. The caudal vena cava is enlarged._x000D_
_x000D_
Mediastinum and pleural space: There is mild ventral soft tissue attenuation consistent with mild pleural effusion._x000D_
_x000D_
Musculoskeletal findings: No significant abnormalities are detected._x000D_
_x000D_
Abdomen: The hepatic silhouette to smoothly enlarged. The spleen is normal. The kidneys are partially obscured by gastrointestinal contents, but the visible aspect are normal. The stomach contains a moderate amount of food material. The small intestines are distributed evenly and are within normal limits for shape, size and contents. The ascending, transverse and descending colon have a normal position and contain gradually more formed faeces. The urinary bladder is small. The serosal detail is normal. The spleen is normal in shape, size and position. The kidneys are partially obscured by gastrointestinal contents, but the visible aspect are normal._x000D_
_x000D_
Musculoskeletal system: There is severe bilateral hip dysplasia and secondary coxofemoral osteoarthritis.</t>
  </si>
  <si>
    <t>1.Mainly left sided cardiomegaly with left atrial dilation Ddx: myxomatous degeneration of the mitral (+- tricuspid) valves with post-capillary pulmonary hypertension vs systolic dysfunction (DCM). The evidence for cardiac insufficiency is equivocal._x000D_
2. The interstitial opacification is most likely due to early cardiogenic pulmonary oedema. Lower airway infectious/inflammatory disease is less likely._x000D_
3.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origins._x000D_
4. Severe bilateral hip dysplasia and coxofemoral osteoarthritis.</t>
  </si>
  <si>
    <t>Complete bloodwork if not already performed. ECG, blood pressure measurements and echocardiography is advised. Management for cardiac insufficiency depending on result.</t>
  </si>
  <si>
    <t>Four orthogonal radiographs of the abdomen dated 16th July 2024 are available for review. There are no previous radiographs available for comparison. _x000D_
_x000D_
Intra-abdominal findings: The hepatic silhouette is prominent, consistent with young age. The stomach contains granular food material and has a normal axis. There is appropriate gas in the pylorus on the left lateral image. The duodenum is mildly distended with gas and fluid in the ventrodorsal and left lateral images. The small intestines are diffusely filled with granular food material, fluid and some gas. There have a mildly turgid appearance. The descending colon contains gas and some semiformed faeces. The urinary bladder is small. The kidneys are partially obscured by gastrointestinal contents, but the visible aspect are normal. The spleen is normal. The serosal detail is normal._x000D_
_x000D_
Extra-abdominal findings: No significant abnormalities are detected._x000D_
_x000D_
Included thorax: No significant abnormalities are detected.</t>
  </si>
  <si>
    <t>The duodenal dilation is most likely transient secondary to a recent meal, however duodenitis/enteritis secondary to dietary indiscretion or infectious-inflammatory causes should be considered. The remainder of the GI tract is post-prandial. Exocrine pancreatic insufficiency, IBD, food allergy is unlikely.</t>
  </si>
  <si>
    <t>Continue supportive management. Depending on recurrence, further workup for diffuse enteropathy or diet trial is advised.</t>
  </si>
  <si>
    <t>Four orthogonal survey radiographs of the thorax and abdomen dated 16th July 2024 are available for review. There are no previous radiographs available for comparison. These images are submitted for assessment of the vertebral column._x000D_
_x000D_
Vertebral column: The cervical vertebral column is obliqued. The intervertebral disc width is normal. No mineralised material is seen within or dorsal to the intervertebral disc spaces. There are minor mid thoracic congenital vertebral abnormalities, consistent with breed. There is minor narrowing of the intervertebral discs spaces at T11-T12 and T12-T13. L1 is transitional with rib formation. There is lateralising and ventral spondylosis at L4-5, and L5-L6. The intervertebral disc width is normal. The vertebral and plates are normal. Both coxofemoral joints are normal. There is mineralisation in the region of the gluteus insertions at the left coxofemoral joint.</t>
  </si>
  <si>
    <t>Mild multisite intervertebral disc disease. Occult intervertebral disease such as intervertebral disk protrusion or other spinal cord pathology including embolic (FCE), high velocity disk, inflammatory or neoplastic disease or degenerative myelopathy is not excluded . _x000D_
Mild gluteal insertion mineralisation.</t>
  </si>
  <si>
    <t>Orthogonal views of the abdomen are provided:_x000D_
_x000D_
Abdomen:_x000D_
_x000D_
The stomach is filled with fluid and gas._x000D_
Small intestines are mildly gas and fluid filled, not overtly distended. No signs of mechanical ileus._x000D_
Unformed feces in the colon._x000D_
Serosal detail is preserved._x000D_
Liver and spleen are within normal limits of size and smoothly marginated.</t>
  </si>
  <si>
    <t>1) Unformed feces in the colon. Rule out chronic enteropathy.</t>
  </si>
  <si>
    <t>Consider empirical treatment for colitis followed by abdominal US along with internist consultation.</t>
  </si>
  <si>
    <t xml:space="preserve">
1.Liver size is at the lower limits of normal to slightly small with cranial displacement of the gastric axis._x000D_
2.Cranial abdominal detail is mildly decreased._x000D_
3.Splenic size, shape and margin are normal._x000D_
4.Resource: https://platform.v2.vetology.net/doc/microhepatia_and_giulcers_x000D_
5.The stomach is mildly to moderately gas distended._x000D_
6.The small bowel is diffusely gas- and fluid-filled with intestinal distention approaching the upper limit of normal. In a small portion of cases, uterine horn distention could mimic small bowel dilation.</t>
  </si>
  <si>
    <t xml:space="preserve">Patient Name : Toby Yambao, Date of study: Jul 16, 2024
3 images are provided for review
There are no previous radiographs for comparison.
Bones/Joints:
The coxofemoral joints have no obvious osteoarthrosis.  There is adequate coverage of the femoral heads by the acetabulums.
Bilateral femoral trochlear hypoplasia is present.    No current medial patella luxation is identified.
The left stifle has no evidence of osteoarthrosis.  The left infrapatellar fat pad is well-defined.
The included left tarsus, metatarsus and digits are normal.
The right stifle has no evidence of osteoarthrosis.  The right infrapatellar fat pad is well-defined.
The included right tarsus, metatarsus and digits are normal.  
T13-L1, L1-2 and L2-3 have a narrowed intervertebral disc space.   Spondylosis deformans is at T13-L1.
There is no evidence of medullary sclerosis, osteolysis, endosteal scalloping, or periosteal proliferation.
Soft tissues:  The included soft tissues are normal.
</t>
  </si>
  <si>
    <t xml:space="preserve">1. Bilateral femoral trochlear hypoplasia without current medial patella luxation.
2. T13-L1, L1-2 and L2-3 intervertebral disc disease, most severe at T13-L1.
3. No obvious stifle osteoarthrosis.  </t>
  </si>
  <si>
    <t>Consider neurologic examination for possible thoracolumbar myelopathy with neurologist consultation and MRI if clinically indicated.  Orthopedist consultation for medial patella luxation and surgical intervention may be contributory.  Empirical therapy and supportive care in the interim as needed.  Monitoring as directed or sooner if clinical signs acutely change, fail to improve or worsen.</t>
  </si>
  <si>
    <t>Four radiographs of the thorax are provided. Images dated 1/26/24 are available for comparison. The cardiac silhouette is normal size and shape. Mild age-related changes are present throughout the lungs. There are no soft tissue pulmonary nodules or pleural effusion. Normal tracheal diameter and position. Osteoarthritis in both elbows. In the viewable abdomen the liver is upper normal size with smooth margins. No effusion. Round soft tissue density in the cranioventral peritoneal space is fluid in the pylorus. Narrowed L2-3, L3-4 intervertebral disc spaces, of uncertain significance today.</t>
  </si>
  <si>
    <t>The thorax is normal, with no evidence of the previous reported interstitial pattern. No cardiovascular abnormalities on this study. A small valvular regurgitant jet can result in a relatively loud murmur.</t>
  </si>
  <si>
    <t>9 views of the thorax and abdomen are submitted for review.  A large, tortuous appearing fluid-filled mass effect is noted in the caudal abdomen appearing to span both sides of the abdomen.  The urinary bladder is markedly distended.  The stomach and small bowel contain a minimal amount of gas.  A mild amount of stool is noted in the colon.  The liver, spleen, and unobscured margins of the renal silhouettes appear within normal limits.  Serosal detail is subjectively adequate._x000D_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The bilateral thoracic limbs are within normal limits.  Moderate spondylosis deformans is noted in the caudal lumbar spine.</t>
  </si>
  <si>
    <t>Suspect enlarged, fluid-filled uterus throughout the caudal abdomen.  Primary concern is given to pyometra or hydrometra.  Early pregnancy cannot be definitively excluded._x000D_
Radiographically normal thorax.</t>
  </si>
  <si>
    <t>A chemistry and CBC is recommended if not already performed.  An abdominal ultrasound could also be considered.</t>
  </si>
  <si>
    <t xml:space="preserve">
1.There is a mildly reduced cranial abdominal serosal detail._x000D_
2.The stomach has a normal axis, with subjectively thickened mucosal folding._x000D_
3.The small intestines are mildly dilated with a mixture of gas and fluid, and have a mild turgid appearance._x000D_
4.The liver is normal in shape, size and opacity._x000D_
5.The ascending, transverse and descending colon contain gradually more formed faeces._x000D_
6.The spleen is visible and within normal limits.</t>
  </si>
  <si>
    <t>6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stone contains a moderate amount of food-like material.  The small bowel is generally normal in uniform diameter and contains a mild amount of gas.  The colon is mostly empty.  Liver is subjectively normal in size and shape.  The unobscured margins of the spleen, renal silhouettes, and urinary bladder appear within normal limits.  There is generalized decreased serosal detail with wispy soft tissue opacity in the mid abdomen._x000D_
No aggressive bony changes are noted.</t>
  </si>
  <si>
    <t>Decreased serosal detail in the abdomen.  This could be consistent with inflammation, paraneoplastic disease, hemorrhage, or hypoalbuminemia._x000D_
Radiographically normal thorax.</t>
  </si>
  <si>
    <t>A chemistry and CBC is recommended if not already performed.  An abdominal ultrasound is also indicated.</t>
  </si>
  <si>
    <t>ABDOMEN (6 radiographs for review).  Multiple previous examinations are available for comparison._x000D_
_x000D_
- Peritoneal serosal detail is normal._x000D_
- The stomach contains moderate, heterogeneous, gas-stippled soft-tissue opaque material_x000D_
- The small intestine contains mild multifocal gas and soft-tissue opaque material_x000D_
- The colon contains gas, soft-tissue/fluid and moderate formed fecal material._x000D_
- The liver, spleen, region of the kidneys and urinary bladder are normal._x000D_
- The caudal thorax is normal_x000D_
- Bilateral moderate to severe coxofemoral osteoarthrosis._x000D_
- Mild multifocal vertebral spondylosis deformans.</t>
  </si>
  <si>
    <t>1.  Relatively unremarkable postprandial abdomen, without discrete cause for the reported diarrhea.  Radiographic sensitivity for functional ileus of the colon such as colitis can be limited. No evidence of gastrointestinal foreign material and/or a mass.  If clinically indicated, consider abdominal ultrasound for further assessment._x000D_
_x000D_
2. Moderate to severe bilateral coxofemoral osteoarthritis.</t>
  </si>
  <si>
    <t>Two radiographs of the abdomen dated 16th July 2024 are available for review. There are no previous radiographs available for comparison. _x000D_
_x000D_
Intra-abdominal findings: The hepatic silhouette is mildly enlarged with smooth borders. The spleen is normal. The kidneys are partially obscured by gastrointestinal contents, but the visible aspect are normal. The stomach is mainly empty.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Extra-abdominal findings: There is lumbosacral spondylosis deformans._x000D_
_x000D_
Included thorax: No significant abnormalities are detected.</t>
  </si>
  <si>
    <t>Relatively unremarkable abdomen. Diffuse mild gastroenteritis of dietary indiscretion or infectious-inflammatory origin may be present. Pancreatitis is possible._x000D_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</si>
  <si>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 xml:space="preserve">
1.The abdomen is pendulous._x000D_
2.On the VD projection, there is asymmetric liver enlargement causing caudal displacement of the stomach. On the lateral projection, the ventral liver margin extends caudally, ventral to the stomach._x000D_
3.The gastrointestinal tract is mildly filled._x000D_
4.The spleen is at the upper limits of normal for size to mildly enlarged but retains a smooth margin._x000D_
5.There is no effusion.</t>
  </si>
  <si>
    <t xml:space="preserve">Patient Name : Pixie Jones, Date of study: Jul 16, 2024
3 images are provided for review
There are no previous radiographs for comparison. Ungloved human digits in collimated field.  
Liver: The liver is subjectively normal in size.
Spleen: The spleen is normal in size with smooth margins and homogeneous soft tissue.
Kidneys: A mineral focus is suspected over the left kidney in the lateral images.  The left kidney is otherwise normal. The right kidney is obscured without obvious mineral or enlargement.
Retroperitoneum: Retroperitoneal detail is adequate.
Urogenital: The urinary bladder is normal in size, homogeneous soft tissue, and smoothly marginated.
Peritoneum: Peritoneal detail is adequate.
Gastrointestinal tract: The stomach contains a mild gas and fluid.  The stomach is normal in size.
The small intestine contains mild fluid, minimal gas, or is empty with a subjectively uniform population for size. 
The colon contains moderate gas and heterogeneous soft tissue material, or is empty.  the colon is normal in size.
Musculoskeletal: A broad-based fat or soft tissue mass arises from the cranioventral extra-abdominal soft tissues.  The remaining included musculoskeletal structures are normal.
</t>
  </si>
  <si>
    <t xml:space="preserve">1. Non-specific gastrointestinal tract appearance such as from enteritis, colitis, or individual variation of normal.
- There is no evidence of mechanical ileus
2. Suspected left nephrolith.
.3. Presumed extra-abdominal lipoma versus other.  </t>
  </si>
  <si>
    <t>Etiology of reported clinical signs is not definitively identified.  Consider routine blood work and urinalysis for further evaluation.  Empirical therapy and supportive care in the interim as needed.  Consider referred pain from the back/spine as an additional etiology of possible abdominal pain.  Empirical therapy and supportive care as needed in the interim.  Monitoring as directed, or sooner if clinical signs acutely change, fail to improve or worsen.</t>
  </si>
  <si>
    <t xml:space="preserve">
1.Liver size, shape and margin are normal._x000D_
2.Borderline splenomegaly is present but a splenic mass is NOT detected._x000D_
3.Cranial abdominal detail is mildly decreased.  If this is the only finding, this is more likely due to normal overlying structures or radiographic technique. If this finding is part of a larger group of findings, cranial abdominal inflammation becomes a stronger consideration._x000D_
4.The stomach contains gas and ingesta or prominent rugae._x000D_
5.There is formed fecal material within the colon._x000D_
6.The small intestine is uniform in diameter containing both fluid and gas. No segmental small bowel dilation is noted.</t>
  </si>
  <si>
    <t>Three radiographs of the abdomen/proximal pelvic limbs are provided. Small nephroliths are likely incidental. No radiopaque cystic calculi. Serosal detail is adequate. Normal size liver and left kidney. The spleen and right kidney are obscured. The gastrointestinal tract is moderately filled. No narrowed intervertebral disc spaces or foramina. The coxofemoral joints are congruent. Both patellas are medially displaced. Incidental multipartite lateral fabella in the right limb. There is moderate volume fluid in the cranial aspect of the left stifle joint. No definitive right stifle abnormalities, although right stifle evaluation is limited by superimposed extra-abdominal tissue and rotation. No tarsal abnormalities.</t>
  </si>
  <si>
    <t>1. Moderate left stifle effusion most consistent with cranial cruciate ligament tear/rupture. This is the most likely cause for lameness._x000D_
2. Bilateral medial patellar luxation could be contributing to discomfort._x000D_
3. Normal coxofemoral joints and abdomen.</t>
  </si>
  <si>
    <t>If there is palpable left stifle instability and significant lameness persists, surgical stabilization would be recommended.</t>
  </si>
  <si>
    <t>Orthogonal views of the thorax and abdomen are provided:_x000D_
_x000D_
Thorax:_x000D_
_x000D_
No signs of esophageal FBs.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contains soft tissue material in the fundus best seen in the VD view._x000D_
Small intestines are mildly gas and fluid filled, not overtly distended. _x000D_
Unformed feces in the colon._x000D_
Serosal detail is preserved._x000D_
Liver and spleen are within normal limits of size and smoothly marginated._x000D_
Kidneys and urinary bladder WNL.</t>
  </si>
  <si>
    <t>1) Unremarkable thorax without signs of pulmonary metastases nor signs of thoracic lymphadenopathy._x000D_
2) Rule out gastric foreign body.</t>
  </si>
  <si>
    <t>Consider abdominal US with fastened follow up radiographs in 12-24 hours to evaluate progression of the GI material, evaluating the neeed of an endoscopy vs endoscopy.</t>
  </si>
  <si>
    <t>Opposite lateral and ventrodorsal abdominal radiographs (3 images) dated July 16, 2024._x000D_
_x000D_
_x000D_
The stomach is dilated with a mixture of heterogeneous soft-tissue content, gas, and roughly ovoid mineral rimmed and centrally radiolucent foreign body (8.5 x 5.7 cm). That persistently resides in the pyloric antrum of the stomach. There is no evidence of pyloric sphincter involvement. The duodenum is gas-filled and is unremarkable in diameter and course. The small intestine has a mild variation in diameter, predominantly contains gas, and has a normal course. The liver, spleen, visible portions of the kidneys, and small urinary bladder are unremarkable._x000D_
Retroperitoneal and peritoneal detail are normal. No regional lymphadenopathy is evident._x000D_
The included caudal thorax is unremarkable._x000D_
No osseous abnormalities are identified.</t>
  </si>
  <si>
    <t>Large gastric foreign body persisting in the pyloric antrum. This is concerning for partial or complete pyloric outflow obstruction. There is no evidence of pyloric sphincter or proximal duodenal involvement. The remainder of the abdomen is unremarkable.</t>
  </si>
  <si>
    <t>Options include attempted endoscopic retrieval vs. surgical gastronomy and retrieval.</t>
  </si>
  <si>
    <t xml:space="preserve">
1.Splenic size, shape and margin are normal._x000D_
2.Abdominal detail is normal._x000D_
3.Liver size, shape and margin are normal._x000D_
4.The stomach contains gas and small amount of amorphous soft tissue density. Small intestines are diffusely, minimally distended.</t>
  </si>
  <si>
    <t xml:space="preserve">Patient Name : Donut Kelkar, Date of study: Jul 16, 2024
6 images are provided for review
There are no previous radiographs for comparison.
Liver: The liver has a slightly rounded caudoventral margin, and slight caudal displacement of the gastric axis in the right lateral image.  This is not identified in the left lateral image.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fluid, ill-defined soft tissue material, and gas.  The stomach is within normal limits for size.
The small intestine contains minimal gas and mild fluid or is empty with a subjectively uniform population for size. 
The colon contains minimal heterogeneous soft tissue material and gas.  In the distal descending colon, heterogeneous soft tissue material has a pattern suspicious for foreign material (corn cob).  
Musculoskeletal: Minimal T12-13 and obvious T13-L1, L1-2 and L3-4 spondylosis deformans is present.  Severe bilateral coxofemoral joint osteoarthrosis is present.  The remaining included musculoskeletal structures are normal.
</t>
  </si>
  <si>
    <t>1. Suspicious colonic material for foreign material such as a corn cob, and suspected colitis.
2. Gastric contents due to pyloric outflow tract obstruction and foreign material and/or gastritis/delayed gastric emptying.
3. No current evidence of small intestinal mechanical ileus.
4. Minimal hepatomegaly versus artifact from positioning/technique.  
- If present, differential diagnoses include vacuolar change, nodular hyperplasia, hepatitis, or unlikely other.
5. Severe bilateral coxofemoral joint osteoarthrosis.</t>
  </si>
  <si>
    <t>Consider further evaluation of the pylorus with positive/double-contrast gastrography, ultrasonography, or possibly with serial abdominal radiographs for monitoring for passage of gastric material.  Alternatively, gastroscopy for further evaluation of pylorus and retrieval of material if needed.  Passage of foreign material into the colon may be the etiology of reported signs.  No current evidence of small intestinal mechanical ileus is identified.  Routine blood work if  not recently performed. Additionally consider abdominal ultrasonography if evidence of hepatopathy is revealed in recent blood work.  Empirical therapy and supportive care for coxofemoral joint osteoarthrosis as needed for dietary indiscretion.</t>
  </si>
  <si>
    <t xml:space="preserve">Patient Name : Emmy Mcloed, Date of study: Jul 16, 2024
4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gas and fluid or is empty.  The stomach is normal in size.   Gastric rugal folds are minimally prominent in the ventrodorsal image.  No obvious pyloric gas is identified.  
The small intestine contains fluid and gas or is empty with a subjectively uniform population for size. 
The colon contains mild gas and heterogeneous soft tissue material.  The colon is normal in size.
Musculoskeletal: The included musculoskeletal structures are normal.
</t>
  </si>
  <si>
    <t>1. Minimally prominent gastric rugal folds such as from non-specific gastritis versus variation of normal.
2. Non-specific small intestinal and colon appearance such as from enteritis, colitis, or individual variation of normal.
- There is no current evidence of gastrointestinal mechanical ileus.
- Differential diagnoses include dietary indiscretion, toxin ingestion, diet/antibiotic responsive disease, inflammatory bowel disease, primary infectious disease/parasitism, or occult systemic disease.</t>
  </si>
  <si>
    <t xml:space="preserve">Empirical therapy for non-specific gastritis/enteritis/colitis in the interim.  Consider CBC, serum biochemistry, GI panel and fecal analysis/deworming for further evaluation.  Abdominal ultrasonography if signs fail to improve or worsen in the face of empirical therapy.  Diet elimination trial and internist consultation may be contributory for further evaluation of inflammatory bowel disease/diet-responsive disease given reported history.  </t>
  </si>
  <si>
    <t xml:space="preserve">
1.Abdominal detail is normal._x000D_
2.Liver size, shape and margin are normal._x000D_
3.Splenic size, shape and margin are normal._x000D_
4.The stomach contains a mild amount of gas and soft tissue density. Small intestines are mildly gas filled.</t>
  </si>
  <si>
    <t>Study:_x000D_
Thoracic/abdominal radiography: four images dated July 15, 2024_x000D_
_x000D_
Findings:_x000D_
The cardiac silhouette and pulmonary vasculature are normal in size. The pulmonary parenchyma is unremarkable. The pleural space is normal. There is no intrathoracic lymphadenopathy. The patient has a redundant dorsal tracheal membrane. There is mild narrowing of the trachea lumen at the thoracic inlet on the right lateral projection. The cardia of the stomach is herniated into the thoracic cavity on the left lateral view. The abdominal serosal detail is adequate with no apparent free peritoneal gas or peritoneal effusion.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There are simple, complete short oblique fractures of the right 12th and 13th ribs. There is variable moderate to severe multifocal subcutaneous emphysema along the right and left flanks and along the dorsum. The subcutaneous emphysema is most pronounced along the right flank there is also heterogeneous soft tissue swelling.</t>
  </si>
  <si>
    <t>1. Right 12th and 13th rib fractures from recent trauma._x000D_
2. Multifocal subcutaneous emphysema from bite wounds. Recommend empiric wound management._x000D_
3. Sliding hiatal hernia._x000D_
4. Likely chondromalacia and dynamic airway disease/tracheal collapse._x000D_
5. There is no evidence of pulmonary contusions, pneumothorax or pleural effusion._x000D_
6. Unremarkable abdomen. There is no evidence of penetrating abdominal trauma. Point-of-care sonography can be considered to further evaluate for possible peritoneal effusion with due to the recent trauma.</t>
  </si>
  <si>
    <t xml:space="preserve">
1.On the VD projection, a mild decrease in cranial abdominal detail is present. This is suspected to be secondary to caudal extension of the liver._x000D_
2.Splenic size, shape and margin are normal._x000D_
3.As mentioned above, cranial abdominal detail is mildly decreased. A global reduction in abdominal detail is NOT present._x000D_
4.On the lateral projection, the liver is mildly enlarged._x000D_
5.The ventral abdominal line is mildly pendulous._x000D_
6.No gastrointestinal abnormalities.</t>
  </si>
  <si>
    <t>Orthogonal views of the thorax and abdomen are provided:_x000D_
_x000D_
Thorax:_x000D_
_x000D_
Cardiac silhouette shows a mild enlargement of the left atrium dorsally displacing the carina._x000D_
Pulmonary vessels are within normal limits of size and shape._x000D_
Pulmonary parenchyma is within normal limits. _x000D_
Pleural space, mediastinum, diaphragm and thoracic wall within normal limits._x000D_
_x000D_
Abdomen:_x000D_
_x000D_
The stomach contains small volume of food._x000D_
Small intestines are mildly gas and fluid filled, not overtly distended. _x000D_
Serosal detail is preserved._x000D_
Liver and spleen are within normal limits of size and smoothly marginated._x000D_
Kidneys and urinary bladder WNL._x000D_
Cranioventral SC lipomas._x000D_
_x000D_
Dorsal to the lumbar spine there is degloving of the skin which is irregular and thickened with focal SC emphysema, consistent with the history._x000D_
No signs of vertebral fractures or subluxations. However, L4-L5 IVDS is collapsed with end plate sclerosis and ventrolateral spondylosis deformans._x000D_
Suspected inguinal lympahdenopathy._x000D_
Old left sided FHO.</t>
  </si>
  <si>
    <t>1) Left atrial enlargement secondary to chronic mitral endocardiosis without signs of CHF._x000D_
2) Unremarkable abdomen._x000D_
3) Dorsal lumbar skin degloving consistent with the history._x000D_
4) L4-L5 IVDS. Changes consistent with chronic IVDD._x000D_
5) Old left sided FHO._x000D_
6) Suspected inguinal lympahdenopathy. Reactive vs neoplastic unlikely.</t>
  </si>
  <si>
    <t>Medical treatment of the reported wounds._x000D_
Evaluate the need/benefit of a cardiology consultation with ECG and echocardiogram and abdominal US for a more complete evaluation including the inguinal lymph nodes with FNAs._x000D_
Full neuro exam with +/- MRI.</t>
  </si>
  <si>
    <t>Orthogonal views of the abdomen are provided:_x000D_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 _x000D_
The prostate gland is enlarged protruding in the caudal abdomen pushing the bladder cranially and dorsally displacing the descending colon and mildly compressing its lumen. Normal hydrated feces in the colon not overtly distended.</t>
  </si>
  <si>
    <t>1) Prostatomegaly compatible with BPH. Prostatitis less likely. Prostatic neoplasia unlikely.</t>
  </si>
  <si>
    <t>Consider abdominal US to further evaluate the prostate gland and urinary tract with renal function test, urinalysis, UPC and urine culture.</t>
  </si>
  <si>
    <t>Study:_x000D_
Thoracic and abdominal radiography: five images dated July 15,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stomach contains a small volume of gas. The small intestines are normal in size, course and content. The is gas filled. The liver and spleen are normal in size and margin. The kidneys are normal in size and contour. The urinary bladder is normal in size and opacity. There is no uterine dilation. There is narrowing of the T4-T5 through T6-T7, T 13-L1 and L7-S1 intervertebral disc spaces with variable mild to severe spondylosis deformans.</t>
  </si>
  <si>
    <t>1. Normal thorax. There is no radiographic evidence of cardiopulmonary disease or intrathoracic neoplasia._x000D_
2. Unremarkable abdomen. Abdominal sonography can be to further evaluate for intra-abdominal neoplasia pending mandibular lymph node aspirates._x000D_
3.  T4-T5 through T6- T7, T 13-L1 and L7-S1 intervertebral disc disease. Neurology consultation and MRI can be considered if the spinal pain persists in spite of strict activity restriction and pain management.</t>
  </si>
  <si>
    <t xml:space="preserve">
1.Splenic size, shape and margin are normal._x000D_
2.Serosal detail is adequate to slightly decreased._x000D_
3.The small intestines have a diffuse fragmented gas pattern._x000D_
4.Liver size, shape and margin are normal._x000D_
5.There is a heterogeneous soft tissue opacity associated with the gastric lumen.</t>
  </si>
  <si>
    <t>Study:_x000D_
Thoracic/abdominal radiography: four images dated July 15, 2024_x000D_
_x000D_
Findings:_x000D_
The cardiac silhouette and pulmonary vasculature are normal in size. The pulmonary parenchyma is unremarkable. A thin pleural fissure line is seen between the right middle and caudal lung lobes on the VD views. There is no intrathoracic lymphadenopathy. The trachea is normal in diameter and course. The stomach contains unstructured heterogeneous soft tissue material presumed to be ingesta with a small amount of interspersed stippled mineral. Similar material is scattered throughout the small intestines. The small intestines are normal in size and course. The colon contains formed fecal material. The liver and spleen are normal in size and margin. The renal silhouettes are normal in size and contour. The urinary bladder is normal in size and opacity. There is no uterine dilation. The osseous structures are unremarkable/age appropriate.</t>
  </si>
  <si>
    <t>1. The thin pleural fissure line is seen between the right middle and caudal lung lobes on the VD views may indicate incidental tangential visualization, pleural thickening or trace nonspecific pleural effusion. Point-of-care thoracic sonography can be considered to further evaluate for possible pleural effusion._x000D_
2. There is no evidence of cardiopulmonary disease. A cause of coughing is not evident. Lack of a definitive bronchial pulmonary pattern does not exclude the possibility of allergic/inflammatory, infectious, irritant or parasitic bronchitis. Consider infectious respiratory disease PCR testing to further evaluate for possible infectious tracheobronchitis._x000D_
3. Postprandial gastrointestinal tract=ZZ90= otherwise, unremarkable abdomen.</t>
  </si>
  <si>
    <t xml:space="preserve">
1.The liver is enlarged but retains a smooth margin._x000D_
2.Resource: https://platform.v2.vetology.net/doc/cushings_1_x000D_
3.Pickwickian syndrome resource: https://platform.v2.vetology.net/doc/pickwickian_syndrome_x000D_
4.Splenic size, shape and margin are normal._x000D_
5.Abdominal detail is normal._x000D_
6.The abdomen is pendulous secondary to intra-abdominal fat deposition and hepatomegaly._x000D_
7.The stomach is displaced caudally by the hepatomegaly. The small bowel is diffusely gas- and fluid-filled without segmental small bowel dilation.</t>
  </si>
  <si>
    <t>Seven orthogonal survey radiographs of the thorax and abdomen dated 15th July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stomach is mild to moderately dilated with fluid and gas. A large gas Is present in the pyloric region on the left lateral image. The duodenum is not distended in the ventrodorsal image, however some loss of serosal detail is present. The small intestines are homogenously mainly empty, containing some fluid/soft tissue opaque material. The caecum is mildly gas distended. The descending colon contains poorly formed faeces. The urinary bladder is filled. The hepatic silhouette is normal in size with smooth borders. The spleen is normal in shape, size and position. The kidneys are partially obscured by gastrointestinal contents, but the visible aspect are normal._x000D_
_x000D_
Musculoskeletal findings: There is subcutaneous swelling in the region of the ventral sternum as reported.</t>
  </si>
  <si>
    <t>1. Mild gastric dilation with mainly fluid and gas: A gastric ileus secondary to dietary indiscretion or infectious-inflammatory causes may be present. Partial pyloric outflow obstruction by non-radiopaque foreign body is possible. Pancreatitis is possible._x000D_
2. Ventral subcutaneous swelling: Differentials include cellulitis (puncture wound, non-radiopaque migrating foreign body), insect bite hypersensitivity, skin allergy.</t>
  </si>
  <si>
    <t>Supportive management including rehydration, gastroprotectants,  full blood work, faecal analysis if clinically indicated is advised, if not already performed. Repeat 3-view post fasting radiographs depending on clinical progression or consider an abdominal ultrasound. If vomiting continues without development of diarrhea, an upper GI contrast study may also be considered._x000D_
Empirical management is advised. If a localised swelling develops, consider musculoskeletal ultrasound. Depending on clinical progression, consider repeat radiographs.</t>
  </si>
  <si>
    <t xml:space="preserve">
1.The liver, spleen and abdominal serosal detail are all within normal limits._x000D_
2.The stomach contains gas and some heterogeneous, soft-tissue-opaque material._x000D_
3.The small intestines are a combination of gas-filled and fluid-filled/collapsed, and all are within normal limits for diameter._x000D_
4.No abnormal AI findings reported._x000D_
5.No abnormal AI findings reported.</t>
  </si>
  <si>
    <t>The appearance of the stomach is likely related to normal ingesta in the absence of GI symptoms. However, if GI symptoms are present, gastroenteritis/pancreatitis secondary to dietary indiscretion or infectious etiology could be considered.</t>
  </si>
  <si>
    <t xml:space="preserve">
Virtual Radiologist Case Difficulty: LOW_x000D_
Virtual Radiologist Confidence: HIGH_x000D_
In a vomiting or anorexic patient, supportive care and therapy for gastroenteritis are recommended. If the symptoms persist, repeat abdominal radiographs are recommended. If material persists in the stomach, concern for gastric foreign material increases and an abdominal ultrasound, positive contrast gastrogram, or endoscopy could be considered to assess for gastric foreign material.</t>
  </si>
  <si>
    <t>Opposite lateral and VD views of the thorax and abdomen, lateral views of the neck, and a VD view the pelvis are provided for interpretation. There are 15 images total._x000D_
_x000D_
There is swelling in the submandibular region that appears consistent with the history of enlarged submandibular lymph nodes. The appearance of the larynx and trachea is unremarkable. The other soft tissues of the neck are unremarkable. No abnormalities are seen involving the cervical spine._x000D_
_x000D_
There is ill defined increased opacity in the cranial thorax in the lateral views and mild widening of the mediastinum in the VD view. The appearance is suspicious for a mediastinal mass effect, particularly cranial mediastinal lymph node enlargement. No pulmonary infiltrates or pleural effusion are identified. The cardiovascular structures are within normal limits._x000D_
_x000D_
Mild to moderate enlargement of the liver and spleen is identified. Both organs have normal shape and smooth margins. There is ill defined increased opacity in the cranial dorsal abdomen. A more subtle but also suspicious increase in ill defined opacity is seen in the caudal sublumbar area. No abnormalities are identified involving the GI tract. Serosal detail in the abdomen is slightly reduced. There is moderate to severe lumbosacral spondylosis._x000D_
_x000D_
The pelvis and hip joints are within normal limits. There is mild to moderate chronic periarticular remodeling involving both stifles. No destructive bone lesions are identified.</t>
  </si>
  <si>
    <t>There is mild to moderate hepatomegaly and splenomegaly, and ill defined increased opacity in the area of hepatic lymph nodes in the cranial dorsal abdomen and sublumbar lymph nodes in the caudal dorsal abdomen._x000D_
There is a small mediastinal mass effect that is suspicious for a cranial mediastinal lymphadenopathy._x000D_
In conjunction with the peripheral lymphadenopathy described in the history, these changes would be most consistent with lymphoreticular neoplasia._x000D_
Systemic infectious/inflammatory disease with multiple organ and lymph involvement would be a secondary differential.</t>
  </si>
  <si>
    <t>Lymphoma is the primary differential for this patient. Other reticuloendothelial neoplasia or systemic infectious disease should be ruled out as secondary differentials._x000D_
The temporary improvement seen previously may have been the result of cytotoxic effects of prednisone on lymphoma cells._x000D_
_x000D_
Biopsy of an enlarged peripheral lymph node is recommended._x000D_
Ultrasound of the abdomen is recommended to verify the suspicion of hepatic and sublumbar lymphadenopathy and evaluate the liver and spleen._x000D_
_x000D_
Symptomatic therapy for the vomiting is recommended as needed.</t>
  </si>
  <si>
    <t>Orthogonal views of the thorax and abdomen are provided:_x000D_
_x000D_
Thorax:_x000D_
_x000D_
Cardiac silhouette shows a mild enlargement of the left atrium dorsally displacing the carina._x000D_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WNL._x000D_
Oval soft tissue opacity swelling is seen in the left inguinal area adjacent to the prepuce and peniswith ill defined mineralization._x000D_
Old left sided pelvis fractures._x000D_
Hind limbs are unremarkable._x000D_
_x000D_
Multifocal signs of chronic IVDD with cervical IVD and L4-L5 IVD narrowing.</t>
  </si>
  <si>
    <t>1) Left atrial enlargement secondary to chronic mitral endocardiosis without signs of CHF._x000D_
2) Unremarkable abdomen._x000D_
3) Old left sided pelvic fractures._x000D_
4) Left inguinal oval soft tissue opacity mass with dystrophic mineralization along with same side old left sided pelvic fractures. Rule out old traumatic inguinal hernia with omentum and dystrophic mineralization vs neoplasia vs granuloma/abscess.</t>
  </si>
  <si>
    <t>Consider a cardiology consultation with ECG and echocardiogra prior to abdominal US or ideally a CT of the abdomen and pelvis to better evaluate the left inguinal ring and the reported mass.</t>
  </si>
  <si>
    <t xml:space="preserve">
1.No abnormal AI findings reported._x000D_
2.No abnormal AI findings reported._x000D_
3.The spleen is prominent._x000D_
4.Soft tissue density material present within the stomach._x000D_
5.Small intestines are minimally filled._x000D_
6.Formed feces fills the colon.</t>
  </si>
  <si>
    <t>The prominent spleen may be related to sedation, although an underlying mass could be considered.</t>
  </si>
  <si>
    <t>Three orthogonal radiographs of the abdomen dated 15th July 2024 are available for review. There are no previous radiographs available for comparison. _x000D_
_x000D_
Intra-abdominal findings: The stomach is mainly empty with a normal axis. There is appropriate gas in the pylorus on the left lateral image. The duodenum is mild to moderately dilated in the ventrodorsal image, containing fluid and gas. The small intestines are distributed evenly and are within normal limits for shape, size and contents. The ascending, transverse and descending colon have a normal position and contain gradually more formed faeces. The urinary bladder is filled.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</si>
  <si>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The findings would support the differential of mild/chronic pancreatitis. Alternatively, the duodenal dilation may be transient. Cholangitis, cholangiohepatitis is possible.</t>
  </si>
  <si>
    <t>Abdominal ultrasound is advised.</t>
  </si>
  <si>
    <t>Six orthogonal survey radiographs of the thorax and abdomen dated 15th July 2024 are available for review. There are no previous radiographs available for comparison. _x000D_
_x000D_
Thorax:_x000D_
Airway findings: The trachea is elevated within the thorax. There is narrowing of the mainstem bronchi. There is widening of the tracheal bifurcation. Throughout the lung parenchyma there is a moderate interstitial opacification, most prominent in the perihilar region. In the right caudal dorsal lung field, there is a mild alveolar pattern. Thin pleural fissure lines are present. No nodules or masses are seen._x000D_
_x000D_
Cardiovascular findings: There is a large smoothly marginated soft tissue opacity contiguous with the caudal dorsal border of the cardiac silhouette. A smoothly marginated soft tissue opacity is superimposed on the caudal cardiac silhouette in the dorsoventral image. The overall cardiac silhouette is enlarged.  The cardiac silhouette occupies over 80% of the width of the thoracic volume. The cranial and caudal pulmonary vasculature are enlarged. The caudal vena cava is enlarged._x000D_
_x000D_
Mediastinum and pleural space: There is mild ventral soft tissue attenuation consistent with mild pleural effusion._x000D_
_x000D_
Musculoskeletal findings: No significant abnormalities are detected._x000D_
_x000D_
Included abdomen: No significant abnormalities are detected.</t>
  </si>
  <si>
    <t>1.Mainly left sided cardiomegaly with pulmonary venous distension and cardiogenic pulmonary edema consistent with left sided congestive heart failure. Ddx: myxomatous degeneration of the mitral (+- tricuspid) valves with post-capillary pulmonary hypertension vs systolic dysfunction (DCM)._x000D_
2. The interstitial opacification is most likely due to cardiogenic pulmonary oedema. Lower airway infectious/inflammatory disease is less likely.</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</si>
  <si>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margins are rounded and extend mildly beyond the costal arch, causing caudal displacement of the gastric axis.  The stomach contains a moderate amount of ingesta.  The small intestines are normal in size.  Gas and feces are present in the colon.  The urinary bladder is small.  The remaining abdominal organs are normal.  Spinal alignment is normal with no consistently narrowed intervertebral disc spaces.  The coxofemoral joints are congruent.  No fractures or aggressive osseous lesions are seen.</t>
  </si>
  <si>
    <t>Radiographically normal thorax for patient of this age.  Mild hepatomegaly=ZZ90= this is a nonspecific finding that may be seen with congestion, vacuolar hepatopathy, inflammation, neoplasia, etc.  Abdominal ultrasound may be helpful in further evaluation if biochemically indicated.  Unremarkable osseous structures.</t>
  </si>
  <si>
    <t xml:space="preserve">
1.More pronounced on the lateral projection, there is asymmetric liver enlargement and caudal displacement of the stomach._x000D_
2.Splenic size, shape and margin are normal._x000D_
3.Cranial abdominal detail is mildly decreased on the lateral projection._x000D_
4.The gastrointestinal tract is mildly filled.</t>
  </si>
  <si>
    <t>Asymmetric hepatomegaly and decreased cranial abdominal detail. DDx: hepatomegaly with superimposed GI vs. pedunculated liver mass +/- regional hemorrhage or inflammation vs. less likely, mass of pancreatic or GI origin. Hepatomegaly. Differential diagnoses include individual variation of normal, artifact and/or vacuolar hepatopathy (such as from hyperadrenocorticism or diabetes mellitus), nodular hyperplasia, hepatitis/cholangiohepatitis, or evolving neoplasia (metastatic versus primary).</t>
  </si>
  <si>
    <t>Five orthogonal radiographs of the abdomen dated 15th July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Extra-abdominal findings: The subcutaneous tissues of the ventral abdomen are mildly thickened as reported._x000D_
_x000D_
Included thorax: No significant abnormalities are detected.</t>
  </si>
  <si>
    <t>Normal abdomen. No indications of enlarged uterine horns.</t>
  </si>
  <si>
    <t>Empiric management is advised. continue monitoring, consider abdominal ultrasonography if symptoms persist.</t>
  </si>
  <si>
    <t>Four radiographs of the thorax, and three views of the abdomen are provided. The cardiac silhouette and pulmonary vessels are normal size and shape. Mild bronchial markings in the lungs. Several incidental pulmonary osteomas. No soft tissue pulmonary nodules or pleural effusion on the lateral views. On the 1st VD projection there is curved 3.1 cm increased opacity extending to the right of the heart. This is not seen on the 2nd VD view or either of the two left lateral projections. This is likely summating normal anatomy and/or pleural fat deposition. Normal tracheal diameter. No enlarged intrathoracic lymph nodes._x000D_
_x000D_
In the abdomen formed feces fills the colon. The liver is upper normal size with smooth margins. Normal sized spleen and kidneys. No medial iliac lymphadenomegaly. The stomach and small bowel are minimally filled. No radiopaque cystic calculi. No significant osseous abnormalities.</t>
  </si>
  <si>
    <t>Mild bronchial markings is most likely normal age-related change. Airway inflammation such as bronchitis is given lesser consideration in the absence of associated cough. Otherwise normal thorax and abdomen.</t>
  </si>
  <si>
    <t>A CBC, blood chemistry profile, and cytology of the enlarged peripheral lymph nodes should be considered.</t>
  </si>
  <si>
    <t xml:space="preserve">
1.On the lateral projection, the liver is mildly enlarged with rounded margins. Less commonly, gastric distention silhouetting with the liver can trigger this AI result._x000D_
2.Splenic size, shape and margin are normal._x000D_
3.Abdominal detail is satisfactory._x000D_
4.The ventral abdominal line is pendulous._x000D_
5.In most cases, the stomach and small bowel are minimally filled however in a small number of cases, gastric distention will silhouette with the liver artifactually creating the appearance of hepatomegaly._x000D_
6.Formed feces in the distal colon._x000D_
7.Resource: https://platform.v2.vetology.net/doc/liver_disease</t>
  </si>
  <si>
    <t>Patient Name : Pepper Wyrick, Date of study: Jul 15, 2024_x000D_
3 images are provided for review_x000D_
There are no previous radiographs for comparison._x000D_
_x000D_
Liver: The liver is subjectively normal in size._x000D_
Spleen: The spleen is normal in size with smooth margins and homogeneous soft tissue._x000D_
Kidneys: The kidneys are normal in size and shape without obvious mineral._x000D_
Retroperitoneum: Retroperitoneal detail is adequate._x000D_
Urogenital: The urinary bladder is normal in size, homogeneous soft tissue, and smoothly marginated._x000D_
Peritoneum: Peritoneal detail is adequate._x000D_
Gastrointestinal tract: The stomach contains a moderate volume of gas and mild fluid. Gas is in the pylorus and descending duodenum in the left lateral image. The stomach is within normal limits for size._x000D_
The small intestine contains mild gas and fluid or is empty with a subjectively uniform population for size._x000D_
The colon contains moderate gas and minimal fluid. The colon is mildly spastic in the left cranial abdomen in the ventrodorsal image. The colon is normal in size.  _x000D_
The cecum is suspected to contain moderate gas in the mid-abdomen._x000D_
_x000D_
Musculoskeletal: The included musculoskeletal structures are normal.</t>
  </si>
  <si>
    <t>1. Non-specific gastrointestinal tract appearance such as from gastritis, enteritis, colitis, or individual variation of normal/recent bowel movement._x000D_
- No obvious evidence of small intestinal mechanical ileus._x000D_
- Differential diagnoses for gastritis/enteritis/colitis include dietary indiscretion, toxin ingestion, diet/antibiotic responsive disease, inflammatory bowel disease, parasitism/primary infectious disease, hemorrhage enterocolitis, or pancreatitis/occult systemic disease._x000D_
2. Suspected increased cecal gas such as from typhlitis/colitis, variation of normal, or less likely other.</t>
  </si>
  <si>
    <t>Empirical therapy and supportive care for gastritis/enteritis/colitis in the interim as needed. Consider repeat abdominal radiographs and consider positive contrast enterography and/or ultrasonography for further evaluation, especially if clinical signs fail to improve or worsen in the face of empirical therapy and supportive care.</t>
  </si>
  <si>
    <t xml:space="preserve">
1.The liver and spleen are normal._x000D_
2.The stomach is distended._x000D_
3.The small intestinal tract is diffusely mildly distended and mostly gas-filled with some of the intestinal loops containing heterogenous material._x000D_
4.The colon and cecum are gas-filled and the colon has a rigid appearance._x000D_
5.Abdominal detail is normal._x000D_
6.No abnormal AI findings reported.</t>
  </si>
  <si>
    <t>A right lateral view and two VD views of the abdomen are provided for interpretation._x000D_
_x000D_
No foreign bodies are identified in the GI tract. The stomach appears empty and nondistended. There are some gas dilated intestinal loops which all appear to be large intestine. Gas filled small bowel loops with normal diameter are also identified. Serosal detail is normal. The liver is at the small end of acceptable size range for breed. The other organs are within normal limits.</t>
  </si>
  <si>
    <t>No foreign bodies or obstructive pattern are identified. Gastritis/gastroenteritis is most likely. Proximal obstruction at the level of the pylorus with radiolucent foreign material still cannot be entirely excluded.</t>
  </si>
  <si>
    <t>Symptomatic therapy and supportive care is recommended._x000D_
Clinical signs persist, proximal obstruction should be ruled out with follow up imaging._x000D_
Positive or negative contrast gastrography could be considered. Follow up radiographs should include a left lateral view. Ultrasound or complete barium upper GI could also be used.</t>
  </si>
  <si>
    <t xml:space="preserve">
1.The liver and spleen are within normal limits._x000D_
2.Serosal detail is adequate._x000D_
3.The stomach is mildly gas and fluid filled with some soft tissue density material. The small bowel is gas and fluid-containing. No obvious obstruction._x000D_
4.No abnormal AI findings reported.</t>
  </si>
  <si>
    <t>A ventral dorsal and right lateral radiograph of the abdomen are provided. There is no effusion. Small volume gas in the stomach. Small bowel are minimally filled. Small volume formed feces in the colon. No radiopaque foreign material. Normal-sized liver, spleen, kidneys. The caudal thorax is normal.</t>
  </si>
  <si>
    <t>Normal abdomen. There is no foreign material on this study.</t>
  </si>
  <si>
    <t>No recommendations based on the study.</t>
  </si>
  <si>
    <t>Orthogonal views of the abdomen are provided:_x000D_
_x000D_
Abdomen:_x000D_
_x000D_
The stomach is empty._x000D_
Small intestines are mildly gas and fluid filled, not overtly distended. No signs of mechanical ileus._x000D_
Serosal detail is preserved._x000D_
Liver extends mildly beyond the costal arch with sharp margins._x000D_
Spleen is within normal limits of size and smoothly marginated._x000D_
Kidneys and urinary bladder WNL. No signs of cystic calculi._x000D_
_x000D_
Visible spine is unremarkable without signs of disc herniation, aggressive bone lesions, vertebral fractures or subluxations._x000D_
Unremarkable pelvis.</t>
  </si>
  <si>
    <t>1) Unremarkable abdomen other than mild hepatomegaly: Metabolic vs Vacuolar infiltration vs Hepatic nodular hyperplasia vs Inflammatory vs Toxic vs Neoplastic or a combination of these differentials.</t>
  </si>
  <si>
    <t>Consider abdominal US to further evaluate the liver and the urinary tract with renal function test, urinalysis, UPC and urine culture._x000D_
Consider a neuro exam with MRI if necessary: if negative, consider an orthopedic exam under sedation.</t>
  </si>
  <si>
    <t>A two view study of the abdomen is provided._x000D_
_x000D_
There is a large tubular soft tissue structure consistent with gravid uterus, and four discrete fetal skeletons are visible. The other abdominal organs are displaced cranially and laterally. The liver is small for patient size. The other organs are not clearly visualized but presumed normal. No musculoskeletal abnormalities are identified._x000D_
No fetal gas or evidence of mummification is seen.</t>
  </si>
  <si>
    <t>Pregnancy is confirmed._x000D_
Four normal appearing fetal skeletons are identified._x000D_
_x000D_
The liver is suspected to be small.</t>
  </si>
  <si>
    <t>Bile acids testing should be considered to rule out pathologic causes of small liver.</t>
  </si>
  <si>
    <t xml:space="preserve">
1.No small intestinal segmental dilation is noted._x000D_
2.The liver and spleen are mildly enlarged._x000D_
3.Mid-peritoneal detail is decreased._x000D_
4.There is gas in the cecum and proximal colon, with small volume of formed feces distally._x000D_
5.Small volume of gas is present within the stomach and small bowel._x000D_
6.Mineral dense material and distended viscus are present in the region of the uterine horns._x000D_
7.In cases of pregnancy, fetal mineralization indicates fetal age of &gt;45 days._x000D_
8.IMPORTANT: This AI evaluation currently DOES NOT assess for the presence of fetal mummification and/or abnormal gas within or around the fetus (fetal viability) and/or fetal number._x000D_
9.No abnormal AI findings reported.</t>
  </si>
  <si>
    <t xml:space="preserve">
Abdominal ultrasound is recommended._x000D_
Coagulation profile, platelet count and PCV prior to tissue sampling or abdominocentesis._x000D_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generate._x000D_
Evaluate fetal skeletal structures on radiographs, via ultrasound or submit for radiology review if fetal number and/or evaluation of fetal viability is needed.</t>
  </si>
  <si>
    <t>7 images of the thorax, abdomen, and cervical spine are presented for review.  The cardiovascular and pulmonary structures are normal.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  Spinal alignment is normal with no consistently narrowed intervertebral disc spaces.  No fractures or aggressive osseous lesions are seen.</t>
  </si>
  <si>
    <t>Radiographically normal thorax and abdomen.  Unremarkable cervical spine.</t>
  </si>
  <si>
    <t xml:space="preserve">Patient Name : Grant Huxham, Date of study: Jul 15, 2024
4 images are provided for review
There are no previous radiographs for comparison.  The ventrodorsal image of the abdomen is mislabeled.  
Pulmonary parenchyma: A minimal to mild diffuse bronchial pattern is present.
Pulmonary vasculature: The pulmonary vasculature is subjectively normal in size and tapers in the periphery of the lungs.
Cardiac silhouette: The cardiac silhouette has a mildly flattened caudodorsal margin.   The cardiac silhouette is slightly tall but the trachea maintains a caudoventral declination towards the base of the cardiac silhouette.  
Mediastinum: The cranial mediastinum is normal.
Trachea: The trachea is normal.
Esophagus: The esophagus is not well-identified.
Pleural space: The pleural space is normal.
Liver: The liver is minimally enlarged with slight caudal displacement of the gastric axis.  
Spleen: The spleen is normal in size with smooth margins and homogeneous soft tissue.
Kidneys: The left kidney is normal.  The right kidney is obscured without obvious mineral or enlargement.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and gas.  The stomach is within normal  limits for size. 
The small intestine contains mild to moderate gas and mild heterogeneous soft tissue material, with a subjectively uniform population for size. 
The colon contains Mild to moderate gas and heterogeneous soft tissue material.  The colon wall is segmentally spastic.  The colon is normal in size.
Musculoskeletal: The included musculoskeletal structures are normal.
</t>
  </si>
  <si>
    <t xml:space="preserve">1. Equivocal left ventricular enlargement versus variation of normal/phase of the cardiopulmonary cycle.
- If present, consider congenital anomaly given patient age.
- There is no current evidence of left-sided congestive heart failure.  
2. Minimal hepatomegaly due to variation of normal/artifact, vacuolar change, nodular hyperplasia, or unlikely other.
3. Moderate heterogeneous gastric material due to recent meal versus gastritis/delayed gastric emptying, or pyloric outflow tract obstruction.
4. Nonspecific small and large intestinal appearance due to enteritis/colitis or passage of normal ingesta/recent bowel movement.
- There is no current evidence of small intestinal mechanical ileus.  </t>
  </si>
  <si>
    <t>Consider repeat abdominal radiographs after 8-12 hours of empirical therapy, supportive care and fasting to monitor for passage of the gastric and intestinal material.  Consider echocardiography, ECG and blood pressure for further evaluation, especially if a murmur is identified.  Empirical therapy and supportive care in the interim as needed for possibly dietary indiscretion and gastroenterocolitis.  Monitoring as directed, or sooner if clinical signs acutely change, fail to improve or worsen.</t>
  </si>
  <si>
    <t>5 views of the thorax and abdomen are submitted for review.  The cardiac silhouette is subjectively normal in size and shape for the breed.  The pulmonary vasculature is not enlarged.  Mild to moderate generalized bronchial markings are noted throughout the lung fields.  No pleural effusion or intrathoracic lymphadenopathy is noted.  The cranial mediastinum is widened.  The trachea is normal in diameter._x000D_
The abdomen, the stomach contains a moderate amount of food-like material.  The small bowel contains mild amount of gas without overt dilation or plication.  A moderate amount of stool is noted in the colon.  The liver is mildly enlarged with slightly rounded serosal margins.  The spleen, renal silhouettes, and urinary bladder appear within normal limits.  Serosal detail is adequate._x000D_
Multiple congenital hemivertebra are noted in the caudal thoracic spine, typical for the breed.  Marked degenerative changes are noted in the elbows.  No aggressive bony changes are seen.</t>
  </si>
  <si>
    <t>Essentially radiographically normal thorax given the age and breed of the patient.  Chronic inflammation, chronic obstructive pulmonary disease, and/or pulmonary hypertension cannot be ruled out._x000D_
Mild hepatomegaly.  This could be normal for the patient are consistent with vacuolar change, inflammation, venous congestion, or less likely neoplasia.  Otherwise, radiographically normal postprandial abdomen.</t>
  </si>
  <si>
    <t>Correlation with blood work may be helpful.  An echocardiogram could be considered for further evaluation of the heart and to assess pulmonary arterial pressures.  An abdominal ultrasound could be considered for further evaluation of the liver.</t>
  </si>
  <si>
    <t xml:space="preserve">
1.Hepatomegaly extends caudally. Prominent spleen +/- splenic mass versus superimposition of adjacent organs._x000D_
2.The stomach contains a mild volume of heterogeneous soft tissue material and gas.  The intestines are normal in size and content._x000D_
3.No abnormal AI findings reported._x000D_
4.No abnormal AI findings reported.</t>
  </si>
  <si>
    <t>Study:_x000D_
Thoracic and abdominal radiography: seven images dated July 15, 2024_x000D_
_x000D_
Findings:_x000D_
There is dorsal deviation of the trachea at the heart base. The cardiac silhouette is normal in size. The bony vasculature is normal in size. The pulmonary parenchyma is unremarkable. No pulmonary nodules or masses are present. The pleural space is normal. The trachea is normal in diameter. The stomach contains recently ingested food. The small intestines are normal in size and course. The colon contains formed fecal material. The liver and spleen are normal in size and margin. The renal silhouettes are poorly visualized due to visceral crowding. There is no overt renomegaly. On the lateral views, there is a 0.7 cm round mineral opacity in the craniodorsal abdomen. On the orthogonal view, this is seen craniolateral to the margin of the right kidney. The urinary bladder is normal in size and opacity. The patient has multiple, breed associated, congenitally anomalous vertebrae. Mild periarticular bone information is present at the caudodistal aspect of the humeral head bilaterally. There is moderate L4-L5 and severe L7-S1 spondylosis deformans.</t>
  </si>
  <si>
    <t>1. There is concern for a heart base mass effect (e.g. chemodectoma or hemangiosarcoma). Breed normal variation secondary mediastinal fat deposition cannot be excluded. Consider echocardiography for further evaluation._x000D_
2. It is difficult to localize the mineral opacity in the right craniodorsal abdomen. Consider enteric foreign material or nodular fat necrosis (Bates body)._x000D_
3. The abdomen is otherwise unremarkable. Abdominal sonography and a G.I. panel can be considered to further evaluate the weight loss and soft stools with blood.</t>
  </si>
  <si>
    <t>Three orthogonal radiographs of the abdomen dated 15th July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There is mild increased retroperitoneal fat. At the level of L5-L6 there is a soft tissue opacity in the region of the circumflex iliac artery. The aorta is outlined by retroperitoneal fat.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No mineral opacity is seen superimposed on the urinary bladder. A faint comma-shaped opacity is seen in the right lateral image at the bladder edge, likely superimposition. The serosal detail is normal._x000D_
_x000D_
Extra-abdominal findings: No significant abnormalities are detected._x000D_
_x000D_
Included thorax: No significant abnormalities are detected.</t>
  </si>
  <si>
    <t>1. The retroperitoneal opacity is most likely the circumflex iliac artery superimposed on the descending aorta. A large ureteral stone is considered unlikely. There is no evidence for renomegaly._x000D_
The faint opacity at the bladder wall is most likely superimposition of body wall layering and/or subcutaneous vessels.</t>
  </si>
  <si>
    <t>If clinical findings indicate potential ureteral obstruction, consider abdominal ultrasound, or contrast enhanced abdominal CT.</t>
  </si>
  <si>
    <t xml:space="preserve">
1.The liver is normal in size._x000D_
2.Minimal decrease in abdominal detail._x000D_
3.There is a minimal amount of mottled soft tissue density material mixed with gas within the stomach._x000D_
4.Small intestinal bowel loops are normal in size and have a mixed pattern. No obvious obstruction._x000D_
5.The spleen is normal in size.</t>
  </si>
  <si>
    <t xml:space="preserve">
1.Increased soft tissue is present in the splenic region with a mild mass effect._x000D_
2.Abdominal detail is diffusely decreased, particularly on the lateral projection._x000D_
3.The abdomen is pendulous secondary to the hepatomegaly._x000D_
4.The small bowel is diffusely gas- and fluid-distended with concern for small bowel dilation approaching the max:min bowel diameter ratio of 2:1 on the lateral projection._x000D_
5.The gastric rugae are prominent or the gastric lumen contains soft tissue material mimicking the appearance of prominent gastric rugae._x000D_
6.A portion of the colon is gas filled and has a rigid appearance._x000D_
7.The liver is moderately enlarged.</t>
  </si>
  <si>
    <t>Three radiographs of the thorax and a lateral view of the abdomen are provided. The cardiac silhouette is normal size and shape for this breed. There is a mild bronchial pattern throughout the lungs. No soft tissue pulmonary nodules or pleural effusion. Small round soft tissue densities adjacent to the heart represent end-on pulmonary vessels. No pleural effusion. Increased opacity in the cranial left thorax on the VD projection is a combination of mediastinal fat deposition, rotation, and superimposed scapula. Normal tracheal diameter. Mild congenital breed-related vertebral malformations in the thoracic spine, of doubtful significance today. In the abdomen there is moderate volume soft tissue opaque ingesta in the stomach. Small bowel are mildly gas-filled. Serosal detail is reduced. The gastric axis is in normal position. The spleen, kidneys, and urinary bladder are obscured. No radiopaque urolithiasis. Spondylosis deformans is likely incidental.</t>
  </si>
  <si>
    <t>Reduced abdominal detail likely due to distended gastrointestinal tract. Scant effusion is not ruled out. Otherwise normal abdomen and thorax.</t>
  </si>
  <si>
    <t>8 views of the thorax and abdomen are submitted for review.  3 views of the thorax and 3 views of the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mild amount of gas.  The small bowel is normal and uniform in diameter.  The colon is empty.  The liver and spleen are normal in size, shape, and margination.  The bilateral renal silhouettes are within normal limits.  The urinary bladder is unremarkable.  Serosal detail is normal._x000D_
Mild spondylosis deformans and degenerative change is seen associated with the intervertebral disc space at L1 to and at the lumbosacral junction.</t>
  </si>
  <si>
    <t>Radiographically normal thorax and abdomen.  No evidence of mechanical obstruction of the GI tract is seen.  Nonspecific gastroenteritis or dietary indiscretion is not excluded._x000D_
The L1-2 intervertebral disc space could be consistent with chronic intervertebral disc disease or possibly chronic/previous Discospondylitis.  The clinical significance is doubtful in the absence of current clinical signs.</t>
  </si>
  <si>
    <t>Symptomatic/supportive medical management appears appropriate in the short-term.  If clinical signs persist, an abdominal ultrasound could be considered.</t>
  </si>
  <si>
    <t>Seven radiographs of the thorax and abdomen are provided. The cardiac silhouette and pulmonary vessels are normal size and shape. There are no abnormalities in the pulmonary parenchyma. No pleural effusion. Adequate tracheal diameter. Mild vertebral malformations in the mid thoracic spine, of doubtful clinical significance today. In the abdomen there is no peritoneal or retroperitoneal effusion. Small volume of formed feces in the colon. The stomach and small bowel are minimally filled. The urinary bladder is mildly filled and soft tissue opaque. The prostate is questionably visible but is not significantly enlarged. No radiopaque urolithiasis. No lumbar spinal abnormalities on the lateral or VD views. The coxofemoral joints are congruent. Pelvic limb musculature is adequate and symmetric.</t>
  </si>
  <si>
    <t>Normal thorax and abdomen. A reason for the clinical signs is not identified. Spinal abnormality such as spina bifida remains possible, despite there being no evidence of such on this study.</t>
  </si>
  <si>
    <t>A neurologic examination is recommended. Further evaluation of the spine is desired, cross-sectional imaging with CT/MRI would be recommended.</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</si>
  <si>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There is spondylosis deformans of the lumbosacral spine.</t>
  </si>
  <si>
    <t>Orthogonal views of the thorax and abdomen are provided. There are four images total. The left lateral thorax view includes the neck._x000D_
_x000D_
There is moderate dynamic narrowing of the caudal cervical trachea. The intrathoracic trachea is unremarkable. There is a mild increase in unstructured interstitial opacity. The appearance is most prominent in the lateral views which are hyperinflated, the lungs appear fairly normal in the VD view which is better inflated. No alveolar infiltrates or pulmonary nodules are seen. The cardiovascular structures are within normal limits._x000D_
_x000D_
The liver is mildly enlarged overall, with mildly lobular margins. In the VD view there is a round mass-like shadow in the right cranial abdomen that is potentially involving the liver. The spleen is moderately enlarged. Serosal detail in the abdomen is normal. The GI tract and the other organs are within normal limits.</t>
  </si>
  <si>
    <t>The spleen is significantly enlarged, and is a concern for neoplasia including lymphoma. The liver is mildly enlarged, and the liver margins appear lobular, so follow up imaging of both organs is recommended. Relevance to the cough is unknown._x000D_
_x000D_
There is no evidence of cardiac chamber dilation or heart failure. The interstitial pulmonary pattern is really only apparent in the lateral views, which are not well inflated so artifactual increased pulmonary density is likely contributing. Viral or allergic pneumonitis could still be present._x000D_
There is moderate dynamic tracheal narrowing, so collapsing trachea would be a likely explanation for the cough.</t>
  </si>
  <si>
    <t>The appearance of the liver and spleen is concerning in this study._x000D_
Clinical significance is unknown in the absence of any relevant clinical signs, but early neoplastic infiltration should be ruled out based on the appearance. Ultrasound of the abdomen should be considered. CBC and serum chemistry is recommended.</t>
  </si>
  <si>
    <t>A three view study of the abdomen is provided for interpretation._x000D_
_x000D_
No foreign bodies are seen in the GI tract. There is no dilation of the stomach or intestine. There is a region of slightly reduced serosal detail in the mid to caudal abdomen, which is also associated with a subtle fragmented gas pattern. Detail elsewhere is normal. The other organs are within normal size and shape limits.</t>
  </si>
  <si>
    <t>No foreign bodies or obstructive pattern are identified._x000D_
_x000D_
This is the area of slightly reduced serosal detail in the caudal abdomen. The appearance is subtle and not quite abnormal enough to be concerning for peritonitis at this time, but close monitoring is recommended. The possibility of a small intestinal perforation or local plication for linear foreign body cannot be entirely excluded.</t>
  </si>
  <si>
    <t>Ultrasound of the abdomen should be considered if readily available. If not, supportive care and symptomatic therapy is recommended over the next 18-24 hours, with follow up radiographs at that time.</t>
  </si>
  <si>
    <t xml:space="preserve">
1.The small intestines are distended._x000D_
2.The liver and spleen are normal size._x000D_
3.Cranial abdominal detail is decreased however this is attributed to a confluence of soft tissues or lack of intra-abdominal fat over mesenteric inflammation and/or abdominal fluid._x000D_
4.A portion of the colon is gas filled and rigid consistent with inflammation._x000D_
5.The gastric rugae are prominent or the gastric lumen contains soft tissue opaque material mimicking the appearance of prominent gastric rugae._x000D_
6.No abnormal AI findings reported.</t>
  </si>
  <si>
    <t>Three orthogonal thoracic radiographs dated 15th July 2024 are available for review. There are no previous radiographs available for comparison. _x000D_
_x000D_
Airway findings: The thoracic trachea is undulating. Throughout the lung parenchyma there is a moderate bronchial pattern. The mainstem bronchi are mildly mineralised and poorly tapering. The thorax is hypoinflated. There is mild widening of the tracheal bifurcation._x000D_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Multisite spondylosis deformans and intervertebral disc narrowing is present._x000D_
_x000D_
Included abdomen: No significant abnormalities are detected.</t>
  </si>
  <si>
    <t>1. The undulating trachea is likely due to tracheomalacia, however head positioning may contribute._x000D_
2. Bronchial pattern at bronchiectasia is consistent with chronic bronchitis of environmental, allergic, or infectious-inflammatory origin. Heart worm is considered unlikely._x000D_
3. Multisite intervertebral disc disease.</t>
  </si>
  <si>
    <t>Respiratory workup including CBC, serum chemistry, urinalysis, Baermann faecal testing, 4DX, +/- respiratory panel or fungal testing as indicated is advised.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 Evaluate for upper airway disease as clinically indicated.</t>
  </si>
  <si>
    <t>Study:_x000D_
Thoracic radiography: five images dated July 15, 2024_x000D_
_x000D_
Findings:_x000D_
There is straightening of the caudal cardiac waist on the lateral projections. The pulmonary vasculature is normal in size. There is a mild generalized bronchial pulmonary pattern. The pleural space is normal. There is no intrathoracic lymphadenopathy. The patient has a redundant dorsal tracheal membrane. The stomach contains unstructured heterogeneous soft tissue material presumed to be ingesta. The liver extends mildly beyond the costal arch with smooth and sharp margins. There is narrowing of the C5-C6, C6-C7 and T 13-L1 through L2-L3 intervertebral disc spaces with mild spondylosis deformans.</t>
  </si>
  <si>
    <t>1. Straightening of the caudal cardiac waist can be an indicator of mild specific left atrial enlargement/mitral valve disease. There is no evidence of cardiac decompensation. Echocardiography can be considered for further evaluation._x000D_
2. The mild generalized bronchial pulmonary pattern may indicate allergic, inflammatory, infectious, parasitic or irritant bronchitis. Airway sampling, heartworm testing and Baermann fecal flotation can be considered for further evaluation._x000D_
3. Redundant dorsal tracheal membrane. Normal diameter of the trachea does not exclude the possibility of concomitant tracheal collapse. Fluoroscopy can be considered to further evaluate for possible dynamic airway disease given the reported tracheal sensitivity on physical exam._x000D_
4. The generalized hepatomegaly is nonspecific. Rule out vacuolar hepatopathy secondary to the reported diabetes or suspected hyperadrenocorticism, hyperplasia, hepatitis or infiltrative neoplasia. Sonography can be considered for further evaluation._x000D_
5. Multifocal intervertebral disease.</t>
  </si>
  <si>
    <t xml:space="preserve">
1.Splenic size, shape and margin are normal._x000D_
2.The cecum is gas filled._x000D_
3.The abdomen is pendulous._x000D_
4.The liver is enlarged._x000D_
5.Moderate volume ingesta fills the stomach._x000D_
6.No intestinal abnormalities are appreciated.</t>
  </si>
  <si>
    <t>Study:_x000D_
Nine images that include the thoracic/lumbar spinal (including the thorax and abdomen) and pelvis dated July 15, 2024_x000D_
_x000D_
Findings:_x000D_
The cardiac silhouette and pulmonary vasculature are normal in size. The pulmonary parenchyma is unremarkable. The pleural space is normal. There is no intrathoracic lymphadenopathy. The trachea is normal in diameter and course. There is decreased serosal detail in the cranioventral abdomen with an indistinct round soft tissue opaque mass effect causing caudorsal displacement of the gastric axis. The stomach and some small intestinal segments contain granular soft tissue material presumed to be ingesta. The small intestines are normal in size and course. The colon contains formed fecal material. The renal silhouettes are normal in size and contour. The urinary bladder is normal in size and opacity. There is mild lumbosacral spondylosis deformans. The imaged spine is otherwise unremarkable with no intervertebral disc space or foraminal narrowing. There is no evidence of discospondylitis. The coxofemoral joints are unremarkable with good coverage of the femoral head by the acetabulum bilaterally. The patella is in the correct anatomic location bilaterally. There is no apparent degenerative change in either stifle. The pelvic limb musculature is bilaterally symmetric. There is a metallic BB ballistics superimposed with the left cranial abdomen, presumably within the subcutaneous or superficial soft tissues.</t>
  </si>
  <si>
    <t>1. A cranial abdominal mass is suspected. Rule out hepatic mass versus splenic mass. Recommend abdominal sonography for further evaluation._x000D_
2. Unremarkable thorax. There is no evidence of cardiopulmonary disease, pulmonary metastatic disease or a cranial mediastinal mass._x000D_
3. The osseous structures are unremarkable. A cause of ataxia/weakness is not evident. Neurology consultation plus/minus MRI and degenerative myelopathy testing can be considered for further evaluation.</t>
  </si>
  <si>
    <t>Four radiographs of the abdomen are provided. There is no peritoneal or retroperitoneal effusion. Formed feces fills the colon. The stomach and small bowel are minimally filled. Normal-sized kidney, liver, spleen. No radiopaque urolithiasis. The L2-3 intervertebral foramen is slightly reduced in size. No narrowed intervertebral disc spaces. There is no endplate lysis. The coxofemoral joints are congruent. Patellar location is normal. Pelvic limb musculature is adequate.</t>
  </si>
  <si>
    <t>The appearance of L2-3 is suggestive of a protruding/extruded intervertebral disc. Such a lesion at this or another site is the most likely cause for the clinical signs. Normal abdomen and proximal pelvic limbs.</t>
  </si>
  <si>
    <t>Consider conservative treatment with anti-inflammatories and strict rest. If there is no improvement, consultation with a neurologist and advanced spinal imaging with MRI should be considered.</t>
  </si>
  <si>
    <t>Orthogonal views of the abdomen and pelvis and lateral views of the stifles are provided for interpretation._x000D_
_x000D_
No disc space narrowing or spinal subluxation is identified. The pelvis and both hip joints are within normal limits. No soft tissue abnormalities are seen involving the sublumbar area or pelvic canal._x000D_
_x000D_
In the lateral view of the right stifle, the tibial condyle appears displaced cranially relative to the femoral condyle consistent with cranial tibial thrust. There is mild swelling of the joint capsule. No bony changes are identified._x000D_
The left stifle is unremarkable._x000D_
_x000D_
The liver is at the upper end of normal size range with mildly rounded margins. The other abdominal organs are unremarkable.</t>
  </si>
  <si>
    <t>The appearance of the right stifle is suggestive of a cranial cruciate ligament rupture. This could account for right hind limb lameness, but may not be related to the primary complaint of progressive weakness and difficulty rising. Clinical significance in this case is unknown._x000D_
No other musculoskeletal abnormalities are identified._x000D_
Soft tissue pathology affecting the cauda equina or spinal cord could still be present without radiographic changes.</t>
  </si>
  <si>
    <t>Considering the lack of pain or more specific right hind lameness, the right stifle changes may be unrelated to the presenting complaint. Soft tissue pathology affecting the cauda equina or lumbar spinal cord should still be ruled out. MRI should be considered.</t>
  </si>
  <si>
    <t>Three radiographs of the abdomen are provided. Images dated 4/25/24 are available for comparison. The prostate is mildly enlarged, consistent with the reproductive status of this patient. The stomach contains a moderate amount of soft tissue opacity. Small bowel are mildly filled. The cecum is gas-filled. Moderate volume of formed feces in the colon. No radiopaque gastrointestinal foreign material or severe intestinal distention. Normal-sized liver and spleen. The kidneys are partially visible on the lateral view, with no abnormalities appreciated. Normal osseous structures.</t>
  </si>
  <si>
    <t>Normal postprandial abdomen. There is no evidence of gastrointestinal foreign material or an obstructive process.</t>
  </si>
  <si>
    <t>If vomiting persists, recommend repeat fasting abdominal radiographs +/- positive contrast gastrogram.</t>
  </si>
  <si>
    <t xml:space="preserve">
1.Scant formed feces is present in the distal colon._x000D_
2.Small intestines are diffusely mildly filled with a mixture of fluid and gas. No evidence of obstruction._x000D_
3.Large-volume soft tissue opacity fills the stomach._x000D_
4.The spleen is normal size._x000D_
5.No abnormal AI findings reported._x000D_
6.No abnormal AI findings reported.</t>
  </si>
  <si>
    <t>Study:_x000D_
Thoracic radiography: three images dated July 15, 2024_x000D_
_x000D_
Findings:_x000D_
There is severe bilateral pleural effusion. There is associated reduced lung volume. There is a severe generalized bronchial pulmonary pattern with concurrent interstitial coalescing to alveolar infiltrates throughout the pulmonary parenchyma. Multiple indistinct nodular opacities are present in the caudal dorsal lung fields. The severity of the pleural effusion limits evaluation the cardiac silhouette. There is no overt cardiomegaly. The pulmonary vasculature is normal in size. There is no apparent intrathoracic lymphadenopathy. The trachea is normal in diameter. There is incidental visualization of the gallbladder extending ventral to the liver on the lateral projections. The included abdomen is otherwise unremarkable. The L7 vertebra is transitional. There is mild L6-L7 spondylosis deformans.</t>
  </si>
  <si>
    <t>The combination of the pleural effusion and unstructured interstitial to alveolar infiltrates scattered throughout the pulmonary parenchyma may indicate congestive heart failure/cardiogenic pulmonary edema in spite of the lack of any grossly evident cardiomegaly. Other causes of pleural effusion cannot be completely excluded. Other differentials for the interstitial to alveolar disease include pneumonia or, less likely infiltrative neoplasia. The concurrent bronchial pattern may indicate lower airway disease or may be secondary to a bronchial cuffing from the interstitial infiltrates. The indistinct nodular opacities in the caudal dorsal lung field may indicate end-on bronchi, end-on pulmonary vessels or neoplasia.</t>
  </si>
  <si>
    <t>Recommend thoracocentesis with fluid analysis plus/minus echocardiography and computed tomography of the thorax for further evaluation.</t>
  </si>
  <si>
    <t>Three radiographs of the thorax/abdomen, and a VD view of the pelvis are provided. The cardiac silhouette is mildly enlarged. Pulmonary vessels are normal sites. The appearance of round thin-walled 2.3 cm lucency overlying the caudoventral lungs on the left lateral view is not definitively seen on the other projections. No other evidence of pulmonary parenchymal abnormalities. Small volume fluid and gas in the esophagus is transient and incidental. No pleural effusion. Narrowed T11-12, T12-13 intervertebral disc spaces. In the abdomen there is no effusion or organomegaly. The gastrointestinal tract is mildly filled. No radiopaque urolithiasis. Punctate metal density in the proximal colon is likely incidental. The coxofemoral joints are congruent. Pelvic limb musculature is symmetric. Patellar location is normal.</t>
  </si>
  <si>
    <t>1. The appearance of T11-12 and T12-13 are both suggestive of intervertebral disc disease. Such a lesion at these or another site is the most likely cause for the clinical signs._x000D_
2. Mild cardiomegaly concerning for acquired valvular disease. In the absence of a murmur or arrhythmia, significance is doubtful._x000D_
3. Possible solitary pulmonary bulla in the right caudal moment versus summating normal anatomy. A bulla would be incidental, other than to make note to use caution with positive pressure ventilation during future anesthetic events._x000D_
4. Normal coxofemoral joints.</t>
  </si>
  <si>
    <t>Recommend palpation for spinal discomfort and a neurologic examination. If no significant abnormalities, this patient may benefit from anti-inflammatories and strict rest. Otherwise, consultation with a neurologist and advanced spinal imaging such as MRI should be considered.</t>
  </si>
  <si>
    <t xml:space="preserve">
1.Splenic size, shape and margin are normal._x000D_
2.The liver size is at the lower limits of normal to slightly small._x000D_
3.The serosal detail is adequate._x000D_
4.The stomach contains a mild amount of gas and soft tissue material._x000D_
5.No small intestinal segmental dilation is noted.</t>
  </si>
  <si>
    <t>Study:_x000D_
Thoracic radiography: three images dated July 14, 2024_x000D_
_x000D_
Findings:_x000D_
The stomach contains a small volume of gas with the pylorus appropriately gas-filled on the left lateral image. The small intestines are normal in size, course and content. The colon contains a small volume of gas. The liver and spleen are normal in size and margin. The kidneys are normal in size and contour. The urinary bladder is normal in size and opacity. There is no prostatomegaly. The included thorax is normal. T 13 vertebra is transitional with a hypoplastic rib on the left and absent rib on the right.</t>
  </si>
  <si>
    <t xml:space="preserve">Severe images are available for evaluation.
Images are dated July 14, 2024.
Pulmonary parenchyma: A mild to moderate diffuse bronchial pattern is present.
Pulmonary vasculature: The pulmonary vasculature is subjectively normal in size and tapers in the periphery of the lungs.
Cardiac silhouette: The cardiac silhouette has a slightly flat caudodorsal margin.  Slight rounded increased soft tissue is suspected in the region of the left atrium in the ventrodorsal image.
Mediastinum: The cranial mediastinum is normal.
Trachea: The trachea is normal.
Esophagus: The esophagus is not well-identified.
Pleural space: The pleural space is normal.
Musculoskeletal: Spondylosis deformans is present at T3-4, T4-5, T5-6, T7-8, T9-10 and T12-13.  The remaining included musculoskeletal structures are normal.
</t>
  </si>
  <si>
    <t>1. Mild-moderate diffuse bronchial pulmonary pattern.
- Differential diagnoses include infectious/immune-mediated lower airway disease such as from mycoplasma spp., bordetella spp., parasitism, or inhaled allergen/irritant, fibrosis from prior disease, age-related changes, or unlikely evolving uremic pneumonitis or other.
2. Suspected left atrial enlargement versus artifact from phase of the cardiopulmonary cycle and patient positioning.
- If present, the primary differential diagnosis is myxomatous mitral valvular disease.
- There is no current evidence of left-sided congestive heart failure.</t>
  </si>
  <si>
    <t>Consider respiratory PCR panel, airway sampling, and fecal analysis/deworming for further evaluation.  Echocardiography, ecg and urinalysis for further evaluation if not recently performed.  Empirical therapy and supportive care in the interim as needed or sooner especially if dyspnea manifests.  Monitoring as directed or sooner if clinical signs acutely change, fail to improve or worsen.</t>
  </si>
  <si>
    <t xml:space="preserve">
1.Mild hepatomegaly._x000D_
2.The spleen is normal in size with smooth, well-defined margins._x000D_
3.Peritoneal serosal detail is adequate._x000D_
4.The gastric axis is mildly caudally displaced._x000D_
5.The stomach contains mild heterogeneous soft tissue material and gas._x000D_
6.The small intestine contains mild soft tissue and gas but is overall uniform in size._x000D_
7.The colon contains moderate heterogeneous soft tissue material and is normal in size.</t>
  </si>
  <si>
    <t>The AI result for this case is most compelling for: nonspecific, mild diffuse hepatomegaly. Differential diagnoses include vacuolar change, steroid hepatopathy, or less likely nodular hyperplasia, hepatitis or neoplasia.</t>
  </si>
  <si>
    <t xml:space="preserve">
Virtual Radiologist Case Difficulty: MODERATE_x000D_
Virtual Radiologist Confidence: MODERATE_x000D_
Continued supportive care with routine blood work. Abdominal ultrasound could be considered for further evaluation.</t>
  </si>
  <si>
    <t>Study:_x000D_
Abdominal radiography: three images dated July 14, 2024_x000D_
_x000D_
Findings:_x000D_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No mineral opaque calculi are present in the bladder or region the urethra. There is no uterine dilation. The included thorax is normal. There is narrowing of the L2-L3 intervertebral disc space with sclerotic endplates and moderate spondylosis deformans.</t>
  </si>
  <si>
    <t>1. Postprandial stomach=ZZ90= otherwise, unremarkable abdomen. Test negative for urocystolithiasis. Urinalysis plus/minus urine culture and abdominal sonography can be considered for further evaluation of the reported pollakiuria._x000D_
2. Chronic L2-L3 intervertebral disc disease. Correlate with any spinal pain and/or proprioceptive deficits.</t>
  </si>
  <si>
    <t xml:space="preserve">
1.Small intestines are minimally distended. No evidence of obstruction._x000D_
2.The liver and spleen are normal size and shape._x000D_
3.Abdominal detail is normal._x000D_
4.The stomach contains small volume gas and equivocal scant soft tissue density._x000D_
5.No abnormal AI findings reported.</t>
  </si>
  <si>
    <t>Three orthogonal radiographs of the abdomen dated 14th July 2024 are available for review. There are no previous radiographs available for comparison. _x000D_
_x000D_
Intra-abdominal findings: The stomach contains some gas and has a normal axis. There is appropriate gas in the region of the pylorus on the left lateral image. The small intestines are diffusely filled, mildly dilated with gas and fluid/soft tissue opaque material. The descending colon contains gas. No segmental dilation or radiopaque foreign body seen. The hepatic silhouette is normal in size with smooth borders. The spleen is normal in shape, size and position. The kidneys are partially obscured by gastrointestinal contents, but the visible aspect are normal. The serosal detail is mildly reduced consistent with young age._x000D_
_x000D_
Extra-abdominal findings: An umbilical hernia is present. No hernia contents are visible._x000D_
_x000D_
Included thorax: No significant abnormalities are detected.</t>
  </si>
  <si>
    <t>The overall impression is one of mild gastroenteritis/colitis.  This may be due to dietary indiscretion, or infectious-inflammatory causes. There is no evidence of a mineral opaque foreign body, or complete mechanical obstruction.  A partial obstruction by non-mineral opaque foreign material cannot be excluded.</t>
  </si>
  <si>
    <t xml:space="preserve">Three images are available for evaluation.
Images are dated July 13, 2024.
Bones/Joints:
The T11-12 and T12-13 intervertebral disc spaces are narrowed, more severe at T12-13.  
There is no evidence of mineral over the intervertebral foramina.  There is no evidence of intervertebral dorsal articulation osteoarthrosis.
There is no evidence of medullary sclerosis, osteolysis, endosteal scalloping, or periosteal proliferation.
Soft tissues:  The included soft tissues are normal.
</t>
  </si>
  <si>
    <t xml:space="preserve">1. Mild T12-13 and minimal T11-12 intervertebral disc space narrowing and presumed intervertebral disc disease.
</t>
  </si>
  <si>
    <t>Consider neurologist consultation and MRI for further evaluation. Routine blood work and thoracic imaging to screen for occult systemic disease prior to referral.   Empirical therapy and supportive care in the interim as needed. Monitoring as directed, or sooner if clinical signs acutely change, fail to improve or worsen.</t>
  </si>
  <si>
    <t>Abdomen: Within the right cranial abdomen there is a segment of bowel that is a mild amount of heterogeneous soft tissue opacity within his lumen.  It is uncertain if this represents the ascending colon or segment of jejunum.  There are segments of jejunum that are gas-filled and considered within normal limits for diameter.  The liver and spleen are unremarkable.  There are no abnormalities involving the urinary tract.  Serosal detail is normal.  There is narrowing of intervertebral disc space at L4-5.  There are regions of mineralization superimposed over the ventral portions of the foramina at L4-5.  Spondylosis deformans is noted at this level as well.  There is bilateral coxofemoral osteoarthrosis.  On the visible portion of the thorax there appears to be a diffuse bronchial pattern.</t>
  </si>
  <si>
    <t>Heterogeneous soft tissue opacity suspected to be within the ascending colon however a small intestinal etiology cannot be ruled out._x000D_
_x000D_
Gas-filled segments of jejunum most likely representing enteritis._x000D_
_x000D_
Intervertebral disc disease at L4-5._x000D_
_x000D_
The mineral opacity superimposed over the foramen at L4-5 most likely represents lateralizing spondylosis deformans._x000D_
_x000D_
Suspect diffuse bronchial pattern.</t>
  </si>
  <si>
    <t xml:space="preserve">ABDOMEN (3 images):
Images are dated July 13, 2024.
Liver: The liver is subjectively normal in size.
Spleen: The spleen is normal in size with smooth margins and homogeneous soft tissue.
Kidneys: The kidneys are partially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mild volume of gas and fluid or is empty.  The stomach contains a well-defined, thick linear mineral foreign body in the pylorus or body of the stomach.  
The small intestine contains mild to moderate gas and is enlarged in the cranioventral abdomen.  Segments of small intestine in the caudoventral abdomen are slightly smaller and contains fluid, gas or are empty.  
The colon contains mild gas.  The colon is normal in size.
Musculoskeletal: The presumed L1 is transitional with ribs.  Only six lumbar vertebrae without ribs are identified.  Nipples are prominent, consistent with intact patient status.  The remaining included musculoskeletal structures are normal.
</t>
  </si>
  <si>
    <t>1. Gastric mineral foreign material without current evidence of pyloric outflow tract obstruction.  
- Gastritis and delayed gastric emptying from dietary indiscretion are considered likely.  
2. Small intestinal changes are suspicious for evolving mechanical ileus versus enteritis/functional ileus.</t>
  </si>
  <si>
    <t xml:space="preserve">Consider routine blood work and repeat abdominal imaging with radiographs after 8-12 hours of fasting/supportive care, versus ultrasonography for further evaluation of the small intestine.  Consider gastroscopy for retrieval of gastric foreign material if small intestinal mechanical ileus is ruled out.  Empirical therapy and supportive care in the interim as needed.  Consider thoracic imaging for further evaluation of reported clinical signs.  Consider thoracic/abdominal computed tomography for further evaluation of reported mammary nodules/masses and pre-surgical planning for incisional/excisional biopsy for a definitive diagnosis.  Monitoring as directed, or sooner if clinical signs fail to improve, change or worsen with empirical therapy.  </t>
  </si>
  <si>
    <t xml:space="preserve">
1.The colon contains soft tissue material or mild gas._x000D_
2.The small intestine contains a mild volume of gas, fluid or is empty._x000D_
3.Overall, the small intestine is normal in size._x000D_
4.The liver and peritoneal serosal detail are normal._x000D_
5.Splenic size, shape and margin are normal._x000D_
6.No abnormal AI findings reported.</t>
  </si>
  <si>
    <t>There is no evidence of mechanical ileus. Non-specific small and large intestinal changes are suspicious for enterocolitis such as from dietary indiscretion, toxin ingestion, parasitism, inflammatory bowel disease or secondary to systemic disease.</t>
  </si>
  <si>
    <t xml:space="preserve">
Virtual Radiologist Case Difficulty: LOW_x000D_
Virtual Radiologist Confidence: HIGH_x000D_
If GI signs are present, consider empirical therapy for enterocolitis and repeat 3-view abdominal radiographs for further evaluation._x000D_
Fecal evaluation and empirical deworming may be contributory.</t>
  </si>
  <si>
    <t xml:space="preserve">Patient Name : Tmac Davis, Date of study: Jul 13, 2024
3 images are provided for review
Canine Abdomen (3 Images) - 1 Vd, 2 Lateral
There are no previous radiographs for comparison.
Liver: The liver is not well-identified.
Spleen: The spleen is normal in size with smooth margins and homogeneous soft tissue.
Kidneys: The kidneys are obscured without obvious enlargement or mineral.
Retroperitoneum: Retroperitoneal detail is adequate.
Urogenital: The urinary bladder is obscured without obvious enlargement or mineral.
Peritoneum: Peritoneal detail is adequate.
Gastrointestinal tract: The stomach contains a large volume of fluid and is distended, with caudal displacement of the intestine as a result.  Gas is suspected in the pylorus in the left lateral image.  Gas is suspected in the descending duodenum in the ventrodorsal image.
In the right lateral image, a segment of intestine in the caudoventral abdomen is enlarged and contains heterogeneous soft tissue material.  This is not well-identified in the alternate images.  The small intestine contains mild to moderate gas and fluid. 
The colon contains minimal soft tissue material and gas.
Musculoskeletal: Only six lumbar vertebrae without ribs are present, and L1 is presumed transitional with ribs.  Moderate bilateral coxofemoral joint osteoarthrosis is present. The remaining included musculoskeletal structures are normal.
</t>
  </si>
  <si>
    <t>1. Severe gastric distension without obvious evidence of volvulus.
- Differential diagnoses include secondary to small intestinal mechanical ileus or unlikely gastric stasis or other.
- Gastritis/functional ileus such as from dietary indiscretion is also considered, especially if small intestinal mechanical ileus is ruled out.  
2. Caudoventral small intestinal segment suspicious for small intestinal mechanical ileus versus enteritis or less likely normal variation given reported history.</t>
  </si>
  <si>
    <t xml:space="preserve">Consider abdominal ultrasonography to confirm or rule out possible small intestinal mechanical ileus and for further evaluation of the stomach/pylorus.  If small intestinal or occult gastric obstruction is identified with ultrasonography, consider celiotomy and decompression.  Decompression of the stomach via gastric intubation prior to sonography may be beneficial.  Repeat radiographs after gastric intubation and decompression may also be beneficial.  Empirical therapy and supportive care as needed in the interim.  If mechanical ileus is ruled out, consider inflammatory bowel disease, parasitism/primary infectious enterocolitis, or occult systemic disease as additional differential diagnoses.  </t>
  </si>
  <si>
    <t xml:space="preserve">
1.The liver and spleen are normal size._x000D_
2.Peritoneal detail is minimally decreased._x000D_
3.No abnormal AI findings reported._x000D_
4.The stomach is mildly gas and fluid filled with some soft tissue density material.</t>
  </si>
  <si>
    <t>The AI result for this case is most compelling for: appearance of the GI tract concerning for ileus or obstruction. Appearance of the stomach may be due to normal ingesta versus foreign material. A foreign body is suspected, but bowel neoplasia causing a progressive, chronic partial obstruction cannot be excluded.</t>
  </si>
  <si>
    <t xml:space="preserve">
Virtual Radiologist Case Difficulty: MODERATE_x000D_
Virtual Radiologist Confidence: MODERATE_x000D_
If  the  patient  is  markedly  painful,  depressed,  with  intractable  vomiting,  exploratory  surgery  would  be recommended. Otherwise, supportive care and abdominal ultrasound could be considered to confirm/rule out intestinal obstruction.</t>
  </si>
  <si>
    <t>Thorax: There is mild to moderate left-sided cardiomegaly.  There is pulmonary underinflation augmenting an increase in opacity associated with the pulmonary parenchyma in the caudal dorsal thorax.  The pulmonary parenchyma on the ventrodorsal view is unremarkable.  There are no abnormalities involving the pulmonary vasculature.  There is no evidence of pleural effusion or lymphadenopathy.  There are no abnormalities involving the visible portions of the abdomen.</t>
  </si>
  <si>
    <t>Left-sided cardiomegaly.  Cardiac decompensation is not suspected.</t>
  </si>
  <si>
    <t xml:space="preserve">
1.In the abdomen there is no effusion._x000D_
2.No gastrointestinal abnormalities are appreciated. No signs of obstruction._x000D_
3.No abnormal AI findings reported._x000D_
4.The liver and spleen are normal size with smooth margins.</t>
  </si>
  <si>
    <t>Eleven radiographs are provided, with images of the thorax, abdomen, and spine. Images dated 6/22/23 and 8/23/22 are available for comparison. The cardiac silhouette is normal size and shape. The appearance of soft tissue bulge along the cranial left aspect of the heart on the VD projection is due to adjacent cranial lobar bronchus contour. Pulmonary vessels are normal size. Mild bronchial pattern throughout the lungs, and crisp pleural fissure lines is normal for the age of this patient. Normal tracheal diameter. Mild degenerative change in the shoulders. Narrowed caudal cervical intervertebral disc spaces is likely due to normal neck curvature/dependent sloping due to positioning._x000D_
_x000D_
In the abdomen there is no peritoneal or retroperitoneal effusion. Normal-sized kidneys, spleen, liver. Punctate nephroliths are likely incidental. No radiopaque cystic calculi. The T12-13 intervertebral disc space is narrowed. This was not present on the 8/23/22 study, but is likely present on the June 22, 2023 study (this view has mild rotation). There is a punctate mineral density overlying the L6-7 intervertebral foramen, also present on the previous studies. There is mild to moderate osteoarthritis in the coxofemoral joints, unchanged.</t>
  </si>
  <si>
    <t>The appearance of T12-13 and L6-7 is likely intervertebral disc disease, however was present on the previous study. Acute exacerbation with progressive disease at these sites, or additional sites of intervertebral disc protrusion/extrusion is the most likely cause for the clinical signs. Coxofemoral osteoarthritis could be contributing to discomfort. The thorax and abdomen are normal. There is no evidence of cardiovascular disease on this study. A small valvular regurgitant jet can result in a relatively loud murmur.</t>
  </si>
  <si>
    <t>Consider conservative treatment with anti-inflammatories and strict rest.</t>
  </si>
  <si>
    <t xml:space="preserve">
1.On the lateral projection, the liver is mildly enlarged._x000D_
2.On the VD projection, a mild decrease in cranial abdominal detail is present. This is suspected to be secondary to caudal extension of the liver._x000D_
3.The ventral abdominal line is mildly pendulous._x000D_
4.No gastrointestinal abnormalities._x000D_
5.Splenic size, shape and margin are normal._x000D_
6.As mentioned above, cranial abdominal detail is mildly decreased. A global reduction in abdominal detail is NOT present.</t>
  </si>
  <si>
    <t>Study:_x000D_
Spinal, pelvic and pelvic limb radiography: six images dated July 13, 2024_x000D_
_x000D_
Findings:_x000D_
The dens is intact and well defined. The atlantoaxial joint space is normal. Patient obliquity and beam distortion limit evaluation for thoracolumbar intervertebral disc space narrowing. There is impression of narrowing of the T 12-T 13, T 13-L1 and L4-L5 through L6-L7 intervertebral disc spaces. There is in situ mineralization of the L7-S1 intervertebral disc. The coxofemoral joints are normal with good coverage of the femoral head by the acetabulum bilaterally. The patella is in the correct anatomic location bilaterally. The degree of soft tissue opacity within the stifle joint spaces appears within normal limits. No degenerative change is present in either stifle. The tarsus is normal bilaterally. The pelvic limb musculature is bilaterally symmetric.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There is no prostatomegaly. The caudal cardiac waist appears straightened. Suture material is present in the inguinal region bilaterally.</t>
  </si>
  <si>
    <t>1.  T 12-T 13, T 13-L1 and L4-L5 through L6-L7 intervertebral disc disease. Neurology consultation and MRI should be considered for further evaluation._x000D_
2. Straightening of the caudal cardiac waist can be an indicator of mild specific left atrial enlargement/mitral valve disease. Echocardiography can be considered for further evaluation._x000D_
3. Postprandial stomach=ZZ90= otherwise, unremarkable abdomen._x000D_
4. The coxofemoral joints and pelvic limbs are unremarkable.</t>
  </si>
  <si>
    <t>Three radiographs of the thorax are provided. The abdomen is included on two of the views. The cardiac silhouette is moderately enlarged and has a rounded/globoid shaped on all views. Pulmonary vessels are normal to reduced in size. No pleural effusion. The lungs are clear. The mainstem bronchi are dorsally deviated and compressed. Redundant dorsal trachealis membrane in the cervical region. In the abdomen there is no effusion or organomegaly. The gastrointestinal tract and urinary bladder are minimally filled. No osseous abnormalities.</t>
  </si>
  <si>
    <t>Moderate generalized cardiomegaly with globoid contour. Pericardial effusion is most likely. Chronic valvular disease may be present concurrently. There is no evidence of heart failure, however there is mainstem bronchial compression. Possible cervical tracheal collapse. Normal abdomen.</t>
  </si>
  <si>
    <t xml:space="preserve">
1.The small bowel contains gas and fluid and is normal in diameter._x000D_
2.The colon contains scant fecal material and gas._x000D_
3.No abnormal AI findings reported._x000D_
4.Mild microhepatia is present along with cranial positioning to the pylorus on the lateral projection. Splenic size, shape and margin are normal._x000D_
5.Resource: https://platform.v2.vetology.net/doc/liver_enzymes_and_tests_x000D_
6.Serosal detail within the peritoneal space is normal._x000D_
7.The stomach contains a small amount of soft tissue opaque material.</t>
  </si>
  <si>
    <t>Thorax: The pulmonary parenchyma, cardiac silhouette, and pulmonary vasculature are unremarkable.  There is no evidence of pleural effusion or lymphadenopathy._x000D_
_x000D_
Abdomen: There are several segments of jejunum that have possible diffuse wall thickening.  The remainder of the abdominal viscera is unremarkable.  Serosal detail is normal._x000D_
_x000D_
Thoracolumbar spine: There are no abnormalities identified.</t>
  </si>
  <si>
    <t>Possible small intestinal wall thickening.  This is not a definitive finding on survey radiography.  Differential considerations include variation of normal, artifactual, enteritis, or IBD.</t>
  </si>
  <si>
    <t xml:space="preserve">
1.The stomach is partially distended with gas and some fluid._x000D_
2.The small intestinal tract is diffusely gas- and fluid-filled but without segmental bowel dilation._x000D_
3.The colon contains gas and has a rigid appearance._x000D_
4.The liver and spleen are within normal limits._x000D_
5.Detail in the abdomen is adequate._x000D_
6.No abnormal AI findings reported.</t>
  </si>
  <si>
    <t>Three orthogonal radiographs of the abdomen dated 13th July 2024 are available for review. There are no previous radiographs available for comparison. These images are submitted for assessment of the vertebral column._x000D_
_x000D_
Vertebral column: There is mild narrowing of the T12-T13 and L1-L2 intervertebral disc spaces. No mineralised material is seen within or dorsal to the intervertebral disc spaces. The vertebral and plates are smooth. The 13th ribs are transitional._x000D_
The duodenum is distended with gas and fluid in the ventrodorsal image, and there is widening of the pyloroduodenal angle.</t>
  </si>
  <si>
    <t>1. T12-13 and L1-L2 intervertebral disc disease. This may cause some back pain. Occult intervertebral disease such as intervertebral disk protrusion or other spinal cord pathology including embolic (FCE), high velocity disk, inflammatory or neoplastic disease or degenerative myelopathy is not excluded . _x000D_
2. The duodenal findings are suspicious of a pancreatitis, which may have overlapping clinical findings.</t>
  </si>
  <si>
    <t>Full neurologic examination if not already performed. If no proprioceptive deficits or patients back pain is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can be considered. Full bloodwork, CPL testing and abdominal ultrasonography may be considered to exclude pancreatitis.</t>
  </si>
  <si>
    <t>Orthogonal views of the abdomen are provided:_x000D_
_x000D_
Abdomen:_x000D_
_x000D_
The stomach is filled with food and gas._x000D_
Small intestines are mildly gas and fluid filled, not overtly distended. No signs of mechanical ileus._x000D_
Soft feces in the colon._x000D_
Serosal detail is decreased due to a thin body condition and tight up abdomen with soft tissue summation._x000D_
Liver and spleen are within normal limits of size and smoothly marginated._x000D_
Kidneys and urinary bladder WNL.</t>
  </si>
  <si>
    <t>1) Unremarkable abdomen. Rule out gastroenterocolitis of allergic/inflammatory/idiopathic origin vs gastroenterocolitis secondary to dietary indiscretion vs IBD flare up.</t>
  </si>
  <si>
    <t>Consider abdominal US to further evaluate causes of gastroenterocolitis.</t>
  </si>
  <si>
    <t xml:space="preserve">ABDOMEN (3 images):
Images are dated July 13, 2024.  Additional images are attached to case 2709939.
Liver: The liver is subjectively normal in size.
Spleen: The spleen is normal in size with smooth margins and homogeneous soft tissue.
Kidneys: The kidneys are partially obscured without obvious mineral or enlargement.
Retroperitoneum: Retroperitoneal detail is adequate.
Urogenital: The urinary bladder is not well-identified but no obvious enlargement or mineral is present.  
Peritoneum: Peritoneal detail is adequate.
Gastrointestinal tract: The stomach contains a moderate volume of gas and mild to moderate fluid.  Gas is in the pylorus in the left lateral image.  The stomach is within normal limits for size.
The small intestine contains mild to moderate fluid or is empty with a subjectively uniform population for size. 
The colon contains mild gas.  The colon is normal in size.  
Musculoskeletal: The included musculoskeletal structures are normal.
</t>
  </si>
  <si>
    <t>1. Non-specific gastrointestinal tract appearance such as from enteritis, colitis, or individual variation of normal.
- Differential diagnoses for enteritis/colitis include dietary indiscretion, toxin ingestion, diet/antibiotic responsive disease, inflammatory bowel disease, parasitism/primary infectious disease, or pancreatitis or occult systemic disease.
- There is no evidence of gastrointestinal mechanical ileus.</t>
  </si>
  <si>
    <t>Consider GI panel, fecal analysis/deworming, and routine blood work for further evaluation.  Empirical therapy and supportive care in the interim as needed.  Consider abdominal ultrasonography if clinical signs fail to improve or worsen in the face of empirical therapy.  Monitoring as directed or sooner if clinical signs acutely change, fail to improve or worsen.</t>
  </si>
  <si>
    <t xml:space="preserve">
1.Splenic size, shape and margin are normal._x000D_
2.Abdominal detail is normal._x000D_
3.The stomach is mildly gas and fluid filled with some soft tissue density material. The small bowel is gas and fluid-containing. No obvious obstruction._x000D_
4.The liver is normal in size and margin.</t>
  </si>
  <si>
    <t>Three radiographs of the thorax and two views of the abdomen are provided. The cardiac silhouette and pulmonary vessels are normal size and shape. There are no abnormalities in the pulmonary parenchyma or pleural space. Probable previous fractured right 9th rib, incidental. Mild narrowed caudal cervical trachea. No intrathoracic lymphadenomegaly. Small round increased opacities adjacent to the heart are end-on pulmonary vessels._x000D_
_x000D_
In the abdomen there is fluid and gas in the colon. The stomach and small bowel are minimally filled. No radiopaque foreign material. Serosal detail is adequate. Normal-sized liver, spleen, kidneys. The urinary bladder is minimally filled and soft tissue opaque. Both patellas are medially displaced.</t>
  </si>
  <si>
    <t>1. Liquid diarrhea. Gastroenteritis is most likely. There is no evidence of an obstructive process._x000D_
2. Probable cervical tracheal collapse. No intrathoracic abnormalities._x000D_
3. Bilateral medial patellar luxation.</t>
  </si>
  <si>
    <t xml:space="preserve">
1.Liver size, shape and margin are normal._x000D_
2.Splenic size, shape and margin are normal._x000D_
3.Serosal detail appears mildly reduced in the cranial abdomen._x000D_
4.The colon is mildly gas dilated and has a rigid appearance._x000D_
5.No segmental dilation of the small intestine is seen._x000D_
6.Material is identified in the stomach._x000D_
7.Gastric rugal folds appear prominent.</t>
  </si>
  <si>
    <t>The overall appearance of the gastrointestinal tract is compatible with gastroenterocolitis. No evidence of an obstructive pattern.</t>
  </si>
  <si>
    <t xml:space="preserve">
Supportive care as needed and medical management for potential pancreatitis/gastroenterocolitis is recommended._x000D_
Ultrasound of the GI tract would also be recommended if clinical signs are consistent with GI disease. Alternatively, an upper GI contrast study could be performed. Blood work and pancreatic testing._x000D_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</si>
  <si>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Three radiographs of the thorax and two views of the abdomen are provided. The cardiac silhouette and pulmonary vessels are normal size and shape. There are no abnormalities in the pulmonary parenchyma. No pleural effusion. Moderate narrowed cervical trachea on the right lateral view._x000D_
_x000D_
In the abdomen there is no peritoneal or retroperitoneal effusion. The gastrointestinal tract is mildly filled. Normal-sized liver, spleen, and kidneys. Two punctate mineral densities in the colon are incidental. No radiopaque urolithiasis. The prostate is not enlarged. Osseous structures are unremarkable.</t>
  </si>
  <si>
    <t>Possible dynamic cervical tracheal collapse. Otherwise normal thorax and abdomen.</t>
  </si>
  <si>
    <t>Three radiographs of the thorax/abdomen are provided. The cardiac silhouette is normal size and shape. Pulmonary vessels are normal size. Perihilar vessels have crisp margins. Hazy increased opacity overlying the left lungs on the VD projection is due to rotation and superimposed fat deposition. There is no pleural effusion. No abnormalities in the pulmonary parenchyma. Small volume fluid in the caudal esophagus is transient and incidental. Mild narrowed cervical trachea on the right lateral view. In the abdomen there is no effusion or organomegaly. The gastrointestinal tract is minimally filled. The cecum is gas-filled. The urinary bladder is mildly filled and soft tissue opaque.</t>
  </si>
  <si>
    <t>1. Varied tracheal diameter suggestive of dynamic collapse. This should be correlated with characteristic of the cough and tracheal palpation. Otherwise normal thorax. Inhaled irritant/allergens could be contributing to the cough. There is no evidence of cardiovascular disease on this study. A small valvular regurgitant jet can result in a relatively loud murmur._x000D_
2. Normal abdomen.</t>
  </si>
  <si>
    <t>Recommend utilization of a body harness in place of a neck lead. This patient may benefit from symptomatic treatment for the cough.</t>
  </si>
  <si>
    <t>Study:_x000D_
Abdominal radiography: three images dated July 12, 2024_x000D_
_x000D_
Findings:_x000D_
The stomach contains a small amount of ill-defined heterogeneous soft tissue material presumed to be ingesta. Some small intestinal segments contain granular soft tissue material also presumed to be ingesta. The small intestines are normal in size and course. The colon contains formed fecal material with a normal diameter. The liver extends severely beyond the costal arch with smooth margins. The spleen is normal in size and margin. The renal silhouettes are normal in size and contour. The urinary bladder is normal in size and opacity. There is no apparent sublumbar lymphadenopathy. The included thorax is normal. There is mild to moderate multifocal thoracolumbar and L7-S1 spondylosis deformans. There is mild bilateral stifle periarticular bone formation.</t>
  </si>
  <si>
    <t>1. The generalized hepatomegaly is nonspecific. Rule out metabolic/vacuolar hepatopathy, hyperplasia, hepatitis or infiltrative neoplasia. _x000D_
2. There is no evidence of small test mechanical obstruction._x000D_
3. Mild bilateral stifle osteoarthrosis.</t>
  </si>
  <si>
    <t>Consider abdominal sonography and a three view thoracic met check for further staging of the reported perineal mass.</t>
  </si>
  <si>
    <t xml:space="preserve">
1.The liver is mildly to moderately enlarged with smooth margins._x000D_
2.The spleen is within normal limits._x000D_
3.Serosal detail is normal._x000D_
4.The GI tract is within normal limits. Material in the stomach likely represents ingesta. No compelling signs of obstruction.</t>
  </si>
  <si>
    <t>Study:_x000D_
Abdominal radiography: right lateral and orthogonal views (two images) dated July 12, 2024_x000D_
_x000D_
Compared to prior studies dated February 27, 2020 and January 15, 2019_x000D_
_x000D_
Findings:_x000D_
There is narrowing of the T 11-T 12 and T 12-T 13 intervertebral disc spaces. This finding is similar in severity to the previous examinations. The T 10-T 11 intervertebral disc space narrowing is considered within normal limits for the anticlinal intervertebral disc space. The L4-L5 intervertebral disc space appears slightly narrowed in comparison to the adjacent to spaces (on all three exams). The included appendicular skeletal structures are unremarkable.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 included thorax is normal.</t>
  </si>
  <si>
    <t>T 11-T 12, T 12-T 13 and suspect T 10-T 11 intervertebral disc disease.</t>
  </si>
  <si>
    <t>Neurology consultation and MRI can be considered for further evaluation if clinical signs persist or worsen.</t>
  </si>
  <si>
    <t>Orthogonal views of the abdomen are provided:_x000D_
_x000D_
Abdomen:_x000D_
_x000D_
The stomach is empty. _x000D_
Small intestines are mildly gas and fluid filled, not overtly distended. No signs of mechanical ileus._x000D_
Feces are mixed with some bony particles consistent with the history._x000D_
Serosal detail is preserved._x000D_
Liver extends beyond the costal arch with sharp margins._x000D_
Spleen is within normal limits of size and smoothly marginated._x000D_
Kidneys and urinary bladder WNL.</t>
  </si>
  <si>
    <t>1) Colonic foreign bodies, likely bony fragments from chicken bones._x000D_
2) Hepatomegaly: Metabolic vs Vacuolar infiltration vs Hepatic nodular hyperplasia vs Inflammatory vs Toxic vs Neoplastic or a combination of these differentials.</t>
  </si>
  <si>
    <t>Orthogonal views of the thorax and abdomen are provided:_x000D_
_x000D_
Thorax:_x000D_
_x000D_
Narrowing of the cervical trachea at the thoracic inlet._x000D_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 No signs of radiopaque foreign bodies._x000D_
Small intestines are mildly gas and fluid filled, not overtly distended. No signs of mechanical ileus._x000D_
Serosal detail is preserved._x000D_
Liver and spleen are within normal limits of size and smoothly marginated._x000D_
Kidneys and urinary bladder WNL.</t>
  </si>
  <si>
    <t>1) Findings compatible with cervical tracheal collapse. Unremarkable thorax without signs of pulmonary metastases nor signs of thoracic lymphadenopathy._x000D_
2) Unremarkable abdomen.</t>
  </si>
  <si>
    <t>Consider abdominal US if clinically necessary._x000D_
Consider fluoroscopy (followed by tracheobronchoscopy, BAL and culture/cytology) to rule in/out extrathoracic vs intrathoracic tracheal collapse or bronchial component, evaluating treatment options. Take advantage of the bronchoscopy to further evaluate the larynx given 30% of patients with tracheal collapse display different degrees of laryngeal paralysis. If negative, consider empirical treatment for chronic bronchitis.</t>
  </si>
  <si>
    <t xml:space="preserve">
1.The liver is enlarged._x000D_
2.The spleen and abdominal serosal detail are within normal limits._x000D_
3.No abnormal AI findings reported._x000D_
4.The stomach is mildly gas and fluid filled with some soft tissue density material. The small bowel is gas and fluid-containing. No obvious obstruction.</t>
  </si>
  <si>
    <t xml:space="preserve">Patient Name : Luna Meyer, Date of study: Jul 12, 2024
2 images are provided for review
Canine Abdomen (2 Images) - 1 Lateral, 1 Vd
This examination is compared to prior dated August 29, 2023.    Motion artifact is present.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and gas. The stomach is within normal limits for size.
The small intestine contains  moderate gas and mild soft tissue or fluid with a subjectively uniform population for size. 
The colon contains mld well-defined soft tissue material and gas.
Musculoskeletal: The T13 is transitional with a thickened right and small/thin left ribs.  The remaining included musculoskeletal structures are normal.
</t>
  </si>
  <si>
    <t>1. Gastric material due to recent meal, versus gastritis/delayed gastric emptying or less likely pyloric outflow tract obstruction.
2. Non-specific small intestinal appearance  such as from enteritis or individual variation of normal.
- Differential diagnoses for enteritis include dietary indiscretion, toxin ingestion, diet/antibiotic responsive disease, inflammatory bowel disease, parasitism/primary infectious disease, or pancreatitis or occult systemic disease.
- There is no current evidence of small intestinal mechanical ileus.</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</si>
  <si>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shows a questionable nodule in the VD view superimposed with its ventral extremity._x000D_
Kidneys and urinary bladder WNL._x000D_
In the RL view there is an ill defined opacity ventral to the descending colon cranial to the bladder that recalls an enlarged uterus._x000D_
_x000D_
There are multifocal signs of chronic IVDD. Regarding the spine, C2 shows a most likely ossiculum terminale separated from the dens of the vertebral body without signs of atlanto-axial subluxation._x000D_
T12-T13 and T13-L1 IVDS is narrow.</t>
  </si>
  <si>
    <t>1) Unremarkable thorax without signs of pulmonary metastases nor signs of thoracic lymphadenopathy._x000D_
2) Hepatomegaly: Metabolic vs Vacuolar infiltration vs Hepatic nodular hyperplasia vs Inflammatory vs Toxic vs Neoplastic or a combination of these differentials._x000D_
3) Rule out pyometra vs mucometra._x000D_
4) Rule out superimposed left uterine horn with the spleen vs benign splenic nodule vs malignant._x000D_
4) Incidental ossiculum terminale at C2._x000D_
6) T12-T13 and T13-L1: findings consistent with chronic IVDD. Rule out disc herniation.</t>
  </si>
  <si>
    <t>Consider abdominal US to further evaluate the liver, spleen and the uterus along with urinary tract with renal function test, urinalysis, UPC and urine culture, with +/- US guided FNAs._x000D_
Consider a neuro exam with MRI if necessary.</t>
  </si>
  <si>
    <t xml:space="preserve">
1.On the lateral projection, the liver is mildly enlarged._x000D_
2.The ventral abdominal line is mildly pendulous._x000D_
3.No gastrointestinal abnormalities._x000D_
4.On the VD projection, a mild decrease in cranial abdominal detail is present. This is suspected to be secondary to caudal extension of the liver._x000D_
5.Splenic size, shape and margin are normal._x000D_
6.As mentioned above, cranial abdominal detail is mildly decreased. A global reduction in abdominal detail is NOT present.</t>
  </si>
  <si>
    <t>Three radiographs of the thorax, and a lateral view of the abdomen are provided. There is prominence of the left atrium. Pulmonary vessels are normal size. Faint bronchial markings are present. No pleural effusion. Pointed contour to the mid right heart on the VD projection (right laterality marker located on the left side of the patient on this view) is fat deposition. No pleural effusion. Normal tracheal diameter. No esophageal dilation._x000D_
_x000D_
In the abdomen the stomach contains moderate volume of formed kibble-like soft tissue density. Small bowel are minimally filled. Formed feces in the colon. Thin linear 1.0 cm mineral density overlying the proximal colon is likely incidental. No radiopaque urolithiasis. Normal-sized liver, kidneys, spleen. The uterus is not identified. Narrowed L4-5, L5-6 intervertebral disc spaces is likely incidental today.</t>
  </si>
  <si>
    <t>1. Faint bronchial markings may be normal age-related change and/or chronic airway inflammation such as bronchitis. No other abnormalities are identified to explain the coughing._x000D_
2. Prominent left atrium consistent with acquired mitral valve disease. There is no pulmonary venous congestion or pulmonary edema. This is incidental today._x000D_
3. Normal abdomen.</t>
  </si>
  <si>
    <t>consider symptomatic treatment for the cough.</t>
  </si>
  <si>
    <t xml:space="preserve">Patient Name : Snickers Lowe, Date of study: Jul 12, 2024
5 images are provided for review
There are no previous radiographs for comparison.  Ungloved human digits primary beam.  
Pulmonary parenchyma: A minimal to mild diffuse bronchial pattern is present.  A minimal to mild diffuse interstitial pattern is present, that is most severe in the hypoinflated lateral images.  The lungs are mild to moderately hypoinflated in the lateral images.    Lobar bronchi are ill-defined in the final lateral image, and subjectively narrowed.  
Pulmonary vasculature: The pulmonary vasculature is subjectively normal in size and tapers in the periphery of the lungs.
Cardiac silhouette: The cardiac silhouette is moderately tall and occupies over 2/3 the height of the thorax.  The trachea is dorsally displaced.  The caudodorsal margin of the cardiac silhouette is flattened.  The cardiac silhouette is widened and occupies the width of 3.5-4 intercostal spaces.  The cardiac silhouette is rounded and widened in the ventrodorsal image. 
Mediastinum: The cranial mediastinum is normal.
Trachea: A soft tissue band superimposes over the thoracic trachea segment.  
Esophagus: The esophagus is not well-identified.
Pleural space: The pleural space is normal.
Musculoskeletal: The patient is obese.  The remaining  included musculoskeletal structures are normal.
</t>
  </si>
  <si>
    <t>1. Moderate generalized cardiomegaly such as from myxomatous mitral valvular disease, tricuspid valvular disease, cor pulmonale/pulmonary hypertension, or unlikely other.
- There is no current evidence of left-sided congestive heart failure.  
2. Minimal to mild diffuse bronchial and interstitial pulmonary patterns due to fibrosis fromprior disease, age-related changes, infectious/immune-mediated lower airway disease, or unlikely other.  
- This is likely exacerbated by hypoinflation of the lungs.
3. Dorsal redundant tracheal membrane with suspected bronchial narrowing and dynamic airway disease.
4. Obesity.</t>
  </si>
  <si>
    <t>Echocardiography, ECG and blood pressure for further evaluation.  Consider routine blood work and urinalysis to screen for occult systemic disease if not recently performed.  Bronchoscopy/tracheoscopy/fluoroscopy and airway sampling/respiratory PCR panel may be contributory for further evaluation.  Empirical therapy and supportive care in the interim as needed.  Monitoring with serial thoracic radiographs as directed, or sooner if clinical signs acutely change, fail to improve or worsen.</t>
  </si>
  <si>
    <t>WHOLE-BODY (4 total radiographs for review). _x000D_
_x000D_
- Severe, dynamic collapse of the trachea extending from the level of the caudal cervical area, through the thoracic inlet and nearly to the level of the carina._x000D_
- Moderate left-sided cardiomegaly, characterized by straightening of the caudal cardiac margin and dorsal displacement of the caudal aspect of the thoracic trachea._x000D_
- The pulmonary vasculature is normal._x000D_
- Mild, diffuse unstructured interstitial pattern._x000D_
- The remaining included intrathoracic structures are normal._x000D_
- The liver is moderately enlarged, with rounded margins._x000D_
- The stomach, small intestine and colon diffusely contain a moderate volume of gas._x000D_
- The remaining abdominal structures are normal._x000D_
- There is narrowing, endplate sclerosis and spondylosis deformans centered on the intervertebral discs of T12-13 and L1-2.</t>
  </si>
  <si>
    <t>1. The patient=ZZ91=s coughing seems most likely radiographically attributable to tracheal collapse, secondary to chondromalacia._x000D_
_x000D_
2.  Moderate left-sided cardiomegaly, without pulmonary vasculature congestion or congestive heart failure. Most likely compatible with degeneration of the mitral valve. Consider careful cardiac auscultation and echocardiography/ECG for further assessment._x000D_
_x000D_
3.  Mild diffuse unstructured interstitial pattern most likely secondary to pulmonary hypoinflation/atelectasis._x000D_
_x000D_
4. Mild hepatomegaly. Most likely vacuolar (metabolic) hepatopathy. Hepatic congestion, hepatitis or neoplasia are less likely, but possible._x000D_
_x000D_
6. Aerophagia._x000D_
_x000D_
7. T12-13 and L1-2 intervertebral disc disease.</t>
  </si>
  <si>
    <t>In this case, the cough could be multifactorial and related to both tracheal collapse and airway compression from left heart enlargement.  Evaluation towards and empirical treatment of either of these pathologies may provide clinical benefit to the patient.</t>
  </si>
  <si>
    <t>9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is at the lower limits of normal for size.  An irregular soft tissue mass is present in the cranioventral abdomen in the area of the tail of the spleen.  The stomach contains a moderate amount of ingesta.  The small intestines are normal in size.  Gas and feces are present in the colon.  The urinary bladder is small.  The remaining abdominal organs are normal.  Osteophytes present on the femoral necks and acetabular rims.</t>
  </si>
  <si>
    <t>Lobulated cranioventral abdominal mass.  Splenic origin neoplasia or hematoma is considered most likely.  Other possibilities for urgent include pedunculated liver mass or mesenteric mass.  Abdominal ultrasound may be helpful.  Radiographically normal thorax for patient of this age.  Lack of specific changes does not rule out laryngeal paralysis as a potential cause for the reported dyspnea.  Severe bilateral coxofemoral DJD.</t>
  </si>
  <si>
    <t>Five radiographs of the thorax and abdomen are provided. The cardiac silhouette and pulmonary vessels are normal size and shape. There are no abnormalities in the pulmonary parenchyma or pleural space. Normal tracheal diameter and position. No esophageal dilation. In the abdomen moderate volume of formed feces fills the colon. The stomach and small bowel are minimally filled. No radiopaque cystic calculi. Normal-sized liver, spleen, kidneys. Osseous structures are unremarkable.</t>
  </si>
  <si>
    <t>Normal thorax and abdomen. The reason for the respiratory sign is not identified.</t>
  </si>
  <si>
    <t>Recommend routine blood work to rule out a metabolic abnormality.</t>
  </si>
  <si>
    <t xml:space="preserve">
1.Serosal detail is normal._x000D_
2.The stomach is full with amorphous soft tissue dense ingesta._x000D_
3.No abnormal AI findings reported._x000D_
4.The liver and spleen are normal._x000D_
5.No dilation or plication the intestine is seen._x000D_
6.No segmental dilation of the small bowel is noted.</t>
  </si>
  <si>
    <t>There is a small quantity of material in the stomach. This could represent normal food. However, it could also be associated with general dietary indiscretion. This finding needs to be correlated to clinical signs. No evidence of a small intestinal obstruction is seen.</t>
  </si>
  <si>
    <t xml:space="preserve">
Virtual Radiologist Case Difficulty: MODERATE_x000D_
Virtual Radiologist Confidence: MODERATE_x000D_
Follow up radiographs when the patient has been fasted at least 12 hours are recommended to make sure the gastric ingesta will clear completely from the stomach if the patient is vomiting or there is concern for gastric foreign material._x000D_
Symptomatic therapy for gastroenteritis is recommended if clinically warranted._x000D_
Parasitism should be ruled out.</t>
  </si>
  <si>
    <t>Orthogonal abdomen views and a lateral view of the thorax are provided._x000D_
_x000D_
There is a mild to moderate reduction in serosal detail in the abdomen, most prominent cranially. No mass lesions or organomegaly are identified. The appearance of the GI tract is within normal limits. No foreign bodies or pathologic dilation are identified._x000D_
_x000D_
The cardiovascular structures are within normal limits. There is a mild bronchial pulmonary pattern. No thoracic lymphadenopathy or pleural effusion is seen.</t>
  </si>
  <si>
    <t>There is reduced serosal detail in the abdomen consistent with significant inflammation or effusion._x000D_
Primary rule outs for this patient include peritonitis, severe pancreatitis, and abdominal hemorrhage which could be secondary to neoplasia or coagulopathy._x000D_
Considering the presence of concurrent fever on presentation, peritonitis and lymphoma would be primary differentials.</t>
  </si>
  <si>
    <t>There is concern for peritonitis in this patient. A perforating ulcer should be ruled out primarily. Surgical exploration may be indicated. _x000D_
 Coagulopathy should also be ruled out._x000D_
Ultrasound could also be used for more definitive evaluation.</t>
  </si>
  <si>
    <t xml:space="preserve">
1.Serosal detail in the cranial abdomen is mildly decreased on the lateral projection._x000D_
2.A minimal quantity of soft tissue dense ingesta is visible in the stomach and there is mild prominence to the gastric rugae._x000D_
3.The small bowel is diffusely gas- and fluid-filled but without segmental bowel dilation._x000D_
4.No intestinal plication is seen._x000D_
5.The liver is normal._x000D_
6.On the VD projection, an increase in soft tissue opacity is noted in the left lateral abdomen. This is attributed to superimposition of the spleen and left kidney. The spleen appears normal on the lateral projection making splenomegaly a secondary consideration.</t>
  </si>
  <si>
    <t>A lateral view of the thoracolumbar spine and VD views of the lumbar spine and pelvis are provided. There are four images total._x000D_
_x000D_
Intervertebral disc mineralization is present at multiple locations, most prominent in the caudal lumbar spine from L4 to S1. There is marked mineral opacity in the intervertebral foramen at the level of L4-05 in the lateral view. Corresponding mineral opacity appears centrally located in the spinal canal in the VD view at this level. Subtle increased opacity is also seen in the area of the intervertebral foramen at L2-03 and L3-04. The lumbar disc spaces did not appear narrowed or subluxated. There is moderate narrowing at T11-T12._x000D_
All these findings are similar in appearance to the abdomen radiographs made one week prior._x000D_
The pelvis and both hip joints are within normal limits. No destructive bone lesions are identified._x000D_
No soft tissue abnormalities are seen in the sublumbar area._x000D_
Small lucencies are present in the dorsal spinous processes of the mid thoracic spine, most prominent T6 and T7.</t>
  </si>
  <si>
    <t>There is chronic disc degeneration in the lumbar spine, and mineral opacity in the spinal canal consistent with disc extrusion at the level of L4-L5. Associated nerve root compression could be contributing to the reported pain, but the appearance is similar to the radiographs made prior to the onset of pain._x000D_
This lesion is not likely responsible for the reported ataxia. Narrowing in the caudal thoracic spine is more concerning for less prominent but more significant disc disease that might be resulting in spinal cord compression._x000D_
_x000D_
Small lucencies are seen in the dorsal spinous processes of the mid thoracic spine. These are still within the limits of what might sometimes be seen as benign anatomic variation. Lymphoreticular neoplasia such as multiple myeloma would be a less likely explanation but cannot be excluded.</t>
  </si>
  <si>
    <t>There are changes consistent with chronic disc degeneration in the caudal thoracic and lumbar spine. Disc disease would be a likely explanation for the presenting complaint.</t>
  </si>
  <si>
    <t xml:space="preserve">
1.Splenic size, shape and margin are normal._x000D_
2.The liver is mildly enlarged with smooth margins._x000D_
3.Abdominal detail is normal._x000D_
4.The stomach contains small volume gas and scant soft tissue density. The small bowel is diffusely gas- and fluid-filled without segmental small bowel dilation.</t>
  </si>
  <si>
    <t>Patient Name : Phoebe Winfield, Date of study: Jul 12, 2024_x000D_
9 images are provided for review_x000D_
There are no previous radiographs for comparison._x000D_
_x000D_
Bones/Joints:_x000D_
The T4, T5, t6, T7, T8, T9, T10 vertebrae are mild to moderately narrowed in a craniocaudal dimension and wedge-shaped. T13 has a thin left 13th rib. The T7-8 spinous processes are partially fused._x000D_
A dens is present. There is no evidence of atlantoaxial joint subluxation._x000D_
There is no evidence of intervertebral disc space narrowing, or mineral over the intervertebral foramina. There is no evidence of intervertebral dorsal articulation osteoarthrosis._x000D_
_x000D_
There is no evidence of medullary sclerosis, osteolysis, endosteal scalloping, or periosteal proliferation._x000D_
_x000D_
Soft tissues: The included soft tissues are normal.</t>
  </si>
  <si>
    <t>1. Multifocal breed-specific thoracic vertebral anomalies._x000D_
2. No evidence of obvious intervertebral disc disease, vertebral fracture, luxation or aggressive bone lesion.</t>
  </si>
  <si>
    <t>Consider neurologist consultation and MRI for further evaluation of reported clinical signs. This examination does not rule our COMMS or syringohydromyelia/syrinx or non-mineralized intervertebral disc herniation contributing to reported signs. Monitoring with routine thoracic radiographs as directed, or sooner if clinical signs acutely change, fail to improve or worsen.</t>
  </si>
  <si>
    <t xml:space="preserve">
1.The stomach contains a small amount of gas and the gastric rugae are prominent._x000D_
2.No abnormal AI findings reported._x000D_
3.The liver is mildly enlarged but retains a smooth margin._x000D_
4.The spleen and kidneys are normal size.</t>
  </si>
  <si>
    <t>Abdomen: On the lateral view there is unusual summation with a soft tissue somewhat triangular structure within the cranial ventral abdomen.  There is no evidence of a small intestinal foreign body or obstruction.  The abdominal viscera is unremarkable.  Serosal detail is normal.  Spondylosis deformans is noted at the lumbosacral junction.</t>
  </si>
  <si>
    <t>The unusual triangular soft tissue opacity most likely represents a summation artifact with the spleen and liver.  Alternatively but considered less likely a foreign body within the gastric lumen cannot be ruled out.</t>
  </si>
  <si>
    <t xml:space="preserve">
1.The spleen is normal._x000D_
2.There is a mild decrease in peritoneal serosal detail mainly in the cranial aspect of the abdomen._x000D_
3.The stomach contains a moderate amount of gas, and has a normal gastric axis._x000D_
4.The small intestines are within normal limits for shape, size and margination._x000D_
5.The descending colon contains a small amount of feces._x000D_
6.The liver is normal.</t>
  </si>
  <si>
    <t>Mild reduction of peritoneal serosal detail: This may be consistent with an inflammatory response within the abdomen and increased fluid within the mesentery or peritoneal cavity: Differentials include pancreatitis, cholangeohepatitis, peritonitis. Air within the stomach is likely due to aerophagia. The AI result for this case is most compelling for: Gastroenteritis and/or pancreatitis in a patient WITH GI signs. In an animal WITHOUT GI signs, this appearance can be normal post-prandial.</t>
  </si>
  <si>
    <t xml:space="preserve">
Abdominal ultrasonography to further evaluate liver, pancreas and gastrointestinal tract may be considered._x000D_
Blood work and pancreatic testing as clinically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</si>
  <si>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 xml:space="preserve">Patient Name : Cody Yap, Date of study: Jul 12, 2024
3 images are provided for review
There are no previous radiographs for comparison.
Liver: The liver is mildly enlarged with a rounded caudoventral margin extending to the last ribs, and mild caudal displacement of the gastric axis.  
Spleen: The spleen is normal in size with smooth margins and homogeneous soft tissue.
Kidneys: Small mineral foci are suspected over the kidneys in orthogonal images.  The left kidney has suspiciously undulant margins.  The kidneys are within normal limits for size.  
Retroperitoneum: Retroperitoneal detail is adequate.
Urogenital: A pin-point mineral focus is over the urinary bladder in the right lateral image.  The urinary bladder is normal in size, homogeneous soft tissue, and smoothly marginated.
Peritoneum: Peritoneal detail is adequate.
Gastrointestinal tract: The stomach contains a moderate volume of heterogeneous soft tissue material and gas.  Gas is well-identified in the duodenum in the ventrodorsal image.
The small intestine contains mild to moderate heterogeneous soft tissue material admixed with gas and fluid, with a subjectively uniform population for size. 
The colon contains minimal soft tissue material and gas.  The colon is normal in size.
Bones/Joints:
Severe bilateral coxofemoral joint osteoarthrosis is present, characterized by osteophytes are the junction of the femoral head/necks, thickening of the femoral necks, flattening of the femoral heads, and osteophytes at the craniodorsal acetabular rims.  There is less than 50% coverage of the femoral heads by the acetabulums bilaterally.  
The left stifle has no evidence of osteoarthrosis.  The left infrapatellar fat pad is well-defined.
The right stifle has no evidence of osteoarthrosis.  The right infrapatellar fat pad is well-defined.
The lumbar spine is normal.
There is no evidence of medullary sclerosis, osteolysis, endosteal scalloping, or periosteal proliferation.
Soft tissues:  The included soft tissues are normal.
</t>
  </si>
  <si>
    <t xml:space="preserve">1. Mild hepatomegaly due to vacuolar change, nodular hyperplasia, hepatitis/cholangiohepatitis, or less likely other.
2. Suspected left chronic renal disease and bilateral nephroliths.
3. Suspected small urocystolith.
4. Gastric material due to recent meal versus gastritis/delayed gastric emptying, or unlikely pyloric outflow tract obstruction.
5. Non-specific small intestinal appearance due to passage of ingesta versus enteritis, or unlikely other.
- There is no evidence of mechanical ileus.
6. Severe bilateral coxofemoral joint osteoarthrosis with subluxation.
</t>
  </si>
  <si>
    <t>Consider abdominal ultrasonography for further evaluation of the liver, kidneys, urinary bladder and gastrointestinal tract depending on clinical signs.  Routine blood work and urinalysis with urine culture/sensitivity testing may be contributory.  Empirical therapy and supportive care in the interim as needed for coxofemoral degenerative joint disease, and consider orthopedist consultation if desired such as from femoral head/neck ostectomy.  Monitoring as directed, or sooner if clinical signs acutely change, fail to improve or worsen.</t>
  </si>
  <si>
    <t xml:space="preserve">
1.The stomach and small bowel are minimally filled. No signs of obstruction._x000D_
2.The spleen is within normal limits for size._x000D_
3.The liver is prominent with smooth margins._x000D_
4.No abnormal AI findings reported.</t>
  </si>
  <si>
    <t xml:space="preserve">Patient Name : reese reese, Date of study: Jul 12, 2024
7 images are provided for review
There are no previous radiographs for comparison. Ungloved human extremities in the primary beam.
Bones/Joints:
Minimal left coxofemoral joint osteoarthrosis is suspected with slight osteophytes at the junction of the femoral head/neck.  The right coxofemoral joint is subjectively normal. There is adequate coverage of the femoral heads by the acetabulums.
The left stifle has no evidence of osteoarthrosis.  The left infrapatellar fat pad is well-defined.
The included left tarsus, metatarsus and digits are normal.
The right stifle has no evidence of osteoarthrosis.  The right infrapatellar fat pad is well-defined.
The included right tarsus, metatarsus and digits are normal.  
There is no evidence of medullary sclerosis, osteolysis, endosteal scalloping, or periosteal proliferation.  Suspected region of left femoral distolateral lucency is artifactual due to positioning.  
Soft tissues:  The included soft tissues are normal.  The reported enlargement caudal to the left stifle and in the inguinal region is not identified.  
</t>
  </si>
  <si>
    <t>1. Minimal left coxofemoral joint osteoarthrosis is suspected.
2. Normal right coxofemoral joint.
3. Normal right stifle.
4. Normal left stifle.</t>
  </si>
  <si>
    <t>Consider orthopedic consultation for further evluation of reported subtle left pelvic limb lameness.  Cross-sectional imaging may better evaluate the inguinal region and thigh soft tissues given reported palpable changes not identified in this examination.  Routine blood work and thoracic imaging to screen for occult systemic disease.  Monitoring as directed, or sooner if clinical signs acutely change, fail to improve or worsen.</t>
  </si>
  <si>
    <t>Abdomen: There is an ill-defined mass-like region within the mid left ventral abdomen.  There are segments of small intestine that are fluid-filled and considered on the upper limits of normal for diameter.  There is an increase in wispy soft tissue opacity associated with the mid abdomen with mild decrease in serosal detail.  There is mild amount of heterogeneous soft tissue opacity within the gastric lumen.  The liver and spleen are unremarkable.  There are no abnormalities involving the visible portions of the urinary tract.  There are no significant abnormalities involving the visible portions of the thorax.</t>
  </si>
  <si>
    <t>The masslike region may represent a true mass or possible summation with segments of jejunum that are fluid-filled._x000D_
_x000D_
Fluid-filled segments of jejunum.  In light of clinical history, an obstructive process cannot be ruled out._x000D_
_x000D_
The material within the gastric lumen most likely represents ingesta or nonobstructive foreign material._x000D_
_x000D_
Suspect mild peritoneal effusion.</t>
  </si>
  <si>
    <t xml:space="preserve">Patient Name : Pepper Rousoan, Date of study: Jul 12, 2024
3 images are provided for review
Canine Abdomen (3 Images) - 2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In the caudoventral abdomen are multiple tortuous and large soft tissue tubular structures.  These are in the right and mid-caudal abdomen and suspected left caudal abdomen in the ventrodorsal image.  These are larger than small intestine, and result in mild cranial displacement of the small intestine.    Some of these segments are suspected to be between the urinary bladder and colon.  The urinary bladder is normal in size, homogeneous soft tissue, and smoothly marginated.
Peritoneum: Peritoneal detail is adequate.
Gastrointestinal tract: The stomach contains a mild volume of gas and fluid or is empty. The stomach is normal in size.
The small intestine contains mild gas and fluid or is empty with a subjectively uniform population for size. 
The colon contains minimal soft tissue material and gas.  The colon is normal in size.  
Musculoskeletal: The included musculoskeletal structures are normal.
</t>
  </si>
  <si>
    <t xml:space="preserve">1. Suspicious for uterine horn enlargement such as from evolving pyometra, mucometra, metritis, hematometra, or unlikely early pregnancy or other.
2. No current evidence of gastrointestinal mechanical ileus.  </t>
  </si>
  <si>
    <t>Routine blood work if not recently performed, and consider celiotomy and ovariohysterectomy given suspicion of pyometra.  Abdominal ultrasonography may be contributory for further evaluation.  Empirical therapy and supportive care in the interim as needed.  Monitoring as directed or sooner if clinical signs acutely change, fail to improve or worsen.</t>
  </si>
  <si>
    <t xml:space="preserve">
1.Liver size is upper limits of normal to mildly enlarged with mild asymmetry to the hepatic silhouette. Liver margin is smooth._x000D_
2.Splenic size is normal to upper limits of normal._x000D_
3.Cranial abdominal detail is minimally decreased, likely due to a confluence of soft tissues._x000D_
4.The stomach is normal. The small bowel is diffusely fluid filled but without segmental small bowel dilation.</t>
  </si>
  <si>
    <t>Liver size at the upper limits of normal to mildly enlarged. DDx: normal variant vs. non-specific hepatomegaly secondary to fat deposition or metabolic hepatopathy. Less benign causes such as hepatitis and neoplasia cannot be completely ruled out though these are thought less likely.</t>
  </si>
  <si>
    <t xml:space="preserve">
Virtual Radiologist Case Difficulty: MODERATE_x000D_
Virtual Radiologist Confidence: MODERATE_x000D_
Further evaluation of the liver via ultrasound as clinically and/or warranted by the blood work.</t>
  </si>
  <si>
    <t>Three radiographs of the abdomen are provided. Peritoneal detail is adequate. There is small volume gas in the stomach. Small intestines are mild to moderately filled with fluid. There is a loop of moderately dilated small bowel containing gas and amorphous soft tissue density in the mid ventral right abdomen. The colon is minimally filled. Normal-sized liver, spleen, kidneys. The urinary bladder is minimally filled. The uterus is not definitively seen.</t>
  </si>
  <si>
    <t>Probable partial small intestinal obstruction. Enteritis is next on the differential list. There is no severe intestinal distention to suggest complete obstruction.</t>
  </si>
  <si>
    <t>Recommend supportive care and repeat abdominal imaging (radiographs versus ultrasound) to monitor intestinal appearance.</t>
  </si>
  <si>
    <t>5 views of the thorax and abdomen are submitted for review._x000D_
In the thorax, a ventrally distributed alveolar pattern is noted in the right middle lung lobe and in the cranial and caudal subsegments of the left cranial lung lobe.  The cardiovascular structures are normal.  No pleural or mediastinal abnormalities are seen.  The trachea is normal in diameter._x000D_
The stomach and small bowel are within normal limits.  The colon is essentially empty.  The liver and spleen are normal in size, shape, and margination.  The bilateral renal silhouettes are within normal limits.  The urinary bladder is unremarkable.  Serosal detail is normal._x000D_
No aggressive bony changes are seen.</t>
  </si>
  <si>
    <t>Bilateral ventrally distributed alveolar pattern in the right middle and left cranial lung lobes.  This is most consistent with bacterial bronchopneumonia, likely secondary to aspiration.</t>
  </si>
  <si>
    <t>A CBC is recommended.  Broad-spectrum antibiotic therapy appears indicated.</t>
  </si>
  <si>
    <t xml:space="preserve">
1.The stomach contains gas and ingesta or prominent rugae._x000D_
2.There is formed fecal material within the colon._x000D_
3.The small intestine is uniform in diameter containing both fluid and gas. No segmental small bowel dilation is noted._x000D_
4.Liver size, shape and margin are normal._x000D_
5.Borderline splenomegaly is present but a splenic mass is NOT detected._x000D_
6.Cranial abdominal detail is mildly decreased.  If this is the only finding, this is more likely due to normal overlying structures or radiographic technique. If this finding is part of a larger group of findings, cranial abdominal inflammation becomes a stronger consideration.</t>
  </si>
  <si>
    <t>Orthogonal views of the thorax and abdomen are provided:_x000D_
_x000D_
Thorax:_x000D_
_x000D_
There is cervical tracheal narrowing._x000D_
Cardiac silhouette shows a severe enlargement of the left atrium dorsally displacing the carina._x000D_
The pulmonary veins are normal sized. However, there is questionable peri-hilar ill defined interstitial pulmonary pattern extending caudodorsally._x000D_
Pleural space, mediastinum, diaphragm and thoracic wall within normal limits._x000D_
_x000D_
Abdomen:_x000D_
_x000D_
The stomach is empty._x000D_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show bilateral renoliths._x000D_
Urinary bladder WNL._x000D_
_x000D_
Visible spine is unremarkable without signs of disc herniation, aggressive bone lesions, vertebral fractures or subluxations.</t>
  </si>
  <si>
    <t>1) Findings most consistent with dynamic cervical tracheal collapse._x000D_
2) Cardiomegaly (left sided) with peri-hilar ill defined interstitial pulmonary pattern extending caudodorsally. Rule out left sided congestive heart failure secondary to chronic mitral endocardiosis. Rule out concomitant tricuspid endocardiosis with post-capillary pulmonary hypertension._x000D_
3) Hepatomegaly: Metabolic vs Vacuolar infiltration vs Hepatic nodular hyperplasia vs Inflammatory vs Toxic vs Neoplastic or a combination of these differentials.</t>
  </si>
  <si>
    <t>Consider a cardiology consultation with ECG and echocardiogram to help rule in/out an early LSCHF with +/- oxygen supplementation, pro bnp, BP and lasix trial (prior evaluation of the renal function) with recheck radiographs in 12 hours (or sooner if clinically indicated) to re-evaluate and to monitor the response to treatment. Evaluate then the benefit/need of an empirical treatment of tracheal collapse._x000D_
Consider abdominal US to further evaluate the liver and the urinary tract with renal function test, urinalysis, UPC and urine culture._x000D_
Consider a neuro exam with MRI if necessary.</t>
  </si>
  <si>
    <t xml:space="preserve">Patient Name : Sadie McGoldrick, Date of study: Jul 12, 2024
3 images are provided for review
Canine Abdomen (3 Images) - 2 Lateral, 1 Vd
There are no previous radiographs for comparison.
Liver: The liver is subjectively normal in size.
Spleen: The spleen is normal in size with smooth margins and homogeneous soft tissue.
Kidneys: The left kidney is normal.  The right kidney is partially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admixed with gas.   Gas is suspected in the pylorus in the left lateral image.  The stomach is within normal limits for size.   
The small intestine contains moderate heterogeneous soft tissue material and gas.  In the left lateral image, some segments are rounded and closely associated in the caudoventral abdomen.  Some  small intestinal segments have small ovoid or slightly angular luminal gas foci in the caudal abdomen.  Some small intestinal segments contains mild or moderate gas.  fluid or is empty with a subjectively uniform population for size. A segment of intestine in the right cranial to mid-abdomen contains heterogeneous soft tissue admixed with gas.  This segment may be the ascending colon, or possibly small intestine.  In the ventrodorsal image, the transverse colon contains mild gas.  In the ventrodorsal image, the descending colon contains mild well-defined soft tissue material admixed with gas.  
Musculoskeletal: The included musculoskeletal structures are normal.
</t>
  </si>
  <si>
    <t>1. Suspicious small intestinal segments in the caudoventral abdomen for evolving mechanical ileus and linear foreign body versus enteritis/functional ileus and passing material (ingesta/foreign material), or unlikely other.
2. Gastric material due to recent meal/normal ingesta versus persistent foreign material, with/without gastritis/delayed gastric emptying, or less likely pyloric outflow tract obstruction.</t>
  </si>
  <si>
    <t xml:space="preserve">Especially given reported history, consider confirmation of mechanical ileus with repeat radiographs or ultrasonography of the abdomen.  Empirical therapy and supportive care in the interim as needed for dietary indiscretion.  Consider thoracic radiographs to screen for evolving pneumonia contributing to reported clinical signs.  Routine blood work may be contributory.  If mechanical ileus is confirmed with additional imaging, consider celiotomy and decompression.  </t>
  </si>
  <si>
    <t>WHOLE-BODY (3 total radiographs for review). _x000D_
_x000D_
- Peritoneal serosal detail is normal._x000D_
- The stomach contains mild gas and gas-stippled soft-tissue opaque material_x000D_
- The small intestine contains mild multifocal gas and soft-tissue opaque material_x000D_
- The colon contains gas, soft-tissue/fluid and moderate, mildly dessicated formed fecal material._x000D_
- The liver, spleen, region of the kidneys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normal._x000D_
- No musculoskeletal abnormalities are noted.</t>
  </si>
  <si>
    <t>1.  Radiographically unremarkable abdomen, besides mild constipation.  A discrete cause for the reported clinical signs is not clearly identified.  If clinically indicated, consider abdominal ultrasonography for further investigation._x000D_
_x000D_
2.  Normal thorax.</t>
  </si>
  <si>
    <t xml:space="preserve">
1.Splenic size, shape and margin are normal._x000D_
2.Abdominal detail is normal._x000D_
3.The stomach is moderately gas-distended and the gastric rugae are prominent. The small bowel is diffusely gas- and fluid-filled without segmental small bowel dilation._x000D_
4.Colonic segments are gas filled and have a rigid appearance._x000D_
5.Liver size, shape and margin are normal.</t>
  </si>
  <si>
    <t>Possible soft tissue opacity within the stomach may represent residual ingesta and rugal folds. However, these findings can also be seen with small volume foreign material causing mild gastritis and concurrent, mild colitis. There is no evidence of intestinal obstruction. The AI result for this case is most compelling for: Normal post prandial GI tract</t>
  </si>
  <si>
    <t xml:space="preserve">
Virtual Radiologist Case Difficulty: MODERATE_x000D_
Virtual Radiologist Confidence: MODERATE_x000D_
In a patient with GI signs, supportive care and therapy for gastritis and colitis is recommended. If the symptoms persist, repeat abdominal radiographs following no food for 12-15 hours but with free access to water or IV fluid therapy is recommended. If material persists in the stomach, concern for gastric foreign material increases and an abdominal ultrasound, positive contrast gastrogram, or endoscopy could be considered to assess for gastric foreign material.</t>
  </si>
  <si>
    <t>3 views of the abdomen are provided for review. Serosal detail is adequate. The stomach contains a moderate amount of gas and the rugal folds are prominent. The small intestines are normal in size. Gas is present in the colon. The remaining abdominal organs are normal.</t>
  </si>
  <si>
    <t>Prominent rugal folds suggestive of gastritis. This does not rule out underlying pancreatitis, inflammatory bowel disease, dietary indiscretion, etc.</t>
  </si>
  <si>
    <t>If clinical signs persist with supportive therapy, abdominal ultrasound may be helpful in further evaluation.</t>
  </si>
  <si>
    <t xml:space="preserve">
1.Splenic size, shape and margin are normal._x000D_
2.Liver size, shape and margin are normal._x000D_
3.Abdominal detail is normal._x000D_
4.The stomach contains gas and a small amount of soft tissue density. Loops of small bowel are minimally gas and fluid filled without segmental small bowel dilation.</t>
  </si>
  <si>
    <t>Three radiographs of the thorax/abdomen are provided. Images dated 3/15/23 are available for comparison. The cardiac silhouette is normal size and shape. Pulmonary vessels are normal size. There are no abnormalities in the pulmonary parenchyma. No pleural effusion. Normal tracheal diameter. In the abdomen there is no effusion. The stomach contains a moderate amount of gas, small volume amorphous soft tissue density, and a small accumulation of mineral opaque debris. Small bowel are mildly filled with fluid and scant gas. Small volume formed feces in the distal colon. Several punctate mineral densities in the intestines, similar to gastric contents. No severe intestinal distention. Normal-sized liver, spleen, kidneys. No radiopaque urolithiasis. Normal osseous structures.</t>
  </si>
  <si>
    <t>Gastric contents are unexpected with the history. If the patient has been completely anorexic for over 24 hours, this would be consistent with foreign material, although vomiting is typically present. Otherwise normal abdomen and thorax.</t>
  </si>
  <si>
    <t>Recommend repeat blood work, and a strictly fasted positive contrast gastrogram to rule in/out gastric foreign material.</t>
  </si>
  <si>
    <t xml:space="preserve">
1.No effusion is present._x000D_
2.The liver and spleen are normal size._x000D_
3.No abnormal AI findings reported._x000D_
4.Moderate volume soft tissue opacity and/or gas fills the stomach._x000D_
5.Small intestines are mildly filled with a mixture of fluid and gas._x000D_
6.No segmental small intestinal distention is present.</t>
  </si>
  <si>
    <t xml:space="preserve">Patient Name : Rhody diminico, Date of study: Jul 12, 2024
6 images are provided for review
There are no previous radiographs for comparison.
Pulmonary parenchyma: The pulmonary parenchyma is subjectively normal.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and gas.  The stomach is normal in size.  Gas is in the pylorus in the left lateral image. Gastric rugal folds are mildly prominent.   
The small intestine contains minimal gas and mild fluid or is empty with a subjectively uniform population for size. 
The colon contains mild well-defined soft tissue material and gas. The colon is normal in size.
Bones/Joints:  The T13-L1, L1-2 intervertebral disc spaces are narrowed in the ventrodorsal image.  No obvious mineral is superimposed over the intervertebral foramina.  Apparent L6-7 narrowing in the ventrodorsal image is not corroborate in the lateral image.  
Minimal right coxofemoral joint osteoarthrosis is suspected, with a slight osteophyte at the junction of the femoral head/neck.  The left coxofemoral joint has no obvious osteoarthrosis.  There is adequate coverage of the femoral heads by the acetabulums. The patellas are medially positioned over the distomedial femurs in the craniocaudal image. 
There is no evidence of medullary sclerosis, osteolysis, endosteal scalloping, or periosteal proliferation.
Soft tissues:  A broad-based soft tissue or fat opaque nodule is in the caudoventral extra-thoracic soft tissues.  The remaining included soft tissues are normal.
</t>
  </si>
  <si>
    <t xml:space="preserve">1. Prominent gastric rugal folds from non-specific gastritis or individual variation.
2. Gastric material due to recent meal, versus gastritis/delayed gastric emptying or unlikely pyloric outflow tract obstruction.
3. There is no evidence of small intestinal mechanical ileus.
4. T13-L1  intervertebral disc disease.
5. L1-2 intervertebral disc disease.
6. Minimal right coxofemoral joint osteoarthrosis.
7. Bilateral medial patella luxation on limited stifle evaluation..
8. Caudoventral extra-thoracic soft tissue nodule versus fat opaque structure such as from lipoma or other neoplasm (malignant versus benign) or other.
9. No evidence of intra-thoracic lymphadenomegaly or soft tissue nodules.  </t>
  </si>
  <si>
    <t>Consider routine blood work and abdominal ultrasonography for further evaluation of the gastrointestinal tract given reported clinical signs.  Consider incisional/excisional biopsy of ventral extra-thoracic nodule for a definitive diagnosis.  If this is neoplasia such as mast cell tumor, consider abdominal ultrasonography for further evaluation of the liver/spleen in addition to gastrointestinal tract.  Empirical therapy and supportive care in the interim as needed.  Monitoring as directed, or sooner if clinical signs acutely change, fail to improve or worsen.</t>
  </si>
  <si>
    <t>Seven radiographs of the abdomen are provided. Images dated 11/18/22 are available for comparison. Peritoneal and retroperitoneal detail is adequate. Increased opacity caudal to the stomach on the right lateral view is caused by superimposed kidneys. There is small volume gas in the stomach. Small intestines are diffusely mildly filled with fluid and small volume gas. There is gas in the cecum. Small volume semi-formed feces in the colon. No radiopaque foreign material. The liver, spleen, and kidneys are normal size. The prostate is mildly enlarged and soft tissue opaque, similar to the previous study and consistent with the reproductive status of this patient. No radiopaque urolithiasis. Mild thickened femoral necks bilaterally. Normal caudal thorax.</t>
  </si>
  <si>
    <t>Normal abdomen. Gastroenteritis secondary to dietary indiscretion is suspected. Small radiolucent gastric foreign material causing gastritis and pyloric outflow obstruction is not ruled out. There is no evidence of small bowel obstruction.</t>
  </si>
  <si>
    <t>Consider a positive contrast gastrogram to rule out gastric foreign material. Strictly fasted abdominal ultrasound is another option, as long as there is minimal gas in the stomach at the time of imaging.</t>
  </si>
  <si>
    <t xml:space="preserve">Patient Name : Icy Kirova, Date of study: Jul 12, 2024
3 images are provided for review
There are no previous radiographs for comparison.  Ungloved human digits primary beam.  
Pulmonary parenchyma: A minimal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Thin pleural fissure lines that do not widen in the periphery of the lung are present between the right cranial/middle and right middle/caudal lung lobes.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and gas.    Minimal granular mineral is admixed with gastric material.  
The small intestine contains mild to moderate gas and fluid or is empty with a subjectively uniform population for size. 
The colon contains mild to moderate heterogeneous soft tissue material and gas.
Musculoskeletal: The included musculoskeletal structures are normal.
</t>
  </si>
  <si>
    <t xml:space="preserve">1. Minimal diffuse bronchial pulmonary pattern such as from fibrosis from prior disease, age-related changes, artifact, or infectious/immune-mediated lower airway disease (mycoplasma spp. bordetella spp., lung worms/parasitism or inhaled allergen/irritant) or unlikely other.
2. Minimal pleural fissure lines due to tangential beam artifact, pleural thickening/folding or unlikely other.
3. Gastric material with minimal granular mineral such as from recent meal versus gastritis/delayed gastric emptying or less likely pyloric outflow tract obstruction given lack of vomiting in reported clinical signs.
4. Non-specific small intestinal appearance due to variation of normal/passing ingesta and/or enteritis/functional ileus.
- There is no evidence of small intestinal mechanical ileus.  </t>
  </si>
  <si>
    <t>Consider empirical therapy and supportive care for cough in the interim.  This examination does not rule out occult dynamic airway disease.  Respiratory PCR panel, bronchoscopy/tracheoscopy, airway sampling and fecal analysis/deworming may be contributory.  Routine blood work to screen for occult systemic disease. Monitoring as directed, or sooner if clinical signs acutely change, fail to improve or worsen.</t>
  </si>
  <si>
    <t xml:space="preserve">
1.The liver is at the upper end of normal range for size._x000D_
2.No abnormal AI findings reported._x000D_
3.On the VD projection, the stomach contains a small amount of gas and has slightly prominent rugal folds or a small amount of soft tissue. Additionally, there is a round soft tissue shadow in the region of the splenic head which likely represents superimposition of the spleen and left kidney._x000D_
4.Abdominal serosal detail is normal._x000D_
5.The small bowel is gas filled._x000D_
6.No segmental small bowel dilation is noted to suggest obstruction.</t>
  </si>
  <si>
    <t xml:space="preserve">Patient Name : Zoya Rice, Date of study: Jul 12, 2024
5 images are provided for review
There are no previous radiographs for comparison.
Pulmonary parenchyma: A minimal to mild diffuse bronchial pattern is present.  The lungs are variably hypoinflated in the lateral images.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In the initial right lateral image, a broad-based soft tissue nodule arises from the mid-ventral extra-thoracic soft tissues.  The remaining included musculoskeletal structures are normal.
</t>
  </si>
  <si>
    <t>1. Minimal-mild diffuse bronchial pulmonary pattern.
- Differential diagnoses include infectious/immune-mediated lower airway disease such as from mycoplasma spp., bordetella spp., parasitism, or inhaled allergen/irritant.
2. No evidence of pulmonary soft tissue nodules or intra-thoracic lymphadenomegaly.  
3. Ventral extra-thoracic soft tissue nodule such as from reported possible neoplasia (mast cell tumor) versus other.</t>
  </si>
  <si>
    <t>Consider excisional biopsy of reported cutaneous nodule, with/without computed tomography for pre-surgical planning.  Abdominal imaging and hepatic/splenic tissue sampling, especially if mast cell tumor grade 2 or above is confirmed.  Oncologist consultation may be contributory.  Empirical therapy and supportive care in the interim as needed. Monitoring as directed or sooner if clinical signs acutely change, fail to improve or worsen.</t>
  </si>
  <si>
    <t xml:space="preserve">
1.The liver and spleen are normal._x000D_
2.No abnormal AI findings reported._x000D_
3.There is no effusion._x000D_
4.The stomach contains a small to moderate amount of amorphous soft tissue density._x000D_
5.Small intestines and the colon are minimally filled.</t>
  </si>
  <si>
    <t xml:space="preserve">Patient Name : WRIGLEY Eichhorn, Date of study: Jul 12, 2024
3 images are provided for review
Canine Thorax (3 Images) - 2 Lateral, 1 Vd
Previous images dated [07/05/2024 Case#2703525] are available for comparison.
Pulmonary parenchyma: A mild diffuse bronchial pattern is present.  This is improved compared to prior.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</si>
  <si>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 xml:space="preserve">1. Mild diffuse bronchial pulmonary pattern.
- Differential diagnoses include infectious/immune-mediated lower airway disease such as from mycoplasma spp., bordetella spp., parasitism, or inhaled allergen/irritant, fibrosis from prior disease, ag-related changes, or unlikely other.
2. No obvious evidence of current alveolar pulmonary pattern.  </t>
  </si>
  <si>
    <t>Consider respiratory PCR panel, airway sampling, and fecal analysis/empirical deworming for further evaluation.  Empirical therapy and supportive care in the interim as needed for cough and possible resolving pneumonia given reported history. Monitoring as directed or sooner if clinical signs acutely change, fail to improve or worsen.
(amended on 07/12/2024 11:59)
Consider abdominal imaging and urinalysis if clinically indicated.</t>
  </si>
  <si>
    <t xml:space="preserve">
1.There is smoothly margined, mild hepatomegaly that is causing caudal displacement of the gastric axis._x000D_
2.Splenic size, shape and margin are normal._x000D_
3.Mid-abdominal detail is mildly decreased._x000D_
4.As mentioned above, the stomach is caudally displaced by the mild hepatomegaly. Portions of the colon are gas filled and have a rigid appearance.</t>
  </si>
  <si>
    <t>Orthogonal radiographs of the thorax, and five views of the abdomen are provided. The cardiac silhouette is normal size and shape. The lungs are clear. There is no pleural effusion. Normal tracheal diameter and cranial mediastinal width._x000D_
_x000D_
In the abdomen there is small volume formed feces filling the colon. Small bowel are diffusely mildly fluid filled. There is small volume gas in the stomach, and transiently in the proximal duodenum. No radiopaque gastrointestinal foreign material or severe intestinal distention. Normal-sized liver, spleen, kidneys. The urinary bladder is mild to moderately filled and soft tissue opaque. The prostate is mildly enlarged, consistent with the reproductive status of this patient.</t>
  </si>
  <si>
    <t>Normal thorax and abdomen. A reason for intermittent vomiting is not identified. Gastroenteritis secondary to dietary indiscretion is most likely. Small radiolucent gastric foreign material causing gastritis and pyloric outflow obstruction is not definitively ruled out. There is no evidence of an obstructive process.</t>
  </si>
  <si>
    <t xml:space="preserve">
1.Splenic size, shape and margin are normal._x000D_
2.Abdominal detail is normal._x000D_
3.Liver size, shape and margin are normal._x000D_
4.The stomach contains gas and ingesta or prominent rugae, suggestive of gastritis. The small bowel is diffusely fluid filled but without segmental small bowel dilation.</t>
  </si>
  <si>
    <t xml:space="preserve">Patient Name : Chewy Chambers, Date of study: Jul 11, 2024
8 images are provided for review
There are no previous radiographs for comparison.
Liver: The liver is subjectively normal in size with a sharp, well-defined caudoventral margin that terminates cranial to the 13th ribs.
Spleen: The spleen is normal in size with smooth margins and homogeneous soft tissue.
Kidneys: Left-sided nephroliths are suspected.  The kidneys are subjectively normal in size.
Retroperitoneum: Retroperitoneal detail is adequate.
Urogenital: The urinary bladder is normal in size, homogeneous soft tissue, and smoothly marginated.
Peritoneum: Peritoneal detail is adequate.
Gastrointestinal tract: The stomach contains a mild fluid or is empty.  The stomach is within normal limits for size.
The small intestine contains mild gas, fluid or is empty with a subjectively uniform population for size. 
The colon contains mild heterogeneous soft tissue material and gas.
Bones/Joints:
Mild bilateral coxofemoral joints osteoarthrosis is present. This is characterized by osteophytes at the craniodorsal acetabular rims.    There is subjectively adequate coverage of the femoral heads by the acetabulums.
Mild left stifle osteoarthrosis is present, with osteophytes at the femoral trochlear ridges lateral tibial condyle and fabellae.  The left infrapatellar fat pad is obscured by superimposed normal structures. The included left tarsus, metatarsus and digits are normal.
Mild right stifle osteoarthrosis is present, with osteophytes at the lateral tibial condyle and lateral fabella. The right infrapatellar fat pad is obscured by superimposed normal structures. The included right tarsus, metatarsus and digits are normal.  
Mild right elbow osteoarthrosis is suspected with osteophytes suspected at the radial head and medial coronoid. The right shoulder is normal.  Minimal osteophyte production is suspected at the distomedial margin of the radius and medial margin of the radial carpal bone. The included right metacarpus and digits are normal.
Minimal left elbow osteoarthrosis is suspected with osteophytes suspected at the medial coronoid. The left shoulder is normal.  Minimal osteophyte production is suspected at the distomedial margin of the radius and medial margin of the radial carpal bone. The included left metacarpus and digits are normal. 
There is no evidence of medullary sclerosis, osteolysis, endosteal scalloping, or periosteal proliferation.
Soft tissues:  The right antebrachial soft tissues are moderately circumferentially enlarged compared to the left.  The remaining included soft tissues are normal.
</t>
  </si>
  <si>
    <t xml:space="preserve">1.  Right antebrachial soft tissue swelling such as from strain/sprain injury or less likely other.
- This is consistent with reported recent trauma.
- No obvious right antebrachial fractures are identified.  
2. Mild right elbow osteoarthrosis is suspected.
3. Minimal right antebrachiocarpal joint osteoarthrosis is suspected.
4. Mild right stifle joint osteoarthrosis.
5. Mild bilateral coxofemoral joint osteoarthrosis.
6. Minimal left elbow osteoarthrosis is suspected.
7. Minimal left antebrachiocarpal joint osteoarthrosis is suspected.
8. Mild left stifle joint osteoarthrosis.
9. Suspected left-sided nephroliths.
10. no obvious hepatomegaly is identified.  </t>
  </si>
  <si>
    <t>Consider routine blood work and urine cortisol:creatine ratio to rule-out underlying hyperadrenocorticism and screen for systemic disease if not recently performed.  Abdominal ultrasonography may also be beneficial for further evaluation of the liver and adrenal glands.  Empirical therapy and supportive care as needed in the interim for suspected acute soft tissue injury to the right antebrachium.  Repeat radiographs if clinical signs of right thoracic limb lameness fail to improve or worsen.</t>
  </si>
  <si>
    <t xml:space="preserve">Patient Name : Abby Kent, Date of study: Jul 11, 2024
2 images are provided for review
Canine Abdomen (2 Images) - 1 Lateral, 1 Vd
There are no previous radiographs for comparison.
Liver: The liver is subjectively normal in size.
Spleen: The spleen is normal in size with smooth margins and homogeneous soft tissue.
Kidneys: The right kidney is partially obscured without obvious enlargement or mineral.  The left kidney is normal.
Retroperitoneum: Retroperitoneal detail is adequate.
Urogenital: The urinary bladder is normal in size, homogeneous soft tissue, and smoothly marginated.
Peritoneum: Peritoneal detail is adequate.
Gastrointestinal tract: The stomach contains a mild volume of gas or is empty.  The stomach is within normal limits for size.
The small intestine contains mild gas or minimal fluid, or is empty.  One segment of small intestine in the ventrodorsal image contains gas and mild heterogeneous soft tissue material but subjectively transitions smoothly into the remainder of the intestine.   Overall, the small intestine is subjectively uniform population for size. 
The colon contains minimal soft tissue material and gas.
Musculoskeletal: The presumed T13 vertebra is transitional with thin, hypoplastic ribs.   The L1-2 intervertebral disc space is subjectively narrow.  The remaining included musculoskeletal structures are normal.
</t>
  </si>
  <si>
    <t>1. No obvious urocystoliths are identified.
2. There is no current evidence of gastrointestinal mechanical ileus.
3. Transitional T13 vertebra with thin hypoplastic ribs.  
4. L1-2 intervertebral disc disease.</t>
  </si>
  <si>
    <t>Etiology of the reported clinical signs is not definitively identified.  Consider occult dermatitis versus urethritis/evolving cystitis versus other.  Routine blood work, urinalysis and urine culture/sensitivity testing may be contributory.   Consider abdominal ultrasonography for further evaluation of the urinary bladder versus vaginocystourethrography or computed tomography for further evaluation of the lower urinary tract and remaining urogenital tract.  Empirical therapy and supportive care in the interim as needed.  Monitoring as directed or sooner if clinical signs acutely change, fail to improve or worsen.</t>
  </si>
  <si>
    <t xml:space="preserve">
1.The liver and spleen are normal size._x000D_
2.No abnormal AI findings reported._x000D_
3.Cranial abdominal detail is decreased however this is attributed to a confluence of soft tissues or lack of intra-abdominal fat over mesenteric inflammation and/or abdominal fluid._x000D_
4.A portion of the colon is gas filled and rigid consistent with inflammation._x000D_
5.The small intestines are distended._x000D_
6.The gastric rugae are prominent or the gastric lumen contains soft tissue opaque material mimicking the appearance of prominent gastric rugae.</t>
  </si>
  <si>
    <t>Abdomen: There is a heterogeneous soft tissue opacity associate with the gastric lumen.  There are no abnormalities involving the remainder of the abdominal viscera.  Serosal detail is normal.  There are no abnormalities involving the visible portions of the thorax._x000D_
_x000D_
Thoracolumbar spine: There is no evidence of disc space collapse, lysis, fractures, or malalignment.  Spondylosis deformans is noted at L2-3._x000D_
_x000D_
Pelvis: There are no abnormalities identified.</t>
  </si>
  <si>
    <t>The appearance of the gastric lumen may represent normal ingesta, foreign material, or gas outlining thickened rugal folds.</t>
  </si>
  <si>
    <t>Abdomen: There is a heterogeneous soft tissue opacity associated with the gastric lumen.  There is no evidence of a small intestinal foreign body or obstruction.  The liver and spleen are unremarkable.  There are no abnormalities involving the visible portions of the urinary tract.  Serosal detail is normal.  There are no significant abnormalities involving the visible portions of the thorax.</t>
  </si>
  <si>
    <t>The appearance of the gastric lumen may represent normal ingesta, foreign material, or possible gas outlining thickened rugal folds.</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</si>
  <si>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In the cranioventral abdomen there are some abnormally gas distended bowell loops, too ventral for the normal location of the colon. The rest of the small intestines are mildly gas and fluid filled. Colon is filled with fluid. _x000D_
Serosal detail is decreased._x000D_
Liver and spleen are within normal limits of size and smoothly marginated._x000D_
Kidneys and urinary bladder WNL.</t>
  </si>
  <si>
    <t>1) Unremarkable thorax without signs of pulmonary metastases nor signs of thoracic lymphadenopathy._x000D_
2) Changes in the small intestines concerning for a mechanical ileus. Given the age and history of the patient, main rule out is a neoplasm. Rule out scant effusion vs poor serosal detail due to a thin body condition.</t>
  </si>
  <si>
    <t>Consider abdominal US to further evaluate causes of vomition/regurgitation, weight loss and anemia.</t>
  </si>
  <si>
    <t>Study:_x000D_
Thoracic/abdominal radiography: three images dated July 11, 2024_x000D_
_x000D_
Findings:_x000D_
The cardiac silhouette is normal in size and shape. The pulmonary vasculature is normal in size The pulmonary parenchyma is unremarkable. The pleural space is normal. There is no intrathoracic lymphadenopathy. The larynx is normal. There is a broad-based soft tissue opaque band superimposed with the dorsal aspect of the trachea lumen at the thoracic inlet on the left lateral view representing other redundant dorsal tracheal membrane or superimposition of the esophagus. The trachea is normal in diameter and course.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unremarkable._x000D_
_x000D_
Human digits are present inside and just outside the primary beam on the right lateral view.</t>
  </si>
  <si>
    <t>1. Normal thorax. There is no radiographic evidence of heart disease. Consider echocardiography and ECG for further evaluation of the reported syncopal episodes._x000D_
2. Normal diameter of the trachea does not exclude the possibility of dynamic airway disease. Fluoroscopy can be considered to further evaluate for possible tracheal collapse._x000D_
3. Normal abdomen.</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</si>
  <si>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(old rib fracture in the right 7th rib) within normal limits._x000D_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_x000D_
Visible spine is unremarkable without signs of disc herniation, aggressive bone lesions, vertebral fractures or subluxations._x000D_
Unremarkable pelvis.</t>
  </si>
  <si>
    <t xml:space="preserve">
1.The stomach is mildly gas and fluid filled with some soft tissue density material. The small bowel is gas and fluid-containing. No obvious obstruction._x000D_
2.No abnormal AI findings reported._x000D_
3.The liver is enlarged._x000D_
4.The spleen and abdominal serosal detail are within normal limits.</t>
  </si>
  <si>
    <t>WHOLE-BODY (3 total radiographs for review).  Compared to previous examination from 2023._x000D_
_x000D_
- Peritoneal serosal detail is normal._x000D_
- The liver is mildly enlarged, with rounded margins._x000D_
- The stomach contains moderate, mixed, irregular and gas-stippled soft-tissue opaque material_x000D_
- The small intestine contains mild multifocal gas and soft-tissue opaque material_x000D_
- The colon contains gas, soft-tissue/fluid and minimal formed fecal material._x000D_
- The spleen, region of the kidneys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normal._x000D_
- No musculoskeletal abnormalities are noted.</t>
  </si>
  <si>
    <t>1. Moderate gastric material may be food, foreign material or a combination of both. There is irregular material visualized that suggests at least some of the gastric contents may be from dietary indiscretion. You may consider fasting (12-24h) and rechecking the abdominal radiographs to evaluate the appearance of the material in the stomach over time._x000D_
_x000D_
2. Mild hepatomegaly. Most likely vacuolar (metabolic) hepatopathy. Hepatic congestion, hepatitis or neoplasia are less likely, but possible._x000D_
_x000D_
3. Normal thorax.</t>
  </si>
  <si>
    <t xml:space="preserve">Patient Name : Maxx Lowey, Date of study: Jul 11, 2024
1 images are provided for review
Canine Thorax (1 Images) - 1 Lateral
There are no previous radiographs for comparison.
Pulmonary parenchyma: A mild diffuse bronchial pattern is present.
Pulmonary vasculature: The pulmonary vasculature is subjectively normal in size and tapers in the periphery of the lungs.
Cardiac silhouette: The caudodorsal margin of the cardiac silhouette is slightly flat.
Mediastinum: The cranial mediastinum is normal.
Trachea: The trachea is normal.
Esophagus: The esophagus is not well-identified.
Pleural space: The pleural space is normal.
Musculoskeletal: The included musculoskeletal structures are normal.
</t>
  </si>
  <si>
    <t xml:space="preserve">1. Mild diffuse bronchial pulmonary pattern.
- Differential diagnoses include infectious/immune-mediated lower airway disease such as from mycoplasma spp., bordetella spp., parasitism, or inhaled allergen/irritant, or unlikely fibrosis from prior disease, age-related changes, or other.
- No current evidence of alveolar pattern/pneumonia on limited evaluation.  
2. Mild left-atrial enlargement versus artifact from the phase of the cardiopulmonary cycle and patient positioning.
- If present, consider evolving myxomatous mitral valvular disease.
- There is no current evidence of left-sided congestive heart failure.  </t>
  </si>
  <si>
    <t>Consider respiratory PCR panel, airway sampling, and fecal analysis/deworming for further evaluation.  Echocardiography, ECG and blood pressure especially if a murmur is present.  Abdominal imaging and routine blood work for further evaluation of reported chronic vomiting.  Monitoring as directed or sooner if clinical signs acutely change, fail to improve or worsen.</t>
  </si>
  <si>
    <t>Orthogonal radiographs of the thorax, lateral abdomen, VD pelvis, and orthogonal views of the distal right pelvic limb are provided. The cardiac silhouette and pulmonary vessels are normal size. There is a mild bronchial pattern throughout the lungs. A severe interstitial pattern in the caudal segment of the left cranial lung lobe on the VD projection, possibly overlying the craniodorsal heart on the lateral view. No pleural fluid or gas. No rib fractures. Reduced size of the 4th sternal segment, with mild dorsal subluxation of the segment is likely incidental. The diaphragm is intact. No pleural fluid or gas. Normal proximal thoracic limbs. On the lateral view, there is lucency and adjacent sclerosis overlying the vertebral endplates at T6-7._x000D_
_x000D_
In the abdomen there is no peritoneal or retroperitoneal effusion. The gastrointestinal tract is mildly filled. There is a smoothly marginated round stippled mineral opaque 2.5 cm calculus in the urinary bladder. The gastrointestinal tract is mildly filled. No medial iliac lymphadenomegaly is appreciated. Smoothly marginated 0.7 cm metal opaque pellet overlying the caudal ventral abdomen is likely incidental today. No organomegaly. Suspect focal lysis and irregular endplates at T13-L1 and L7-S1. The right femur is craniodorsally displaced with respect to the acetabulum. No coxofemoral joint fractures. There is a diagonal lucency in the left ilium, immediately caudal to the sacroiliac joint. The sacroiliac joint is congruent. The left coxofemoral joint is congruent. There are several thin curved lucencies in the right pelvis, immediately caudal to the acetabulum. There is focal area of increased opacity overlying the medial aspect of the left ischial table, consistent with superimposed fracture fragments. Faint lucency overlying the medial aspect of the left pubis on the VD view. Patellar location is normal. On the isolated right pelvic limb view, there is large volume soft tissue density overlying the cranial aspect of the right stifle joint, with poor visibility of the infrapatellar fat pad. There is no evidence of right stifle effusion on the edge of the VD pelvis view. Severe soft tissue swelling encircling the right tibiotarsal joint, and in the digits of the right pelvic limb. No distal pelvic limb fractures or subluxation is appreciated.</t>
  </si>
  <si>
    <t>1. Right coxofemoral luxation. Increased opacity overlying the right stifle joint is likely superimposed swelling. There is no convincing evidence of joint effusion on the edge of the VD pelvis view. Distal right pelvic limb soft tissue swelling, with no additional fracture or subluxation appreciated._x000D_
2. Incomplete/nondisplaced left ilial wing/body fracture, right and left ischial fractures with probable left pubic fracture. _x000D_
3. Probable pulmonary contusions in the caudal segment of the left cranial lung lobe. Aspiration pneumonia is next on the differential list._x000D_
4. Highly suspect discospondylitis at T6-7, T13-L1, L7-S1. Artifact caused by superimposed spondylosis deformans is next on the differential list._x000D_
5. Cystic calculus, of a size that is too large to pass successfully.</t>
  </si>
  <si>
    <t>Recommend urinalysis with culture (as discospondylitis is suspected), right coxofemoral luxation reduction, medical support to include antibiotics for potential aspiration pneumonia, anti-inflammatories, and pain management as needed. As the left ilial fracture appears to be incomplete, surgical stabilization may not be necessary.</t>
  </si>
  <si>
    <t xml:space="preserve">
1.The liver is mildly enlarged but with smooth margins. No liver mass is noted._x000D_
2.Splenic size, shape and margin are normal._x000D_
3.The stomach is normal. The small bowel contains gas and fluid but no segmental small bowel dilation is noted._x000D_
4.Abdominal detail is normal however the abdomen is mildly pendulous.</t>
  </si>
  <si>
    <t>Study:_x000D_
Abdominal radiography: five images dated July 5, 2024_x000D_
_x000D_
Findings:_x000D_
On the lateral projection timestamped 3:31 PM, there are mild indistinct ill-defined wispy soft tissue opacities superimposed with the fat of the caudal ventral abdomen. The stomach contains minimal gas. The small intestines are normal in size, course and content. The colon contains gas and formed fecal material. The liver and spleen are normal in size and margin. The kidneys are normal in size and contour. The urinary bladder is normal in size and opacity. The included thorax is normal. No skeletal abnormalities are present.</t>
  </si>
  <si>
    <t>Study:_x000D_
Thoracic and abdominal radiography: five images dated July 11, 2024_x000D_
_x000D_
Findings:_x000D_
There is moderate left ventricular and left atrial enlargement. The pulmonary vasculature is normal in size. The pulmonary parenchyma is unremarkable. The pleural space is normal. There is no intrathoracic lymphadenopathy. The larynx is unremarkable. The trachea is normal in diameter. There is no lobar bronchi narrowing. The stomach contains a small volume of gas. The small intestines are normal in size, course and content. The colon contains formed fecal material. The liver extends mildly beyond the costal arch with smooth margins. The spleen is normal in size and margin. The kidneys are normal in size and contour. The urinary bladder is normal in size and opacity. There is mild T 11-T 12, L3-L4 and L7-S1 spondylosis deformans. Mild periarticular bone formation is present at the caudodistal aspect the humeral head bilaterally. There is mild bilateral stifle periarticular bone formation. The patient is of obese body condition. There is a cutaneous soft tissue opaque nodule along the right cranioventral abdomen. This lesion is superimposed with the liver on the VD views giving the false impression of a cholelith.</t>
  </si>
  <si>
    <t>1. Moderate left-sided cardiomegaly, suggestive of mitral valve disease, without evidence of decompensation. Echocardiography should be considered for further evaluation._x000D_
2. A cause of coughing is not evident. Lack of a definitive bronchial pulmonary pattern does not exclude the possibility of allergic/inflammatory, infectious, irritant or parasitic bronchitis. Normal diameter of the trachea does not exclude the possibility of dynamic airway disease. Fluoroscopy, airway sampling plus/minus heartworm testing and Baermann fecal flotation can be considered for further evaluation of the reported coughing._x000D_
3. The generalized hepatomegaly is nonspecific. Rule out metabolic/vacuolar hepatopathy, hyperplasia, hepatitis or infiltrative neoplasia. Sonography can be considered for further evaluation._x000D_
4. Mild bilateral shoulder and stifle osteoarthrosis.</t>
  </si>
  <si>
    <t xml:space="preserve">
1.The abdomen is pendulous but abdominal detail is normal._x000D_
2.Small-volume amorphous soft tissue ingesta within the stomach._x000D_
3.The spleen is normal size._x000D_
4.The liver extends slightly beyond the costal arch but maintains sharp margins and there is no deviation of the gastric axis._x000D_
5.Small intestines are mildly filled._x000D_
6.Formed feces fills the colon.</t>
  </si>
  <si>
    <t>Patient Name: Carly Davis, Date of study: July 11, 2024.
Abdomen: 4 images are provided for review (3 lateral, 1 VD).
There are no previous radiographs for comparison.
Findings:
Gastrointestinal tract: The stomach is mildly distended with gas and frothy/wispy soft tissue opacity. The rugal folds in the stomach are prominent. A gastric foreign body is not identified. The small intestine is diffusely within normal limits of diameter and is primarily soft tissue opaque. The cecum is gas-filled and normal in size and position. The colon is predominantly soft tissue opaque with a focus of gas in the descending portion.
Liver: The liver is normal in size and shape.
Spleen: The spleen is unremarkable.
Urinary: The kidneys are normal in size, shape, and margination. The urinary bladder is small in size and normal in opacity.
Peritoneal space: There is adequate serosal detail.
Musculoskeletal: The included skeletal and superficial soft tissue structures of the study are within normal limits.</t>
  </si>
  <si>
    <t>1. There is no evidence of a small intestinal mechanical obstruction. There is no evidence of mineral/metal opaque foreign material.
2. The prominent rugal folds of the stomach are supportive of gastritis. 
3. Differentials for vomiting and diarrhea include gastroenteritis and colitis (toxic, infectious/inflammatory).</t>
  </si>
  <si>
    <t>Empirical therapy for gastroenteritis/colitis is recommended. If not already performed a fecal analysis and GI panel could be considered. An abdominal ultrasound may be contributory if clinical signs persist despite treatment.</t>
  </si>
  <si>
    <t>WHOLE-BODY (6 total radiographs for review).  A previous examination is available for comparison from 2022._x000D_
_x000D_
- The cervical vertebrae and cervicothoracic junction are normal._x000D_
- The thoracic vertebrae and thoracolumbar junction are normal._x000D_
- At L3-4, there is ill-defined mineral opaque material superimposed over the vertebral canal._x000D_
- The lumbosacral junction is normal._x000D_
- The sacrum and sacroiliac joints are normal._x000D_
- The pelvic bones are normal._x000D_
- The coxofemoral joints are normal._x000D_
- The included portions of the proximal pelvic limbs are normal._x000D_
- There is a large degree of cranial mediastinal fat deposition._x000D_
- The abdominal structures are normal.</t>
  </si>
  <si>
    <t>1. A discrete spinal cause for the reported clinical signs is not clearly identified. There is a possible chronic/prior disc extrusion at L3-4 however it=ZZ91=s clinical significance is uncertain. Radiographic sensitivity for soft-tissue lesions affecting the spine can be limited. There are no fractures, luxations, discospondylitis or aggressive bone lesions noted. If clinically indicated (such as if the patient does not improve or worsens despite medical management and exercise modification), consultation with a veterinary neurologist and/or advanced imaging of the spine (e.g. CT or MRI) might be considered.</t>
  </si>
  <si>
    <t>Study:_x000D_
Abdominal radiography: three images dated July 11, 2024_x000D_
_x000D_
Findings:_x000D_
The serosal detail is normal. The stomach contains a small volume of gas. The thickness of the gastric wall rugae is within normal limits for the degree of gastric distention. The small intestines are normal in size, course and content. The colon contains formed fecal material. The liver and spleen are normal in size and margin. The kidneys are normal in size and contour. The urinary bladder is normal in size and opacity. The urinary bladder is normal in size and opacity. No mineral opaque calculi are present in the bladder or included region of the urethra. The included thorax is normal. The T 13 vertebra is transitional with bilateral hypoplastic ribs. There is mild T 10-T 11 spondylosis deformans.</t>
  </si>
  <si>
    <t>Unremarkable abdomen. Test negative for urocystolithiasis.</t>
  </si>
  <si>
    <t xml:space="preserve">
1.Abdominal detail is normal._x000D_
2.The stomach is normal. The small bowel is diffusely gas- and fluid-filled without segmental small bowel dilation._x000D_
3.Splenic size, shape and margin are normal._x000D_
4.Mild microhepatia is present on the VD projection, either due to the appearance or cropping of the cranial aspect of the liver on the VD projection. However, true microhepatia is not suspected based on the lateral projection.</t>
  </si>
  <si>
    <t>ABDOMEN (3 radiographs for review). _x000D_
_x000D_
- Peritoneal serosal detail is normal, however the patient has a lean body condition and reduced peritoneal fat for contrast._x000D_
- The stomach contains mild gas and homogenous soft tissue/fluid.  The gastric rugal folds are prominent._x000D_
- The small intestine is mildly diffusely distended with soft tissue/fluid and contains a small volume of gas._x000D_
- The colon contains gas, soft-tissue/fluid and minimal formed fecal material, as well as a small mineral opaque focus in the descending colon._x000D_
- The liver, spleen, region of the kidneys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normal._x000D_
- No musculoskeletal abnormalities are noted.</t>
  </si>
  <si>
    <t>1. The appearance of the stomach, small intestine and colon can be compatible with a combination of aerophagia and non-specific generalized functional ileus (e.g. gastroenterocolitis). There is no evidence of small intestinal foreign material or mechanical obstruction. If clinically indicated (such as if the patient does not improve or worsens despite medical management), abdominal ultrasonography might be considered._x000D_
_x000D_
2. Tiny mineral foreign body in the descending colon._x000D_
_x000D_
3. Normal thorax</t>
  </si>
  <si>
    <t>Study:_x000D_
Thoracic radiography: three images dated July 4, 2024_x000D_
_x000D_
Findings:_x000D_
The cardiac silhouette and pulmonary vasculature are normal in size. The pulmonary parenchyma is unremarkable. The pleural space is normal. There is no intrathoracic lymphadenopathy. On the right lateral view timestamped 3:56 PM, there is dilation and retraction of the larynx. On the right lateral view timestamped 3:45 PM, there is an indistinct broad-based soft tissue opaque band superimposed with the cervical trachea lumen representing either a redundant dorsal tracheal membrane or superposition of the esophagus. The trachea is normal in diameter and course. The included abdomen is unremarkable. No skeletal abnormalities are present.</t>
  </si>
  <si>
    <t>1. The dilation retraction of the larynx is a nonspecific finding. This finding to be secondary to laryngeal dysfunction, dynamic airway disease, nasal disease or chronic lower airway disease._x000D_
2. Unremarkable thorax. There is no radiographic evidence of cardiopulmonary disease.  A cause of coughing is not evident. Lack of a definitive bronchial pulmonary pattern does not exclude the possibility of allergic/inflammatory, infectious, irritant or parasitic bronchitis. Normal diameter of the trachea does not exclude the possibility of dynamic airway disease.</t>
  </si>
  <si>
    <t>Fluoroscopy, sedated laryngeal exam, airway sampling plus/minus heartworm testing and Baermann fecal flotation can be considered for further evaluation of the reported coughing.</t>
  </si>
  <si>
    <t xml:space="preserve">
1.The liver is mildly enlarged but retains a smooth margin._x000D_
2.Abdominal detail is normal._x000D_
3.The small bowel is diffusely gas- and fluid-filled without segmental small bowel dilation._x000D_
4.The stomach contains a small amount of gas._x000D_
5.Splenic size, shape and margin are normal.</t>
  </si>
  <si>
    <t>Study:_x000D_
Thoracic and abdominal radiography: nine images dated July 11, 2024_x000D_
_x000D_
Findings:_x000D_
The cardiac silhouette and pulmonary vasculature are normal in size. A mild to moderate alveolar pattern is present in the right cranial lung lobe. The pleural space is normal. There is no intrathoracic lymphadenopathy. The larynx is unremarkable. The trachea is normal in diameter and course. There is mild gas dilation of the esophagus. The stomach contains minimal gas. The small intestines are normal in size, course and content. The colon contains formed fecal material. The liver and spleen are normal in size and margin. The kidneys are normal in size and contour. The urinary bladder is normal in size and opacity. There is no prostatomegaly. The osseous structures are unremarkable/age appropriate.</t>
  </si>
  <si>
    <t>1. The alveolar pattern in the right cranial lung lobe likely indicates aspiration pneumonia._x000D_
2. The mild gas dilation of the esophagus could be secondary to aerophagia or may indicate an esophageal motility disorder given the history of regurgitation._x000D_
3. Unremarkable abdomen. There is no radiographic evidence of gastrointestinal foreign material or small intestinal mechanical obstruction.</t>
  </si>
  <si>
    <t>Recommend empiric antibiotic therapy for pneumonia with repeat radiography in 10 to 14 days to monitor for response to treatment. The dilation of the esophagus should be monitored on the recheck study. Abdominal sonography and an esophagogram can be considered for further evaluation of the regurgitation persists in spite of medical management.</t>
  </si>
  <si>
    <t>Patient Name: Mystery Ortega, Date of study: July 11, 2024._x000D_
Canine Abdomen (3 Images) - 2 Lateral, 1 VD._x000D_
There are no previous radiographs for comparison._x000D_
_x000D_
Findings:_x000D_
Gastrointestinal tract: The stomach is mildly distended with heterogeneous ingesta admixed with gas. This is most consistent with a recent meal. The small intestine is diffusely within normal limits of diameter and distribution. The colon contains a small volume of feces and gas._x000D_
Liver: The liver is within normal limits of size and shape._x000D_
Spleen: The spleen is normal in size and has smooth margins._x000D_
Urinary: The urinary bladder is mildly distended and normal in opacity. The visible margins of the kidneys are within normal limits. There is no evidence of mineral opaque urinary calculi._x000D_
Peritoneal space: There is adequate serosal detail._x000D_
_x000D_
Musculoskeletal: There is reduced coverage of the right and left femoral heads. There is moderate periarticular osseous proliferation which thickens the right and left femoral necks.</t>
  </si>
  <si>
    <t>1. The urinary system is radiographically unremarkable. There is no evidence of mineral opaque urinary calculi. A congenital anomaly cannot be excluded._x000D_
2. The gastrointestinal tract is most consistent with a postprandial appearance. There is no evidence of a small intestinal mechanical obstruction or mineral/metal opaque foreign body._x000D_
3. Bilateral hip dysplasia with moderate osteoarthrosis.</t>
  </si>
  <si>
    <t>As planned a urinalysis with culture and sensitivity are recommended. If clinical signs persist, an abdominal ultrasound could be considered for further evaluation. If not recently performed and a CBC, biochemistry, and cPL may be contributory.</t>
  </si>
  <si>
    <t xml:space="preserve">
1.The small bowel is gas filled._x000D_
2.No segmental small bowel dilation is noted to suggest obstruction._x000D_
3.Abdominal serosal detail is normal._x000D_
4.The liver is at the upper end of normal range for size._x000D_
5.No abnormal AI findings reported._x000D_
6.On the VD projection, the stomach contains a small amount of gas and has slightly prominent rugal folds or a small amount of soft tissue. Additionally, there is a round soft tissue shadow in the region of the splenic head which likely represents superimposition of the spleen and left kidney.</t>
  </si>
  <si>
    <t>Orthogonal radiographs of the abdomen are provided. There is no peritoneal or retroperitoneal effusion. The stomach contains small volume of fluid and gas. Small intestines are diffusely mildly filled with fluid, gas, and scant stippled soft tissue density. There is small-volume semi-formed feces in the cecum and colon. Punctate mineral density in the proximal colon is likely incidental. No other evidence of radiopaque foreign material. Normal-sized liver and spleen. The kidneys are incompletely visible. Osseous structures are normal for a young patient.</t>
  </si>
  <si>
    <t>Normal abdomen. There is no evidence of an obstructive process. Gastroenteritis secondary to dietary indiscretion is most likely. Small radiolucent gastric foreign material is not definitively ruled out.</t>
  </si>
  <si>
    <t>Recommend supportive care. If the patient does not rapidly improve, options include either a positive contrast gastrogram or strictly fasting abdominal ultrasound, as long as there is minimal gas in the stomach at the time of imaging.</t>
  </si>
  <si>
    <t xml:space="preserve">
1.The stomach contains small volume gas and scant amorphous soft tissue density material. The small bowel is normal._x000D_
2.Liver size, shape and margin are normal._x000D_
3.Splenic size, shape and margin are normal._x000D_
4.Abdominal detail is normal.</t>
  </si>
  <si>
    <t>A three view thoracoabdominal study is provided for interpretation._x000D_
_x000D_
There is a moderately defined mass in the left caudal dorsal lung that has mild to moderate internal cavitation with gas. Lung parenchyma surrounding this mass is similar to the rest of the lung, which is a mild increase in bronchial markings in bronchial mineralization within the limits of age related change. No thoracic lymphadenopathy or pleural effusion is seen. No tracheal abnormalities are identified._x000D_
The shape of the heart is consistent with mild left atrial dilation, although aside from this contour change at the caudal heart base overall heart size is within normal limits. Pulmonary vessels are normal._x000D_
_x000D_
The abdominal organs are within normal size and shape limits. No abnormalities are identified involving the GI tract. No mass lesions or loss of detail are seen._x000D_
_x000D_
There is severe disc space narrowing and moderate spondylosis at T12-T13. No destructive bone lesions are seen.</t>
  </si>
  <si>
    <t>There is a left caudal lobe pulmonary mass in the caudal dorsal lung. The mass measures approximately 3 x 5 cm, not accounting for radiographic magnification. There is a gas pocketing within the mass._x000D_
_x000D_
Primary rule outs for this lesion include primary lung tumor with internal necrosis vs. pulmonary abscess vs. granuloma secondary to infectious disease such as fungal disease._x000D_
Neoplasia is more likely, but abscess should be ruled out due to the gas pocketing within the lesion. An aspirated foreign body such as a grass awn should be ruled out as a predisposing factor._x000D_
_x000D_
There is mild left atrial dilation. Chronic mitral regurgitation is likely responsible for the heart murmur, but is not suspected to be associated with the coughing.</t>
  </si>
  <si>
    <t>Bronchoscopy is recommended for definitive diagnosis._x000D_
If this is not an option, this lesion is likely accessible for imaging and sampling with ultrasound._x000D_
CBC and serum chemistry is recommended.</t>
  </si>
  <si>
    <t xml:space="preserve">
1.No abnormal AI findings reported._x000D_
2.The liver and spleen are within normal limits for size with smooth margins._x000D_
3.Abdominal detail is within normal limits._x000D_
4.The stomach is within normal limits. The small bowel is gas- and fluid-filled without segmental small bowel dilation or signs of obstruction.</t>
  </si>
  <si>
    <t>Four radiographs of the abdomen are provided. Images dated July 9, 2024 were reviewed for comparison. Peritoneal and retroperitoneal detail remains adequate. There is scant gas and equivocal scant amorphous soft tissue density in the stomach. Small intestines are minimally filled with fluid and gas. Small volume gas and scant formed feces in the colon. No radiopaque foreign material. Normal-sized liver, spleen, kidneys. The urinary bladder is not definitively seen. Small volume gas in the caudal esophagus is transient and incidental.</t>
  </si>
  <si>
    <t>The appearance of the stomach is most likely collapsed rugal folds +/- scant residual ingesta. Small radiolucent gastric foreign material is very unlikely in the absence of persistent vomiting. Otherwise normal abdomen. Resolving gastroenteritis is suspected.</t>
  </si>
  <si>
    <t>If the patient does not continue to improve, strictly fasting abdominal ultrasound would be recommended. An upper GI series is a 2nd option.</t>
  </si>
  <si>
    <t>A two view study of the abdomen is provided for interpretation._x000D_
_x000D_
No foreign bodies are seen in the GI tract. No dilation of the stomach or intestine is identified. Abdominal serosal detail is normal. The organs are within normal size and shape limits. A gas bubble is suspected in the caudal esophagus in the lateral view. The caudal thorax is otherwise unremarkable._x000D_
Multiple congenital vertebral deformities are present involving the caudal thoracic spine. L3 is also a wedge hemivertebra.</t>
  </si>
  <si>
    <t>No significant abdominal abnormalities are identified. There is no visible foreign body or obstructive pattern._x000D_
Gastroenteritis is suspected. Toxin ingestion or infectious causes should be ruled out.</t>
  </si>
  <si>
    <t>Supportive care and symptomatic therapy for hemorrhagic gastroenteritis is recommended.</t>
  </si>
  <si>
    <t>A three view study of the abdomen is provided for interpretation._x000D_
_x000D_
There is a mild regional reduction in serosal detail in the caudal ventral abdomen ventral to the descending colon. Detail elsewhere the abdomen is normal. No foreign bodies are identified in the GI tract. There is no dilation of the stomach or intestine. No intestinal plication is seen. The other abdominal organs are within normal limits.</t>
  </si>
  <si>
    <t>The slightly reduced regional caudal abdominal detail is a subtle change. This patient has somewhat thin body condition overall so artifactual causes cannot be entirely excluded. However, the appearance is still more prominent than expected in spite of body condition and considering the lethargy early peritonitis should still be ruled out.</t>
  </si>
  <si>
    <t>CBC and serum chemistry is recommended._x000D_
Ultrasound of the abdomen is recommended._x000D_
_x000D_
If ultrasound is not an option, recheck radiographs are recommended in 24 hours, or sooner if patient condition declines.</t>
  </si>
  <si>
    <t xml:space="preserve">
1.Splenic size, shape and margin are normal._x000D_
2.Resouce: https://platform.v2.vetology.net/doc/liver_disease_x000D_
3.Mild microhepatia is present with cranial positioning to the gastric axis._x000D_
4.Abdominal detail is normal._x000D_
5.The stomach contains a mild to moderate volume of gas and soft tissue material. The gastric axis is cranially positioned due to the microhepatia._x000D_
6.The small bowel is diffusely gas- and fluid-filled without segmental small bowel dilation._x000D_
7.The colon contains mild to moderate heterogeneous soft tissue material and gas.</t>
  </si>
  <si>
    <t>3 views of the abdomen are provided for review.  Serosal detail is adequate in all quadrants.  The stomach contains a small amount of gas and the rugal folds are prominent.  The small intestines are normal in size.  Gas is present in the colon.  The urinary bladder is small.  No mineral is seen associated with the urinary tract.  The remaining abdominal organs are normal.</t>
  </si>
  <si>
    <t xml:space="preserve">
1.No abnormal AI findings reported._x000D_
2.No abnormal AI findings reported._x000D_
3.The small intestines are otherwise a combination of gas-filled and fluid-filled/collapsed, and all are within normal limits for diameter._x000D_
4.The liver, spleen, and abdominal serosal detail are all within normal limits.</t>
  </si>
  <si>
    <t>Four radiographs of the thorax/abdomen are provided. The cardiac silhouette is normal size and shape. No abnormalities in the pulmonary parenchyma or pleural space. Adequate tracheal diameter. In the abdomen there are large tubular fluid dilated structures in the caudal ventral abdomen on either side. Serosal detail is mildly reduced. The gastrointestinal tract is mildly filled and no radiopaque foreign material is present. There is small volume fluid in the distal colon. On the lateral views there is the appearance of a round 7.5 cm soft tissue opacity in the caudal ventral abdomen. The only curved soft tissue structure in the caudal abdomen on the VD views is the urinary bladder. The liver is prominent with smooth margins. Normal size spleen and kidneys. Osseous structures are unremarkable.</t>
  </si>
  <si>
    <t>1. Fluid dilated uterus most consistent with pyometra. Mucometra, hydrometra, early pregnancy are given much lesser consideration today._x000D_
2. Round soft tissue opacity in the caudoventral abdomen is most likely summating fluid dilated uterus and urinary bladder. A mass lesion such as originating from the spleen is given secondary consideration._x000D_
3. Liquid diarrhea, otherwise no gastrointestinal abnormalities are appreciated._x000D_
4. Mild hepatomegaly, a nonspecific finding that may be steroid or other hepatopathy, acute inflammation, or least likely neoplasia._x000D_
5. Normal thorax.</t>
  </si>
  <si>
    <t>Surgical intervention for pyometra is recommended.</t>
  </si>
  <si>
    <t xml:space="preserve">Patient Name : Dylan Oakman, Date of study: Jul 11, 2024
1 images are provided for review
Canine Thorax (1 Images) - 1 Lateral  Single image limits evaluation.  
Prior images dated June 14, 2024 and previous are available.
Pulmonary parenchyma: A minimal to mild diffuse bronchial pattern is present.
Pulmonary vasculature: The pulmonary vasculature is subjectively normal in size and tapers in the periphery of the lungs.
Cardiac silhouette: The cardiac silhouette is mildly tall and occupies 2/3 the height of the thorax.  The trachea id dorsally displaced.
Mediastinum: The cranial mediastinum is normal.
Trachea: The trachea is normal.
Esophagus: The esophagus is not well-identified.
Pleural space: The pleural space is normal.
Musculoskeletal: The included musculoskeletal structures are normal.
Cranial abdomen:  Multiple mineral foci over the liver, unchanged from prior.  </t>
  </si>
  <si>
    <t>1. Equivocal left ventricular enlargement versus artifact from patient positioning/phase of the cardiopulmonary cycle.
- If present consider myxomatous mitral valvular disease and insufficiency.
- There is no evidence of congestive heart failure.
2. Minimal to mild diffuse bronchial pulmonary pattern due to fibrosis from prior disease, age-related changes, infectious/immune-mediated lower airway disease, or unlikely other.</t>
  </si>
  <si>
    <t>Echocardiography, ECG and blood pressure for further evaluation, as well as routine blood work and urinalysis if not recently performed.  Consider respiratory PCR panel, airway sampling, and fecal analysis/deworming for further evaluation of the lower airways.  Abdominal imaging for further evaluation of the liver/gallbladder.  Empirical therapy and supportive care in the interim as needed.  Monitoring as directed, or sooner if clinical signs acutely change, fail to improve or worsen.</t>
  </si>
  <si>
    <t xml:space="preserve">
1.Splenic size, shape and margin are normal._x000D_
2.Abdominal detail is normal however the abdomen is mildly pendulous._x000D_
3.The liver is mildly enlarged but with smooth margins. No liver mass is noted._x000D_
4.The stomach is normal. The small bowel contains gas and fluid but no segmental small bowel dilation is noted.</t>
  </si>
  <si>
    <t>Study:_x000D_
Abdominal radiography: three images dated July 11, 2024_x000D_
_x000D_
Findings:_x000D_
The stomach contains a small amount of heterogeneous soft tissue material. Granular soft tissue material scattered throughout the small intestines. The small intestines are normal in size and course. The colon is mildly dilated with a large amount of formed fecal material. The liver and spleen are normal in size and margin. The renal silhouettes are normal in size and contour. The urinary bladder is normal in size and opacity. The included thorax is normal. The osseous structures are unremarkable.</t>
  </si>
  <si>
    <t>Gastrointestinal contents likely represent ingesta. Foreign material cannot be completely excluded. The large amount of stool in the colon may indicate constipation but should be correlated with patients recent defecation history. There is no evidence of mechanical obstruction. Repeat fasted radiography can be considered to ensure gastrointestinal emptying. Alternatively, sonography can be considered if clinical signs persist or worsen in spite of medical management.</t>
  </si>
  <si>
    <t>Three radiographs of the abdomen are provided. There is small volume amorphous soft tissue density filling the stomach. Small intestines are mild to moderately filled with gas and small volume soft tissue density. There is gas in the cecum and small volume of formed feces in the colon. No severe intestinal distention or radiopaque foreign material is appreciated. Normal-sized liver, spleen, kidneys. No radiopaque cystic calculi. Normal caudal thorax.</t>
  </si>
  <si>
    <t>Normal postprandial abdomen. Gastric contents appears to be normal ingesta. Foreign material is not definitively ruled out. There is no evidence of small bowel obstruction.</t>
  </si>
  <si>
    <t>Recommend supportive care and repeat abdominal radiographs following a confirmed fast +/- positive contrast gastrogram to rule out gastric foreign material. Abdominal ultrasound is another option, as long as the patient has been strictly fasted and there is minimal gas in the stomach at the time of imaging.</t>
  </si>
  <si>
    <t>6 images of the abdomen, pelvis, and right stifle are presented for review and compared with the study dated 6/5/2024.  Serosal detail is adequate in all quadrants.  The spleen is prominent with mildly rounded margins.  The stomach contains a moderate amount of gas.  The small intestines are normal in size.  Gas and feces are present in the colon.  The urinary bladder is small.  The remaining abdominal organs are normal.  Coverage of the femoral heads by the acetabular rims is reduced bilaterally defects present in the femoral necks and acetabular.  Increased soft tissue is seen in the right stifle joint with more significant caudal distention of the joint pouch than on previous images.  Osteophytes present on the femoral trochlear ridges, tibial plateau, and patella on the right.  This is more prominent than on previous images.  No fractures or aggressive osseous lesions are seen.  There is spondylosis deformans of the lumbosacral spine.</t>
  </si>
  <si>
    <t>Mild splenomegaly.  This is a nonspecific finding that may seen in a variety of physiologic and disease states.  Abdominal ultrasound aspirate could be considered in further evaluation.  Persistent lumbosacral degenerative changes.  Worsening severe right stifle effusion and DJD consistent with chronic soft tissue injury such as to the cranial cruciate ligament or meniscus.</t>
  </si>
  <si>
    <t xml:space="preserve">
1.Mid-abdominal detail is decreased and the abdomen is mildly pendulous on the lateral projection._x000D_
2.The small intestines are normal in size, course and content._x000D_
3.The colon contains gas and partially formed fecal material._x000D_
4.The stomach contains a moderate amount of heterogeneous soft tissue material._x000D_
5.On the lateral projection, there is increased soft tissue opacity in the splenic region suggestive of splenomegaly._x000D_
6.On the lateral projection, the liver is mildly enlarged.</t>
  </si>
  <si>
    <t>Study:_x000D_
Abdominal radiography: three images dated July 11, 2024_x000D_
_x000D_
Findings:_x000D_
The stomach contains a large amount of unstructured heterogeneous/granular soft tissue material and a 1.6 cm x 0.9 cm rectangular shaped mineral opaque structure. Granular soft tissue material is scattered throughout the small intestines. The small intestines are normal in size and course. The colon contains gas with a normal diameter. The liver and spleen are normal in size and margin. The renal silhouettes are normal in size and contour. The urinary bladder is not visualized and is likely small/empty. There is no uterine dilation. The included thorax is normal. The osseous structures are unremarkable/age appropriate.</t>
  </si>
  <si>
    <t>Gastric mineral opaque foreign body. The unstructured heterogeneous/granular soft tissue material in the stomach and small intestines likely indicates ingesta. There is no evidence of small intestinal mechanical obstruction.</t>
  </si>
  <si>
    <t>Repeat fasted radiography can be considered to monitor for gastrointestinal emptying. If the mineral opaque foreign body remains the stomach, endoscopy can be considered.</t>
  </si>
  <si>
    <t xml:space="preserve">
1.No abnormal AI findings reported._x000D_
2.Serosal detail is normal._x000D_
3.The liver and spleen appear within normal limits for size._x000D_
4.There is small-volume gas and soft tissue density present within the stomach._x000D_
5.Small intestines are diffusely mildly filled with gas and fluid._x000D_
6.Formed feces is present in the descending colon.</t>
  </si>
  <si>
    <t>A lateral radiograph of the thorax, and three views of the abdomen are provided. The cardiac silhouette and pulmonary vessels are normal size and shape. The lungs are clear. Normal tracheal diameter. No esophageal dilation. In the abdomen serosal detail is adequate. There is small volume gas in the stomach. Small bowel is minimally filled. The cecum is gas dilated. Small volume of formed feces in the colon. No radiopaque foreign material. Normal-sized liver, kidneys, spleen. The urinary bladder is mildly filled and soft tissue opaque.</t>
  </si>
  <si>
    <t>Normal thorax and abdomen. Gastroenteritis secondary to dietary indiscretion is most likely. There is no evidence of an obstructive process.</t>
  </si>
  <si>
    <t xml:space="preserve">
1.There is a heterogeneous soft tissue opacity associated with the gastric lumen._x000D_
2.The small intestines have a diffuse fragmented gas pattern. No segmental small bowel dilation is identified._x000D_
3.Serosal detail is adequate._x000D_
4.Splenic size, shape and margin are normal._x000D_
5.Liver size, shape and margin are normal.</t>
  </si>
  <si>
    <t>Three radiographs of the thorax/abdomen are provided. The cardiac silhouette and pulmonary vessels are normal size and shape. There is a mild bronchial pattern throughout the lungs consistent with age. Increased opacity overlying the ventral heart on both of the lateral views is due to pleural fat deposition and superimposed skin fold. Small volume gas in the caudal esophagus only on the left lateral view. No other evidence of esophageal dilation. Normal tracheal diameter. Mild congenital breed-related vertebral malformations in the thoracic spine, typically incidental. In the abdomen there is small volume gas in the stomach. Small intestines are mildly fluid-filled. There is gas and scant minimally formed feces in the colon. No radiopaque foreign material or urolithiasis. Normal size liver, spleen, kidneys. Mineral density overlying the L1-2, L2-3, L4-5 intervertebral foramina are doubtful clinical significance today.</t>
  </si>
  <si>
    <t>Transient gas in the caudal esophagus consistent with aerophagia. Otherwise normal thorax and abdomen. There is no convincing evidence of megaesophagus or gastrointestinal obstruction. A reason for hyporexia is not identified.</t>
  </si>
  <si>
    <t xml:space="preserve">
1.The liver is mildly enlarged but with a smooth, well-defined margin._x000D_
2.Splenic size, shape and margin are normal._x000D_
3.Abdominal detail caudal to the stomach is mildly decreased on the lateral projection._x000D_
4.The small intestine contains a mild volume of gas, fluid or is empty._x000D_
5.Overall, the small intestine is normal in diameter however portions of the small bowel have a rigid appearance._x000D_
6.Portions of the colon are gas filled and have a rigid appearance.</t>
  </si>
  <si>
    <t>There is no evidence of mechanical ileus. Non-specific small and large intestinal changes are suspicious for enterocolitis such as from dietary indiscretion, toxin ingestion, parasitism, inflammatory bowel disease, low grade pancreatitis or secondary to systemic disease. Mild hepatomegaly. DDx: secondary to fat deposition/vacuolar hepatopathy vs. metabolic hepatopathy (including Cushing's disease) vs. hepatitis secondary to GI disease vs. less suspected, infiltrative neoplasia. Abdominal distention secondary to intra-abdominal fat and hepatomegaly. A component of Pickwickian syndrome, pulmonary hypoinflation, may be present secondary to the abdominal changes. Mild reduction in abdominal detail caudal to the stomach on the lateral projection. DDx: confluence of soft tissue structures vs. low grade pancreatitis causing secondary enterocolitis.</t>
  </si>
  <si>
    <t xml:space="preserve">
Virtual Radiologist Case Difficulty: MODERATE_x000D_
Virtual Radiologist Confidence: MODERATE_x000D_
Further evaluation of the liver with routine blood work and abdominal ultrasonography may be beneficial if clinically indicated_x000D_
Coagulation testing and liver tissue sampling may be contributory._x000D_
If GI signs are present, consider empirical therapy for enterocolitis and repeat 3-view abdominal radiographs for further evaluation._x000D_
Fecal evaluation and empirical deworming may be contributory._x000D_
For more information about Pickwickian syndrome, please go to https://platform.v2.vetology.net/doc/pickwickian_syndrome</t>
  </si>
  <si>
    <t>Four radiographs of the abdomen/thorax are provided. The urinary bladder is mildly filled and soft tissue opaque. No abnormalities in the region of the medial iliac lymph nodes. The kidneys are normal size, shape, and opacity. Normal-sized spleen. The liver extends slightly caudoventral to the stomach, maintaining crisp margins, and there is no deviation of the gastric axis. The gastrointestinal tract is mildly filled. No osseous abnormalities. In the thorax cardiovascular structures are normal size and shape. The lungs are clear. No pleural effusion.</t>
  </si>
  <si>
    <t>Normal abdomen and thorax. There is no evidence of radiopaque urolithiasis.</t>
  </si>
  <si>
    <t>If further evaluation of the urinary tract is desired, abdominal ultrasound would be recommended.</t>
  </si>
  <si>
    <t xml:space="preserve">
1.The liver is mildly enlarged._x000D_
2.The stomach is mildly gas and fluid filled with some soft tissue density material. The small bowel is gas and fluid-containing. No findings to indicate obstruction._x000D_
3.Abdominal detail is within normal limits._x000D_
4.Splenic size, shape and margin are normal.</t>
  </si>
  <si>
    <t>A three view thoracoabdominal study and a VD view of the pelvis are provided for interpretation._x000D_
_x000D_
There is an ill defined lobular mass effect and slightly reduced detail in the mid to cranial abdomen. The appearance is predominantly in the area of the spleen. A discrete mass lesion cannot be identified. The other abdominal organs are within normal limits. No abnormalities are identified involving the GI tract._x000D_
_x000D_
The cardiovascular structures are within normal limits. No pulmonary nodules or parenchymal infiltrates are identified. No thoracic lymphadenopathy or pleural effusion is seen._x000D_
_x000D_
No spinal abnormalities are identified. The pelvis and hips are within normal limits. No destructive or productive bone lesions are seen.</t>
  </si>
  <si>
    <t>There is an ill-defined mass effect in the mid to cranial abdomen in the general area of the spleen._x000D_
Primary differentials for this appearance would include a mass lesion involving the spleen, mesenteric lymphadenopathy, splenic torsion, and mass involving the pancreas or liver._x000D_
_x000D_
No musculoskeletal abnormalities are identified._x000D_
No thoracic abnormalities are identified.</t>
  </si>
  <si>
    <t>Abdominal neoplasia with brain metastasis and seizure is a primary differential for the presenting complaint in this patient._x000D_
Splenic mass with an internal bleed into the spleen and acute anemia/hypoxia should also be ruled out._x000D_
Lymphoma involving the abdomen and CNS could also have a similar presentation._x000D_
_x000D_
Ultrasound of the abdomen is recommended, with FNA and cytologic evaluation of any relevant anatomic abnormalities found.</t>
  </si>
  <si>
    <t xml:space="preserve">
1.Soft tissue opacity extending caudoventral to the stomach may represent enlarged liver or splenic tail._x000D_
2.No abnormal AI findings reported._x000D_
3.Cranial abdominal detail is decreased. This may be secondary to a confluence of soft tissues and/or regional inflammation or abdominal fluid._x000D_
4.The gastric axis is caudally displaced.</t>
  </si>
  <si>
    <t>5 survey radiographs made July 10 along with a contrast study of the thorax, esophagus, and stomach mid July 11 are submitted for review.  A total of 9 films are available._x000D_
All of the images are reported in this report._x000D_
In the initial study, a large, fairly well-demarcated generally ovoid shaped soft tissue opacity lesion is noted in the right caudal dorsal thorax.  The structure appears to be space-occupying as there is ventral deviation of the carina and caudal lobar bronchus on the right.  Mild bronchointerstitial markings are noted throughout the remainder of the lung fields.  The cardiac silhouette and pulmonary vasculature are normal in size and shape.  The trachea is normal in diameter for the breed.  In the abdomen, the stomach is markedly distended with gas and also contains a mild to moderate amount of what appears to be kibble or other food like material.  No other abnormalities are noted in the abdomen.  At least 1 congenital hemivertebra is noted in the mid thoracic spine, typical for the breed._x000D_
In the follow-up studies, a trace amount of barium delineates the intrathoracic esophagus on the VD view.  There is slight leftward deviation of the esophagus from the level of the cardiac silhouette caudally.  This corresponds to the cranial aspect of the aforementioned soft tissue opacity structure.  On the lateral view, a mild amount of e barium is noted in the caudal cervical and cranial intrathoracic esophagus.  The mucosal margins appear smooth.  The barium column is somewhat truncated and the esophagus contains a minimal amount of gas with barium lining the mucosa from the cranial edge of the soft tissue opacity caudally extending into the stomach. A mild amount of barium is noted in the gravity-dependent region of the stomach.  The stomach is also markedly gas-distended.  The previously noted food like material is no longer visible.  The soft tissue opacity in the caudal dorsal thorax is persistent with fairly well-demarcated, smooth curvilinear margins.  The ventral displacement of the caudal lobar bronchus is still evident as well.  The margins of the structure are less well-defined on the VD view however.</t>
  </si>
  <si>
    <t>These findings are most consistent with a large, generally ovoid shaped space-occupying soft tissue opacity mass lesion in the right caudal thorax.  This could be associated with a fluid-filled or other soft tissue opacity space-occupying mass in the caudal mediastinum, medial to the right caudal lung lobe or lesion within the caudal lung lobe itself.  A pulmonary abscess, other soft tissue opacity solid or fluid-filled structure, or atypical appearing bronchopneumonia could be considered.  Additionally, I cannot definitively exclude the possibility of a paraesophageal hiatal hernia although this is thought to be less likely given the No barium fills the structure and essentially all of the stomach appears to be located in the abdomen in its normal anatomic position.  A solid mass such as a neoplastic lesion also cannot be definitively excluded but would be much less likely given the very young age of the patient.  No evidence of esophageal communication is noted in the barium images.  The marked distention of the stomach could be consistent with gastric ileus.  Some component of aerophagia is also possible.</t>
  </si>
  <si>
    <t>Correlation with a CBC is recommended.  A thoracic CT scan should also be very helpful for further delineation of the exact location and character of the lesion.</t>
  </si>
  <si>
    <t xml:space="preserve">
1.The hepatic serosal margins are mildly rounded and the liver is mildly enlarged._x000D_
2.Equivocal splenomegaly is present._x000D_
3.No abnormal AI findings reported._x000D_
4.The stomach contains a small volume of fluid and gas._x000D_
5.The small bowel contains fluid and gas. No segmental small bowel dilation is noted._x000D_
6.The colon is normal.</t>
  </si>
  <si>
    <t>Study:_x000D_
Thoracolumbar/lumbosacral spinal (including the thorax and abdomen), pelvic and pelvic limb radiography: five images dated July 10, 2024_x000D_
_x000D_
Findings:_x000D_
There is no intervertebral disc space or foraminal narrowing. There is no evidence of discospondylitis. The coxofemoral joints are normal with good coverage of the femoral head by the acetabulum bilaterally. The pelvis and sacroiliac joints are normal. The patella is in the correct anatomic location bilaterally. The degree of soft tissue opacity within the stifle joint spaces is within normal limits. No degenerative change is present in either stifle. The bones of the tarsus and pes are unremarkable bilaterally. The pelvic limb musculature is similar in size bilaterally. The included thorax and abdomen are unremarkable.</t>
  </si>
  <si>
    <t>The osseous structures are unremarkable. The lack of any apparent intervertebral disc space narrowing does not exclude the possibility of intervertebral disc disease. Neurology consultation and MRI can be considered for further evaluation if clinical signs persist or worsen in spite of strict activity restriction and pain management.</t>
  </si>
  <si>
    <t>5 lateral views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spleen is irregularly margined.  The stomach contains a moderate amount of ingesta with several small mineral structures.  The small intestines are normal in size.  Gas and feces with mineral structures are present in the colon.  The urinary bladder is small.  The remaining abdominal organs are normal.  There is spondylosis deformans of the thoracolumbar and lumbosacral spine.</t>
  </si>
  <si>
    <t>Gastric and colonic mineral foreign material, likely secondary to bone ingestion.  Irregular spleen concerning for nodules.  These are nonspecific may represent regeneration, extramedullary hematopoiesis, inflammation, neoplasia.  This is consistent with the previous ultrasound findings.  Repeat ultrasound and aspirates may be helpful.  Radiographically normal thorax for patient of this age on the views provided.</t>
  </si>
  <si>
    <t>Three radiographs of the thorax, VD view of the thorax/abdomen, and a lateral view of the thoracolumbar spine are provided. The cardiac silhouette is normal size and shape on the thoracic views. The left atrium is visible on the VD thorax/abdomen view, likely due to slight rotation. Pulmonary vessels are reduced in size. There are no abnormalities in the pulmonary parenchyma or pleural space. Normal tracheal diameter. Narrowed C2-3 and C6-7 intervertebral disc spaces. Smoothly marginated round 0.5 cm mineral density dorsal to the mid thoracic spine is likely an incidental granuloma. _x000D_
_x000D_
There are 13 thoracic vertebrae with ribs. Only six lumbar vertebrae. Markedly reduced dorsal articular facets at T10-11, T11-12. Reduced size of the T12-13 intervertebral foramen and L4-5 intervertebral disc space. Mild ventral spondylosis deformans in the caudal lumbar spine, of doubtful significance. In the abdomen there is no effusion or organomegaly. The gastrointestinal tract is moderately filled. The urinary bladder is not definitively seen. No radiopaque urolithiasis is appreciated. Normal coxofemoral joints.</t>
  </si>
  <si>
    <t>1. Narrowed C2-3, C6-7, L4-5 intervertebral disc spaces and T12-13 intervertebral foramen are all suggestive of intervertebral disc disease. Such a lesion at these or another site is the most likely cause for the neurologic deficits. This patient has reduced dorsal articular facets, which can be seen in this breed and can predispose to spinal instability._x000D_
2. Reduced pulmonary vascular size, likely hypovolemia. No other cardiovascular abnormalities are appreciated, although underlying cardiac disease could be masked by hypovolemia. Otherwise normal thorax and abdomen.</t>
  </si>
  <si>
    <t>Consultation with a neurologist and advanced spinal imaging with CT/MRI should be considered.</t>
  </si>
  <si>
    <t xml:space="preserve">
1.Microhepatia is present with cranial positioning to the gastric axis._x000D_
2.Splenic size, shape and margin are normal._x000D_
3.Abdominal detail is normal._x000D_
4.See liver finding. The small bowel is diffusely gas- and fluid-filled without segmental small bowel dilation.</t>
  </si>
  <si>
    <t>Six radiographs of the thorax and abdomen are provided. There is equivocal prominence of the left atrium. Cardiac to thoracic ratio and pulmonary vessel size is normal. Mild age-related changes in the lungs. No pleural effusion. No intrathoracic lymphadenomegaly. Adequate tracheal diameter. No narrowed cervical intervertebral disc spaces. Normal proximal thoracic limbs. In the abdomen formed feces fills the colon. The stomach and small bowel are mildly filled. No radiopaque foreign material. Normal-sized liver, spleen, kidneys. No radiopaque urolithiasis. No narrowed intervertebral disc spaces or foramina in the thoracic or lumbar spine.</t>
  </si>
  <si>
    <t>Equivocal prominent left atrium suggestive of chronic degenerative mitral valve disease. This is incidental today. Otherwise normal thorax and abdomen. A reason for the clinical signs is not identified. Non-mineralized intervertebral disc protrusion/extrusion is the most likely diagnosis.</t>
  </si>
  <si>
    <t>If there are no significant neurologic deficits and pain can be medically managed, recommend conservative treatment with anti-inflammatories and strict rest. If there is no improvement or the patient develops neurologic deficits, consultation with a neurologist and advanced spinal imaging with MRI would be recommended.</t>
  </si>
  <si>
    <t>Study:_x000D_
Thoracic and abdominal radiography: seven images dated July 10, 2024_x000D_
_x000D_
Findings:_x000D_
The cardiac silhouette and pulmonary vasculature are normal in size. The pulmonary parenchyma is overexposed but appears unremarkable. The pleural space is normal. There is no intrathoracic lymphadenopathy. The trachea is normal in diameter and course. The stomach contains a small volume of gas with the pylorus appropriately gas-filled on the left lateral view. The thickness of the gastric wall is within normal limits for the degree of gastric distention. The small intestines are normal in size, course and content. The colon is gas distended. The liver and spleen are normal in size and margin. The renal silhouettes are normal in size and contour. The urinary bladder is normal in size and opacity. There is no prostatomegaly. The osseous structures are unremarkable.</t>
  </si>
  <si>
    <t>1. Unremarkable abdomen. A cause of the reported vomiting and inappetence is not evident. There is no radiographic evidence of gastrointestinal foreign material or small intestinal mechanical obstruction. Abdominal sonography can be considered for further evaluation if clinical signs persist or worsen in spite of medical management._x000D_
2. Normal thorax. There is no radiographic evidence of cardiopulmonary disease.</t>
  </si>
  <si>
    <t xml:space="preserve">
1.No abnormal AI findings reported._x000D_
2.No abnormal AI findings reported._x000D_
3.There is a reduction in serosal detail in the abdomen.Abdominal detail is normal._x000D_
4.There is a subtle region of focally increased opacity with mass effect in the cranial abdomen. The small bowel is diffusely gas- and fluid-filled without segmental small bowel dilation.</t>
  </si>
  <si>
    <t>Three radiographs of the thorax are provided. The cardiac silhouette is normal size and shape, with no chamber enlargement. There are faint bronchial markings throughout the lungs consistent with the patient=ZZ91=s age. No pleural effusion, pulmonary nodules, or enlarged intrathoracic lymph nodes. Small round soft tissue densities overlying and adjacent to the heart are end-on pulmonary vessels. Normal tracheal diameter. No esophageal dilation. No definitive narrowed intervertebral disc spaces or foramina. Normal proximal thoracic limbs. In the cranial abdomen there is no organomegaly or effusion.</t>
  </si>
  <si>
    <t>Normal thorax. A reason for the clinical signs is not identified.</t>
  </si>
  <si>
    <t>Recommend a CBC, blood chemistry profile, and cranial nerve assessment.
(amended on 07/11/2024 06:12)
With the reported adrenomegaly, hepatic nodules, and elevated hepatic enzymes, also consider testing for Cushing=ZZ91=s, which could predispose to hypercoagulability.</t>
  </si>
  <si>
    <t>Four radiographs of the thorax/abdomen are provided. The cardiac silhouette is normal size for this breed. There are no abnormalities in the pulmonary parenchyma. No pleural effusion. Normal tracheal diameter. Normal cervical spine and proximal thoracic limbs._x000D_
_x000D_
In the abdomen the urinary bladder is distended and soft tissue opaque. Formed feces fills the colon. The stomach and small bowel are minimally filled. Normal-sized liver, spleen, kidneys. Narrowed T13-L1 intervertebral disc space. No other spinal abnormalities.</t>
  </si>
  <si>
    <t>The appearance of T13-L1 is suggestive of intervertebral disc protrusion/extrusion. Such a lesion at this or another site is the most likely cause for current clinical signs. The thorax and abdomen are normal.</t>
  </si>
  <si>
    <t>4 images of the entire body and right thoracic limb are presented for review.  The trachea is narrowed in the cervical region.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remaining abdominal organs are normal.  There is narrowing of the intervertebral disc space and spondylosis deformans at C6-7.  The joint surfaces are smooth and regular.  No fractures or aggressive osseous lesions are seen.</t>
  </si>
  <si>
    <t>Hepatomegaly=ZZ90= this is a nonspecific finding that may be seen with congestion, vacuolar hepatopathy, inflammation, neoplasia, etc.  Abdominal ultrasound may be helpful in further evaluation if biochemically indicated.  Cervical tracheal narrowing suggestive of tracheal collapse.  Changes at C6-7 suggest chronic intervertebral disc herniation.  CT or MRI could be considered.  Unremarkable right thoracic limb.</t>
  </si>
  <si>
    <t xml:space="preserve">
1.The spleen is mildly enlarged._x000D_
2.Abdominal detail is normal._x000D_
3.The stomach is normal. The small bowel is diffusely gas- and fluid-filled without segmental small bowel dilation._x000D_
4.The liver is mild to moderately enlarged.</t>
  </si>
  <si>
    <t>5 lateral views of the thorax, abdomen, and cervical region are presented for review.  The cardiovascular and pulmonary structures are normal.  The pleural and mediastinal structures are normal.  Abdominal serosal detail is adequate in all quadrants.  The stomach contains a moderate amount of gas and the rugal folds are prominent.  The small intestines are normal in size.  Gas and feces are present in the colon.  The urinary bladder is small.  The remaining abdominal organs are normal.  Spinal alignment is normal with no consistently narrowed intervertebral disc spaces.  Atlantoaxial alignment remains normal with flexion.  No fractures or aggressive osseous lesions are seen.  The laryngeal and pharyngeal structures are normal.  The cervical soft tissue structures are normal.</t>
  </si>
  <si>
    <t>Radiographically normal thorax and cervical region on the views provided.  Prominent rugal folds suggestive of gastritis.  This does not rule out underlying pancreatitis, dietary indiscretion, etc.</t>
  </si>
  <si>
    <t xml:space="preserve">
1.The stomach appears empty._x000D_
2.The small intestine is diffusely gas- and fluid-filled. No segmental bowel dilation is noted._x000D_
3.The colon contains gas and portions of the colon have a rigid appearance._x000D_
4.Increased soft tissue is present in the cranial abdomen. Splenomegaly with a mass vs. pedunculated hepatic mass are most common causes for this finding. See conclusions above for additional considerations._x000D_
5.Cranial abdominal detail is decreased. DDx: superimposition of the spleen vs. regional abdominal fluid/hemorrhage and/or mesenteric inflammation._x000D_
6.No abnormal AI findings reported.</t>
  </si>
  <si>
    <t xml:space="preserve">Patient Name : June Carter Miller, Date of study: Jul 10, 2024
2 images are provided for review
There are no previous radiographs for comparison. Caudal abdomen is excluded in the lateral image.  
Liver: The liver is subjectively normal in size.
Spleen: The spleen is normal in size with smooth margins and homogeneous soft tissue.
Kidneys: The kidneys are obscured without obvious enlargement or mineral.  
Retroperitoneum: Retroperitoneal detail is adequate.
Urogenital: The urinary bladder is enlarged and soft tissue opaque in the right caudal abdomen.  urinary bladder enlargement results in cranial and leftward displacement of the intestine.  
Peritoneum: Few small gas foci are suspected in the peritoneum in the caudal left abdomen in the ventrodorsal image, and the cranioventral abdomen in the lateral image.  
Gastrointestinal tract: The stomach contains a mild to moderate volume of gas and ill-defined soft tissue material.  The stomach is normal in size.
The small intestine contains mild gas and minimal fluid or is empty with a subjectively uniform population for size. 
The colon contains moderate heterogeneous soft tissue material and gas.
Musculoskeletal: Row of metal staples is over the mid and caudal abdomen on mid-line in the ventrodorsal image.  The remaining included musculoskeletal structures are normal.
</t>
  </si>
  <si>
    <t xml:space="preserve">1. Suspected peritoneal gas consistent with reported history of recent celiotomy.
2. Urinary bladder enlargement due to behavior, fluid administration/anesthesia, or unlikely urinary tract outflow obstruction or other.  
3. No evidence of a diaphragmatic hernia.  
</t>
  </si>
  <si>
    <t>Etiology of reported history is not identified.  Consider urinalysis and culture/sensitivity testing or catheterization depending on clinical signs.  Empirical therapy and supportive care in the interim as needed.  Monitoring as directed or sooner if clinical signs acutely change, fail to improve or worsen.</t>
  </si>
  <si>
    <t xml:space="preserve">
1.Liver size, shape and margin are normal._x000D_
2.Splenic size is at the upper limits of normal to mildly enlarged. No splenic mass is identified._x000D_
3.Serosal detail is adequate._x000D_
4.The small intestines have a diffuse fragmented gas pattern.</t>
  </si>
  <si>
    <t>The AI result for this case is most compelling  for:  normal post-prandial GI tract in a patient WITHOUT GI signs. In a patient WITH GI signs, gastric foreign material or low grade gastroenteritis is a consideration. Splenic size at the upper limits of normal to mildly enlarged. Primary differential consideration for the appearance of the gastric lumen include normal ingesta. However, if vomiting or anorexia are present, gastric foreign material becomes a consideration. Fragmented gas pattern associated with the small intestines which may be secondary to enteritis. No small intestinal segmental dilation is identified. Splenic size at the upper limits of normal to mildly enlarged. DDx: sedation vs. lymphoid hyperplasia secondary to abdominal disease vs. extramedullary hematopoiesis vs. in an older patient, consider infiltrative neoplasia. No discrete splenic mass noted and abdominal detail is satisfactory.</t>
  </si>
  <si>
    <t xml:space="preserve">
If GI signs are present, withhold food for 12-15 hours followed by repeat abdominal radiographs to assess for retention of the gastric contents. If the gastric contents persist after withholding food or if there is non-productive vomiting, the concern for gastric foreign material increases._x000D_
Blood work. If there is an unexplained CBC abnormality or concern for abdominal disease, abdominal ultrasound +/- splenic FNA may be warranted._x000D_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</si>
  <si>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 xml:space="preserve">Patient Name : Chi Chi Castoro, Date of study: Jul 10, 2024
3 images are provided for review
Canine Thorax (3 Images) - 2 Lateral, 1 Vd
There are no previous radiographs for comparison.  Motion artifact is present in the ventrodorsal image. 
Pulmonary parenchyma: A minimal to mild diffuse bronchial pattern is present. Interstitial soft tissue in the right cranial lung in the ventrodorsal image is not corroborated in the left lateral image.
Pulmonary vasculature: The pulmonary vasculature is subjectively normal in size and tapers in the periphery of the lungs.
Cardiac silhouette: The cardiac silhouette is tall and occupies greater than 2/3 the height of the thorax.  the trachea is dorsally displaced.  The caudodorsal margin of the cardiac silhouette is enlarged.  Increased soft tissue is in the region of the left atrium in the ventrodorsal image.  
Mediastinum: The cranial mediastinum is normal.
Trachea: A soft tissue band superimposes over the dorsal trachea in the caudal cervical region.
Esophagus: The esophagus is not well-identified.
Pleural space: The pleural space is normal.
Musculoskeletal: The included musculoskeletal structures are normal.
</t>
  </si>
  <si>
    <t xml:space="preserve">1. Moderate-severe left-sided cardiomegaly such as from myxomatous mitral valvular disease and insufficiency or unlikely other.
- There is no current evidence of left-sided congestive heart failure.  
2. Minimal-mild diffuse bronchial pulmonary pattern due to fibrosis from prior disease, age-related changes, infectious/immune-mediated lower airway disease, or less likely other.
3. Dorsal redundant tracheal membrane versus superimposed normal structures, with/without underlying dynamic airway disease.  
4. Presumed artifact from motion/superimposition versus right cranial lung lobe interstitial pattern.
</t>
  </si>
  <si>
    <t>Echocardiography, ECG and blood pressure for further evaluation.  If dyspnea manifests, consider diuretic and oxygen therapy with serial thoracic radiographs to monitor the pulmonary pattern.   Repeat thoracic radiographs including a humanoid and DV image for further evaluation of the cranial and caudal lung lobes. Routine blood work if not recently performed.  Empirical therapy and supportive care in the interim as needed. Monitoring as directed or sooner if clinical signs acutely change, fail to improve or worsen.</t>
  </si>
  <si>
    <t xml:space="preserve">Patient Name : Sean Yamada, Date of study: Jul 10, 2024
4 images are provided for review
There are no previous radiographs for comparison.
Bones/Joints:
The coxofemoral joints have no obvious osteoarthrosis.  There is adequate coverage of the femoral heads by the acetabulums.
Appearance of the left proximal tibia in the ventrodorsal image is most likely due to obliquity.  The left stifle has no evidence of osteoarthrosis.  The left infrapatellar fat pad is well-defined.  Left femoral trochlear hypoplasia is present, but the left patella is in a normal position.
The included left tarsus, metatarsus and digits are normal.
The right stifle has no evidence of osteoarthrosis.  The right infrapatellar fat pad is well-defined.  Right femoral trochlear hypoplasia is present, but the right patella is in a normal position.
The included right tarsus, metatarsus and digits are normal.  
There is no evidence of medullary sclerosis, osteolysis, endosteal scalloping, or periosteal proliferation.
Soft tissues:  The included soft tissues are normal.
</t>
  </si>
  <si>
    <t xml:space="preserve">1. Bilateral femoral trochlear hypoplasia without evidence of patellar luxation.
2. Appearance of left proximal tibial due to patient positioning.
3. No obvious coxofemoral joint osteoarthrosis.
</t>
  </si>
  <si>
    <t>Consider empirical therapy and supportive care in the interim as needed for suspected occult/intermittent patellar luxation.   Orthopedist consultation may be contributory.  Consider focused orthogonal views of the left stifle/proximal tibia in 2-4 weeks to monitor for a progressive lesion, especially if clinical signs worsen in the face of empirical therapy.  Monitoring as directed or sooner if clinical signs acutely change, fail to improve or worsen.</t>
  </si>
  <si>
    <t xml:space="preserve">Patient Name : Pixi Leach, Date of study: Jul 10, 2024
6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widened and occupies the width of at least 3.5 intercostal spaces.  The cardiac silhouette is prominent in the region of the main pulmonary artery in the right lateral and ventrodorsal images.  The cardiac silhouette is tall in the left lateral image, and occupies over 2/3 the height of the thorax, with slight dorsal tracheal displacement.  
Mediastinum: The cranial mediastinum is normal.
Trachea: The caudal trachea is suspected to taper towards the carina in the right lateral image.  The trachea has an undulant dorsal margin at the level of the 2nd intercostal space in the right lateral image.  A soft tissue band partially superimposes over the dorsal trachea.
Esophagus: The esophagus is not well-identified.
Pleural space: The pleural space is normal.
Liver: The liver is small with cranial displacement of the gastric axis.  The liver is asymmetrical with smaller left liver compared to the right in the ventrodorsal image.  Ill-defined mineral is superimposed over the right cranial liver.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Gas is in the pylorus in the left lateral image.  The stomach is within normal limits for size..
The small intestine contains mild gas and heterogeneous soft tissue material,  fluid or is empty with a subjectively uniform population for size. 
The colon contains mild heterogeneous soft tissue material and gas.
Musculoskeletal: Multifocal thoracolumbar spondylosis deformans is present.  The T12-13, T13-L1, L1-2, L2-3, and L4-5, L5-6 intervertebral disc spaces are narrowed.  This is most severe at L1-2.  Mineral is superimposed over the ventral aspects of the L1-2, L5-6, and L5-6 intervertebral foramina.  The remaining included musculoskeletal structures are normal.
</t>
  </si>
  <si>
    <t>1. Mild-moderate left-sided cardiomegaly and suspected right-sided cardiomegaly with main pulmonary arterial enlargement.
- Differential diagnoses include myxomatous mitral valvular disease with/without tricuspid valvular disease, cor pulmonale or other.
- There is no current evidence of left-sided congestive heart failure.  
2. Minimal diffuse bronchial pulmonary pattern due to fibrosis from prior disease, age-related changes, infectious/immune-mediated lower airway disease, or unlikely other.
3. Suspected dynamic tracheal narrowing and chondromalacia with/without bronchial narrowing.
4. Microhepatia versus hepatic asymmetry due to breed or individual variation of normal.
- If present, consider occult portosystemic shunt vessel or unlikely other.
5. Suspected choleliths/choledocoliths or unlikely other.
6. Multifocal thoracolumbar intervertebral disc disease as above, most severe at L1-2, L4-5n and L5-6.</t>
  </si>
  <si>
    <t>Echocardiography, ECG and blood pressure for further evaluation.  Routine blood work and urinalysis if not recently performed.  Bile acid testing may be contributory.  Abdominal ultrasonography for further evluation of the liver and gallbladder if clinically indicated.  Consider neurologist consultation and MRI for further evaluation of the spine if clinically indicated.  Empirical therapy and supportive care in the interim as needed.  Tracheoscopy/bronchoscopy and airway sampling may be contributory for further evaluation.  Monitoring as directed, or sooner if clinical signs acutely change, fail to improve or worsen.</t>
  </si>
  <si>
    <t xml:space="preserve">
1.On the lateral projection, the liver is mildly enlarged with rounded margins. The ventral abdominal line is pendulous._x000D_
2.Splenic size, shape and margin are normal._x000D_
3.The GI tract contains regions of gas and fluid but no segmental bowel dilation is noted._x000D_
4.No abnormal AI findings reported.</t>
  </si>
  <si>
    <t>Orthogonal views of the head, thorax and abdomen are provided:_x000D_
_x000D_
Head:_x000D_
_x000D_
There is extensive periodontal disease with gingival retraction, multifocal alveoli=ZZ91=s and multiple pieces being absent. Lateral to the 404 and 403 extending from cranial to caudal of these dental pieces there is a soft tissue well defined mass without signs of lysis of the adjacent right mandible._x000D_
Rest of the head is unremarkable._x000D_
Incidental dystrophic mineralization of the epiglottis and laryngeal cartilages (age related change)._x000D_
Signs of caudal cervical IVDD with collapsed IVDS._x000D_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distended with food._x000D_
Small intestines are mildly gas and fluid filled, not overtly distended. No signs of mechanical ileus._x000D_
Serosal detail is preserved._x000D_
Liver and spleen are within normal limits of size and smoothly marginated. Gallbladder cholelith._x000D_
Kidneys and urinary bladder WNL._x000D_
_x000D_
Multifocal signs of chronic IVDD.</t>
  </si>
  <si>
    <t>1) Oral mass adjacent to the 403 and 404 compatible with oral neoplasia such as melanoma vs fibrosarcoma vs SCC. Other differentials are less likely._x000D_
2) No signs of pulmonary metastases._x000D_
3) Unremarkable abdomen other than gallbladder cholelith.</t>
  </si>
  <si>
    <t>Biopsy along with oncologist consultation prior to removal (ideally after a CT of the oral cavity and head).</t>
  </si>
  <si>
    <t xml:space="preserve">
1.Small-volume gas is present within the stomach._x000D_
2.Small intestines are diffusely moderately fluid and gas filled._x000D_
3.Formed feces is present in the distal colon._x000D_
4.The spleen and visualized kidneys are normal size._x000D_
5.The liver is moderately enlarged with smooth margins._x000D_
6.Serosal detail is normal.</t>
  </si>
  <si>
    <t>Four radiographs of the thorax/abdomen are provided. Bone opacity is diffusely markedly reduced, and long bone cortices are thin. No definitive fractures are identified in the thoracic limbs or spine. Distal femoral and proximal tibial epiphyses are minimally visible, limiting evaluation of the stifle joints. Cardiovascular structures are normal size for a juvenile patient. No pulmonary parenchymal or pleural space abnormalities. In the abdomen serosal detail is poor, consistent with the young age of this patient. The gastrointestinal tract is moderately filled.</t>
  </si>
  <si>
    <t>Marked osteopenia. This is most consistent with nutritional hyperparathyroidism. I do not identify any fractures, however small folding fractures are not definitively ruled out. Neurologic deficits may be secondary to the hyperparathyroidism. A small spinal fracture/subluxation, skull fracture, or intervertebral disc protrusion/extrusion are not definitively ruled out.</t>
  </si>
  <si>
    <t>Recommend a CBC, blood chemistry profile, cranial nerve assessment, medical support, and evaluation of patient=ZZ91=s diet.</t>
  </si>
  <si>
    <t>Study:_x000D_
Abdominal radiography: three images dated July 10, 2024_x000D_
_x000D_
Findings:_x000D_
The abdominal serosal detail is normal. The stomach is empty. The small intestines are gas and fluid-filled and normal in size and course. The colon contains formed fecal material. The liver and spleen are normal in size and margin. The kidneys are normal in size and contour. The urinary bladder is normal in size and opacity. The included thorax is normal. No skeletal abnormalities are present.</t>
  </si>
  <si>
    <t xml:space="preserve">Patient Name : Radar Cejka, Date of study: Jul 10, 2024
3 images are provided for review
There are no previous radiographs for comparison.
Liver: The liver is subjectively normal in size.
Spleen: The spleen is enlarged and prominent in the lateral images, with caudal displacement of the intestine.  The spleen has smooth, well-defined margins.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to large volume of gas and mild soft tissue.  Granular or ill-defined mineral is in the pylorus in the left lateral image. 
The small intestine contains moderate gas and fluid or is empty with a subjectively uniform population for size. 
The colon contains mild to moderate soft tissue material and gas.  An ovoid mineral opacity is suspected in the ascending colon.  The colon is normal in size.
Musculoskeletal: Multifocal thoracolumbar spondylosis deformans is present.  The remaining included musculoskeletal structures are normal.
</t>
  </si>
  <si>
    <t>1. Non-specific gastrointestinal tract appearance such as from enteritis, colitis, or individual variation of normal.
2. Suspected colonic mineral material or less likely small intestinal mineral material.
- This is most likely due to dietary indiscretion.
3. Splenomegaly due to splenitis, extramedullary hematopoiesis, lymphoid hyperplasia, passive congestion from sedation (if administered), or less likely evolving neoplasia, or artifact.</t>
  </si>
  <si>
    <t>Consider  empirical therapy and supportive care, with repeat abdominal radiographs to monitor for passage of presumed colonic mineral.  If material is persistent, and signs progress, such as with vomiting, consider instead small intestinal material.  Routine blood work may be contributory if not recently performed, as well as 4DX testing for further evaluation of the spleen.  Consider ultrasonography for further evaluation of the spleen and gastrointestinal tract, especially if signs fail to improve and other diagnostics are inconclusive.  Empirical therapy and supportive care in the interim as needed.  Monitoring as directed or sooner if clinical signs acutely change, fail to improve or worsen.</t>
  </si>
  <si>
    <t xml:space="preserve">
1.The liver is normal._x000D_
2.Portions of the small intestine are dilated with gas or soft tissue opacity._x000D_
3.The gastric rugae are prominent._x000D_
4.The gastric lumen contains a mild amount of soft tissue and gas opacity._x000D_
5.There is a focal loss of serosal detail in the cranial abdomen._x000D_
6.The spleen is at the upper limits of normal to mildly enlarged on the lateral projection._x000D_
7.There is at least one segment of rigid appearing bowel in the mid-abdomen. This segment may represent colon versus small bowel dilation.</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</si>
  <si>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ingesta.  The small intestines are normal in size.  Gas and feces are present in the colon.  The urinary bladder is small.  The remaining abdominal organs are normal.</t>
  </si>
  <si>
    <t xml:space="preserve">Patient Name : Penny Cox, Date of study: Jul 10, 2024
3 images are provided for review
Canine Abdomen (3 Images) - 2 Lateral, 1 Vd
Additional images dated [07/10/2024 Case#2707357] are available for comparison.
Liver: The liver is small with cranial displacement of the gastric axis.  
Spleen: The spleen is normal in size with smooth margins and homogeneous soft tissue.
Kidneys: The right kidney is partially obscured without obvious renomegaly or mineral.  The left kidney is normal.
Retroperitoneum: Retroperitoneal detail is adequate.
Urogenital: The urinary bladder is normal in size, homogeneous soft tissue, and smoothly marginated.
Peritoneum: Peritoneal detail is adequate.
Gastrointestinal tract: The stomach contains a mild gas or is empty.  The stomach is normal in size.  Gas is in the pylorus.  
The small intestine contains mild gas or is empty with a subjectively uniform population for size. 
The colon contains mild gas.  The colon is normal in size.
Musculoskeletal: The included musculoskeletal structures are normal.
</t>
  </si>
  <si>
    <t xml:space="preserve">1. Microhepatia versus individual variation of normal.
- If present, consider occult portosystemic shunt or microvascular dysplasia.
2. Non-specific gastrointestinal tract appearance such as from enteritis/colitis versus individual variation of normal/recent bowel movement.  
- Differential diagnoses include dietary indiscretion, toxin ingestion, inflammatory bowel disease, diet/antibiotic responsive disease, parasitism/primary infectious disease, pancreatitis, or occult systemic disease.  
- There is no current evidence of mechanical ileus.  </t>
  </si>
  <si>
    <t>Consider GI panel, fecal analysis/deworming and routine blood work for further evaluation.   Bile acid testing may be contributory. Abdominal ultrasonography for further evaluation of the gastrointestinal tract.  Empirical therapy and supportive care in the interim as needed.  Monitoring as directed or sooner if clinical signs fail to improve or worsen in the face of empirical therapy.</t>
  </si>
  <si>
    <t xml:space="preserve">
1.There is a moderate amount of fluid and gas within the stomach._x000D_
2.The stomach has a normal axis._x000D_
3.The hepatic silhouette is normal._x000D_
4.The spleen is normal for size, shape and margin._x000D_
5.Abdominal detail is normal._x000D_
6.The small intestines are homogenously fluid-filled, and mildly dilated._x000D_
7.The colon is gas-filled._x000D_
8.The descending colon contains mainly fluid opaque material.</t>
  </si>
  <si>
    <t>Orthogonal views of the thorax and abdomen are provided:_x000D_
_x000D_
Thorax:_x000D_
_x000D_
No signs of esophageal FBs._x000D_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filled with heterogeneous soft tissue material._x000D_
Small intestines are mildly gas and fluid filled, not overtly distended. No signs of mechanical ileus._x000D_
Serosal detail is preserved._x000D_
Liver and spleen are within normal limits</t>
  </si>
  <si>
    <t>1) Unremarkable thorax._x000D_
2) Gastric eterogeneous soft tissue material. Main run out is a textile FB.</t>
  </si>
  <si>
    <t>Consider endoscopy.</t>
  </si>
  <si>
    <t>Study:_x000D_
Nine images that include the thorax, abdomen and extremities dated July 10, 2024_x000D_
_x000D_
Findings:_x000D_
The patient has age appropriate open physes. The spine is normal with no intervertebral disc space or foraminal narrowing or evidence of vertebral fractures. The shoulder joints and elbow joints are unremarkable. The bones of the carpus and pes are normal bilaterally. The thoracic limb musculature is bilaterally symmetric. The coxofemoral joints are normal. The pelvis and sacroiliac joints are normal. The degree of soft tissue opacity within the stifle joint spaces is bilaterally symmetric and age appropriate. The tarsus and included portion of the pes are unremarkable bilaterally. There are no apparent Salter-Harris type fractures. The pelvic limb musculature is bilaterally symmetric. The cardiac silhouette and pulmonary vasculature are normal in size. The pulmonary parenchyma is unremarkable.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There is no prostatomegaly.</t>
  </si>
  <si>
    <t>The study is unremarkable with no evidence of traumatic injury.</t>
  </si>
  <si>
    <t>Consider orthopedic consultation and computed tomography of the forelimbs if the thoracic limb lameness persists or in spite of activity restriction and pain management.</t>
  </si>
  <si>
    <t>Study:_x000D_
Abdominal radiography: orthogonal views (two images) dated July 10, 2024_x000D_
_x000D_
Findings:_x000D_
The abdominal serosal detail is age appropriate The stomach is moderately distended with gas, fluid and ill-defined heterogeneous soft tissue material. There is no apparent small intestinal dilation. The colon contains formed fecal material. The liver and spleen are normal in size and margin. The renal silhouettes are poorly visualized due to visceral crowding but appear normal in size and contour. The urinary bladder is normal in size and opacity. There is no prostatomegaly. The cardiac silhouette is small, there is attenuation of the pulmonary vasculature and the caudal vena cava is narrowed.</t>
  </si>
  <si>
    <t>1. The gastric dilation is concerning for a pyloric outflow obstruction or not radiographically evident proximal small intestinal mechanical obstruction. The heterogeneous soft tissue material in the stomach may represent food and/or foreign material._x000D_
2. The microcardia, attenuation the pulmonary vasculature narrowing of the caudal vena cava are suggestive of dehydration/hypovolemia.</t>
  </si>
  <si>
    <t>Repeat fasted radiography is recommended to monitor for gastric emptying. If the gastric dilation persists, abdominal sonography should be considered for further evaluation.</t>
  </si>
  <si>
    <t>Study:_x000D_
Spinal radiography: 13 images dated July 10, 2024_x000D_
_x000D_
Findings:_x000D_
The dens is intact and well defined. The atlantoaxial joint space is normal. There is in situ mineralization of the T 10-T 11, T 12-T 13 and L1-L2 intervertebral disc spaces. There is narrowing of the C7-T1, T 11-T 12 and L1-L2 intervertebral disc spaces. The coxofemoral joints are normal with good coverage of the femoral head by the acetabulum bilaterally. The included appendicular skeletal structures are unremarkable. The pelvic limb musculature is bilaterally symmetric. The patient is of overweight body condition.</t>
  </si>
  <si>
    <t>C7-T1, T 11-T 12 and L1-L2 intervertebral disease. There is also T 10-T 11 and T 12-T 13 in situ degenerative disc disease.</t>
  </si>
  <si>
    <t>Neurology consultation and MRI should be considered if the patient=ZZ91=s clinical signs persist or worsen in spite of strict activity restriction and pain management.</t>
  </si>
  <si>
    <t>Orthogonal abdomen views are provided._x000D_
_x000D_
No foreign bodies are identified in the GI tract. No dilation the stomach or intestine is seen. Gastric rugal folds are slightly prominent. Serosal detail is normal. The other abdominal organs are within normal limits.</t>
  </si>
  <si>
    <t>No is able foreign body or obstructive pattern is identified. Gastroenteritis is suspected. Pancreatitis also be ruled out.</t>
  </si>
  <si>
    <t xml:space="preserve">
1.The stomach contains small volume gas and scant amorphous soft tissue density material. The small bowel is normal._x000D_
2.Splenic size, shape and margin are normal._x000D_
3.Abdominal detail is normal._x000D_
4.Liver size, shape and margin are normal.</t>
  </si>
  <si>
    <t>Orthogonal views of the abdomen are provided:_x000D_
_x000D_
Abdomen:_x000D_
_x000D_
The stomach is distended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T11-T12 IVDS is markedly narrow.</t>
  </si>
  <si>
    <t>1) Unremarkable abdomen. _x000D_
2) T11-T12 IVDS: rule out acute disc herniation.</t>
  </si>
  <si>
    <t>Three radiographs of the thorax and three views of the abdomen are provided. The cardiac silhouette and pulmonary vessels are normal size and shape. There are no abnormalities in the pulmonary parenchyma. No pleural effusion. The plane of the esophagus is unremarkable. Normal tracheal diameter and position._x000D_
_x000D_
In the abdomen peritoneal and retroperitoneal detail is normal. There is moderate volume soft tissue opaque ingesta in the stomach. Small bowel is minimally filled. Small-volume semi-formed feces in the cecum and colon. No radiopaque foreign material. Normal-sized liver, spleen, kidneys. No radiopaque urolithiasis. The coxofemoral joints are normal.</t>
  </si>
  <si>
    <t>Normal thorax and abdomen. Gastric contents appears to be normal ingesta. All or a portion of gastric contents could be foreign material, but is given lesser consideration in the absence of vomiting. A reason for regurgitation is not identified. There is no evidence of megaesophagus or aspiration pneumonia.</t>
  </si>
  <si>
    <t>An esophagram study could be considered. Multiple contrast textures may be necessary (liquid barium, barium admixed with canned food, and barium admixed with kibble). Endoscopy is a 2nd option.</t>
  </si>
  <si>
    <t>3 views of the thorax are provided for review.  The trachea is dorsally deviated, indicating left ventricular enlargement.  A bulge is present in the region of the left atrium.  Mild bronchial markings are present in all lung lobes.  No perihilar pulmonary infiltrates are seen.  The pulmonary vasculature is normal in size.  The mediastinal and pleural structures are normal.  Cranial abdominal detail is adequate.</t>
  </si>
  <si>
    <t>Mild bronchial pulmonary pattern=ZZ90= consider bronchitis, response to inhaled irritants, response to circulating parasites, eosinophilic bronchopneumopathy.  Airway sampling may be helpful in further evaluation.  Left-sided cardiomegaly without current evidence of cardiogenic pulmonary edema.  Echocardiography may be helpful in further evaluation.</t>
  </si>
  <si>
    <t xml:space="preserve">
1.Splenic size, shape and margin are normal._x000D_
2.Abdominal detail is normal._x000D_
3.The stomach contains small volume gas and scant soft tissue density. The small bowel is diffusely gas- and fluid-filled without segmental small bowel dilation._x000D_
4.The liver is mild to moderately enlarged.</t>
  </si>
  <si>
    <t>Three radiographs of the abdomen are provided. Images dated 7/25/22 are available for comparison. There is no peritoneal or retroperitoneal effusion. The stomach contains a moderate amount of gas, small volume fluid, and scant mineral opaque debris. Small intestines are mild to moderately filled with a mixture of fluid and gas. Gas and small volume minimally formed feces in the colon. No severe intestinal distention. Normal-sized liver, spleen, kidneys. The urinary bladder is mildly filled and soft tissue opaque. Congenital vertebral malformations are present with narrowed intervertebral disc spaces as before, of doubtful clinical significance today.</t>
  </si>
  <si>
    <t>Evidence of diarrhea. Mineral debris in the stomach may be administered medications, component of normal ingesta, and/or foreign material resulting in gastritis and pyloric outflow obstruction. There is no evidence of small bowel obstruction. The abdomen is otherwise normal.</t>
  </si>
  <si>
    <t>Recommend routine blood work and supportive care. Repeat fasted abdominal radiographs could be considered to determine if the mineral debris remains within the stomach. If vomiting is relatively controlled, a positive contrast gastrogram could also be performed. Strictly fasted abdominal ultrasound is another option to evaluate the entire abdomen, as long as there is minimal gas in the stomach at the time of imaging.</t>
  </si>
  <si>
    <t xml:space="preserve">
1.Liver size, shape and margin are normal._x000D_
2.Splenic size, shape and margin are normal._x000D_
3.The gastric rugal folds are prominent. There is mild diffuse gas and fluid dilation of the stomach and small intestine._x000D_
4.The colon is mildly dilated with mostly fluid and a small quantity of gas. Portions of the colon have a rigid appearance._x000D_
5.Resource: https://platform.v2.vetology.net/doc/gi_x000D_
6.Serosal detail is normal.</t>
  </si>
  <si>
    <t>The appearance of the GI tract is suggestive of gastroenterocolitis. Low grade pancreatitis causing secondary GI changes is a lesser consideration in this patient but not excluded.</t>
  </si>
  <si>
    <t xml:space="preserve">
Virtual Radiologist Case Difficulty: MODERATE_x000D_
Virtual Radiologist Confidence: MODERATE_x000D_
Supportive care and symptomatic therapy for gastroenteritis/pancreatitis is recommended._x000D_
Follow up imaging such as a barium upper GI study or ultrasound exam is recommended if clinical signs are not improving with medical management over the next 48 hours._x000D_
Tech resource on mastering contrast studies: https://platform.v2.vetology.net/doc/purchase-contrast-handbook</t>
  </si>
  <si>
    <t>Nine radiographs are provided, with images of the thorax, abdomen, pelvis, stifles. The cardiac silhouette and pulmonary vessels are normal size and shape. There are no abnormalities in the pulmonary parenchyma. No pleural effusion or intrathoracic lymphadenomegaly._x000D_
_x000D_
In the abdomen there is a well-defined smoothly marginated round 6.0 cm soft tissue opaque mass in the splenic tail. No effusion. Normal size kidneys, liver. The gastrointestinal tract is mildly filled. No radiopaque cystic calculi. There is thickened soft tissue density separating the caudal urinary bladder from the descending colon, but uterine horns are not definitively seen. There is equivocal small amount of smoothly irregular osseous proliferation along the ventral aspect of the L7 and the sacrum on the lateral views. Narrowed T13-L1 intervertebral disc space. The coxofemoral joints are congruent. Pelvic limb musculature is reduced. Patellar location is normal. There is no stifle joint effusion or popliteal lymphadenomegaly. Punctate mineral density lateral to the right stifle is likely incidental.</t>
  </si>
  <si>
    <t>1. Splenic tail mass, most likely neoplasia such as hemangiosarcoma. Hematoma or hemangioma could also cause this appearance._x000D_
2. Soft tissue density separating the distal colon from the urinary bladder may represent distended uterus, such as could be seen with pyometra or uterine neoplasia. Questionable osteitis on adjacent L7 and sacrum, also supportive of an inflammatory or neoplastic process in this area._x000D_
3. The appearance of T13-L1 is suggestive of intervertebral disc disease. Such a lesion at this or another site is the most likely cause for discomfort and atrophy. No pelvic limb abnormalities are appreciated. Soft tissue sprain/strain remains possible._x000D_
4. Normal thorax.</t>
  </si>
  <si>
    <t xml:space="preserve">
1.Abdominal detail is normal._x000D_
2.The stomach is normal. The small bowel is diffusely gas- and fluid-filled without segmental small bowel dilation._x000D_
3.Liver size, shape and margin are normal._x000D_
4.On the lateral projection the spleen is prominent to mildly enlarged, but retains a smooth margin.</t>
  </si>
  <si>
    <t>Prominent to mildly enlarged spleen. This is likely due to benign causes such as sedation or extramedullary hematopoiesis. In an older animal, consider infiltrative neoplasia such as lymphoma or less commonly multiple myeloma.</t>
  </si>
  <si>
    <t xml:space="preserve">
Virtual Radiologist Case Difficulty: MODERATE_x000D_
Virtual Radiologist Confidence: MODERATE_x000D_
Abdominal ultrasound and blood work including CBC could be performed for further evaluation of the spleen.</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</si>
  <si>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there is mild caudal displacement of the gastric axis.  The stomach contains a small amount of gas.  The small intestines are normal in size.  Gas is present in the colon and cecum.  The urinary bladder is small.  The remaining abdominal organs are normal.</t>
  </si>
  <si>
    <t>Mild hepatomegaly=ZZ90= this is a nonspecific finding that may be seen with congestion, vacuolar hepatopathy, inflammation, neoplasia, etc.  Radiographically normal thorax for patient of this age.</t>
  </si>
  <si>
    <t xml:space="preserve">
1.The hepatic silhouette is mildly enlarged, with smooth borders._x000D_
2.The visible spleen is within normal limits._x000D_
3.Mid abdominal detail is mildly decreased._x000D_
4.The stomach is empty, and has a normal axis._x000D_
5.The ascending, transverse and descending colon have a normal position and gas and some poorly formed faeces._x000D_
6.The small intestines are distributed evenly and are within normal limits for shape, size and contents.</t>
  </si>
  <si>
    <t>Three radiographs of the abdomen are provided. Serosal detail is reduced. The patient is relatively thin. Small volume gas in the stomach. Small bowel are minimally filled. There is gas in the cecum and colon. No radiopaque foreign material. Normal-sized liver, spleen, no left kidney. The right kidney and urinary bladder are obscured. No osseous abnormalities. Normal caudal thorax.</t>
  </si>
  <si>
    <t>Reduced abdominal detail may be due to lack of intra-abdominal fat. Scant effusion is not ruled out. Otherwise normal abdomen. There is no evidence of an obstructive process.</t>
  </si>
  <si>
    <t>A CBC, blood chemistry profile, and abdominal ultrasound are recommended.</t>
  </si>
  <si>
    <t xml:space="preserve">
1.Splenic size, shape and margin are normal._x000D_
2.Abdominal detail is normal._x000D_
3.The liver is normal in size and margin._x000D_
4.The stomach is mildly gas and fluid filled with some soft tissue density material. The small bowel is gas and fluid-containing. No obvious obstruction.</t>
  </si>
  <si>
    <t>Four radiographs of the abdomen are provided. There is no abdominal effusion. Moderate volume soft tissue opaque ingesta fills the stomach. Small bowel are mildly filled. Small volume formed feces in the colon. No radiopaque foreign material. The urinary bladder is mildly filled and soft tissue opaque. No abnormalities along the plane of the urethra or in the region of the medial iliac lymph nodes. Normal size kidneys, liver, spleen. No lumbar spinal abnormalities.</t>
  </si>
  <si>
    <t>Normal postprandial abdomen. Gastric contents appears to be normal ingesta. Foreign material is not definitively ruled out. There is no evidence of small bowel obstruction or radiopaque urolithiasis.</t>
  </si>
  <si>
    <t>Urine culture should be considered. If GI signs persist despite supportive care, fasted abdominal radiographs +/- positive contrast gastrogram would be recommended. Strictly fasted abdominal ultrasound is another option, as long as there is minimal gas in the stomach at the time of imaging.</t>
  </si>
  <si>
    <t xml:space="preserve">
1.Abdominal detail is normal._x000D_
2.On the VD projection, the hepatic silhouette appears small however on the lateral projection, the hepatic silhouette is normal._x000D_
3.Splenic size, shape and margin are normal._x000D_
4.The small intestinal tract contains normal volumes of fluid, gas and ingesta._x000D_
5.The ascending, transverse and descending colon are in a normal position and contain gradually more formed feces._x000D_
6.The stomach contains a small amount of air and either has prominent gastric rugae or contains a small amount of soft tissue material.</t>
  </si>
  <si>
    <t>Six radiographs of the abdomen are provided. There is no peritoneal or retroperitoneal effusion. The urinary bladder is moderately filled and soft tissue opaque. The distal descending colon is bowed ventrally, however there is no abnormal tissue dorsal to the colon to suggest displacement. Colonic position is likely incidental. Formed feces fills the descending colon. Small bowel are mildly filled with stippled soft tissue density and gas. Small volume gas in the stomach. No radiopaque foreign material. Normal-sized liver, spleen, left kidney. The right kidney is obscured.</t>
  </si>
  <si>
    <t>Normal abdomen. There is no evidence of radiopaque gastrointestinal foreign material or an obstructive process. No radiopaque cystic calculi. Cystitis is suspected. Radiolucent calculi or urinary bladder wall abnormality are next on the differential list.</t>
  </si>
  <si>
    <t>If further evaluation of the urinary bladder is desired, abdominal ultrasound would be recommended.</t>
  </si>
  <si>
    <t xml:space="preserve">
1.Small small-volume amorphous soft tissue opacity is present within the stomach. 
The small intestines are mildly filled with gas and fluid. No signs of obstruction._x000D_
2.Abdominal detail is normal._x000D_
3.Liver size, shape and margin are normal._x000D_
4.Splenic size, shape and margin are normal.</t>
  </si>
  <si>
    <t>Three radiographs of the thorax/abdomen are provided. The cardiac silhouette and pulmonary vessels are normal size and shape. There are faint bronchial markings consistent with the patient=ZZ91=s age. No soft tissue pulmonary nodules or pleural effusion. Hazy round soft tissue opacity cranioventral to the tracheal bifurcation on the left lateral view is end-on pulmonary vessel. No pleural effusion. Adequate tracheal diameter. In the abdomen the liver is upper normal size. Linear 1.5 cm wire-like metal density in the cranioventral peritoneal space is incidental chronic migrated gastrointestinal foreign material. The gastrointestinal tract is minimally filled. Normal-sized spleen and left kidney. The right kidney is incompletely visible. No radiopaque urolithiasis. Narrowed L1-2, L2-3, L4-5, L5-6 intervertebral disc spaces, with mineral density overlying the L5-6 intervertebral foramen.</t>
  </si>
  <si>
    <t>Probable intervertebral disc disease in the lumbar spine. This may be responsible for discomfort when picked up. Otherwise normal thorax and abdomen.</t>
  </si>
  <si>
    <t>Further investigation of the liver with ultrasound could be considered.</t>
  </si>
  <si>
    <t xml:space="preserve">
1.The stomach and intestinal tract are normal._x000D_
2.Splenic size, shape and margin are normal._x000D_
3.Abdominal detail is normal._x000D_
4.The liver is mildly enlarged but with a normal shape and smooth margins. No hepatic mass has been identified.</t>
  </si>
  <si>
    <t xml:space="preserve">Patient Name : Pepper Gray, Date of study: Jul 10, 2024
3 images are provided for review
Canine Abdomen (3 Images) - 1 Vd, 2 Lateral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partially obscured without obvious enlargement or mineral.
Peritoneum: Peritoneal detail is adequate.
Gastrointestinal tract: The stomach contains a moderate gas and is within normal limits for size.  Gas is in the pylorus in the left lateral image. 
The small intestine contains mild to moderate fluid or is empty with a subjectively uniform population for size. 
The colon contains mild to moderate gas and minimal soft tissue in one lateral image, and moderate soft tissue in the alternate lateral image.   The colon is normal in size.
Musculoskeletal: Bilateral femoral trochlear hypoplasia is present.  The remaining included musculoskeletal structures are normal.
</t>
  </si>
  <si>
    <t xml:space="preserve">1. Non-specific gastrointestinal tract changes such as from enteritis, colitis, or individual variation of normal/recent bowel movement.
- Differential diagnoses for enteritis/colitis include dietary indiscretion, toxin ingestion, diet/antibiotic responsive disease, inflammatory bowel disease, parasitism/primary infectious disease, or unlikely pancreatitis or occult systemic disease.  
- There is no evidence of mechanical ileus.  </t>
  </si>
  <si>
    <t>Consider urinalysis and culture/sensitivity testing for further evaluation.  Empirical therapy and supportive care in the interim as needed.  Abdominal ultrasonography may be contributory, especially if signs fail to improve or worsen.  Monitoring as directed, or sooner if clinical signs acutely change, fail to improve or worsen.</t>
  </si>
  <si>
    <t>Orthogonal views of the abdomen are provided:_x000D_
_x000D_
Abdomen:_x000D_
_x000D_
The stomach is empty._x000D_
Small intestines are mildly gas and fluid filled, not overtly distended. _x000D_
The descending colon is abnormally distended with feces. No signs of mechanical ileus._x000D_
Serosal detail is preserved._x000D_
Liver and spleen are within normal limits of size and smoothly marginated._x000D_
Kidneys and urinary bladder WNL.</t>
  </si>
  <si>
    <t>1) Transient abnormal distension of the colon secondary to dietary indiscretion and feces mixed with paper as described. A megacolon is unlikely._x000D_
No signs of a mechanical ileus of the small intestines.</t>
  </si>
  <si>
    <t>Consider enemas with follow up radiographs with +/- lactulose.</t>
  </si>
  <si>
    <t xml:space="preserve">
1.There is formed fecal material within the colon._x000D_
2.The stomach is minimally distended._x000D_
3.The small intestine is uniform in diameter containing both fluid and gas. No segmental small bowel dilation is noted._x000D_
4.Cranial abdominal detail is mildly decreased.  If this is the only finding, this is more likely due to normal overlying structures or radiographic technique. If this finding is part of a larger group of findings, cranial abdominal inflammation becomes a stronger consideration._x000D_
5.Liver size, shape and margin are normal._x000D_
6.Splenomegaly is present but a splenic mass is NOT detected.</t>
  </si>
  <si>
    <t>Study:_x000D_
Abdominal radiography: three images dated July 9, 2024_x000D_
_x000D_
Compared to prior study dated March 9, 2024_x000D_
_x000D_
Findings:_x000D_
The stomach contains unstructured heterogeneous soft tissue material.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 prostate is not visualized. The included thorax is normal. No skeletal abnormalities are present.</t>
  </si>
  <si>
    <t>Gastric contents likely represent ingesta. Foreign material cannot be completely excluded. Correlate with recent dietary history. The abdomen is otherwise unremarkable. A cause of the chronic G.I. issues not evident. Consider abdominal sonography, a G.I. panel plus/minus ACTH stimulation testing for further evaluation.</t>
  </si>
  <si>
    <t>Patient Name : Gertie Brownwood, Date of study: Jul 9, 2024
4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partially obscured without obvious enlargement or mineral.  
Peritoneum: Peritoneal detail is adequate.
Gastrointestinal tract: The stomach contains a moderate volume of gas.  Gas is in the pylorus in the left lateral image.  Gastric rugal folds are mildly prominent.  
The small intestine contains mild to moderate gas or is empty with a subjectively uniform population for size. 
The colon contains mild heterogeneous soft tissue material and gas.  The colon is normal in size.  
Musculoskeletal: The included musculoskeletal structures are normal.</t>
  </si>
  <si>
    <t>1. Prominent gastric rugal folds such as from non-specific gastritis versus normal variation.
2. Non-specific small intestinal and colon appearance such as from enteritis/colitis or individual variation of normal/recent bowel movement.
- Differential diagnoses for enteritis/colitis include dietary indiscretion, toxin ingestion, diet/antibiotic responsive disease, inflammatory bowel disease, parasitism/primary infectious disease, pancreatitis or occult systemic disease.
- There is no current evidence of gastrointestinal mechanical ileus.</t>
  </si>
  <si>
    <t xml:space="preserve">Consider GI panel, fecal analysis/deworming for further evaluation if not recently performed.  Empirical therapy and supportive care in the interim as needed.  Monitoring as directed or sooner if clinical signs acutely change, fail to improve or worsen in the face of empirical therapy and supportive care.  Consider ultrasonography and thoracic imaging for further evaluation if signs persist and repeat abdominal radiographs are similar or inconclusive.  </t>
  </si>
  <si>
    <t xml:space="preserve">
1.The gastric rugae are prominent._x000D_
2.The small bowel is diffusely fluid distended with a mild disparity in small bowel diameter._x000D_
3.Portions of the colon are gas filled and have a rigid appearance._x000D_
4.No abnormal AI findings reported._x000D_
5.The liver and spleen are normal._x000D_
6.There is a focal loss of serosal detail in the cranial abdomen on the VD projection._x000D_
7.The gastric lumen contains a mild amount of soft tissue and gas opacity._x000D_
8.The pyloroduodenal is widened and the proximal duodenum contains a mild amount of air.</t>
  </si>
  <si>
    <t>Orthogonal views of the thorax and abdomen are provided:_x000D_
_x000D_
Thorax:_x000D_
_x000D_
No abnormalities seen in the trachea._x000D_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Indistint tiny mineral opacities rae seen in the region of the kidneys/Gi tract._x000D_
Urinary bladder WNL._x000D_
_x000D_
Multifocal signs of chronic IVDD.</t>
  </si>
  <si>
    <t>Consider continuation of empirical treatment evaluating response to treatment. If clinical signs persist, consider a bronchoscopy with BAL, culture, cytology, Baermann test and deworming._x000D_
Consider abdominal US to further evaluate the urinary tract (ruling in/out tiny renoliths) with renal function, UPC and urinalysis.</t>
  </si>
  <si>
    <t xml:space="preserve">
1.No abnormal AI findings reported._x000D_
2.No effusion is present._x000D_
3.The liver and spleen are normal size._x000D_
4.Moderate volume soft tissue opacity and/or gas fills the stomach._x000D_
5.Small intestines are mildly filled with a mixture of fluid and gas._x000D_
6.No segmental small intestinal distention is present.</t>
  </si>
  <si>
    <t>Orthogonal views of the abdomen are provided:_x000D_
_x000D_
Abdomen:_x000D_
_x000D_
The stomach is empty._x000D_
The caudal tipo of the liver is markedly irregular with an adjacent striated/mottled peritoneum._x000D_
Small intestines are mildly gas and fluid filled, not overtly distended. No signs of mechanical ileus._x000D_
Spleen is within normal limits of size and smoothly marginated._x000D_
Kidneys and urinary bladder WNL.</t>
  </si>
  <si>
    <t>1) Irregular liver: rule out liver abscess/granuloma vs infectious/inflammatory hepatitis vs neoplasia/metastases can not be excluded._x000D_
2) Cranioventral striated/mottled peritoneum compatible with peritonitis. Adhesions are not excluded. A neoplastic effusion is less likely at this age.</t>
  </si>
  <si>
    <t>Abdominal US with +/- US guided FNAs from the liver and if possible abdominocentesis. Consider also three views of. the thorax.</t>
  </si>
  <si>
    <t>4 images of the abdomen are provided for review.  Serosal detail is reduced in the mid abdomen.  The stomach contains a moderate amount of mottled soft tissue material.  The small intestines are normal in size.  Gas and feces are present in the colon.  The urinary bladder is small.  The remaining abdominal organs are normal.</t>
  </si>
  <si>
    <t>Material within the stomach may represent residual ingesta or foreign material.  Consider repeat radiographs following strict fasting to determine if gastric contents persist.  Reduced serosal detail in the mid abdomen may indicate free fluid or mass effect.  Pancreatitis or infiltrative neoplasia could be considered.  Abdominal ultrasound may be helpful.</t>
  </si>
  <si>
    <t>Orthogonal abdomen views are provided._x000D_
_x000D_
No foreign bodies are identified in the GI tract. No dilation the stomach or intestine is seen. The liver is slightly smaller than expected for patient size. The other abdominal organs are within normal limits. Detail in the cranial abdomen is slightly reduced.</t>
  </si>
  <si>
    <t>No evidence of foreign body or obstruction is identified._x000D_
_x000D_
The liver is smaller than expected. This could still be a benign variant. Microvascular dysplasia would also be a consideration. More significant pathology such as a portosystemic shunt or chronic fibrosis/cirrhosis of the liver would be less likely possibilities._x000D_
_x000D_
The slight reduction in detail is a subtle and equivocal finding. This is likely to be a benign variant in the absence of relevant clinical signs. Possible pathologies although not considered likely would still include pancreatitis and mesenteric lymph node enlargement.</t>
  </si>
  <si>
    <t>Conservative management is recommended at this time._x000D_
Bile acids testing could be considered to rule out pathologic causes of smaller than average liver._x000D_
Recheck radiographs or ultrasound could be considered if more prominent clinical signs appear.</t>
  </si>
  <si>
    <t xml:space="preserve">
1.The small intestines appear normal in size, course and content. No signs of small bowel obstruction._x000D_
2.The spleen is normal in size and margin._x000D_
3.The stomach appears within normal limits._x000D_
4.No abnormal AI findings reported._x000D_
5.The liver is mildly enlarged with a smooth margin._x000D_
6.Resource: https://platform.v2.vetology.net/doc/liver_disease</t>
  </si>
  <si>
    <t>6 views of the thorax and abdomen are submitted for review._x000D_
Of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stable contains a mild to moderate amount of heterogeneous ingesta.  The small bowel is normal in uniform diameter.  A moderate amount of stool is noted throughout the colon.  The liver and spleen are normal in size, shape, and margination.  The bilateral renal silhouettes are within normal limits.  The urinary bladder is unremarkable.  Serosal detail is normal._x000D_
No significant osseous abnormalities are seen.</t>
  </si>
  <si>
    <t>The material in the stomach is nonspecific and appears most consistent with food.  Radiolucent foreign material cannot be ruled out.  No evidence of mechanical obstruction of the GI tract is seen.  Nonspecific gastroenteritis or pancreatitis is also possible.</t>
  </si>
  <si>
    <t>Correlation with blood work may be helpful.  Otherwise, an abdominal ultrasound could be considered.</t>
  </si>
  <si>
    <t xml:space="preserve">
1.Liver size, shape and margin are normal._x000D_
2.Small amount of irregular opacity at the stomach. Small intestines are mildly filled with fluid and gas without segmental small bowel dilation._x000D_
3.Splenic size, shape and margin are normal._x000D_
4.Abdominal detail is normal.</t>
  </si>
  <si>
    <t xml:space="preserve">Patient Name : Rainbow Le, Date of study: Jul 9, 2024
2 images are provided for review
Canine Abdomen (2 Images) - 1 Lateral, 1 Vd
There are no previous radiographs for comparison.
Liver: The liver is subjectively small with cranial displacement of the gastric axis in the lateral image.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The prostate gland is enlarged and occupies at least 50-60% the height of the pelvic inlet.    The prostate gland is homogeneous soft tissue.  
Peritoneum: Peritoneal detail is adequate.
Gastrointestinal tract: The stomach contains a moderate volume of gas.  The stomach is normal in size.
The small intestine contains mild to moderate fluid or is empty with a subjectively uniform population for size. 
In the cranioventral, mid- and caudodorsal abdomen is a severely enlarged intestinal segment that contains heterogeneous soft tissue material admixed with gas.  Small granulat mineral is also admixed with this content.  This intestine segment has a rounded or blind end caudally towards the level of the pelvic inlet, which is not the expected course of the descending colon.    A segment of intestine in the region of the colon/rectum in the lateral image contains minimal soft tissue material and gas, and is smaller than the enlarged intestinal segment.  The enlarged intestinal segment is left-sided in the ventrodorsal image.  
Musculoskeletal: Lumbosacral spondylosis deformans is present.  The remaining included musculoskeletal structures are normal.
</t>
  </si>
  <si>
    <t xml:space="preserve">1. Severe colonic enlargement or less likely segmental small intestinal enlargement.
- The atypical caudal margin of this segment (rounded/blind) is suspicious for colonic torsion or possibly an occult stenotic lesion or space-occupying lesion such as an occult colorectal mass.
- Alternatively if this is a severely enlarged small intestinal segment, consider mechanical ileus from occult foreign material, intussusception, or neoplasm.
2. Non-specific gastrointestinal tract changes such as from enteritis, colitis, or individual variation of normal.
3. Microhepatia versus artifact/individual variation of normal.
- If present, consider microvascular dysplasia or unlikely other.
4. Prostatomegaly due to benign prostatic hyperplasia, or less likely other given intact status of this patient.  </t>
  </si>
  <si>
    <t>Consider pneumocolonogram and a left lateral radiograph for further evaluation and to confirm the position/patency of the colon.  Abdominal ultrasonography or computed tomography may also be contributory.  If colonic torsion or small intestinal mechanical ileus are confirmed, surgeon consultation and celiotomy for decompression.  If a colonic stricture/stenosis or mass is identified, consider computed tomography and thoracic imaging for further evaluation.  Routine blood work if not recently performed.  Monitoring as directed, or sooner if clinical signs acutely change, fail to improve or worsen.</t>
  </si>
  <si>
    <t xml:space="preserve">
1.The liver and spleen are normal size._x000D_
2.No abnormal AI findings reported._x000D_
3.The right cranial quadrant has a hazy appearance on the VD projection otherwise serosal detail is adequate._x000D_
4.In the abdomen the stomach contains small volume gas, soft tissue and mildly prominent rugae._x000D_
5.Small intestines are minimally filled._x000D_
6.The colon contains gas and scant semiformed feces.</t>
  </si>
  <si>
    <t xml:space="preserve">Patient Name : Ginger Fennell, Date of study: Jul 9, 2024
3 images are provided for review
Canine Thorax (3 Images) - 2 Lateral, 1 Vd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Slight soft tissue band over the cervical tracheal segment in the left lateral image..
Esophagus: The esophagus is not well-identified.
Pleural space: The pleural space is normal.
Musculoskeletal: The included musculoskeletal structures are normal.
</t>
  </si>
  <si>
    <t>1. Minimal-mild diffuse bronchial pulmonary pattern.
- Differential diagnoses include fibrosis from prior disease, age-related changes, infectious/immune-mediated lower airway disease or unlikely other.
2. Dorsal redundant tracheal membrane with/without underlying dynamic airway disease,  versus artifact or superimposed normal structures.</t>
  </si>
  <si>
    <t>Consider airway sampling and respiratory PCR for further evaluation. This examination does not rule out dynamic airway disease.  Consider tracheoscopy/bronchoscopy and/or fluroscopy for further evaluation. Routine blood work to rule out occult systemic disease if not recently performed.  Empirical therapy and supportive care in the interim as needed. Monitoring as directed or sooner if clinical signs acutely change, fail to improve or worsen.</t>
  </si>
  <si>
    <t>A three view study of the abdomen is provided for interpretation._x000D_
_x000D_
There are multiple intestinal loops with excessive gas. The descending colon and transverse colon are gas dilated, but there also multiple loops that are consistent with moderately gas distended small intestine. One loop of intestine is seen that is dilated and also has abnormal soft tissue opacity within the lumen, that appears as a lamellar/striated pattern of mottled soft tissue opacity compatible with textile foreign material. The stomach appears empty and nondistended. Gastric rugal folds are prominent. There are several small bowel loops in the left cranial abdomen that have a bunched appearance with a fragmented gas pattern. The appearance is somewhat concerning for possible intestinal plication, but considered speculative and not definitive at this time. Serosal detail in the abdomen is normal. The other organs are within normal limits.</t>
  </si>
  <si>
    <t>Evidence of intestinal textile foreign material with associated bowel distention consistent with an obstructive pattern. There is another intestinal area with possible plication suggesting a linear foreign body component could also be present.</t>
  </si>
  <si>
    <t xml:space="preserve">
1.No abnormal AI findings reported._x000D_
2.The liver and spleen are normal._x000D_
3.There is a focal loss of serosal detail in the cranial abdomen on the VD projection._x000D_
4.The pyloroduodenal is widened and the proximal duodenum contains a mild amount of air._x000D_
5.The gastric lumen contains a mild amount of soft tissue and gas opacity._x000D_
6.The gastric rugae are prominent._x000D_
7.The small intestine is of uniform population size and is diffusely of soft tissue opacity with minimal gas opacity._x000D_
8.No mechanical ileus is visualized._x000D_
9.The colon contains a mild amount of gas caudally and ill-formed heterogenous fecal material cranially.</t>
  </si>
  <si>
    <t xml:space="preserve">Patient Name : Chewie Lapaich, Date of study: Jul 9, 2024
3 images are provided for review
Canine Abdomen (3 Images) - 2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The stomach is within normal limits for size.  Gastric rugal folds are slightly prominent.   Gas is in the pylorus in the left lateral image.  
The small intestine contains moderate gas in the left lateral image, with some segments that are suspiciously stacking.  This is less well-identified in the right lateral image with mild-moderate small intestinal gas in the mid-abdomen, and few small fluid filled or empty segments in the caudoventral abdomen.  
The colon contains mild gas.  The colon is normal in size.  
Musculoskeletal: The included musculoskeletal structures are normal.
</t>
  </si>
  <si>
    <t>1. Suspicious for small intestinal mechanical ileus versus non-specific enteritis/functional ileus, or a combination of these.
2. Prominent gastric rugal folds such as from non-specific gastritis versus normal variation.</t>
  </si>
  <si>
    <t>Consider abdominal ultrasound or repeat abdominal radiographs after supportive care to monitor for progression/resolution of the suspicious small intestinal segments, especially given reported history.  If small intestinal mechanical ileus is confirmed, celiotomy for retrieval of material and decompression.  Empirical therapy and supportive care in the interim as needed for gastroenterocolitis.  Monitoring as directed or sooner if clinical signs acutely change, fail to improve or worsen.</t>
  </si>
  <si>
    <t xml:space="preserve">
1.The stomach has a normal axis, with subjectively thickened mucosal folding._x000D_
2.The liver is normal in shape, size and opacity._x000D_
3.The spleen is visible and within normal limits._x000D_
4.There is a mildly reduced cranial abdominal serosal detail._x000D_
5.The ascending, transverse and descending colon contain gradually more formed faeces._x000D_
6.The small intestines are mildly dilated with a mixture of gas and fluid, and have a mild turgid appearance.</t>
  </si>
  <si>
    <t>Study:_x000D_
Abdominal radiography: four images dated July 9, 2024_x000D_
_x000D_
Findings:_x000D_
The stomach contains heterogeneous soft tissues material presumed to be ingesta. The small intestines are normal in size, course and content. The colon contains a small volume of gas the liver is normal in size and margin. The spleen is mildly to moderately enlarged with smooth margins. The renal silhouettes are normal in size and contour. The urinary bladder is normal in size and opacity. There is right sided peritoneal swelling with a large gas pocket in this region. The included thorax is normal. There is mild L3-L4 spondylosis deformans.</t>
  </si>
  <si>
    <t>1. Right sided perineal swelling consistent with the reported hernia. There is no herniation of abdominal viscera. _x000D_
2. The mild to moderate splenomegaly is nonspecific. Rule out extramedullary hematopoiesis, lymphoid hyperplasia, splenitis, congestion or infiltrative neoplasia. Sonography can be considered for further evaluation.</t>
  </si>
  <si>
    <t>Three radiographs of the thorax are provided. Images dated April 30, 2024 are available for comparison. There is moderate, predominantly left-sided cardiomegaly. This is relatively similar to the previous study. Subsequent dorsal deviation of the thoracic trachea and mainstem bronchi. The mainstem bronchi are compressed. Pulmonary vessels are normal size. Perihilar vessels are poorly visible on the VD projection although this projection is expiratory. No definitive pulmonary parenchymal abnormalities on the lateral views. No pleural effusion. Adequate tracheal diameter. Scant mineral opaque debris in the stomach, likely incidental.</t>
  </si>
  <si>
    <t>Moderate, predominantly left-sided cardiomegaly consistent with chronic valvular disease. There is no evidence of pulmonary venous congestion, however there is mainstem bronchial compression which is the most likely cause for coughing. Loss of perihilar vessel visibility on the VD projection, similar to the previous study. This is most likely due to expiration and dorsal recumbency.</t>
  </si>
  <si>
    <t>Current treatment is appropriate. Recommend an echocardiogram to help guide treatment. Also recommend obtaining a dorsoventral projection (with the patient in sternal recumbency) on all future studies of this patient. This would allow for maximum dorsal lung aeration to help rule in/out pulmonary edema.</t>
  </si>
  <si>
    <t>Study:_x000D_
Abdominal radiography: three images dated July 9, 2024_x000D_
_x000D_
Findings:_x000D_
The serosal detail is adequate. The stomach contains a small volume of gas. The thickness of the gastric wall is within normal limits for the degree of gastric distention. The small intestines are normal in size, course and content. The colon contains a small volume of gas and a small amount of poorly formed fecal material. The liver and spleen are normal in size and margin. The renal silhouettes are normal in size and contour. The urinary bladder is normal in size and opacity. There is no uterine dilation. The included thorax is normal. No skeletal abnormalities are present.</t>
  </si>
  <si>
    <t>Unremarkable abdomen. A cause of the reported lethargy and anorexia is not evident. There is no radiographic evidence of gastrointestinal foreign material or small intestinal mechanical obstruction. Abdominal sonography can be considered for further evaluation if clinical signs persist or worsen in spite of medical management.</t>
  </si>
  <si>
    <t xml:space="preserve">
1.The liver is normal in shape, size and opacity._x000D_
2.The spleen is visible and within normal limits._x000D_
3.The small intestines are mildly dilated with a mixture of gas and fluid, and have a mild turgid appearance._x000D_
4.There is a mildly reduced cranial abdominal serosal detail._x000D_
5.The stomach has a normal axis, with subjectively thickened mucosal folding._x000D_
6.The ascending, transverse and descending colon contain gradually more formed faeces.</t>
  </si>
  <si>
    <t>Orthogonal views of the thorax are provided:_x000D_
_x000D_
Thorax:_x000D_
_x000D_
No abnormalities seen in the trachea._x000D_
Cardiac silhouette has a normal shape and size._x000D_
Pulmonary vessels are within normal limits of size and shape._x000D_
Pulmonary parenchyma is within normal limits. No evidence of pneumonia._x000D_
Pleural space, mediastinum, diaphragm and thoracic wall within normal limits._x000D_
_x000D_
Foreign mineral particles in the stomach. Otherwise unremarkable abdomen.</t>
  </si>
  <si>
    <t>1) Unremarkable lungs do not exclude a bronchitis of allergic origin vs inflammatory/infectious or parasitic origin.</t>
  </si>
  <si>
    <t>Consider CT of the nasal cavity/thorax with bronchoscopy, BAL, culture, cytology followed (in this order) by rhinoscopy and biopsies with culture and deworming._x000D_
Consider abdominal US to further evaluate causes of vomition other than the dietary indiscretion with gastric foreign particles.</t>
  </si>
  <si>
    <t xml:space="preserve">
1.No abnormal AI findings reported._x000D_
2.There is decreased detail in the cranial abdomen._x000D_
3.The stomach is mild to moderately distended with mixed gas and fluid._x000D_
4.The duodenum is mildly distended._x000D_
5.Small intestinal bowel loops are normal in size and distribution._x000D_
6.The colon contains feces._x000D_
7.The liver and spleen are normal.</t>
  </si>
  <si>
    <t>Decreased cranial abdominal detail and mild distension of the duodenum is most concerning for pancreatitis and secondary duodenitis. A gastrointestinal obstructive pattern is not identified. Dietary indiscretion, bacterial overgrowth, infectious causes, intestinal parasites, and infiltrative disease are additional considerations. The AI result for this case is most compelling for: Gastroenteritis and/or active pancreatitis in a patient WITH GI signs.</t>
  </si>
  <si>
    <t xml:space="preserve">
Abdominal ultrasound would be recommended to further evaluate the pancreas and gastrointesitnal tract._x000D_
A cPLi could also be performed to evaluate for pancreatitis._x000D_
A fecal smear and fecal float would also be beneficial to evaluate for GI bacterial overgrowth and intestinal parasites._x000D_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</si>
  <si>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 xml:space="preserve">Patient Name : Remi Wolff, Date of study: July 9, 2024.
Canine Abdomen (3 Images) - 2 Lateral, 1 VD.
Compared to multiple previous studies, most recently dated April 13, 2024.
Findings:
Gastrointestinal tract: The stomach is mildly distended with heterogeneous ingesta, fluid, and gas. The small intestines are diffusely within normal limits of diameter. The majority of the small intestinal loops are gas-filled. The colon is predominately indistinguishable. 
Liver: The liver is normal in size and shape.
Spleen: The splenic margins are smooth. The spleen is normal in size.
Urinary: The visible margins of the kidneys are normal. The urinary bladder is small in size and normal in opacity.
Peritoneal space: There is reduced serosal detail in the mid cranial abdomen.
Musculoskeletal: The included skeletal and superficial soft tissue structures of the study are normal.
</t>
  </si>
  <si>
    <t>1. Mild gastric distension with heterogeneous ingesta, fluid, and gas. Gastric foreign material is of high concern given the history of not eating and vomiting. 
2. The small intestines are normal in diameter. There is no evidence of a small intestinal mechanical obstruction. Functional ileus is not ruled out. 
3. Reduced mid cranial abdominal serosal detail due to superimposed normal structures and/or mild peritoneal fluid such as from pancreatitis, gastritis.</t>
  </si>
  <si>
    <t>Repeat abdominal radiographs after a confirmed fast could be considered if the timing of the patient's last meal is unknown. If gastric material persists, gastrotomy or gastroscopy would be recommended. If not recently performed, CBC, biochemistry, and cPL would be recommended. Empirical therapy and supportive care in the interim as needed.</t>
  </si>
  <si>
    <t>Three radiographs of the thorax, and three views of the abdomen are provided. The cardiac silhouette and pulmonary vessels are normal size. Mild unstructured interstitial pattern is normal for the age of this patient. There are no soft tissue pulmonary nodules or pleural effusion. Faint increased opacity overlying the cranial right thorax on the VD projection is superimposed extrathoracic tissue. Moderate to severe narrowed cervical trachea._x000D_
_x000D_
In the abdomen the gastrointestinal tract is mildly filled. Small volume small mineral opaque fragments throughout the gastrointestinal tract are likely incidental. There is no effusion. Normal size kidneys, liver, spleen. No radiopaque urolithiasis. Osseous structures are unremarkable.</t>
  </si>
  <si>
    <t>Cervical tracheal collapse. Otherwise normal thorax and postprandial abdomen.</t>
  </si>
  <si>
    <t>If further evaluation of the liver is desired, abdominal ultrasound would be recommended. There is no contraindication for general anesthesia based on this study.</t>
  </si>
  <si>
    <t>Study:_x000D_
Thoracic/abdominal radiography: three images dated July 9, 2024_x000D_
_x000D_
Findings:_x000D_
The cardiac silhouette and pulmonary vasculature are normal in size. Multiple soft tissue opaque nodules/masses are scattered throughout the pulmonary parenchyma. Multiple thin pleural fissure lines are seen on the VD view. There is no apparent intrathoracic lymphadenopathy. The trachea is normal in diameter. The abdominal serosal detail is normal. The stomach contains unstructured heterogeneous soft tissue material presumed to be ingesta. There is a thin linear metallic opacity in the mesentery adjacent to the pylorus. The small intestines are normal in size, course and content. The colon contains a small volume of gas. The liver extends mildly beyond the costal arch with smooth margins. The spleen is normal in size and margin. The renal silhouettes are normal in size and contour. The urinary bladder is normal in size and opacity. There is narrowing of the L2-L3 intervertebral disc space with mild spondylosis deformans.</t>
  </si>
  <si>
    <t>1. Pulmonary nodules/masses. Rule out metastatic disease. Fungal disease is less likely in the absence of any apparent tracheobronchial lymphadenopathy._x000D_
2. The mild hepatomegaly is nonspecific. Rule out metabolic/vacuolar hepatopathy, hyperplasia, hepatitis or  neoplasia._x000D_
3. The thin pleural fissure lines seen on the VD view may indicate trace nonspecific pleural effusion, pleural thickening and/or incidental tangential visualization._x000D_
4. Peritoneal linear metallic, possibly wire, foreign body. This is a relatively common incidental finding._x000D_
5.. L2-L3 intervertebral disc disease.</t>
  </si>
  <si>
    <t>Recommend abdominal sonography to further evaluate for any evidence of intra-abdominal neoplasia. Regionally appropriate fungal serology testing can also be considered if an and endemic area.</t>
  </si>
  <si>
    <t xml:space="preserve">
1.Splenic size, shape and margin are normal._x000D_
2.The liver appears small on the VD projection but normal on the lateral projection._x000D_
3.Right cranial abdominal detail is mildly decreased on the VD projection._x000D_
4.The stomach contains gas and the gastric axis is mildly displaced cranially._x000D_
5.The small intestines are a combination of gas-filled and fluid-filled/collapsed, and all are within normal limits for diameter._x000D_
6.The colon contains a combination of gas and fecal material.</t>
  </si>
  <si>
    <t>Three orthogonal radiographs of the abdomen dated 9th July 2024 are available for review. There are no previous radiographs available for comparison. _x000D_
_x000D_
Intra-abdominal findings: The stomach is mainly empty containing some gas and has a normal axis. Some gas is present in the pyloric region on the left lateral image, however a clear patency is not visible. The small intestines are overall empty. The ascending, transverse and descending colon contain an increased amount of gas, and have a tortuous appearance. The descending colon contains some formed faeces.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</si>
  <si>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1. The gas dilated loops in the cranial abdomen are most likely all colon, however a localised dilated small intestinal loop is possible. If present, this may represent segmental dilation and mechanical obstruction. The pylorus is not clearly patent, therefore partial pyloric outflow obstruction by non-radiopaque foreign body is possible. A gastroenteritis is likely.</t>
  </si>
  <si>
    <t xml:space="preserve">
1.Liver size, shape and margin are normal._x000D_
2.Splenic size, shape and margin are normal._x000D_
3.Abdominal detail is normal._x000D_
4.The stomach contains gas and a small amount of fluid. Loops of small bowel are minimally gas and fluid filled.</t>
  </si>
  <si>
    <t>Study:_x000D_
Thoracic radiography: three images dated July 9, 2024_x000D_
A right lateral view of the abdomen is also present in the study._x000D_
_x000D_
Findings:_x000D_
The cardiac silhouette and pulmonary vasculature are normal in size. There is a moderate generalized bronchial pulmonary pattern. No pulmonary nodules or masses are present.. The pleural space is normal. There is no intrathoracic lymphadenopathy. The larynx is unremarkable. The trachea is normal in diameter and course. Evaluation the abdomen is limited by the lack of a VD view. There is mild effusion in the caudoventral abdomen. The stomach contains a small volume of gas the small intestines are normal in size, course and content. The colon contains formed fecal material with a normal diameter. The liver and spleen are normal in size and margin. The renal silhouettes are normal in size and contour. The urinary bladder is normal in size and opacity. The prostate is not visualized. There is an indistinct increase in soft tissue opacity dorsal to the colon. There is narrowing of the L1-L2 intervertebral disc space with sclerotic endplates and severe spondylosis deformans. There is severe L2-L3 and mild L7-S1 spondylosis deformans. There is severe bilateral elbow periarticular bone formation.</t>
  </si>
  <si>
    <t>1. The mild generalized bronchial pulmonary pattern may indicate allergic, inflammatory, infectious, parasitic or irritant bronchitis. Airway sampling, heartworm testing and Baermann fecal flotation can be considered for further evaluation._x000D_
2. There is no evidence of pulmonary metastatic disease._x000D_
3. Mild caudal abdominal effusion._x000D_
4. Suspect sublumbar mass. Consider reactive or neoplastic lymphadenopathy. Artifact created by superimposition of the pelvic limb musculature cannot be excluded. Recommend abdominal sonography for further evaluation._x000D_
5. Severe bilateral elbow osteoarthrosis._x000D_
6. Chronic L1-L2 intervertebral disc sees.</t>
  </si>
  <si>
    <t xml:space="preserve">Patient Name : owens bailey, Date of study: Jul 9, 2024
6 images are provided for review
There are no previous radiographs for comparison.  The cranial thorax tip is excluded from the ventrodorsal image.  
Pulmonary parenchyma: A minimal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not well-identified, but no obvious enlargement or mineral is present.  
Peritoneum: Peritoneal detail is adequate.
Gastrointestinal tract: The stomach contains a moderate volume of gas. Gastric rugal folds are prominent.  Gas is in the pylorus in the left lateral image. The stomach is within normal limits for size.  
The small intestine contains mild fluid or is empty with a subjectively uniform population for size. 
The colon contains minimal gas and is predominantly soft tissue.  The colon is subjectively normal in size.
Musculoskeletal: The patient is thin, with concave soft tissues between lumbar spinous processes.  The remaining included musculoskeletal structures are normal.
</t>
  </si>
  <si>
    <t xml:space="preserve">1. Prominent gastric rugal folds such as from non-specific gastritis versus variation of normal.
2. No evidence of small intestinal mechanical ileus.  
3. Minimal diffuse bronchial pulmonary pattern such as from normal variation, fibrosis from prior disease, age-related changes, or unlikely infectious/immune-mediated lower airway disease.
</t>
  </si>
  <si>
    <t>Etiology of reported clinical signs is not definitively identified.  Given reported electrolyte imbalances and azotemia, consider acute renal failure (nephritis, toxin ingestion versus other) and oliguria/anuric status versus endocrinopathy such as Addisons disease (especially if hyperkalemia is also present) versus severe dehydration/heat shock.   Consider abdominal ultrasonography for further evaluation of the kidneys and urinary bladder.  Blood pressure and SDMA may be contributory.  Fluid therapy will likely be beneficial, and consider repeat imaging and possible cystocentesis if urinary bladder distension is identified.  Empirical therapy and supportive care in the interim as needed for possible renal injury versus other.  Monitoring as directed, or sooner if signs acutely worsen or fail to improve.
(amended on 07/09/2024 12:37)
Given patient reportedly is outdoor only, depending on possible wildlife contact, consider also leptospirosis spp. infection, and possible serology for further evaluation.</t>
  </si>
  <si>
    <t xml:space="preserve">
1.The small intestines are distended._x000D_
2.The gastric rugae are prominent or the gastric lumen contains soft tissue opaque material mimicking the appearance of prominent gastric rugae._x000D_
3.No abnormal AI findings reported._x000D_
4.The liver and spleen are normal size._x000D_
5.Cranial abdominal detail is decreased however this is attributed to a confluence of soft tissues or lack of intra-abdominal fat over mesenteric inflammation and/or abdominal fluid._x000D_
6.A portion of the colon is gas filled and rigid consistent with inflammation.</t>
  </si>
  <si>
    <t>Opposite lateral and ventrodorsal thoracic and abdominal radiographs (7 images) dated July 9, 2024._x000D_
_x000D_
_x000D_
_x000D_
The liver and spleen are normal in size and shape. Both kidneys are normal in size and shape. The urinary bladder is mildly distended with homogeneous fluid opacity. The stomach contains a mild volume of gas and a similar amount of mobile heterogeneous amorphous soft-tissue/fluid content. The descending duodenum is gas-filled on the left lateral view and is unremarkable in diameter. The remaining small bowel is mostly empty aside from a thin layer of gas and a scant amount soft-tissue content. The colon is mostly empty and collapsed. Retroperitoneal and peritoneal detail are normal. No regional lymphadenopathy is evident._x000D_
_x000D_
The cardiac silhouette, pulmonary vasculature, and great vessels are within normal limits. The pulmonary parenchyma is unremarkable. There is a small round soft-tissue opacity superimposed with the cranioventral lung field on the left lateral view at the level of the 3rd intercostal spaces=ZZ90= this likely represents a similar appearing soft-tissue nodule in the right peripheral body wall (caudal to axilla) in a similar location on the VD projection. No convincing pulmonary nodules are identified. No intrathoracic lymphadenopathy is evident. The trachea is normal in diameter and course with gas filling its lumen. The pleural space, mediastinum, and diaphragm are normal._x000D_
_x000D_
Both hips have subchondral sclerosis of the acetabula, and the left hip is notably incongruent with periarticular bony remodeling. There is multifocal thoracolumbar spondylosis deformans without disc space narrowing. No aggressive osseous lesions are identified.</t>
  </si>
  <si>
    <t>1. Non-obstructive gastroenteritis +/- colitis.  Rule out dietary indiscretion or toxin vs. food allergy/intolerance vs. flareup of a chronic enteropathy (ex: IBD) vs. GI infectious vs. systemic/extra GI causes (liver or kidney injury/disease, pancreatitis, endocrine disorder, systemic infection, non-GI neoplasia)._x000D_
2. Unremarkable thorax. The small round soft-tissue opacity superimposed with the right cranioventral lung field on the left lateral view likely represents a cutaneous or subcutaneous lesion visible on the VD projection in the right body wall. A pulmonary nodule is considered unlikely._x000D_
3. Moderate left and mild right hip osteoarthritis._x000D_
4. Multifocal spondylosis deformans.</t>
  </si>
  <si>
    <t>Supportive care with fluid rehydration, antiemetics, gastroprotectants/omeprazole, and bland diet.  General health profile (CBC, chemistry, UA, fecal) +/- spec cPL and baseline cortisol to screen for underlying causes.  Repeat fasted abdominal radiographs or ultrasound if the patient fails medical management._x000D_
_x000D_
Dedicated pelvic radiographs.</t>
  </si>
  <si>
    <t>Opposite lateral and ventrodorsal abdominal radiographs (3 images) dated July 9, 2024._x000D_
_x000D_
_x000D_
The stomach contains a mild volume of gas. The small intestine has a mild variation in diameter with segments distended with gas and heterogeneous soft-tissue content, whereas others contain more homogeneous soft-tissue/fluid content. The course of the small bowel is unremarkable. The colon contains gas. The liver is mildly enlarged, although this is considered an unremarkable finding in juvenile patients. The spleen is not well visualized. The urinary bladder is also not well visualized. Peritoneal detail is mildly reduced, although this is not necessarily pathologic. No regional lymphadenopathy is evident. The included caudal thorax is unremarkable._x000D_
The degree of hip laxity subjectively excessive.</t>
  </si>
  <si>
    <t>1. Non-obstructive gastroenteritis and colitis.  Rule out dietary indiscretion or toxin vs. GI infectious vs. systemic/extra GI causes (liver or kidney injury/disease, endocrine disorder, systemic infection)._x000D_
2. The degree of hip laxity is subjectively excessive and may indicate underlying instability/dysplasia. However, radiographic evaluation of the hips is only accurate after 4 months of age, and therefore this could be of no clinical relevance.</t>
  </si>
  <si>
    <t>Supportive care with fluid rehydration, antiemetics, gastroprotectants/omeprazole, antidiarrheal with probiotic, and bland diet.  General health profile (CBC, chemistry, UA, fecal). Abdominal ultrasound if the patient fails medical management.</t>
  </si>
  <si>
    <t xml:space="preserve">
1.The small intestines contain an increased amount of gas for a feline patient._x000D_
2.The stomach is contains a mild amount of food material, and has a mildly caudally displaced axis._x000D_
3.The transverse colon is moderately gas dilated._x000D_
4.The descending colon contained some poorly formed faeces and gas._x000D_
5.The peritoneal serosal detail is normal._x000D_
6.The spleen is positioned along the left body wall._x000D_
7.The hepatic silhouette is mildly enlarged, with smooth margins.</t>
  </si>
  <si>
    <t>Opposite lateral and ventrodorsal abdominal radiographs (3 images) dated July 9, 2024._x000D_
_x000D_
_x000D_
The liver and spleen are unremarkable in size and shape. The kidneys are only partially visible with no abnormalities appreciated. The urinary bladder is small and fluid opaque. The stomach contains a fair amount of gas and a small amount of mobile soft-tissue/fluid content. The pyloric antrum is gas-filled on the left lateral view. The small intestine is uniformly normal in diameter and contains a small and gas. Multiple segments have a slightly irregular linear gas pattern in the lumen. The cecum and colon contain gas. The distal descending colon contains poorly formed stool/diarrhea. The uterine body is partially visible interposed between the descending colon and urinary bladder on the lateral views only. The uterine horns are not visible. Retroperitoneal and peritoneal detail is normal. No regional lymphadenopathy is evident._x000D_
No osseous abnormalities are identified. The included caudal thorax is unremarkable.</t>
  </si>
  <si>
    <t>1. Non-obstructive gastroenteritis and colitis.  Rule out dietary indiscretion or toxin vs. food allergy/intolerance vs. flareup of a chronic enteropathy (ex: IBD) vs. GI infectious vs. systemic/extra GI causes (liver or kidney injury/disease, pancreatitis, endocrine disorder, systemic infection or early pyometra, non-GI neoplasia)._x000D_
2. Uterine body is partially visible, but is not considered pathologically enlarged. The uterine horns are not radiographically visible.</t>
  </si>
  <si>
    <t>Supportive care with fluid rehydration, antiemetics, gastroprotectants/omeprazole, and bland diet. Empirical antibiotic therapy for 1 week could be considered. General health profile (CBC, chemistry, UA, fecal) +/- spec cPL and baseline cortisol to screen for underlying causes. Abdominal ultrasound if the patient fails to respond to treatment, or if indicated based on lab work results.</t>
  </si>
  <si>
    <t xml:space="preserve">
1.Serosal detail in the abdomen is normal. The abdomen is slightly tucked._x000D_
2.Rugal folds in the stomach appears slightly swollen._x000D_
3.No abnormal AI findings reported._x000D_
4.The liver and spleen are normal._x000D_
5.No segmental dilation of the small intestine is seen._x000D_
6.The colon contains gas and has a rigid appearance.</t>
  </si>
  <si>
    <t>Opposite lateral and ventrodorsal abdominal radiographs (3 images) dated July 9, 2024._x000D_
_x000D_
The fairly large amount of peritoneal effusion is resulting in partial border effacement of multiple abdominal viscera. The liver is enlarged. There is a more broad homogeneous ovoid soft-tissue opacity in the left hemiabdomen on the VD view, suggestive of splenic enlargement. The stomach contains gas and has prominent rugal folds. The small intestine is primarily empty/collapsed. The cecum is gas-filled. The colon contains a mild volume of unremarkable appearing stool in the distal descending portion. The urinary bladder is not well visualized. The kidneys are partially visible with no abnormalities detected. Retroperitoneal detail is suspected to be adequate. No regional lymphadenopathy is evident._x000D_
No aggressive or clinically significant osseous pathology is identified.</t>
  </si>
  <si>
    <t>1. Large volume of peritoneal effusion. Rule out malignant neoplasia vs. hypoproteinemia vs. hemorrhage vs. portal hypertension or liver failure vs. severe pancreatitis vs. less likely septic peritonitis for idiopathic chylous effusion._x000D_
2. Hepatosplenomegaly with the peritoneal effusion raises concern for infiltrative round cell neoplasia, such as lymphoma or leukemia. Benign conditions remain possible (benign metabolic/vacuolar hepatopathy, hepatitis, vascular congestion for the liver=ZZ90= infectious splenitis, lymphoid hyperplasia, extramedullary hematopoiesis for the spleen).</t>
  </si>
  <si>
    <t>Abdominal ultrasound, abdominocentesis for fluid analysis and cytology, +/- liver and splenic FNA (ideally after PT/PTT and platelet check)._x000D_
CBC, Chem, UA, blood pressure, blood smear evaluation or clinical pathology review, and consider three-view thoracic radiographs.</t>
  </si>
  <si>
    <t xml:space="preserve">
1.Small-volume gas is present within the stomach._x000D_
2.The colon is minimally filled._x000D_
3.Serosal detail is poor._x000D_
4.The gastric axis is deviated caudally indicating an enlarged liver._x000D_
5.The spleen is also questionably enlarged but poorly visible.</t>
  </si>
  <si>
    <t>A ventral dorsal and right lateral radiograph of the thorax are provided. There is moderate generalized cardiac silhouette enlargement. The cranial lobar vein is larger than the artery. There is a severe interstitial to alveolar pattern in the right perihilar region, with moderate interstitial pattern in the left perihilar region. No pleural effusion. The enlarged left heart causes severe narrowed caudal thoracic trachea and mainstem bronchi. Redundant dorsal trachealis membrane causes moderate narrowed cervical trachea. Normal cranial abdomen.</t>
  </si>
  <si>
    <t>1. Moderate generalized cardiomegaly consistent with acquired mitral and tricuspid valve disease. There is pulmonary venous congestion and pulmonary edema indicating left-sided heart failure. This is the cause for progressive clinical signs. There is subsequent caudal thoracic tracheal and mainstem bronchial compression, likely contributing to the cough._x000D_
2. Cervical tracheal collapse, also likely contributing to the cough.</t>
  </si>
  <si>
    <t>Four radiographs of the abdomen are provided. Peritoneal and retroperitoneal detail is adequate. The stomach contains moderate volume gas and small volume amorphous soft tissue density, and a few punctate mineral densities. Small bowel are minimally filled. Moderate volume of formed feces and a few punctate mineral densities in the distal colon. No severe intestinal distention. Normal-sized liver, spleen, kidneys. The uterus is not visible. Normal caudal thorax.</t>
  </si>
  <si>
    <t>Small volume gastric contents is concerning for foreign material. This may also represent residual ingesta, assuming that the patient=ZZ91=s stomach was very distended with ingesta prior to vomiting episodes. Foreign material in the stomach is not definitively ruled out. There is no evidence of small bowel obstruction.</t>
  </si>
  <si>
    <t>Recommend supportive care, and repeat strictly fasted abdominal radiographs (nothing  since this set of images) to confirm/rule out gastric foreign material.</t>
  </si>
  <si>
    <t>4 images of the thorax and abdomen are presented for review.  The cardiovascular structures are normal.  The trachea is variably narrowed, with narrowing of the trachea and primary bronchi on expiration.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Costal arch.  The stomach contains a moderate amount of ingesta.  The small intestines are normal in size.  Gas and feces are present in the colon.  The urinary bladder is small.  The remaining abdominal organs are normal.</t>
  </si>
  <si>
    <t>Hepatomegaly=ZZ90= this is a nonspecific finding that may be seen with congestion, vacuolar hepatopathy, inflammation, neoplasia, etc.  Abdominal ultrasound may be helpful in further evaluation if biochemically indicated.  Variable tracheobronchial narrowing consistent with dynamic collapse.  Radiographically normal thorax for patient of this age.</t>
  </si>
  <si>
    <t>Eight radiographs are provided, with images of the thorax/abdomen, pelvis, and stifles. The cardiac silhouette and pulmonary vessels are normal size and shape. Mild age-related changes in the lungs. No soft tissue pulmonary nodules or pleural effusion. Small round soft tissue densities adjacent to the heart represent end-on pulmonary vessels. Normal tracheal diameter. In the abdomen the liver is mildly enlarged with smooth margins. Normal-sized spleen and kidneys. The gastrointestinal tract is moderately filled. No radiopaque cystic calculi. The L2-3 intervertebral foramen is slightly reduced in size. The coxofemoral joints are congruent. Pelvic limb musculature is adequate and symmetric. Patellar location is normal. There is moderate volume fluid in the cranial aspect of the left stifle joint. The left tibia is slightly cranially positioned with respect to the femoral condyles. No right stifle joint abnormalities.</t>
  </si>
  <si>
    <t>1. Moderate left stifle effusion and possible radiographic drawer sign, most consistent with cranial cruciate ligament tear/rupture. This is the most likely cause for lameness. Normal right stifle and coxofemoral joints._x000D_
2. The appearance of L2-3 is suggestive of intervertebral disc disease. This could be contributing to discomfort._x000D_
3. Mild hepatomegaly, a nonspecific finding that may be steroid or other hepatopathy, acute inflammation, least likely neoplasia. This should be correlated with history and blood work. Otherwise normal abdomen._x000D_
4. Normal thorax.</t>
  </si>
  <si>
    <t>If there is severe left stifle discomfort, severe lameness, and palpable instability, surgical stabilization would be recommended.</t>
  </si>
  <si>
    <t>Three radiographs of the thorax, and three views of the abdomen are provided. The cardiac silhouette is upper normal size on the ventral dorsal view. The heart appears relatively larger on the lateral projections due to thoracic conformation. Narrowed left mainstem bronchus on the right lateral view. Mild narrowed cervical trachea on both lateral views. No abnormalities in the pulmonary parenchyma. There is a dens on C2. Narrowed C3-4, C5-6, C6-7 intervertebral disc spaces. No scapular abnormalities. The glenohumeral joints are congruent. Mild degenerative change in the cubital joints._x000D_
_x000D_
In the abdomen soft tissue density extending ventral to the pylorus may represent enlarged liver versus normal splenic tail nestled adjacent to the liver. Normal sized kidneys. Punctate mineral density between the urinary bladder trigone and colon on the lateral views, to the right of midline on the VD projection. The L2-3 intervertebral foramen is slightly smaller than those on either side. Mild degenerative change in the coxofemoral joints. Both patellas are medially displaced.</t>
  </si>
  <si>
    <t>1. The appearance of C3-4, C5-6, C6-7, L2-3 are all suggestive of intervertebral disc disease. This is the most significant finding on this study._x000D_
2. Bilateral mild cubital and coxofemoral osteoarthritis and bilateral medial patellar luxation, could be contributing to discomfort._x000D_
3. Possible mild hepatomegaly versus normal splenic tail. Differentials for hepatomegaly are varied and include steroid hepatopathy, acute inflammation, or neoplasia. This should be correlated with history and blood work._x000D_
4. Punctate mineral density cranial to the pelvic inlet is most likely incidental granuloma. A distal ureterolith is next on the differential list._x000D_
5. Mainstem bronchial collapse and probable cervical tracheal collapse. No other intrathoracic abnormalities.</t>
  </si>
  <si>
    <t>If the patient does not improve with supportive care, consultation with a neurologist and advanced spinal imaging with CT/MRI should be considered.</t>
  </si>
  <si>
    <t xml:space="preserve">
1.The peritoneal serosal detail is normal._x000D_
2.The hepatic silhouette is mildly enlarged, with smooth margins._x000D_
3.The spleen is positioned along the left body wall._x000D_
4.The transverse colon is moderately gas dilated._x000D_
5.The descending colon contained some poorly formed faeces and gas._x000D_
6.The stomach is contains a mild amount of food material, and has a mildly caudally displaced axis._x000D_
7.The small intestines contain an increased amount of gas for a feline patient.</t>
  </si>
  <si>
    <t>A three view study of the thorax that includes the neck and cranial abdomen is provided for interpretation._x000D_
_x000D_
There is a moderate to severe diffuse bronchointerstitial pulmonary pattern. The overall diffuse pattern is mildly improved relative to the previous radiograph dated 6-26-24. However, there is a new finding of a mildly defined soft tissue nodule in the right middle lung field at the level of the six intercostal space. No thoracic lymphadenopathy or pleural effusion is seen. No tracheal or laryngeal abnormalities are identified._x000D_
The heart is at the upper end of normal size range, with normal shape. Pulmonary vessels are unremarkable._x000D_
_x000D_
The colon is moderately distended with fecal balls. The rest of the GI tract is unremarkable. Liver size is borderline, at the upper end of normal range.</t>
  </si>
  <si>
    <t>The bronchointerstitial pattern is only mildly improved relative to the previous study, and there is a new finding of what is suspected to represent a pulmonary granuloma in the right middle lung field._x000D_
These findings are consistent with inflammatory lower airway disease with a granulomatous component, not typical of standard bacterial bronchitis. Atypical bacterial forms including Mycobacterium Mycoplasma as well as parasitic infection and fungal disease should be ruled out.</t>
  </si>
  <si>
    <t>CBC, heartworm testing, and Baermann fecal exam for lungworms is recommended._x000D_
Sampling from the lower airways via BAL/TTW or bronchoscopy should be considered to assist definitive diagnosis._x000D_
Fungal panel should also be considered depending on relevant epidemiology and results of the other tests.</t>
  </si>
  <si>
    <t>Study:
Thoracic radiography: three images dated July 9, 2024
Findings:
There is severe left ventricular and left atrial enlargement. The pulmonary vasculature is normal in size. The pulmonary parenchyma is unremarkable. The pleural space is normal. There is no intrathoracic lymphadenopathy. The patient has a redundant dorsal tracheal membrane. The trachea is normal in diameter. There is no lobar bronchi narrowing. The liver extends mildly beyond the costal arch with a smooth and rounded caudoventral margin. The stomach contains heterogeneous soft tissue material presumed to be ingesta. The included abdomen is otherwise unremarkable. The osseous structures are unremarkable.</t>
  </si>
  <si>
    <t>1. Severe left-sided cardiomegaly, indicative of mitral valve disease, without evidence of decompensation. Echocardiography should be considered for further evaluation.
2. Redundant dorsal tracheal membrane. Normal diameter of the trachea does not exclude the possibility of concomitant tracheal collapse.
3. There is no radiographic evidence of intrathoracic neoplasia.
4. The mild hepatomegaly is nonspecific. Rule out metabolic/vacuolar hepatopathy, hyperplasia, hepatitis or infiltrative neoplasia. Sonography can be considered for further evaluation.</t>
  </si>
  <si>
    <t>Sequential orthogonal views of the abdomen at 9am and 14 pm are provided:_x000D_
_x000D_
Abdomen:_x000D_
_x000D_
The stomach is filled with soft tissue heterogeneous material._x000D_
Some of the small intestines change from a normal distension with gas and fluid at 9am to being abnormally gas and fluid distended without visualization of a radiopaque FB._x000D_
Serosal detail is preserved._x000D_
Liver and spleen are within normal limits of size and smoothly marginated._x000D_
Kidneys and urinary bladder WNL._x000D_
_x000D_
Multiple thoracic congenital hemivertebrae leading to scoliosis.</t>
  </si>
  <si>
    <t>1) Findings at 14pm are consistent with small intestinal mechanical ileus. Rule out soft tissue ion opacity foreign body._x000D_
2) Gastric material compatible with food vs soft tissue in opacity foreign material is not excluded.</t>
  </si>
  <si>
    <t>Abdominal US prior to exploratory laparotomy.</t>
  </si>
  <si>
    <t xml:space="preserve">
1.The liver and spleen are normal._x000D_
2.No abnormal AI findings reported._x000D_
3.No abnormal AI findings reported._x000D_
4.The stomach is moderately filled with soft tissue opaque material and gas._x000D_
5.The small intestine are normal in size and filled with soft tissue opaque material and small amounts of gas.</t>
  </si>
  <si>
    <t>Decreased abdominal detail consistent with mesenteric inflammation +/- ascites. The differential for this includes active pancreatitis with gastroenteritis vs. primary gastroenteritis and secondary regional inflammation.</t>
  </si>
  <si>
    <t xml:space="preserve">
Virtual Radiologist Case Difficulty: MODERATE_x000D_
Virtual Radiologist Confidence: MODERATE_x000D_
Supportive and symptomatic therapy for gastroenteritis/pancreatitis can be considered. Repeat radiographs to assess for passage of gastric contents or obstruction, and abdominal ultrasound could be performed for further evaluation. Blood work as clinically appropriate, if not already performed.</t>
  </si>
  <si>
    <t>Orthogonal radiographs of the abdomen are provided. Moderate volume of formed feces fills the colon. Small intestines are diffusely mildly filled with fluid. Moderate volume gas in the stomach. Two parallel thin soft tissue densities overlying the gastric fundus on the VD projection is caused by a normal rugal fold and adjacent rib contour. No radiopaque foreign material. Serosal detail is adequate. Normal-sized liver, spleen, left kidney. The right kidney is incompletely visible. No radiopaque urolithiasis.</t>
  </si>
  <si>
    <t>Normal abdomen. A reason for gastrointestinal signs is not identified. Gastroenteritis/pancreatitis is suspected. There is no evidence of an obstructive process.</t>
  </si>
  <si>
    <t>A CBC, blood chemistry profile, and supportive care are recommended. If the patient does not rapidly improve, abdominal ultrasound would be recommended.</t>
  </si>
  <si>
    <t>Three radiographs of the thorax, and three views of the abdomen are provided. Images dated 10/10/23 are available for comparison. There is mild left atrial enlargement, best appreciated on the left lateral thoracic view and VD abdominal view. Pulmonary vessels are normal size. There are no abnormalities of the pulmonary parenchyma. No pleural effusion. Normal tracheal diameter. Scant fluid in the caudal esophagus is incidental._x000D_
_x000D_
In the abdomen serosal detail is adequate. The liver, spleen, and kidneys are normal size and shape. The gastrointestinal tract is minimally distended. There are no radiopaque uroliths. Punctate mineral density overlying the L2-3 intervertebral foramen as before, likely incidental. The coxofemoral joints are congruent.</t>
  </si>
  <si>
    <t>New development of mild left atrial enlargement. This is consistent with valvular regurgitation. This may be due to chronic degenerative valve disease or dilated cardiomyopathy. There is no evidence of pulmonary venous congestion or heart failure. Otherwise normal thorax and abdomen.</t>
  </si>
  <si>
    <t>There is no contraindication for general anesthesia based on this study. Recommend reevaluation of patient=ZZ91=s diet, as some diets may be responsible for cardiac disease.</t>
  </si>
  <si>
    <t xml:space="preserve">
1.On the lateral projection, the liver is mildly enlarged with rounded margins. The ventral abdominal line is pendulous._x000D_
2.Formed feces in the distal colon._x000D_
3.The stomach and small bowel are minimally filled._x000D_
4.On the VD projection, an increase in soft tissue opacity is noted in the region of the spleen and left kidney. DDx: superimposition of the spleen and left kidney vs. less likely, splenic mass or other mass in this region._x000D_
5.Cranial abdominal detail is mildly decreased on the VD projection. This is attributed to the increase in soft tissue opacity in the cranial abdomen. Abdominal fluid is a lesser consideration but would be more likely if a mass is present.</t>
  </si>
  <si>
    <t>Mild to moderate hepatomegaly  with  a  pendulous  abdomen.  Steroid  hepatopathy  is  the  top differential.  An  inflammatory  or  neoplastic  process  are  next  on  the  differential  list.  This should be correlated with clinical signs and blood work. Mild decrease in cranial abdominal detail. DDx: increased soft tissue opacity due to the hepatomegaly vs. focal abdominal fluid or mesenteric inflammation if a mass is present. Increase in soft tissue opacity in the cranial abdomen on the VD projection. DDx: superimposition of the spleen and left kidney vs. caudal extension of the liver vs. less suspected, mass in this region.</t>
  </si>
  <si>
    <t xml:space="preserve">
Virtual Radiologist Case Difficulty: MODERATE_x000D_
Virtual Radiologist Confidence: MODERATE_x000D_
A CBC, blood chemistry profile, urinalysis, adrenal function testing and systemic blood pressure are recommended, particularly if signs consistent with Cushing's disease are present. For further information, please refer to https://platform.v2.vetology.net/doc/cushings_1_x000D_
If there is concern for mass, an abdominal ultrasound could be performed for further revaluation.</t>
  </si>
  <si>
    <t>7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and displaced towards midline.  Gas and feces are present in the colon.  The urinary bladder is small. A tubular soft tissue structure is seen between the colon and urinary bladder within the caudal abdomen.  The remaining abdominal organs are normal. The mammae are prominent.</t>
  </si>
  <si>
    <t>Radiographically normal thorax for patient of this age.  Mildly enlarged uterus. Consider pyometra, mucometra, hydrometra, early pregnancy, pseudo pregnancy.</t>
  </si>
  <si>
    <t>Abdominal ultrasound could be considered in further evaluation prior to abdominal exploratory.</t>
  </si>
  <si>
    <t xml:space="preserve">Patient Name : Gigi Hock, Date of study: Jul 9, 2024
2 images are provided for review
Canine Thorax (2 Images) - 1 Lateral, 1 Vd
There are no previous radiographs for comparison.  Ungloved human digits primary beam.  
Pulmonary parenchyma: A minimal to mild diffuse interstitial pulmonary pattern is present.  This is most severe in the right caudal lung lobes.  A minimal to mild diffuse bronchial pattern is present.
Pulmonary vasculature: The pulmonary vasculature are subjectively enlarged in the periphery of the lungs in the lateral images.  
Cardiac silhouette: The cardiac silhouette is  mildly tall and occupies 2/3 the height of the thorax.   The trachea is dorsally displaced.  The caudodorsal margin of the cardiac silhouette is flattened.    Minimal lateral displacement of mainstem bronchi is suspected in the ventrodorsal image.  
Mediastinum: The cranial mediastinum is normal.
Trachea: The trachea is normal.
Esophagus: The esophagus is not well-identified.
Pleural space: Thin pleural fissure lines that do not widen in the periphery are present between the right cranial/middle and right middle/caudal lung lobes.  
Musculoskeletal: The included musculoskeletal structures are normal.
</t>
  </si>
  <si>
    <t xml:space="preserve">1. Mild left-sided cardiomegaly such as from myxomatous mitral valvular disease and insufficiency.
2. Minimal to mild diffuse interstitial and bronchial pulmonary patterns, most severe in the right caudal lung lobes.
- Differential diagnoses include left-sided congestive heart failure/pulmonary edema  or unlikely other.
3. Minimal pleural fissure lines such as from evolving scant pleural fluid or pleural thickening/folding or unlikely other.  </t>
  </si>
  <si>
    <t>Diuretic therapy and oxygen supplementation with repeat thoracic radiographs to monitor for progression/resolution of the pulmonary pattern.  Echocardiography, ECG and blood pressure for further evaluation as well as routine blood work and urinalysis once stable.  Monitoring as directed or sooner if clinical signs acutely change, fail to improve or worsen.</t>
  </si>
  <si>
    <t>ABDOMEN:_x000D_
_x000D_
GI: The stomach is moderately filled with granular material (most consistent with food)._x000D_
_x000D_
Liver and gallbladder: The liver is moderately enlarged with smooth margins.</t>
  </si>
  <si>
    <t>ABDOMEN:_x000D_
_x000D_
_x000D_
1) 4) Hepatomegaly. DDx: endocrinopathy vs.  fat deposition vs.  primary hepatitis vs.  vacuolar disease vs.  less likely, infiltrative neoplasia.</t>
  </si>
  <si>
    <t>ABDOMEN:_x000D_
_x000D_
Further evaluation/treatment may include_x000D_
1) Abdominal ultrasound and blood work are recommended for the hepatomegaly.</t>
  </si>
  <si>
    <t>Paulo Kettels Torrico</t>
  </si>
  <si>
    <t xml:space="preserve">
1.The gastrointestinal tract is minimally filled. No segmental small bowel dilation is noted._x000D_
2.Resource: https://platform.v2.vetology.net/doc/liver_disease_x000D_
3.The spleen is mildly enlarged but no splenic mass is noted and abdominal detail is normal._x000D_
4.Abdominal detail is normal._x000D_
5.In the abdomen, the liver is moderately enlarged but retains smooth margins. No liver mass is identified.</t>
  </si>
  <si>
    <t>Consider abdominal US to further evaluate causes of not eating and drinking much and acting lethargic.</t>
  </si>
  <si>
    <t>Orthogonal views of the head and thorax are provided:_x000D_
_x000D_
Head:_x000D_
_x000D_
Right sided soft tissue mass ventrolateral to the right mandible (level of 307 through 309) without evidence of bony lysis._x000D_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Liver extends beyond the costal arch with sharp margins.</t>
  </si>
  <si>
    <t>1) Right sided oral soft tissue mass compatible with the reported oral melanoma vs fibrosarcoma vs SCC._x000D_
2) Unremarkable thorax without signs of pulmonary metastases nor signs of thoracic lymphadenopathy._x000D_
3) Hepatomegaly: Metabolic vs Vacuolar infiltration vs Hepatic nodular hyperplasia vs Inflammatory vs Toxic vs Neoplastic infiltration from melanoma not excluded, or a combination of these differentials.</t>
  </si>
  <si>
    <t>Consider a CT of the head and ideally of the thorax and abdomen to further evaluate the mass and completely rule out regional metastases and thoraco-abdominal metastases (small pulmonary nodules may not be visible on plain radiographs) vs CT of the oral cavity and abdominal US to further evaluate the liver and rest of the abdomen ruling out potential metastases..</t>
  </si>
  <si>
    <t>Study:_x000D_
Thoracic, abdominal and right pelvic limb radiography: nine images dated July 8, 2024_x000D_
_x000D_
Findings:_x000D_
The cardiac silhouette and pulmonary vasculature are normal in size. On the right lateral view, there is a 0.4 submeter round soft tissue opacity superimposed with the cardiac silhouette in the ventral aspect of the fourth intercostal space. This finding is not seen on the orthogonal view. The pleural space is normal. There is no intrathoracic lymphadenopathy. The trachea is normal in diameter and course. The stomach contains unstructured heterogeneous soft tissue material presumed to be ingesta. The pylorus is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There is no uterine dilation. There is mild multifocal thoracolumbar and lumbosacral spondylosis deformans. The L1 vertebra is transitional with bilateral hypoplastic ribs. There is a large subcutaneous soft tissue opaque mass along the caudolateral aspect of the right pelvic limb at the level of the proximal. The adjacent femur is normal with no evidence of osteolysis. The ipsilateral popliteal lymph node appears normal in size. There is a small mineral body adjacent to the lesser trochanter of the right femur.</t>
  </si>
  <si>
    <t>1. Right pelvic limb subcutaneous mass. A soft tissue sarcoma should be considered. Benign neoplasia cannot be excluded. Tissue sampling are recommended for further evaluation. Computed tomography can be considered for surgical planning._x000D_
2. Questionable left cranial lung lobe pulmonary nodule (neoplasia versus granuloma) versus superposition artifact (given the lack of repeatability on the orthogonal view. Computed tomography of the thorax can be considered for further evaluation._x000D_
3. Unremarkable abdomen._x000D_
4. The punctate mineral opacity adjacent to the lesser trochanter of the right femur is indicative of an iliopsoas enthesophyte.</t>
  </si>
  <si>
    <t>Study:_x000D_
Abdominal radiography: three images dated July 8, 2024_x000D_
_x000D_
Findings:_x000D_
The stomach contains a small amount of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No mineral opaque calculi are present in the bladder or region the urethra. The included thorax is normal. There is mild L2-L3 and severe lumbosacral spondylosis deformans.</t>
  </si>
  <si>
    <t>Unremarkable abdomen. There is no evidence of radiopaque cystic calculi. Consider urine culture for further evaluation pending response to empiric antibiotic therapy for the reported cystitis seen on urinalysis.</t>
  </si>
  <si>
    <t>Pelvis: There are no abnormalities involving the pelvis or coxofemoral joints._x000D_
_x000D_
Lumbar vertebral column: There are no abnormalities identified._x000D_
_x000D_
Stifles: There is a mild increase in soft tissue opacity involving the cranial aspect of both stifles._x000D_
_x000D_
Tarsi: There is a mineral opacity located at the level of the right tuber calcaneus.  The remainder of the visible portions of both tarsi are unremarkable.</t>
  </si>
  <si>
    <t>The mineral opacity at the level of the right tuber calcaneus most likely represents dystrophic mineralization of the common calcaneal tendon secondary to previous trauma._x000D_
_x000D_
The mild increase in soft tissue opacity associated with both stifle joints is most likely incidental and represents a summation artifact.  Alternatively mild effusion cannot be ruled out.</t>
  </si>
  <si>
    <t>Six orthogonal radiographs of the abdomen dated 8th July 2024 are available for review. There are no previous radiographs available for comparison. _x000D_
_x000D_
Intra-abdominal findings: The stomach contains some foamy soft tissue opaque material and has a normal axis. There is appropriate gas in the pyloric region on the left lateral image. The small intestines are variably filled to mildly dilated with gas, fluid, and soft tissue opaque material. Some soft tissue opaque material with gas lucencies are also present. The caecum is moderately gas dilated. The descending colon contains poorly formed faeces. The serosal detail is normal. The urinary bladder is filled.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</si>
  <si>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Hemorrhagic gastroenteritis, or pancreatitis cannot be excluded.</t>
  </si>
  <si>
    <t>Thorax: There is moderate to severe left-sided and moderate right-sided cardiomegaly.  There is no evidence of cardiogenic pulmonary edema or pleural effusion.  The pulmonary vasculature and pulmonary parenchyma are unremarkable.  There is no evidence of lymphadenopathy.  On the visible portions of the thoracic limbs there is osteoarthrosis involving one of the elbows (laterality uncertain).  On the visible portions of the abdomen there is mild diffuse hepatomegaly.</t>
  </si>
  <si>
    <t>Moderate to severe left-sided and moderate right-sided cardiomegaly without evidence of decompensation._x000D_
_x000D_
Elbow osteoarthrosis (laterality uncertain)._x000D_
_x000D_
Mild diffuse hepatomegaly.</t>
  </si>
  <si>
    <t>Three radiographs of the thorax/abdomen are provided. The cardiac silhouette and pulmonary vessels are normal size. There is a small area of increased opacity overlying the mid ventral heart on both of the lateral views but is not confirmed on the VD projection. No pleural effusion. Adequate tracheal diameter. Wispy soft tissue thickening dorsal to the thoracic spine consistent with subcutaneous fluid administration. In the abdomen the prostate is moderate to severely enlarged and soft tissue opaque. Round increased opacity overlying the urinary bladder is superimposed loop of bowel. Normal size kidneys, spleen, liver. There is a broad-based 1.5 cm soft tissue opaque bulge extending lateral to the spleen on the VD projection. Small volume gas in the stomach. Small bowel are minimally filled. Small volume fluid and gas in the colon. No radiopaque foreign material. Mineral density overlies the L1-2, L2-3, L3-4 intervertebral foramina, of doubtful clinical significance today.
(amended on 07/09/2024 10:22)
Correction to patient=ZZ91=s information-the patient is INTACT.</t>
  </si>
  <si>
    <t>1. Moderate to severe prostatomegaly. In a neutered patient this is significantly concerning for prostatic neoplasia. Prostatitis or recent/late neuter could also cause this appearance._x000D_
2. Probable small splenic nodule, a nonspecific finding that may be lymphoid hyperplasia, extramedullary hematopoiesis, neoplasia._x000D_
3. Impending liquid diarrhea. No other gastrointestinal abnormalities. Gastroenteritis/pancreatitis is suspected._x000D_
4. Increased opacity overlying the ventral lungs is concerning for mild aspiration pneumonia. Atelectasis and summating normal anatomy could also cause this appearance. In the absence of coughing or abnormal lung auscultation, significance is doubtful. Otherwise normal thorax.
(amended on 07/09/2024 10:22)
1. Correction: With the updated patient reproductive status, prostatomegaly is consistent with benign prostatic hyperplasia. There is no further concern regarding prostatitis or prostatic neoplasia.</t>
  </si>
  <si>
    <t>Abdominal ultrasound is recommended to evaluate the gastrointestinal tract, spleen, and prostate.
(amended on 07/09/2024 10:22)
Abdominal ultrasound is recommended to evaluate the gastrointestinal tract and spleen.</t>
  </si>
  <si>
    <t xml:space="preserve">
1.There is possible loss of abdominal serosal detail._x000D_
2.The stomach contains a small amount of gas._x000D_
3.The small intestines are a combination of gas-filled and fluid-filled/collapsed, and all are within normal limits for diameter._x000D_
4.The colon contains a combination of gas and granular fecal material._x000D_
5.No abnormal AI findings reported._x000D_
6.Mild hepatomegaly.</t>
  </si>
  <si>
    <t>Six orthogonal survey radiographs of the thorax and abdomen dated 8th July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stomach contains a large amount of soft tissue opaque material within swirling gas pattern. The small intestines are variably filled with gas, fluid and soft tissue opaque material. Some of the swelling soft tissue opaque material is seen within the small intestines. The colon is significantly dilated with the same swelling soft tissue opaque material. The caecum is moderately gas dilated. The urinary bladder is filled. Caudal to the urinary bladder there is a spherical soft tissue opacity consistent with an enlarged prostate. The hepatic silhouette is normal in size with smooth borders. The spleen is normal in shape, size and position. The kidneys are partially obscured by gastrointestinal contents, but the visible aspect are normal. The serosal detail is normal._x000D_
_x000D_
Musculoskeletal findings: No significant abnormalities are detected.</t>
  </si>
  <si>
    <t>1. The gastric and intestinal contents may be due to a large meal, however a dietary indiscretion is most likely in light of the swirling gas pattern of the material.</t>
  </si>
  <si>
    <t>Supportive management including rehydration, gastroprotectants,  full blood work,  is advised, if not already performed. Repeat 3-view post fasting radiographs depending on clinical progression.</t>
  </si>
  <si>
    <t>Orthogonal views of the thorax are provided:_x000D_
_x000D_
Thorax:_x000D_
_x000D_
No abnormalities are seen in the pharynx/hyoid apparatus._x000D_
Cardiac silhouette shows a moderate  enlargement of the left atrium dorsally displacing the carina._x000D_
Pulmonary vessels are within normal limits of size and shape._x000D_
Pulmonary parenchyma is within normal limits. No evidence of pulmonary nodules/masses._x000D_
Pleural space, mediastinum, diaphragm and thoracic wall within normal limits._x000D_
_x000D_
Thoracic hemivertebrae leading to skoliosis (breed change)._x000D_
Liver extends beyond the costal arch with sharp margins.</t>
  </si>
  <si>
    <t>1) Left atrial enlargement secondary to chronic mitral endocardiosis without signs of CHF. Rule out concomitant tricuspid endocardiosis with pulmonary hypertension._x000D_
2) Hepatomegaly: Metabolic vs Vacuolar infiltration vs Hepatic nodular hyperplasia vs Inflammatory vs Toxic vs Neoplastic or a combination of these differentials.</t>
  </si>
  <si>
    <t>Consider a cardiology consultation with ECG and echocardiogram and abdominal US to further evaluate the liver prior to a BOAS exam with +/- CT of the oronasopharyngeal region and laryngeal exam under sedation.</t>
  </si>
  <si>
    <t>3 views of the abdomen are provided for review.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distended.  No mineral is seen associated with the urinary tract.  The remaining abdominal organs are normal.</t>
  </si>
  <si>
    <t>Hepatomegaly=ZZ90= this is a nonspecific finding that may be seen with congestion, vacuolar hepatopathy, inflammation, neoplasia, etc.</t>
  </si>
  <si>
    <t xml:space="preserve">
1.The liver and stomach are confluent, with mild displacement of the gastric axis, which may be due to hepatomegaly versus severe gastric distension._x000D_
2.Abdominal detail is diffusely decreased. The ventral abdominal line is pendulous._x000D_
3.No abnormal AI findings reported._x000D_
4.No abnormal AI findings reported._x000D_
5.Mildly filled intestines without evidence of complete obstruction.</t>
  </si>
  <si>
    <t>Two radiographs of the abdomen and a single cervical radiographs dated 8th July 2024 are available for review. There are no previous radiographs available for comparison. These images are submitted for assessment of the abdomen._x000D_
_x000D_
Intra-abdominal findings: The hepatic silhouette is normal in size with smooth borders. The spleen is normal in shape, size and position. The kidneys are partially obscured by gastrointestinal contents, but the visible aspect are normal. The stomach is mainly empty, with a normal axis. The small intestines contain mainly fluid/soft tissue opaque material. No segmental dilation is noted. The descending colon is mild to moderately gas dilated. The urinary bladder is filled. The serosal detail is normal. No distended vessel loops are seen dorsal to the bladder on the lateral image. On the ventrodorsal image some small visceral loops are seen on either side of the urinary bladder._x000D_
_x000D_
Extra-abdominal findings: No significant abnormalities are detected._x000D_
_x000D_
Included thorax: No significant abnormalities are detected.</t>
  </si>
  <si>
    <t>1. The fluid-filled small intestines and gas distended colon are supportive for a mild enterocolitis. This may be due to dietary indiscretion or infectious-inflammatory origin. The small loops adjacent to the bladder in the ventrodorsal image are most likely displaced loops of small intestines, however minimally distended uterine horns is possible.</t>
  </si>
  <si>
    <t>Supportive management including rehydration, gastroprotectants,  full blood work, faecal analysis if clinically indicated is advised, if not already performed. Consider repeat radiographs, or abdominal ultrasound depending on clinical progression.</t>
  </si>
  <si>
    <t xml:space="preserve">
1.No abnormal AI findings reported._x000D_
2.No abnormal AI findings reported._x000D_
3.No abnormal AI findings reported._x000D_
4.Small-volume gas is present within the stomach. Small intestines are minimally filled. No signs of intestinal obstruction._x000D_
5.The liver and spleen are normal size</t>
  </si>
  <si>
    <t>Study:_x000D_
Abdominal radiography: five images dated July 8, 2024_x000D_
_x000D_
Findings:_x000D_
T the serosal detail is normal. He stomach contains a small volume of gas. The small intestines are normal in size, course and content. The colon contains a small volume of gas with a normal diameter. The liver and spleen are normal in size and margin. The kidneys are normal in size and contour. The urinary bladder is normal in size and opacity. The included thorax is normal. No skeletal abnormalities are present.</t>
  </si>
  <si>
    <t xml:space="preserve">
1.Resource: https://platform.v2.vetology.net/doc/pancreatitis_x000D_
2.Cranial abdominal detail is mildly decreased on the VD projection._x000D_
3.The liver appears small on the VD projection but normal on the lateral projection._x000D_
4.The spleen is normal in size and shape._x000D_
5.Resource: https://platform.v2.vetology.net/doc/canine-en-gastrointestinal_x000D_
6.The bowel contains gas and fluid with portions of the bowel having a rigid appearance._x000D_
7.The stomach contains a small volume of fluid opaque material and gas. The gastric rugae are prominent.</t>
  </si>
  <si>
    <t xml:space="preserve">Patient Name : Bella Gulledge, Date of study: Jul 8, 2024
3 images are provided for review
Canine Abdomen (3 Images) - 2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gas.  The stomach is within normal limits for size. Gas is in the pylorus in the left lateral image.
The small intestine contains mild fluid, mild gas, or is empty with a subjectively uniform population for size. 
The colon contains minimal soft tissue material and gas.
Musculoskeletal:  In the L2 spinous process are multiple, well-defined, discrete or coalescing lucent foci without a thin rim of sclerosis.  Minimal sclerosis is in the L2 spinous process.  Spondylosis deformans is preset at L5-6.  The remaining included musculoskeletal structures are normal.
</t>
  </si>
  <si>
    <t xml:space="preserve">1. L2 spinous process lysis with minimal sclerosis is most suspicious for evolving neoplasia such as multiple myeloma or plasma cell tumor versus primary osseous neoplasm of the L2 vertebra.
2. Non-specific small intestinal/colonic appearance due to individual variation of normal/recent bowel movement, or non-specific enteritis/colitis. </t>
  </si>
  <si>
    <t>Consider  routine blood work and computed tomography of the thorax/abdomen and lumbar spine.  MRI of the lumbar spine may also be contributory.  Tissue sampling of L2 spinous process versus organomegaly or other lesions if identified.  Oncologist consultation depending on results.  Empirical therapy and supportive care in the interim as needed.  Monitoring with routine blood work, urinalysis, and thoracic imaging as directed, or sooner if clinical signs acutely change, fail to improve or worsen.</t>
  </si>
  <si>
    <t>Three orthogonal thoracic radiographs dated 8th July 2024 are available for review. There are no previous radiographs available for comparison. _x000D_
_x000D_
Airway findings: A smoothly marginated soft tissue opacity is variably present overlying the dorsal aspect of the trachea at the thoracic inlet. This opacity reduces approximately 60% of the dorsoventral diameter of the trachea. The intrathoracic trachea is normal. Within the lung parenchyma there is a fine bronchial pattern._x000D_
_x000D_
Cardiovascular findings: There is a large smoothly marginated soft tissue opacity contiguous with the caudal dorsal border of the cardiac silhouette. A soft tissue opacity is superimposed on the caudal cardiac silhouette in the dorsoventral image.  The overall cardiac silhouette is still within normal limits. The cranial pulmonary veins are enlarged. The caudal vena cava is normal._x000D_
_x000D_
Mediastinum and pleural space: No significant abnormalities are detected._x000D_
_x000D_
Musculoskeletal findings: No significant abnormalities are detected._x000D_
_x000D_
Included abdomen: No significant abnormalities are detected.</t>
  </si>
  <si>
    <t>1. The dorsal attenuation of the trachea is consistent with tracheomalacia, and/or redundant trachealis membrane. The extent of attenuation would be expected to cause coughing._x000D_
2. Left atrial dilation. This is most likely due to mixoid degeneration of the mitral valve. The size and shape of the dilation are slightly atypical, therefore tracheobronchial lymphadomegaly should also be considered. The evidence for cardiac insufficiency is equivocal. The pulmonary veins are distended, however clear signs of cardiogenic pulmonary oedema are not present.</t>
  </si>
  <si>
    <t>Continue medical management, or consider surgical consultation depending on clinical progression of the tracheal collapse._x000D_
Radiography is insensitive for early cardiac insufficiency, therefore ECG, blood pressure measurements, and echocardiography are advised for further evaluation, or baseline measurements.</t>
  </si>
  <si>
    <t>Three radiographs of the abdomen are provided. Mid abdominal detail is mildly reduced. There is moderate to large volume soft tissue density stippled with gas filling the stomach. Small bowel and colon are minimally filled. No radiopaque foreign material. Normal-sized liver, spleen, kidneys. No radiopaque cystic calculi. Osseous structures and the caudal thorax are normal.</t>
  </si>
  <si>
    <t>Suspect scant mid abdominal effusion versus inflammation. Gastroenteritis is suspected. Otherwise normal postprandial abdomen. Gastric contents appears to be normal ingesta. Foreign material is not definitively ruled out. There is no evidence of small bowel obstruction.</t>
  </si>
  <si>
    <t>Opposite lateral and VD views of the thorax are provided._x000D_
_x000D_
There is a mild bronchial pattern, that primarily involves the larger airways. Interstitial lung opacity is mildly increased in the right hemithorax. No alveolar infiltrates are seen. No thoracic lymphadenopathy or pleural effusion is identified. The trachea has smooth walls and normal uniform diameter. The cranial abdominal organs are within normal limits. There is marked narrowing of intervertebral disc spaces in the cervical spine from C2 to C5.</t>
  </si>
  <si>
    <t>There is a mild bronchial pattern. The appearance is slightly more prominent than typical age related change and would be compatible with bronchitis. Allergic vs. infectious causes should be ruled out.</t>
  </si>
  <si>
    <t>Infectious bronchitis is suspected due to the acute onset and progressive nature of the cough. Antibiotic therapy is recommended._x000D_
CBC and heartworm testing is recommended.</t>
  </si>
  <si>
    <t xml:space="preserve">
1.The splenic serosal margins are also poorly defined._x000D_
2.There is a marked reduction in serosal detail within the peritoneal space and the abdomen has a pendulous appearance._x000D_
3.The stomach is normal in position but the intestine is displaced._x000D_
4.There is a very large mass-effect within the cranial abdomen that is displacing colon and small intestines into the caudal abdomen. The gastrointestinal tract is considered within normal limits with the exception of being displaced by the mass-effect._x000D_
5.The caudoventral hepatic serosal margins are somewhat poorly defined but appear to be rounded.</t>
  </si>
  <si>
    <t>Orthogonal views of the thorax are provided:_x000D_
_x000D_
Thorax:_x000D_
_x000D_
There is cervical tracheal collapse more marked at the thoracic inlet._x000D_
Cardiac silhouette shows a mild enlargement of the left atrium dorsally displacing the carina._x000D_
Pulmonary vessels are within normal limits of size and shape._x000D_
Pulmonary parenchyma is within normal limits. No evidence of pulmonary nodules/masses._x000D_
Pleural space, mediastinum, diaphragm and thoracic wall within normal limits._x000D_
_x000D_
Liver extends beyond the costal arch with sharp margins.</t>
  </si>
  <si>
    <t>1) Findings consistent with cervical tracheal collapse._x000D_
2) Left atrial enlargement secondary to chronic mitral endocardiosis without signs of CHF._x000D_
3) Hepatomegaly: Metabolic vs Vacuolar infiltration vs Hepatic nodular hyperplasia vs Inflammatory vs Toxic vs Neoplastic or a combination of these differentials</t>
  </si>
  <si>
    <t>Consider a cardiology consultation with ECG and echocardiogram prior to a fluoroscopy with tracheobronchoscopy to rule in extrathoracic tracheal collapse and to rule in/out intrathoracic tracheal collapse or bronchial component, evaluating treatment options. Take advantage of the bronchoscopy to further evaluate the larynx given 30% of patients with tracheal collapse display different degrees of laryngeal paralysis._x000D_
Consider also abdominal US to further evaluate the liver.</t>
  </si>
  <si>
    <t xml:space="preserve">
1.On the lateral projection, the liver is mildly enlarged with rounded margins. The ventral abdominal line is pendulous._x000D_
2.Cranial abdominal detail is mildly decreased on the VD projection. This is attributed to the increase in soft tissue opacity in the cranial abdomen. Abdominal fluid is a lesser consideration but would be more likely if a mass is present._x000D_
3.Formed feces in the distal colon._x000D_
4.On the VD projection, an increase in soft tissue opacity is noted in the region of the spleen and left kidney. DDx: superimposition of the spleen and left kidney vs. less likely, splenic mass or other mass in this region._x000D_
5.The stomach and small bowel are minimally filled.</t>
  </si>
  <si>
    <t xml:space="preserve">Patient Name : Angel Mae Moujahed, Date of study: Jul 8, 2024
3 images are provided for review
Canine Abdomen (3 Images) - 1 Vd, 2 Lateral
There are no previous radiographs for comparison.
Liver: The liver is subjectively normal in size.
Spleen: The spleen has a slightly rounded caudal margin in the ventrodorsal image.  
Kidneys: The left kidney is normal.  The right kidney is obscured without obvious mineral or enlargement.  
Retroperitoneum: Retroperitoneal detail is adequate.
Urogenital: The urinary bladder is normal in size, homogeneous soft tissue, and smoothly marginated.
Peritoneum: Peritoneal detail is adequate.
Gastrointestinal tract: The stomach contains a mild fluid or is empty.  The stomach is normal in size subjectively.
The small intestine contains mild to moderate fluid and gas or is empty with a subjectively uniform population for size. A thin linear metal foreign body is presumed to be in colon or small intestine in the dorsal abdomen.  
The colon contains moderate gas.  The colon is normal in size.   
Musculoskeletal: The included musculoskeletal structures are normal.
</t>
  </si>
  <si>
    <t>1. Non-specific gastrointestinal tract changes such as from enteritis, colitis, or unlikely individual variation of normal given reported history.
- Differential diagnoses for enteritis/colitis include dietary indiscretion toxin ingestion, diet/antibiotic responsive disease, inflammatory bowel disease, occult systemic disease or other.
2. Possible peritoneal versus colonic or small intestinal linear metal foreign body.
- This is most likely due to dietary indiscretion.
- There is no evidence of peritoneal effusion or gas in this examination.
- There is no evidence of small intestinal mechanical ileus.  
3. Slightly rounded splenic margin may be due to folding/positioning or evolving splenomegaly such as from nodular hyperplasia or less likely neoplasia.</t>
  </si>
  <si>
    <t xml:space="preserve">Consider GI panel, fecal analysis/deworming, and routine blood work for further evaluation if not recently performed.  Empirical therapy and supportive care in the interim as needed.  Consider abdominal ultrasonography for further evaluation of the gastrointestinal tract and spleen.  Monitoring with repeat abdominal radiographs if clinical signs fail to improve or worsen in the face of empirical therapy.  </t>
  </si>
  <si>
    <t xml:space="preserve">
1.The descending duodenum is gas filled, +/- alteration to the pyloroduodenal angle or descending duodenal path on the VD projection._x000D_
2.At least one rigid loop of intestine is present in the mid-abdomen._x000D_
3.There is a focal loss of serosal detail in the cranial abdomen._x000D_
4.No abnormal AI findings reported._x000D_
5.The liver and spleen are normal._x000D_
6.The gastric rugae are prominent.</t>
  </si>
  <si>
    <t>Opposite lateral and VD views of the thorax and abdomen are provided._x000D_
_x000D_
No tracheal or laryngeal abnormalities are identified. There is a mild unstructured interstitial pulmonary pattern, which is most prominent in the caudal caudal and right cranial lung fields._x000D_
In the lateral views there is an ill defined rounded region of increased opacity in the caudal dorsal thorax adjacent to the diaphragm at the level of the stomach. This appears to be associated with a midline opacity superimposed over the diaphragm in the VD view, and likely represents a hiatal hernia._x000D_
_x000D_
All the abdominal organs are within normal size and shape limits. The appearance of the gastrointestinal tract is unremarkable. No mass lesions or loss of detail are seen in the abdomen.</t>
  </si>
  <si>
    <t>There is a mild interstitial pattern. Considering the intermittent nature of the cough, this is most likely associated with allergic lung disease. Mild pneumonia or low-grade fungal disease could appear similar, but is less likely without more significant clinical or laboratory evidence of infectious disease._x000D_
_x000D_
The opacity seen in the caudal dorsal thorax is suspected to represent a hiatal hernia. This is sometimes seen as an incidental finding, but associated esophagitis/reflux could also be contributing to the coughing problem._x000D_
_x000D_
No abdominal abnormalities are identified._x000D_
No cardiovascular abnormalities are identified.</t>
  </si>
  <si>
    <t>Empiric medical management for possible reflux esophagitis is recommended._x000D_
Symptomatic therapy for the cough is recommended.</t>
  </si>
  <si>
    <t>Three orthogonal radiographs of the abdomen dated 8th July 2024 are available for review. There are no previous radiographs available for comparison. _x000D_
_x000D_
Intra-abdominal findings: The stomach contains some gas and granular soft tissue opaque material. The pylorus is appropriately gas-filled in the left lateral image. The small intestines are variably filled with fluid, soft tissue opaque material, and gas. The transverse and descending colon is filled with an increased amount of formed faeces. The rectum is mildly dilated.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</si>
  <si>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1. Mild constipation: This may be due to diet/inactivity. An intrapelvic mass is not seen, but is possible. Peripheral neuropathy is considered unlikely.</t>
  </si>
  <si>
    <t>Treat empirically for mild constipation. Rectal examination is advised. depending on recurrence, consider a pelvic CT and complete neurologic evaluation.</t>
  </si>
  <si>
    <t xml:space="preserve">
Virtual Radiologist Case Difficulty: MODERATE_x000D_
Virtual Radiologist Confidence: MODERATE_x000D_
No recommendations based on these radiographs.</t>
  </si>
  <si>
    <t>Three orthogonal thoracic radiographs dated 8th July 2024 are available for review. There are no previous radiographs available for comparison. _x000D_
_x000D_
Airway findings: The trachea is narrow throughout the course. The tracheal wall is prominent. Throughout the lung parenchyma there is a mild bronchial opacification. There is still some mild cranial ventral interstitial to alveolar opacification of the left cranial lung lobe. 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Multiple congenital vertebral abnormalities are present consistent with breed. The patient is overweight._x000D_
_x000D_
Included abdomen: No significant abnormalities are detected.</t>
  </si>
  <si>
    <t>1. Mild cranial ventral opacification of the left cranial lung lobe: This may be a remnant of the previous described aspiration pneumonia. Comparison with previous radiographs was not possible._x000D_
2. Tracheal hypoplasia consistent with breed. A concurrent tracheatis may be present.</t>
  </si>
  <si>
    <t>Discontinuation of antibiotic therapy needs to be based on clinical signs, laboratory pathology, and imaging findings. The imaging findings may lag the clinical improvement.</t>
  </si>
  <si>
    <t>4 images of the abdomen are provided for review.  Serosal detail is adequate in all quadrants.  The stomach contains a small amount of amorphous soft tissue material.  The small intestines are normal in size.  Gas and feces are present in the colon.  The urinary bladder is small.  Mineral is present in the renal diverticula.  The remaining abdominal organs are normal.</t>
  </si>
  <si>
    <t>Material within the stomach may represent residual ingesta or foreign material.  Consider repeat radiographs following strict fasting to determine if gastric contents persist.  Pancreatitis or infiltrative neoplasia causing delayed gastric emptying cannot be excluded and abdominal ultrasound may also be helpful.  Chronic renal changes.</t>
  </si>
  <si>
    <t xml:space="preserve">
1.No dilation of the small intestine is seen._x000D_
2.Liver size is normal to upper limits of normal. Liver margin is normal._x000D_
3.Splenic size, shape and margin are normal._x000D_
4.Cranial abdominal detail is decreased._x000D_
5.The gastric rugae are prominent.</t>
  </si>
  <si>
    <t>A three view study of the abdomen is provided for interpretation._x000D_
_x000D_
The stomach contains a small quantity of amorphous soft tissue dense ingesta as well as a few rectangular soft tissue dense structures. The appearance would be compatible with some food products as well as radiolucent foreign material. There is also one small linear metal opacity compatible with a segment of fine wire in the stomach. The stomach is not dilated or malpositioned. The small intestine is unremarkable. There is a moderate quantity of normal appearing fecal material in the colon including formed fecal balls in the descending colon. The other organs are within normal size and shape limits. Serosal detail is normal._x000D_
There is mineralization of the L4-L5 intervertebral disc. The disc space is not narrowed.</t>
  </si>
  <si>
    <t>The GI tract appears structurally normal._x000D_
Most of the gastric content appears compatible with food products, but a small quantity of foreign material cannot be excluded. Relevance to the history of diarrhea is probably limited._x000D_
The appearance of fecal material in the colon is normal in this study.</t>
  </si>
  <si>
    <t>Conservative management with symptomatic therapy is recommended._x000D_
Infectious causes of diarrhea or parasitism should be ruled out if clinical signs persist.</t>
  </si>
  <si>
    <t>Orthogonal views of the thorax and abdomen are provided for interpretation._x000D_
_x000D_
There is a severe diffuse interstitial pulmonary pattern, with patchy regions of peribronchial infiltrates. This pattern coalesces two of mild alveolar pattern in the right caudal lobe. The heart is at the upper end size range to slightly enlarged. VHS = 11.3. The pulmonary vessels are within normal limits. No tracheal abnormalities are identified._x000D_
The liver is mildly enlarged. The spleen is prominent but felt to be within normal limits. The GI tract is gas filled but node dilation of the stomach or intestine is seen. Folds in the stomach are prominent. The other abdominal organs are unremarkable.</t>
  </si>
  <si>
    <t>There is a severe diffuse bronchointerstitial pattern, with alveolar infiltrates in the right caudal lobe._x000D_
Bronchopneumonia is suspected._x000D_
Additional differentials should include acute heart failure, fungal pneumonia, and lymphoreticular neoplasia such as pulmonary lymphoma._x000D_
_x000D_
There is mild liver enlargement. This is a nonspecific change that can be seen with metabolic or endocrine associated hepatopathies as well as hepatitis or neoplasia such as lymphoma._x000D_
_x000D_
Heart size is borderline. Heart failure could create is similar pulmonary pattern, but is considered less likely without more prominent cardiomegaly</t>
  </si>
  <si>
    <t>Supportive care and antibiotic therapy is recommended._x000D_
Recheck CBC is recommended._x000D_
_x000D_
Diuretic therapy could be considered if clinical and radiographic response to antibiotics is limited over the next 3 to 5 days.</t>
  </si>
  <si>
    <t xml:space="preserve">Patient Name : Bella Gutierrez, Date of study: Jul 8, 2024
3 images are provided for review
There are no previous radiographs for comparison.
Pulmonary parenchyma: A minimal to mild diffuse bronchial pattern is present.  A minimal interstitial pattern is present.  A presumed nipple superimposes over the right 8th intercostal space in the ventrodorsal image.  
Pulmonary vasculature: The pulmonary vasculature is subjectively normal in size and tapers in the periphery of the lungs.
Cardiac silhouette: The cardiac silhouette is moderate tall in the lateral image, with dorsal tracheal displacement.  The caudodorsal margin of the cardiac silhouette is mildly flat.  Slightly rounded increased soft tissue is suspected in the region of the left atrium in the ventrodorsal image.
Mediastinum: The cranial mediastinum is normal.
Trachea: The trachea is normal.
Esophagus: The esophagus is not well-identified.
Pleural space: The pleural space is normal.
Liver: The liver is subjectively normal in size.
Spleen: The spleen is prominent in the left abdomen in the ventrodorsal image.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gas or is empty.  the stomach is within normal limits for size.
The small intestine contains mild gas and fluid or is empty with a subjectively uniform population for size. 
The colon contains moderate well-defined soft tissue material and gas.
Musculoskeletal: Minimal L2-3 spondylosis deformans is present.  Inguinal soft tissues are focally enlarged and ovoid. Multiple prominent nippls are present, consistent with intact status of this patient.  The remaining included musculoskeletal structures are normal.
</t>
  </si>
  <si>
    <t>1. Mild-moderate left-sided cardiomegaly such as from myxomatous mitral valvular disease and insufficiency.
- There is no evidence of left-sided congestive heart failure.
2. Minimal to mild diffuse bronchial pulmonary pattern due to fibrosis from prior disease, age-related changes, or unlikely infectious/immune-mediated lower airway disease or unlikely other.
3. Minimal interstitial pulmonary pattern due to fibrosis from prior disease or age-related changes.
4. No obvious intra-thoracic lymphadenomegaly or pulmonary nodules.
5. Prominent spleen such as from passive congestion from sedation (if administered), extramedullary hematopoiesis, lymphoid hyperplasia, evolving neoplasia or unlikely other.
6. Enlarged inguinal soft tissues are presumed to be reported mammary mass.</t>
  </si>
  <si>
    <t>Echocardiography and routine blood work for further evaluation. Consider abdominal ultrasonography and/or computed tomography to further screen for metastatic disease.  Empirical therapy and supportive care in the interim as needed.  Monitoring with serial thoracic radiographs as directed, or sooner if clinical signs acutely change, fail to improve or worsen.</t>
  </si>
  <si>
    <t>Orthogonal views of the hind limbs, abdomen, and thorax including the neck are provided for interpretation. There are nine images total._x000D_
_x000D_
There is mild to moderate narrowing of the T13-L1 intervertebral disc space._x000D_
The pelvis and hips are within normal limits._x000D_
No abnormalities are seen involving either stifle joint._x000D_
There is a small mineral opacity at the lateral aspect of the right calcaneus in the craniocaudal tarsus view. The other tarsal joint margins are smooth. Both tarsal joints appear swollen in the DP view, but no swelling is seen in the lateral view. The appearance of swelling in the DP view is suspected to be caused by the rope ties on the limbs rather than pathological swelling._x000D_
No abnormalities are seen involving the cervical spine._x000D_
_x000D_
There is moderate dynamic narrowing of the cervical trachea, similar to previous radiographs 2-8-24._x000D_
The cardiovascular structures are within normal limits. No pulmonary abnormalities are identified._x000D_
_x000D_
The caudal margin of the liver is mildly rounded. Liver size is normal overall. The other abdominal organs are within normal limits. No mass effect or loss of detail are seen in the abdomen.</t>
  </si>
  <si>
    <t>There is evidence of disc degeneration at the thoracolumbar junction. Disc disease would be a likely explanation for the reported spinal pain._x000D_
_x000D_
The small mineral opacity seen at the lateral aspect of the right tarsus is a subtle change, and likely incidental. No other orthopedic abnormalities are identified._x000D_
_x000D_
Tracheal collapse is suspected._x000D_
_x000D_
No significant thoracic abnormalities are identified._x000D_
The liver margins appear mildly rounded. This could be a benign hyperplastic change, artifact, or less likely due to pathologic liver infiltration.</t>
  </si>
  <si>
    <t>Restricted activity and anti-inflammatory therapy for probable intervertebral disc disease is recommended._x000D_
_x000D_
CBC and serum chemistry is recommended to help rule out clinically significant liver pathology. Ultrasound evaluation of the liver could also be considered.</t>
  </si>
  <si>
    <t xml:space="preserve">Patient Name : Pippa Gamache, Date of study: Jul 8, 2024
5 images are provided for review
There are no previous radiographs for comparison.
Liver: The liver is subjectively normal in size.
Spleen: The spleen is minimally enlarged and prominent in the mid-ventral abdomen in the right lateral image. The spleen has smooth, well-defined margins.
Kidneys: The left kidney is normal.  The right kidney is partially obscured without obvious mineral or enlargement.  
Retroperitoneum: Retroperitoneal detail is adequate.
Urogenital: The urinary bladder is normal in size, homogeneous soft tissue, and smoothly marginated.
Peritoneum: Peritoneal detail is adequate.
Gastrointestinal tract: The stomach contains a moderate volume of gas.  Gastric rugal folds are moderately prominent in the ventrodorsal image. The stomach is normal in overall size.
The small intestine contains moderate heterogeneous soft tissue material, fluid and gas, or is empty with a subjectively uniform population for size. 
The colon contains mild to moderate gas.  The colon wall is minimally spastic.
Musculoskeletal: The included musculoskeletal structures are normal.
</t>
  </si>
  <si>
    <t>1. Prominent gastric rugal folds such as from non-specific gastritis versus variation of normal.
2. This examination does not rule out occult pyloric outflow tract obstruction, but this is considered unlikely given reported history.
3. Non-specific small intestinal changes such as from enteritis, or unlikely variation of normal/recent meal.
- Differential diagnoses for enteritis include dietary indiscretion, toxin ingestion, diet/antibiotic responsive disease, inflammatory bowel disease, parasitism, or occult systemic disease.
4. Minimal splenomegaly versus artifact from positioning/technique.
- If present, differential diagnoses include extramedullary hematopoiesis, lymphoid hyperplasia, passive congestion from sedation or unlikely evolving neoplasia or other.
5. There is no current evidence of small intestinal mechanical ileus.</t>
  </si>
  <si>
    <t>Consider GI panel, empirical deworming, and routine blood work for further evaluation.  Empirical therapy and supportive care in the interim as needed.  Repeat radiographs to monitor for passage of gastric and intestinal material after 8-12 hours of fasting.  Double-contrast gastrography if suspicious for persistent gastric/pyloric material.  Abdominal ultrasonography may be beneficial for further evaluation.  Monitoring as directed or sooner if clinical signs acutely change, fail to improve or worsen.</t>
  </si>
  <si>
    <t xml:space="preserve">
1.No abnormal AI findings reported._x000D_
2.No abnormal AI findings reported._x000D_
3.Serosal detail is normal._x000D_
4.There is a small quantity of normal appearing amorphous soft tissue dense ingesta in the stomach._x000D_
5.No dilation of the stomach or intestine is seen. No signs of obstruction.</t>
  </si>
  <si>
    <t>3 views of the abdomen are provided for review.  Serosal detail is adequate in all quadrants.  The liver margins are rounded and extend beyond the costal arch, causing caudal displacement of the gastric axis.  The stomach contains a moderate amount of granular soft tissue material.  The small intestines are normal in size.  Gas and feces are present in the colon.  The urinary bladder is small.  The remaining abdominal organs are normal.</t>
  </si>
  <si>
    <t xml:space="preserve">
1.The liver is moderately enlarged, with rounded borders._x000D_
2.Suggestion of splenic enlargement._x000D_
3.There is mild reduction of peritoneal serosal detail._x000D_
4.The stomach contains a moderate amount of granular material, and has a mildly caudally displaced axis._x000D_
5.The small intestines contain fluid and gas and are within normal limits for shape and size. No evidence of obstruction.</t>
  </si>
  <si>
    <t>Hepatomegaly with suspected splenomegaly.  Considerations for the spleen and liver include vacuolar hepatopathy, venous congestion, inflammation, neoplasia, or in the case of the spleen, lymphoid hyperplasia.</t>
  </si>
  <si>
    <t xml:space="preserve">
Virtual Radiologist Case Difficulty: MODERATE_x000D_
Virtual Radiologist Confidence: MODERATE_x000D_
If liver disease is clinically or biochemically suspected, abdominal ultrasound and possible FNA of the liver may be considered. Coagulation profile, platelet count and PCV prior to liver sampling._x000D_
If liver values are elevated and bilirubin is normal, pre- and post-prandial bile acids may be warranted.</t>
  </si>
  <si>
    <t>6 views of the thorax and abdomen are submitted for review.  The stomach contains a mild amount of gas.  The small bowel is normal in uniform diameter without dilation or plication.  A mild amount of gas is noted in the cecum and colon.  The liver and spleen are normal in size and shape.  Moderate diverticular mineralization is noted in the kidneys.  The urinary bladder is minimally distended.  Serosal detail is adequate._x000D_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Chronic intervertebral disc disease and spondylosis deformans is noted in the cranial to mid lumbar spine, particularly at L3-4.  No aggressive bony changes are seen.</t>
  </si>
  <si>
    <t>The mineralization of the kidneys is consistent with chronic nonspecific nephritis and degenerative change of doubtful clinical significance.  Otherwise, radiographically normal abdomen.  Acute gastroenteritis or pancreatitis is not excluded._x000D_
Radiographically normal thorax.</t>
  </si>
  <si>
    <t>A three view study of the abdomen is provided for interpretation. Previous radiographs dated 10-4-22 are available for comparison._x000D_
_x000D_
The stomach contains mostly gas, and a small quantity of amorphous soft tissue dense ingesta and granular mineral density. The stomach is mildly dilated but not pathologically distended. No dilation or plication the intestines is seen. Serosal detail in the abdomen is normal. The other organs are within normal size and shape limits._x000D_
_x000D_
There is mineralization of the intervertebral discs at T11-T12 and L5-L6. The appearance is similar to the previous radiographs. No disc space narrowing or spinal subluxation is identified.</t>
  </si>
  <si>
    <t>No significant abdominal abnormalities are identified._x000D_
_x000D_
There is evidence of disc degeneration in the caudal thoracic and lumbar spine at the sites described, which was also present in the previous radiographs two years ago._x000D_
_x000D_
A definitive cause for the clinical signs cannot be determined. Clinical disc disease is a possibility. Gastroenteritis or pancreatitis could also be present.</t>
  </si>
  <si>
    <t>Symptomatic therapy is recommended._x000D_
CBC and serum chemistry is recommended._x000D_
_x000D_
If clinical concern for spinal pain persists, more advanced imaging such as MRI, myelography, or CT should be considered.</t>
  </si>
  <si>
    <t>Opposite lateral and VD views of the abdomen are provided. There are six images total._x000D_
_x000D_
No foreign bodies are identified in the GI tract. No dilation the stomach or intestine is seen. The other organs are within normal limits. Serosal detail is normal.</t>
  </si>
  <si>
    <t>Conservative management is recommended.</t>
  </si>
  <si>
    <t>3 views of the thorax are provided for review.  The cardiovascular structures are normal.  There is a moderate bronchial pattern in all lung lobes.  Poorly defined soft tissue is seen surrounding the tracheal bifurcation.  The pleural structures are normal.  Cranial abdominal detail is adequate.  There is lumbarization of the 13th ribs bilaterally.</t>
  </si>
  <si>
    <t>Moderate bronchial pulmonary pattern=ZZ90= consider bronchitis, response to inhaled irritants, response to circulating parasites, eosinophilic bronchopneumopathy, coccidioidomycosis, atypical distribution for neoplasia.  Hilar lymphadenopathy=ZZ90= consider inflammatory or neoplastic.</t>
  </si>
  <si>
    <t>Airway sampling and testing for coccidioidomycosis may be helpful in further evaluation.</t>
  </si>
  <si>
    <t>Study:_x000D_
Abdominal radiography: three images dated July 2024_x000D_
_x000D_
Findings:_x000D_
On both lateral projections, there is impression of an indistinct ovoid opaque structure with a gas lucent central region in the pylorus. Several smaller mineral opacities are present in the fundic portion of the stomach. The small intestines are normal in size, course and content. The colon contains gas and formed fecal material. The liver and spleen are normal in size and margin. The renal silhouettes are normal in size and contour. The urinary bladder is mildly to moderately distended, likely secondary conscious retention. There is no prostatomegaly. On both the left lateral view and orthogonal projection, there appears to be a alveolar pattern in the right middle lung lobe. The patient has multiple, breed associated, congenitally anomalous vertebrae. There is variable mild to severe multifocal spondylosis deformans.</t>
  </si>
  <si>
    <t>1. Gastric mineral opaque foreign material. There is no evidence of small intestinal mechanical obstruction. Consider repeat fasted radiography to monitor for gastric emptying. If the mineral material remains in the stomach, endoscopy can be considered._x000D_
2. Suspect right middle lung lobe alveolar pattern concerning for aspiration pneumonia. Recommend three view thoracic radiography for further evaluation.</t>
  </si>
  <si>
    <t>Study:_x000D_
Abdominal radiography: eight images dated July 8, 2024_x000D_
_x000D_
Findings:_x000D_
The abdominal serosal detail is age appropriate. The stomach contains a small amount of unstructured heterogeneous soft tissue material. The small intestines are segmentally gas filled and normal in size and course. The colon contains gas with a normal diameter. The liver and spleen are normal in size and margin. The renal silhouettes are normal in size and contour. The urinary bladder is normal in size and opacity. There is no prostatomegaly. The included thorax is normal. The right 13th rib is hypoplastic.</t>
  </si>
  <si>
    <t>Gastric contents likely represent ingesta. Foreign material cannot be completely excluded. There is no evidence of small intestinal mechanical obstruction. Repeat fasted radiography can be considered to ensure gastric emptying. Alternatively, sonography can be considered if clinical signs persist or worsen in spite of medical management.</t>
  </si>
  <si>
    <t>Patient Name: Bear Bear Cunha, Date of study: July 8, 2024
Canine Abdomen (2 Images) - 1 Lateral, 1 VD
Canine Thorax (3 Images) - 2 Lateral, 1 VD
There are no previous radiographs for comparison.
Findings:
Cardiac silhouette: The cardiac silhouette is normal in size and shape. Superimposition of ribs artifactually increase/enlarge the caudodorsal aspect of the cardiac silhouette.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increased in height cranial to the thoracic inlet on the right lateral view.
Esophagus: The region of the esophagus is within normal limits.
Gastrointestinal tract: The stomach contains a small volume of heterogeneous ingesta admixed with gas and is normal in position. The small intestines are diffusely within normal limits of diameter containing gas and fluid. The colon is normal in size containing gas and loosely formed feces.
Liver: The liver is within normal limits of size and shape.
Spleen: The spleen is within normal limits.
Urinary: The visible margins of the kidneys are normal in size, shape, and margination. The urinary bladder is normal in size and opacity. Mineral opaque urinary calculi are not identified.
Peritoneal space: There is adequate serosal detail.
Musculoskeletal: The included skeletal and superficial soft tissue structures of the study are within normal limits.</t>
  </si>
  <si>
    <t>1. Collapsing trachea.
2. The cardiopulmonary structures are within normal limits.
3. The urinary system is unremarkable. There is no evidence of mineral opaque urinary calculi. A urinary bladder neoplasm is not excluded. A congenital malformation (i.e. ectopic ureters) is considered much less likely..</t>
  </si>
  <si>
    <t>Consider urinalysis with culture/sensitivity for further evaluation.  An abdominal ultrasound is recommended if not recently performed.</t>
  </si>
  <si>
    <t>6 images of the thorax and abdomen are presented for review.  The cardiovascular structures are normal.  A large soft tissue mass is present in the right middle lung lobe.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</si>
  <si>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Pulmonary mass concerning for primary pulmonary neoplasia.</t>
  </si>
  <si>
    <t>Study:_x000D_
Abdominal radiography: three images dated July 8, 2024_x000D_
_x000D_
Findings:_x000D_
The serosal detail is normal. The stomach and some small intestinal segments contain unstructured heterogeneous/granular soft tissue material presumed to be ingesta. The small intestines are normal in size and course. The colon contains formed fecal material. The liver and spleen are normal in size and margin. The kidneys are normal in size and contour. The urinary bladder is normal in size and opacity. There is no prostatomegaly. The included thorax is normal. There is mild L2-L3 spondylosis deformans. The patient is of obese body condition.</t>
  </si>
  <si>
    <t>Postprandial gastrointestinal tract=ZZ90= otherwise, unremarkable abdomen.</t>
  </si>
  <si>
    <t>If not already performed, consider serum chemistry and T4 testing to evaluate for metabolic/in the can causes of weight gain.</t>
  </si>
  <si>
    <t>Orthogonal views of the thorax are provided:_x000D_
_x000D_
Thorax:_x000D_
_x000D_
There is mild cervical tracheal narrowing more marked at the thoracic inlet._x000D_
Cardiac silhouette is WNL._x000D_
Pulmonary vessels are within normal limits of size and shape._x000D_
Pulmonary parenchyma is within normal limits. No evidence of pulmonary nodules/masses._x000D_
Pleural space, mediastinum, diaphragm and thoracic wall within normal limits._x000D_
_x000D_
Liver extends beyond the costal arch with sharp margins.</t>
  </si>
  <si>
    <t>1) Findings compatible with cervical tracheal collapse. Unremarkable lungs do not exclude a bronchitis of allergic origin vs inflammatory/infectious or parasitic origin. No signs of pulmonary metastases nor signs of thoracic lymphadenopathy._x000D_
2) Hepatomegaly: Metabolic vs Vacuolar infiltration vs Hepatic nodular hyperplasia vs Inflammatory vs Toxic vs Neoplastic or a combination of these differentials</t>
  </si>
  <si>
    <t>Consider a fluoroscopy with tracheobronchoscopy to better evaluate the extrathoracic tracheal collapse and to rule in/out intrathoracic tracheal collapse or bronchial component, evaluating treatment options. Take advantage of the bronchoscopy to further evaluate the larynx given 30% of patients with tracheal collapse display different degrees of laryngeal paralysis._x000D_
Consider also abdominal US to further evaluate the liver.</t>
  </si>
  <si>
    <t xml:space="preserve">
1.The small intestinal track is mostly fluid filled uniform in diameter._x000D_
2.The colon is gas filled in corrugated._x000D_
3.The spleen is within normal limits._x000D_
4.The liver is enlarged with rounded borders._x000D_
5.There is decreased detail in the cranial abdomen._x000D_
6.The stomach is partially distended with food material and fluid.</t>
  </si>
  <si>
    <t>5 images of the thorax and abdomen are presented for review.  The trachea is narrowed in the cervical region.  The intrathoracic trachea is mildly dorsally deviated, indicating left ventricular enlargement.  There is straightening of the caudal cardiac waist in the region of the left atrium.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beyond the costal arch, similar to previous images dated 2/27/2023.  The stomach contains a moderate amount of gas.  The small intestines are normal in size.  Gas and feces are present in the colon.  The urinary bladder is small.  The remaining abdominal organs are normal.</t>
  </si>
  <si>
    <t>Persistent hepatomegaly.  Mild left-sided cardiomegaly.  Cervical tracheal narrowing suggestive of tracheal collapse.</t>
  </si>
  <si>
    <t>A lateral radiograph of the thorax, and three views of the abdomen are provided. The heart and pulmonary vessels are normal size and shape. There are no abnormalities in the pulmonary parenchyma or along the plane of the esophagus. Normal tracheal diameter. In the abdomen there is moderate volume soft tissue opacity stippled with gas filling the stomach. Thin curved 0.5 cm mineral density in the ventral stomach only on the right lateral view. No other foreign material appreciated. Small bowel are minimally filled. Small volume gas in the cecum. The colon contain semi-formed feces. Normal-sized liver, spleen, left kidney (right laterality marker located on the left side of the patient on the VD view). No radiopaque urolithiasis. Osseous structures are normal for a juvenile patient.</t>
  </si>
  <si>
    <t>Small mineral opaque fragment in the stomach is most likely incidental. Significant foreign material causing gastritis is given lesser consideration in the absence of vomiting. Otherwise normal postprandial abdomen and normal thorax.</t>
  </si>
  <si>
    <t>Current diagnostics are appropriate. If the patient does not improve with supportive care, fasted abdominal ultrasound would be recommended.</t>
  </si>
  <si>
    <t>Study:_x000D_
Abdominal radiography: three images dated July 8, 2024_x000D_
_x000D_
Findings:_x000D_
The serosal detail is normal. The stomach contains a small volume of gas with the pylorus appropriately gas-filled on the left lateral image. The small intestines are normal in size, course and content. The colon contains formed fecal material with a normal diameter. The liver and spleen are normal in size and margin. The kidneys are normal in size and contour. The urinary bladder is normal in size and opacity. There is no prostatomegaly. The included thorax is normal. The patient has multiple, breed associated, congenitally anomalous vertebrae. The prior hemilaminectomy site appears to be at L1-L2 on the right. There is mild L2-L3 and moderate L7-S1 spondylosis deformans. Small mineral opacities are superimposed with the L3-L4, L5-L6 and L6-L7 intervertebral foramen.</t>
  </si>
  <si>
    <t>1. Unremarkable abdomen. A cause of vomiting is not evident. There is no radiographic evidence of gastrointestinal foreign material or small intestinal mechanical obstruction. Abdominal sonography can be considered for further evaluation if clinical signs persist or worsen in spite of medical management._x000D_
2. The mineral opacity superimposed with the L3-L4, L5-L6 and L6-L7 intervertebral foramen may indicate lateralized spondylosis deformans and/or herniated intervertebral disc material.</t>
  </si>
  <si>
    <t>Seven radiographs are provided, with images of the thorax, thoracic limbs, abdomen, pelvic limbs. Images dated 2/10/23 are available for comparison. No abnormalities are appreciated in the viewable skull. Narrowed C4-5 intervertebral disc space, present previously and likely incidental. The left humerus is medially displaced with respect to the scapula. On the edge of the left craniocaudal shoulder view, the right humerus is also mildly medially positioned with respect to the scapula. The caudal aspect of both scapular glenoid are slightly flattened, with mild enthesophyte formation. No distal thoracic limb abnormalities are appreciated. There is mild left atrial enlargement as before. Pulmonary vessels are normal size. No abnormalities in the pulmonary parenchyma or pleural space. In the abdomen the liver is mildly enlarged with smooth margins. There is no effusion. No radiopaque urolithiasis. The uterus is not definitively seen. Previous femoral head ostectomy on the right. There is severe degenerative change in the left coxofemoral joint. Patellar location is normal. No right stifle joint effusion. The right tarsus is unremarkable. Linear mineral density caudal to the distal right tibia is likely incidental myositis ossificans.</t>
  </si>
  <si>
    <t>1. Medial left glenohumeral luxation. With the questionable flattening of the scapular glenoid, congenital malformation with chronic subluxation/luxation should be considered. For this reason, recurrent luxation is likely. As the right shoulder is mildly medially positioned on one of the views, bilateral shoulder laxity may be present._x000D_
2. Severe left coxofemoral osteoarthritis. This is the most likely cause for the pelvic limb clinical signs. An intervertebral disc lesion between T3 and L3 could also be contributing._x000D_
3. Mild left atrial enlargement as before, consistent with acquired mitral valve disease. There is no evidence of pulmonary venous congestion or pulmonary edema. This is of doubtful clinical significance today. Otherwise normal thorax._x000D_
4. Mild hepatomegaly, a nonspecific finding that may be steroid or other hepatopathy. An inflammatory process or neoplasia are given lesser consideration. This should be correlated with history and blood work.</t>
  </si>
  <si>
    <t>Recommend supportive care with anti-inflammatories. Consultation with an orthopedic surgeon could be considered to determine if there are other treatment options.</t>
  </si>
  <si>
    <t>Study:_x000D_
Abdominal radiography: five images dated July 8, 2024_x000D_
_x000D_
Findings:_x000D_
The stomach and some small intestinal segments contain unstructured heterogeneous/granular soft tissue material presumed to be ingesta. The pylorus is appropriately gas-filled on the left lateral image. The colon contains gas with a normal diameter. The liver and spleen are normal in size and margin. The renal silhouettes are normal in size and shape. The urinary bladder is normal in size and opacity. No mineral opaque calculi present in the bladder or region the urethra. There is no prostatomegaly. The included thorax is normal. There is moderate left hip dysplasia and remodeling/thickening of the femoral head and neck. There is moderate L2-L3 spondylosis deformans. There is mild right stifle periarticular bone formation.</t>
  </si>
  <si>
    <t>1. Postprandial stomach=ZZ90= otherwise, unremarkable abdomen. The urinary tract is radiographically normal._x000D_
2. Moderate left hip dysplasia and coxofemoral osteoarthrosis._x000D_
3. Mild right stifle osteoarthrosis. Consider underlying cranial cruciate and/or meniscal injury.</t>
  </si>
  <si>
    <t>Urinalysis, SDMA testing plus/minus abdominal sonography can be considered for further evaluation of the reported azotemia.</t>
  </si>
  <si>
    <t xml:space="preserve">Patient Name : Murphy Dowda, Date of study: Jul 8, 2024
3 images are provided for review
Canine Abdomen (3 Images) - 2 Lateral, 1 Vd
There are no previous radiographs for comparison.
Liver: The liver is slightly small with cranial displacement of the gastric axis.  The liver occupies 2-3 intercostal spaces in the ventrodorsal image.
Spleen: The spleen is normal in size with smooth margins and homogeneous soft tissue.
Kidneys: Mineral over the left kidney in the ventrodorsal image is not corroborated in the lateral images.  The kidneys are normal in size and shape.
Retroperitoneum: Retroperitoneal detail is adequate.
Urogenital: The urinary bladder is normal in size, homogeneous soft tissue, and smoothly marginated.
Peritoneum: Peritoneal detail is adequate.
Gastrointestinal tract: The stomach contains a mild to moderate volume of gas, and minimal fluid.  Mild mineral fragments with well-defined margins are in the pylorus.  Gas in in the pylorus and suspected descending duodenum in the left lateral image.  The stomach is within normal limits for fize. 
The small intestine contains mild gas with a subjectively uniform population for size. 
The colon contains moderate gas.  The colon wall is slightly sapstic.  The colon is normal in size.
Musculoskeletal: Caudal vertebral anomalies consistent with breed of this patient.  The remaining included musculoskeletal structures are normal.
</t>
  </si>
  <si>
    <t>1. Minimal gastric mineral material due to dietary indiscretion versus normal ingesta (BARF diet) with/without gastritis/delayed gastric emptying, or unlikely pyloric outflow tract obstruction given lack of vomiting in reported history.
2. Non-specific small intestinal and colon changes such as from enteritis/colitis or less likely individual variation of normal/recent bowel movement given reported history of diarrhea.
- Differential diagnoses for enteritis/colitis include dietary indiscretion, toxin ingestion, inflammatory bowel disease, diet/antibiotic responsive disease, or less likely parasitism/primary infectious disease or other.
3. Mild microhepatia versus artifact from positioning/technique or individual variation of normal.
- If present, consider occult portosystemic shunt or unlikely other such as chronic hepatitis/cirrhosis.</t>
  </si>
  <si>
    <t>Consider GI panel and bile acids for further evaluation.  Therapy for dietary indiscretion in the interim. and consider monitoring for passage of gastric mineral with serial radiographs if clinically indicated.  Abdominal ultrasonography may be contributory, especially if clinical signs fail to improve or worsen in the face of empirical therapy.  Empirical therapy and supportive care in the interim as needed for enteritis/colitis.  Diet elimination trial may be contributory, especially given reported history of recent diet change.  Monitoring as directed, or sooner if clinical signs acutely change, fail to improve or worsen.</t>
  </si>
  <si>
    <t xml:space="preserve">
1.Abdominal detail is normal._x000D_
2.The stomach is mildly gas and fluid dilated._x000D_
3.The liver and spleen are normal for size._x000D_
4.No abnormal AI findings reported._x000D_
5.There is gas and mild fluid dilation noted within the descending duodenum._x000D_
6.The small bowel contains gas and fluid but is largely normal in diameter throughout._x000D_
7.There is also gas and fluid distention of the cecum and the entire length of the colon._x000D_
8.View GI resource: https://platform.v2.vetology.net/doc/GI</t>
  </si>
  <si>
    <t>Three orthogonal thoracic radiographs dated 2nd July 2024 are available for review. There are no previous radiographs available for comparison. _x000D_
_x000D_
Airway findings: A smoothly marginated soft tissue opacity is variably present overlying the dorsal aspect of the trachea at the thoracic inlet. This opacity reduces approximately 60% of the dorsoventral diameter of the trachea. The intrathoracic trachea is normal. A egg-shaped smoothly marginated soft tissue mass is visible in the right caudal dorsal lung region of approximately 2 cm in length. The remainder of the lung parenchyma is unremarkable._x000D_
_x000D_
Cardiovascular findings: There is a small smoothly marginated soft tissue opacity contiguous with the caudal dorsal border of the cardiac silhouette. A soft tissue opacity is superimposed on the caudal cardiac silhouette in the dorsoventral image.  The overall cardiac silhouette is still within normal limits. The pulmonary vessels as well as the mainstem vasculature are normal._x000D_
_x000D_
Mediastinum and pleural space: No significant abnormalities are detected._x000D_
_x000D_
Musculoskeletal findings: No significant abnormalities are detected._x000D_
_x000D_
Included abdomen: No significant abnormalities are detected.</t>
  </si>
  <si>
    <t>1. The dorsal attenuation of the trachea is consistent with tracheomalacia, and/or redundant trachealis membrane. The extent of attenuation would be expected to cause coughing._x000D_
2. Pulmonary mass: A primary bronchial adenocarcinoma, single metastasis, abscess or cyst is likely. The mass may compress one of the mainstem bronchi and may contribute towards coughing. _x000D_
3.  Left atrial dilation. This is most likely due to mixoid degeneration of the mitral valve. There is no evidence for cardiac insufficiency.</t>
  </si>
  <si>
    <t>Consider evaluation for airway collapse (fluoroscopy vs. right lateral inspiratory and expiratory radiographs vs. CT with virtual bronchoscopy). Alternatively consider continued medical management. Consider surgical consultation depending on clinical progression._x000D_
Radiography is insensitive for early cardiac insufficiency, therefore ECG, blood pressure measurements, and echocardiography may be considered for further evaluation, or baseline measurements._x000D_
Complete bloodwork, thoracic CT or ultrasound with aspirates if a peripheral lesion identified, and abdominal ultrasound are recommended for further staging.</t>
  </si>
  <si>
    <t xml:space="preserve">
1.No abnormal AI findings reported._x000D_
2.The stomach contains a small volume of gas._x000D_
3.The small bowel contains gas and fluid. No evidence of obstruction._x000D_
4.There is mild hepatomegaly with smooth margins._x000D_
5.The spleen is smoothly marginated and within normal limits for size.</t>
  </si>
  <si>
    <t>9 views of the thorax, abdomen, pelvis, and pelvic limbs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The stomach contains a moderate amount of ingesta.  Formed stool is noted throughout the colon.  The small bowel is within normal limits.  The liver and spleen are normal in size, shape, and margination.  The bilateral renal silhouettes are within normal limits.  The urinary bladder is unremarkable.  Serosal detail is normal._x000D_
Moderate intracapsular effusion is noted in the cranial aspect of the left stifle.  No degenerative changes are seen.  The left tarsus is within normal limits.  The right stifle and right tarsus are within normal limits.  The coxofemoral joints and sacroiliac joints are unremarkable.</t>
  </si>
  <si>
    <t>Moderate intracapsular effusion in the left stifle.  This is consistent with acute cranial cruciate ligament injury._x000D_
Radiographically normal thorax and abdomen.</t>
  </si>
  <si>
    <t>Surgery consultation is advised.</t>
  </si>
  <si>
    <t>Study:_x000D_
Abdominal radiography: three images dated July 8, 2024_x000D_
_x000D_
Findings:_x000D_
The serosal detail is normal. The stomach contains a small volume of gas. The small intestines are normal in size, course and content. The colon contains gas with a normal diameter. The liver and spleen are normal in size and margin. The kidneys are normal in size and contour. The urinary bladder is normal in size and opacity. The included thorax is normal. There is mild L1-out to spondylosis deformans.</t>
  </si>
  <si>
    <t xml:space="preserve">
1.The gastric rugae are prominent or the gastric lumen contains soft tissue opaque material mimicking the appearance of prominent gastric rugae._x000D_
2.A portion of the colon is gas filled and rigid consistent with inflammation._x000D_
3.The small intestines are distended._x000D_
4.The liver and spleen are normal size._x000D_
5.Cranial abdominal detail is decreased however this is attributed to a confluence of soft tissues or lack of intra-abdominal fat over mesenteric inflammation and/or abdominal fluid._x000D_
6.No abnormal AI findings reported.</t>
  </si>
  <si>
    <t xml:space="preserve">Patient Name : BEKKA ERNST, Date of study: Jul 8, 2024
6 images are provided for review
This examination is compared to prior dated May 31, 2024.
Pulmonary parenchyma:  A mild to moderate interstitial to alveolar pattern is present.  This pattern most severe and  best identified in the right middle, right caudal and left caudal lung lobes in the ventrodorsal image. An ill-defined pattern over the ventral periphery of the cranial lungs in the lateral image is suspected over the left cranial lung in the ventrodorsal image. The pattern in the left caudal lung over the 10th intercostal space has s somewhat rounded caudal margin, and air-bronchograms are also suspected.  The interstitial pattern is most severe in the caudodorsal lungs in the lateral image. An underlying minimal to mild diffuse bronchial pattern is also present.
Pulmonary vasculature: The pulmonary vasculature are partially obscured in the caudal lungs. 
Cardiac silhouette: The cardiac silhouette is mildly tall and occupies 2/3 the height of the cardiac silhouette in the right lateral image.  The caudodorsal margin of the cardiac silhouette is slightly flat in the right lateral image.  Slight divergence of the mainstem bronchi is suspected some ventrodorsal images.  The cardiac silhouette is subjectively rounded in the area of the right heart in the ventrodorsal image.  A soft tissue bulge or convexity is at the 1-2 o'clock position, in the region of the main pulmonary artery in the ventrodorsal image.  
Mediastinum: The cranial mediastinum is mildly symmetrically widened in the ventrodorsal images.
Trachea: A soft tissue band partially superimposes over the dorsal aspect of the trachea in the lateral images.
Esophagus: The esophagus is not well-identified.
Pleural space: The pleural space is normal.
Musculoskeletal: T4-5 spondylosis deformans is present.  The remaining included musculoskeletal structures are normal.
</t>
  </si>
  <si>
    <t>1. Mild-moderate interstitial to alveolar pulmonary pattern, most severe in the caudodorsal lungs and right middle lung lobe.
- The primary differential diagnosis is left-sided congestive heart failure/pulmonary edema.
- Given reported patient history of mammary carcinoma, atypical metastatic carcinoma, or unlikely hemorrhage or other such as atypical bronchopneumonia are also considered. 
2. Possible pulmonary nodule/mass versus coalescing pulmonary pattern (left-sided congestive heart failure/other), left  cranial and caudal lung lobes.
- If this is a nodule/mass this is most suspicious for metastatic neoplasia given reported patient history.
3. Minimal-mild left-sided cardiomegaly is similar to prior.
- Differential diagnoses include myxomatous mitral valvular disease and insufficiency, or unlikely other.
4. Dorsal redundant tracheal membrane and/or superimposed normal structures with/without underling dynamic airway disease.
5. Cranial mediastinal widening due to fat deposition, versus evolving lymphadenomegaly or other.
(amended on 07/08/2024 09:37)
6. Possible main pulmonary artery enlargement and right-sided cardiomegaly, such as from cor pulmonale/pulmonary hypertension and/or tricuspid valvular disease._x000D_
- Pulmonary pattern may be due to vascular accident and right-sided heart disease/pulmonary hypertension, in addition to the above, but this is considered least likely.</t>
  </si>
  <si>
    <t>Cardiomegaly is similar to images dated May 31, 2024, but the pulmonary pattern is new and significant.  Consider diuretic therapy, oxygen therapy and monitoring for progression/resolution of the pulmonary pattern with radiographs in 4-6 hours.  If the pulmonary pattern is persistent, consider other differential diagnoses over left-sided congestive heart failure.   If the pulmonary pattern improves, but reveals more distinct pulmonary nodules/mass, consider computed tomography for further evaluation if desired.  If the pattern completely resolves, and the patients condition improves, consider echocardiography, ECG and blood pressure for further evaluation.  Empirical therapy and supportive care in the interim as needed.</t>
  </si>
  <si>
    <t xml:space="preserve">Patient Name : ELLA Cuynak, Date of study: Jul 5, 2024
5 images are provided for review
There are no previous radiographs for comparison. Ungloved human digits primary beam.  
Bones/Joints:
The coxofemoral joints have no obvious osteoarthrosis.  There is adequate coverage of the femoral heads by the acetabulums.
Bilateral femoral trochlea hypoplasia is present.  No current medial patella luxation is identified.
The left stifle has no evidence of osteoarthrosis.  The left infrapatellar fat pad is well-defined.
The included left tarsus, metatarsus and digits are normal.
The right stifle has no evidence of osteoarthrosis.  The right infrapatellar fat pad is well-defined.
The included right tarsus, metatarsus and digits are normal.  
The included lumbar spine is normal. 
There is no evidence of medullary sclerosis, osteolysis, endosteal scalloping, or periosteal proliferation.
Soft tissues:  The right gluteal and thigh soft tissues are small compared to the left.  The remaining included soft tissues are normal.
</t>
  </si>
  <si>
    <t xml:space="preserve">1. Bilateral femoral trochlear hypoplasia without current medial patella luxation.
2. Right gluteal and thigh disuse muscle atrophy is suspected.
3. No obvious coxofemoral joint osteoarthrosis.
4. No obvious right stifle osteoarthrosis or synovial effusion.  </t>
  </si>
  <si>
    <t xml:space="preserve">Etiology of reported right hind limb lameness is not definitively identified.  Consider intermittent patella luxation, injury to a region not included (pes/digits), or soft tissue injury, such as the the iliopsoas muscle.  Empirical therapy and supportive care in the interim as needed.  Consider cross-sectional imaging versus ultrasonography for further evaluation of the iliopsoas if clinically indicated.  If signs of myelopathy manifest, consider instead MRI of the lumbar spine.   Consider orthopedist consultation, especially if clinical signs fail to improve or worsen.  </t>
  </si>
  <si>
    <t>Study:_x000D_
Abdominal radiography: three images dated July 7, 2024_x000D_
_x000D_
Findings:_x000D_
The serosal detail is adequate. The stomach contains a small volume of gas with the pylorus appropriately gas-filled on the left lateral image. The small intestines are normal in size, course and content. The colon contains gas and a small amount of poorly formed fecal material. The liver and spleen are normal in size and margin. The kidneys are normal in size and contour. The urinary bladder is normal in size and opacity. There is no prostatomegaly. The included thorax is normal. The osseous structures are unremarkable.</t>
  </si>
  <si>
    <t xml:space="preserve">
1.No abnormal AI findings reported._x000D_
2.The stomach is mildly gas and fluid filled with some soft tissue density material. The small bowel is gas and fluid-containing. No overt obstruction._x000D_
3.The liver and spleen are within normal limits for size with smooth margins._x000D_
4.Abdominal detail is normal.</t>
  </si>
  <si>
    <t>Four orthogonal radiographs of the abdomen dated 7th July 2024 are available for review. There are no previous radiographs available for comparison. _x000D_
_x000D_
Intra-abdominal findings: The stomach contains some gas and has a normal axis. The gastric wall is subjectively thickened. The small intestines are mainly empty, containing some fluid/soft tissue opaque material and gas. The caecum is mildly gas dilated. The colon contains gas and an increased amount of formed faeces. The urinary bladder is normal. No fluid-filled intestinal loops are seen in the caudal abdomen. The serosal detail is normal. The hepatic silhouette is normal in size with smooth borders. The spleen is normal in shape, size and position. The kidneys are partially obscured by gastrointestinal contents, but the visible aspect are normal. On the left lateral image caudal to the sternum there is a small area of irregular mineral opacity, which may be within the body wall, or within an intestinal lumen._x000D_
_x000D_
Extra-abdominal findings: No significant abnormalities are detected._x000D_
_x000D_
Included thorax: No significant abnormalities are detected.</t>
  </si>
  <si>
    <t>1. The overall impression is one of gastritis.  This may be due to dietary indiscretion, or infectious-inflammatory causes. There is no evidence of a mineral opaque foreign body, or complete mechanical obstruction.  A partial obstruction by non-mineral opaque foreign material cannot be excluded.   The mineral opaque material may be normal ingesta, or dystrophic mineralisation in the skin. It is too small to cause obstruction if within an intestinal loop.</t>
  </si>
  <si>
    <t>Supportive management including rehydration, gastroprotectants,  full blood work,  is advised, if not already performed. Repeat 3-view post fasting radiographs depending on clinical progression or consider an abdominal ultrasound. If vomiting continues without development of diarrhea, an upper GI contrast study may also be considered.</t>
  </si>
  <si>
    <t>Study:_x000D_
Abdominal radiography: three images dated July 7, 2024_x000D_
_x000D_
Findings:_x000D_
The stomach contains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small and poorly visualized. There is no prostatomegaly. The included thorax is normal. There is narrowing of the T 11-T 12 and T 13-L1 intervertebral disc spaces with mild to moderate spondylosis deformans. On each lateral projection, the patella of the cranially positioned stifle is superimposed with the femoral condyles.</t>
  </si>
  <si>
    <t>1. Postprandial stomach=ZZ90= otherwise, unremarkable abdomen._x000D_
2. T 11-T 12 and T 13-L1 intervertebral disc disease._x000D_
3. Bilateral (presumably medial) luxating patella.</t>
  </si>
  <si>
    <t xml:space="preserve">
1.There is a moderate amount of soft-tissue dense material present in the stomach._x000D_
2.The small intestines are predominantly fluid-filled._x000D_
3.No segmental small bowel dilation is identified._x000D_
4.The liver is mildly enlarged with rounding to the caudoventral liver margin._x000D_
5.Splenic size, shape and margin are normal._x000D_
6.Abdominal detail is satisfactory</t>
  </si>
  <si>
    <t>Thorax: Today=ZZ91=s study is compared to a study dated 4/27/2024 there is moderate to severe left-sided and moderate right-sided cardiomegaly.  This has remained unchanged since the previous study.  There is no evidence of cardiogenic pulmonary edema or pleural effusion.  The pulmonary parenchyma is unremarkable.  The pulmonary vasculature is unremarkable.  Abdomen: There are no abnormalities identified.  There is narrowing of the intervertebral disc bases of T13-L1, L1-2, and L2-3.</t>
  </si>
  <si>
    <t>Static moderate to severe left and moderate right-sided cardiomegaly without evidence of decompensation._x000D_
_x000D_
Regions of intervertebral disc disease.</t>
  </si>
  <si>
    <t xml:space="preserve">
1.The spleen is normal size._x000D_
2.No abnormal AI findings reported._x000D_
3.Large-volume soft tissue opacity fills the stomach._x000D_
4.Small intestines are diffusely mildly filled with a mixture of fluid and gas. No evidence of obstruction._x000D_
5.Scant formed feces is present in the distal colon._x000D_
6.No abnormal AI findings reported.</t>
  </si>
  <si>
    <t xml:space="preserve">Patient name: Bear. Date of study: 7/6/24. Single lateral projections of the caudal cervical, thoracic, and lumbar spine are available for interpretation. 
Caudal cervical region: Obliquity limits evaluation. There is suspected enlargement to the C6-7 articular processes. 
Thoracic spine: Minimal lordosis is present in the mid thoracic region which is considered an incidental congenital abnormality. 
The proximal rib alignment appears to slightly shift between T10 and T11. Additionally, there is a slight vertical malalignment to the caudal articular processes beginning at the T11 caudal articular processes also suggestive of a slight spinal torsion. The T10 caudal lamina also appears dorsally elevated. 
Lumbar spine: Focal vertical mineralization overlies the L1-2 and L5-6 disc spaces but without disc space narrowing. Vertical lucencies overlie the caudal aspect of the L1, L3 and L4 spinous processes suggestive of fracture lines. 
L-S ventral spondylosis is present. No end-plate or vertebral lysis is noted. 
Gas opacity overlies the soft tissues around the T13 through L2 vertebrae. </t>
  </si>
  <si>
    <t xml:space="preserve">1) Appearance to T10-11 would be most consistent with trauma and a potential T10 laminal elevation with T10 caudal articular process fracture allowing for a caudal thoracic spinal torsion/subluxation. 
2) Lucencies within or overlying the L2, L4 and L5 spinous processes also concerning for traumatic fractures. 
3) L-S ventral spondylosis. 
4) Chronic C6-7 articular process degenerative change. </t>
  </si>
  <si>
    <t xml:space="preserve">As there is potential for a spinal fracture, horizontal beam radiographs of the spine or spinal CT in lateral recumbency are recommended to further assess vs. spinal MRI, if neuro deficits are present. </t>
  </si>
  <si>
    <t>6 images of the abdomen and pelvic limbs are provided for review.  Serosal detail is adequate in all quadrants.  The liver margins are rounded and extend beyond the costal arch, causing caudal displacement of the gastric axis.  The spleen is normal in size and smoothly margined.  The stomach contains a moderate amount of gas.  The small intestines are normal in size.  Gas and feces are present in the colon.  The urinary bladder is moderately distended.  The remaining abdominal organs are normal.  Spinal alignment is normal with no consistently narrowed intervertebral disc spaces.  The coxofemoral joints are congruent.  No fractures or aggressive osseous lesions are seen.  Mild soft tissue is present in the right stifle joint.</t>
  </si>
  <si>
    <t>Hepatomegaly=ZZ90= this is a nonspecific finding that may be seen with congestion, vacuolar hepatopathy, inflammation, neoplasia, etc.  Abdominal ultrasound may be helpful in further evaluation if biochemically indicated.  Mild right stifle effusion suggestive of soft tissue injury such as to the cranial cruciate ligament or meniscus.</t>
  </si>
  <si>
    <t xml:space="preserve">Patient Name : Pepper Metcalf, Date of study: Jul 6, 2024
7 images are provided for review
There are no previous radiographs for comparison.
Bones/Joints:
The left stifle has no evidence of osteoarthrosis.  The left infrapatellar fat pad is well-defined.
The right stifle has no evidence of osteoarthrosis.  The right infrapatellar fat pad is well-defined.
There is no evidence of medullary sclerosis, osteolysis, endosteal scalloping, or periosteal proliferation.  No obvious right femoral/pelvic fractures are identified.  The included lumbar spine is normal.  
Soft tissues:  Multiple small gas foci are clustered in a region of the right inguinal soft tissues.  These soft tissues are mildly enlarged.  The remaining included soft tissues are normal.
</t>
  </si>
  <si>
    <t xml:space="preserve">1. Right inguinal soft tissue gas and mild enlargement such as from recent reported trauma.
2. No obvious right femoral fractures on limited evaluation.  </t>
  </si>
  <si>
    <t>Consider repeat radiographs of the pelvic and right femur with comparison images of the left femur for further evaluation, especially if signs fail to improve or worsen with empirical therapy for soft tissue trauma.   Monitoring as directed or sooner if clinical signs acutely change, fail to improve or worsen.</t>
  </si>
  <si>
    <t>4 images of the abdomen are provided for review.  Serosal detail is adequate in all quadrants.  The stomach contains a small amount of gas and the rugal folds are prominent.  The small intestines are normal in size.  Segment of small intestine in the left ventral abdomen contains soft tissue material with multiple mineral structures.  Additional small mineral structures are seen in the small intestines and colon.  Gas and feces are present in the colon.  The urinary bladder is small.  The remaining abdominal organs are normal.</t>
  </si>
  <si>
    <t>Prominent rugal folds suggestive of gastritis.  This does not rule out underlying pancreatitis, dietary indiscretion, infiltrative neoplasia, etc.  Intestinal mineral foreign material.  Additional small intestinal soft tissue cognizance may represent incompletely digested food or foreign material.  Gravel sign secondary to chronic partial obstruction from infiltrative neoplasia cannot be excluded.</t>
  </si>
  <si>
    <t>Orthogonal views of the abdomen are provided:_x000D_
_x000D_
Abdomen:_x000D_
_x000D_
The stomach is distended with food._x000D_
Small intestines are mildly gas and fluid filled, not overtly distended. No signs of mechanical ileus._x000D_
Unformed feces in the colon._x000D_
Serosal detail is preserved._x000D_
Liver and spleen are within normal limits of size and smoothly marginated._x000D_
Kidneys and urinary bladder WNL.</t>
  </si>
  <si>
    <t>1) Unformed feces in the colon. Rule out colitis of allergic/inflammatory/idiopathic origin vs colitis secondary to dietary indiscretion/diet change vs colitis of parasitic/infectious origin.</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</si>
  <si>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ingesta.  The small intestines are normal in size.  Gas and feces are present in the colon.  The urinary bladder is small.  The remaining abdominal organs are normal.  Spinal alignment is normal with no consistently narrowed intervertebral disc spaces.  No fractures or aggressive osseous lesions are seen.</t>
  </si>
  <si>
    <t>Radiographically normal abdomen.  Radiographically normal thorax for patient of this age.  Radiographically normal spine.  This does not rule out intervertebral disc herniation or other causes of spinal cord compression.  CT or MRI could be considered in further evaluation.</t>
  </si>
  <si>
    <t>Right thoracic limb: There are regions of subcutaneous emphysema involving the proximal right limb as well as cranial ventral portion of the right thorax.  There are no osseous abnormalities identified._x000D_
_x000D_
Thorax: There is no evidence of thoracic wall trauma.  There is no evidence of pulmonary contusions or pleural effusion.  The cardiac silhouette and pulmonary vasculature are unremarkable.  There are thoracic hemivertebra which is a common finding for breed of patient.</t>
  </si>
  <si>
    <t>Subcutaneous emphysema consistent with soft tissue trauma/possible puncture wounds.</t>
  </si>
  <si>
    <t>Abdomen: There is a mild amount of formed fecal material throughout the colon and rectum.  There is moderate amount of heterogeneous soft tissue opacity within the gastric lumen.  The liver and spleen are unremarkable.  It is difficult to assess the kidneys due to silhouetting and summation with adjacent viscera.  The visible portions of the urinary bladder are unremarkable.  Serosal detail is normal.</t>
  </si>
  <si>
    <t>The material within the gastric lumen most likely represents normal ingesta however foreign material cannot be ruled out.</t>
  </si>
  <si>
    <t>Abdomen: There is mild amount of granular mineral opacity within the gastric lumen.  There is mild gas distention of the stomach.  There is no evidence of a small intestinal foreign body or obstruction.  The liver and spleen are unremarkable.  There are no abnormalities involving the visible portions of the urinary tract.  Serosal detail is normal.  There are no abnormalities involving the visible portions of the thorax.</t>
  </si>
  <si>
    <t>Mild amount of granular mineral opaque debris within the gastric lumen which may represent foreign material or normal ingesta.</t>
  </si>
  <si>
    <t>Patient Name: Kona Baldwin, Date of study: July 5, 2024
Thoracolumbar spine: 2 images are provided for review (1 lateral, 1 VD). 
Compared to October 18, 2020. 
Findings:
There is newly identified, focal moderate kyphosis centered at the level of T13. The intervertebral disc spaces are now collapsed from T12-13 to L1-2 (previously normal). The vertebral bodies and endplates remain intact/normal. There is moderate spondylosis deformans of T13-L1 and L1-2. The articular process joints are within normal limits. The ribs and superficial soft tissue structures are normal.
The included cardiopulmonary structures are within normal limits. The liver is mildly enlarged. The remaining abdominal viscera is normal.</t>
  </si>
  <si>
    <t xml:space="preserve">1. Degenerative changes of the thoracolumbar spine from T12-13 to L1-2. Intervertebral disc disease (disc extrusion/protrusion) is prioritized. There is no evidence of discospondylitis.
2. Mild hepatomegaly.  This is a nonspecific finding, differentials include metabolic disease, endocrine disease, inflammation, and less likely, infiltrative neoplasia.  </t>
  </si>
  <si>
    <t>If not already performed, a full neurologic exam is recommended to screen for neuropathy. Cross-sectional imaging of the thoracolumbar spine is necessary to identify a specific site of compression. Strict cage rest and multimodal pain management are recommended in the interim.</t>
  </si>
  <si>
    <t>Thorax: A tracheal stent has previously being placed.  It is difficult to assess the pulmonary parenchyma due to pulmonary underinflation.  There is a possible bronchointerstitial pattern however this may be artifactual and secondary to pulmonary underinflation.  The cardiac silhouette and pulmonary vasculature are unremarkable.  There is no evidence of lymphadenopathy or pleural effusion.  There are no abnormalities involving the larynx/pharynx._x000D_
_x000D_
Abdomen: The liver is diffusely enlarged.  The spleen is unremarkable.  There are no abnormalities involving the gastrointestinal tract or visible portions of the urinary tract.</t>
  </si>
  <si>
    <t>Pulmonary underinflation which may be secondary to timing of radiographic acquisition.  Alternatively an upper airway obstructive process cannot be ruled out._x000D_
_x000D_
Possible bronchiointerstitial pattern however at this may be artifactual and due to pulmonary underinflation._x000D_
_x000D_
Mild diffuse hepatomegaly.</t>
  </si>
  <si>
    <t>Five radiographs of the thorax/abdomen are provided. Normal tracheal diameter. The cardiac silhouette and pulmonary vessels are normal size. There are no abnormalities in the pulmonary parenchyma or pleural space. There is a smoothly irregular, lobulated 3.7 x 2.6 cm mineralized mass ventral lateral and to the left of the xiphoid process. There is no adjacent sternal or rib involvement. In the abdomen the liver is upper normal size. Normal-sized spleen. The kidneys are obscured. The gastrointestinal tract is mildly filled. The urinary bladder is minimally distended. No radiopaque urolithiasis. Small mineral density overlies the L3-4 intervertebral foramen, of doubtful clinical significance today.</t>
  </si>
  <si>
    <t>Mineralized caudoventral extrathoracic mass, concerning for malignant neoplasia such as originating from mammary gland. A benign lesion is next on the differential list. There is no adjacent osseous involvement. The thorax and abdomen are otherwise normal.</t>
  </si>
  <si>
    <t>Recommend mass removal with histopathology.</t>
  </si>
  <si>
    <t xml:space="preserve">
1.Resource: https://platform.v2.vetology.net/doc/liver_disease_x000D_
2.The spleen is within normal limits._x000D_
3.Abdominal detail is questionably decreased, although this may be due to artifact._x000D_
4.The gastrointestinal tract is unremarkable containing only small volumes of gas and fluid with a moderate volume of fecal material within the colon._x000D_
5.There is mild hepatomegaly.</t>
  </si>
  <si>
    <t>Spine: There is narrowing of the intervertebral disc space at C2-3.  There are several thoracic hemivertebra.  There are several regions of thoracic spondylosis deformans.  There are no significant abnormalities involving the lumbar vertebral column._x000D_
_x000D_
Thorax: The pulmonary parenchyma, cardiac silhouette, and pulmonary vasculature are unremarkable.  There is no evidence of pleural effusion or lymphadenopathy._x000D_
_x000D_
Abdomen: There are no abnormalities identified.  There are no abnormalities involving the visible portions of the pelvis.</t>
  </si>
  <si>
    <t>Narrowed  intervertebral disc space C2-3._x000D_
_x000D_
Numerous thoracic hemivertebra and regions of thoracic spondylosis deformans.</t>
  </si>
  <si>
    <t>Abdomen: There is a moderate amount of heterogeneous soft tissue opacity within the gastric lumen.  There is no evidence of a small intestinal foreign body or obstruction.  The liver and spleen are unremarkable.  There are no abnormalities involving the urinary tract.  Serosal detail is normal._x000D_
_x000D_
Thorax: There is mild generalized cardiomegaly.  The pulmonary parenchyma and pulmonary vasculature are unremarkable.  There is no evidence of pleural effusion or lymphadenopathy.</t>
  </si>
  <si>
    <t>The material within the gastric lumen may represent foreign material or normal ingesta._x000D_
_x000D_
Mild generalized cardiomegaly without evidence of decompensation.</t>
  </si>
  <si>
    <t>Orthogonal views of the abdomen are provided:_x000D_
_x000D_
Abdomen:_x000D_
_x000D_
The stomach contains small volume of soft tissue material._x000D_
Small intestines are mildly gas and fluid filled, not overtly distended. No signs of mechanical ileus._x000D_
Serosal detail is preserved._x000D_
Liver and spleen are within normal limits of size and smoothly marginated._x000D_
Kidneys and urinary bladder WNL.</t>
  </si>
  <si>
    <t>1) Gastric material likely food remnants vs soft tissue in opacity foreign material is not excluded.</t>
  </si>
  <si>
    <t>Consider abdominal US and fastened follow up radiographs in 12-24 hours to evaluate progression/defecation of the gastric material evaluating its presence on follow up radiographs, evaluating the need of an endoscopy.</t>
  </si>
  <si>
    <t>Patient Name: Major MacDonald, Date of study: July 5, 2024.
Canine Abdomen (3 Images) - 2 Lateral, 1 VD
There are no previous radiographs for comparison.
Findings:
Gastrointestinal tract: The stomach is empty and normal in position. The small intestines are diffusely within normal limits of diameter and distribution being primarily soft tissue opaque. The colon is normal in size and is mildly corrugated.
Liver: There are several mineral opaque calculi superimposed with the liver at the level of the gallbladder. The liver is normal in size and margination.
Spleen: The spleen is normal in size with smooth margins.
Urinary: The kidneys are normal in size, shape, and margination. The urinary bladder is mildly distended and normal in opacity.
Peritoneal space: There is adequate serosal detail.
Musculoskeletal: The included skeletal and superficial soft tissue structures of the study are normal.</t>
  </si>
  <si>
    <t>1. Unremarkable gastrointestinal tract. There is no evidence of a mechanical small intestinal obstruction or mineral/metal opaque foreign material. Differentials include gastroenteritis and pancreatitis.
2. There are several choleliths. These are typically an incidental finding; however, hepatobiliary disease resulting in gastrointestinal signs cannot be excluded.
3. The urinary bladder is moderately distended. There is no evidence of mineral opaque calculi.</t>
  </si>
  <si>
    <t>If not already performed, a CBC, biochemistry, cPL, and urinalysis are recommended to screen for systemic disease which may be contributing to clinical signs. An abdominal ultrasound could be considered to further evaluate the hepatobiliary system and gastrointestinal tract.</t>
  </si>
  <si>
    <t>Orthogonal radiographs of the thorax, and three views of the thorax/abdomen are provided. The cardiac silhouette and pulmonary vessels are normal size and shape. The lungs are clear. There is no pleural effusion. Severe narrowed cervical trachea. Incidental laryngeal mineralization. The C3-4 and C4-5 tubercle disc spaces are narrowed. No thoracic spinal abnormalities._x000D_
_x000D_
In the abdomen there is no effusion. The gastrointestinal tract is minimally filled. Punctate mineral density overlying the mid liver is likely a cholelith or choledocholith, typically incidental. Normal-sized liver, spleen, left kidney. The right kidney is incompletely visible. No radiopaque urolithiasis. The L1-2 intervertebral disc space is narrowed. Questionable narrowed L2-3, L3-4, L4-5 disc spaces, although may be due to mild rotation. The appearance of less well delineated ventral margin of the L4 vertebral body is an incidental variant caused by diaphragm attachment.</t>
  </si>
  <si>
    <t>The appearance of C3-4, C4-5, L1-2 are all suggestive of intervertebral disc protrusion/extrusion. Such a lesion at these or another site is the most likely cause for the clinical signs. The thorax and abdomen are normal.
(amended on 07/08/2024 05:05)
There is severe cervical tracheal collapse.</t>
  </si>
  <si>
    <t>If the patient does not improve with supportive care with anti-inflammatories and strict rest, consultation with a neurologist and cross-sectional imaging of the spine such as MRI should be considered.</t>
  </si>
  <si>
    <t xml:space="preserve">
1.The liver and spleen are normal in size and shape._x000D_
2.No abnormal AI findings reported._x000D_
3.The colon contains scant fecal material and gas._x000D_
4.The small bowel contains gas and fluid and is normal in diameter._x000D_
5.The stomach contains a small volume of fluid opaque material and gas. The gastric rugae appear prominent._x000D_
6.Serosal detail within the peritoneal space is normal.</t>
  </si>
  <si>
    <t xml:space="preserve">Patient Name : Bella Crabtree, Date of study: Jul 5, 2024
4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No obvious enlarged soft tissue tubular structures such as from uterine enlargement, are identified.
Peritoneum: Peritoneal detail is adequate.
Gastrointestinal tract: The stomach contains a moderate volume of gas.  Gas is in the pylorus in the left lateral image.  Gastric rugal folds are minimally prominent.  The stomach is within normal limits for size.
The small intestine contains mild  fluid or is empty with a subjectively uniform population for size. 
The colon contains moderate gas.  The colon is normal in size.  The colon wall is minimally to mildly spastic.  
Musculoskeletal: Minimal L7-S1 spondylosis deformans is present best identified in the right lateral image.  The remaining included musculoskeletal structures are normal.
</t>
  </si>
  <si>
    <t>1. Minimal prominent gastric rugal folds such as from non-specific gastritis versus variation of normal.
2. Non-specific small intestinal and colon appearance such as from enteritis, colitis, or individual variation of normal/recent bowel movement.
- Differential diagnoses include dietary indiscretion, toxin ingestion, diet/antibiotic responsive disease, inflammatory bowel disease, or occult systemic disease/pancreatitis.
3. There is no evidence of mechanical ileus.</t>
  </si>
  <si>
    <t>Empirical therapy for gastroenterocolitis in the interim as needed.  Consider GI panel, fecal analysis/deworming and routine blood work if not recently performed.  Abdominal ultrasonography for further evaluation may be contributory, especially if signs of pyometra are identified or manifest given intact status of patient.  Monitoring as directed, or sooner if clinical signs acutely change, fail to improve or worsen.</t>
  </si>
  <si>
    <t>Patient Name : Autumn Steele, Date of study: Jul 5, 2024
3 images are provided for review
There are no previous radiographs for comparison.  The lateral images contain both R and L labels.
Liver: Round to ovoid soft tissue is suspected cranial to the pylorus in the ventrodorsal image.  In the lateral images, a rounded soft tissue opacity is suspected to be caudal to the pylorus.  The caudoventral margin of the liver is slightly round and well-defined.  The gastric axis is normal.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admixed with gas.  
The small intestine contains mild gas and fluid or is empty with a subjectively uniform population for size. 
The colon contains moderate well-defined soft tissue material and gas.  A well-defined thin linear metal foreign object with a slightly flat head (flat head pin suspected) is superimposed over the transverse colon. The colon is normal in size.
Musculoskeletal: The included musculoskeletal structures are normal.
Caudal thorax:  A well-defined round soft tissue nodule is over the left caudal lungs in the right lateral image.</t>
  </si>
  <si>
    <t xml:space="preserve">1. Left caudal lung soft tissue nodule due to metastatic disease or unlikely other.
2. Suspected hepatomegaly/hepatic mass or less likely atypical pylorus appearance/pyloric thickening/mass versus superimposed normal structures.
- If present, differential diagnoses for a hepatic mass include primary versus metastatic neoplasia, nodular hyperplasia, or unlikely other
3. No obvious urinary bladder enlargement or mineral in this examination.
- This does not rule out radiolucent urocystoliths.  
4. Colonic metal foreign body from presumed dietary indiscretion.
- There is no evidence of peritoneal gas in this examination.
</t>
  </si>
  <si>
    <t>Thoracic imaging for further evaluation of pulmonary soft tissue nodules, such as from metastatic neoplasia.  Consider abdominal ultrasonography for further evaluation of the liver, urinary bladder, and  kidneys.  Routine blood work and coagulation testing with tissue sampling depending on results.  Consider BRAF testing and/or traumatic catheterization or contrast vagionocystourethrography for further evaluation of a urethral, vaginal or urinary bladder neoplasm contributing to reported hematuria.   ONcologist consultation depending on results. This examination does not rule out renal idiopathic hematuria. 
  Empirical therapy and supportive care in the interim as needed.  Monitoring as directed or sooner if clinical signs acutely change, fail to improve or worsen.</t>
  </si>
  <si>
    <t>Opposite lateral and VD views of the abdomen are provided._x000D_
_x000D_
No foreign bodies are visible in the GI tract. There is no dilation the stomach or small intestine. Fluid and gas dilation is present involving the cecum and colon. In the VD views, some of the small bowel loops in the left cranial abdomen have a bunched appearance. The appearance is unusual, but not entirely convincing for intestinal plication and no segmental dilation is seen. Serosal detail in the abdomen is normal. The other organs are within normal limits._x000D_
There is moderate to severe chronic remodeling involving the left hip and mild to moderate chronic remodeling involving the right hip.</t>
  </si>
  <si>
    <t>No foreign bodies or obstructive pattern are identified. Gastroenteritis is most likely._x000D_
Metabolic or systemic infectious disease should also be ruled out with appropriate lab work.</t>
  </si>
  <si>
    <t>Supportive care and symptomatic therapy for gastroenteritis/pancreatitis is recommended._x000D_
_x000D_
CBC, serum chemistry including pancreatic specific lipase, and urinalysis should also be considered.</t>
  </si>
  <si>
    <t xml:space="preserve">
1.Liver size, shape and margin are normal._x000D_
2.Splenic size, shape and margin are normal._x000D_
3.Abdominal detail is mildly decreased._x000D_
4.The stomach contains a small amount of soft tissue dense material. The small bowel is gas and fluid filled without segmental bowel dilation.</t>
  </si>
  <si>
    <t>The AI result for this case is most compelling for: colitis/gastroenteritis.  
This may be due to dietary indiscretion, or infectious-inflammatory causes. The appearance of the small bowel may suggest functional ileus.
In addition there is the suggestion of decreased abdominal detail which can be indicative of mesenteric inflammation.</t>
  </si>
  <si>
    <t>Opposite lateral and VD abdomen views are provided._x000D_
_x000D_
The GI tract appears empty. No foreign bodies are identified. Rugal folds in the stomach are slightly prominent. No dilation or plication the intestine is seen. Serosal detail is normal. The other abdominal organs are within normal size and shape limits.</t>
  </si>
  <si>
    <t>No foreign bodies or obstructive pattern are identified. Gastroenteritis is suspected. Pancreatitis or other metabolic disease should also be ruled out with appropriate lab work.</t>
  </si>
  <si>
    <t xml:space="preserve">
1.There is a mildly reduced cranial abdominal serosal detail._x000D_
2.The stomach has a normal axis, with subjectively thickened mucosal folding._x000D_
3.The small intestines are mildly dilated with a mixture of gas and fluid, and have a mild turgid appearance._x000D_
4.The ascending, transverse and descending colon contain gradually more formed faeces._x000D_
5.The spleen is visible and within normal limits._x000D_
6.The liver is normal in shape, size and opacity.</t>
  </si>
  <si>
    <t xml:space="preserve">Patient Name : winnie bonilla, Date of study: Jul 5, 2024
2 images are provided for review
There are no previous radiographs for comparison.  The cranial thorax is excluded in the lateral image.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left kidney is normal.  The right kidney is partially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moderate to large volume of heterogeneous soft tissue admixed with gas.
The small intestine contains mild fluid or is empty with a subjectively uniform population for size. 
The colon contains minimal soft tissue material and gas.
Musculoskeletal: The included musculoskeletal structures are normal.
</t>
  </si>
  <si>
    <t xml:space="preserve">1. Mild diffuse bronchial pulmonary pattern such as from infectious/immune-mediated lower airway disease (mycoplasma spp., bordetella spp., parasitism, or other), inhaled allergen/irritant, fibrosis from prior disease, age-related changes, or unlikely other.
2. Moderate-large volume of gastric material due to recent meal and/or gastritis/delayed gastric emptying, or pyloric outflow tract obstruction (partial/intermittent or unlikely complete).
3. Small intestinal appearance due to normal variation of underlying non-specific enteritis.
- There is no evidence of mechanical ileus.
4. Colon contents from recent bowel movement and/or underlying non-specific colitis.  </t>
  </si>
  <si>
    <t>Consider respiratory PCR panel, airway sampling, and fecal analysis/deworming for further evaluation.  Consider GI panel and routine blood work for further evaluation.  Monitoring with repeat abdominal radiographs after 8-12 hours of fasting to monitor for passage of gastric material, including a left lateral image.  Empirical therapy and supportive care in the interim as needed.  Monitoring as directed or sooner if clinical signs acutely change, fail to improve or worsen in the face of empirical therapy.  .</t>
  </si>
  <si>
    <t>Three radiographs of the abdomen/proximal pelvic limbs are provided. Images dated 7/30/22 are available for comparison. There is no abdominal effusion. The liver is upper normal size. Normal-sized spleen and kidneys. The gastrointestinal tract is mildly filled. No radiopaque cystic calculi. Punctate mineral density overlies the L4-5 intervertebral foramen, and the T13-L1 intervertebral disc space is narrowed. The coxofemoral joints are congruent. Pelvic limb musculature is symmetric. Patella location is normal. There is no right stifle effusion. Left stifle evaluation is limited by superimposed extra-abdominal tissue. There is no fracture, subluxation, or pelvic limb degenerative change.</t>
  </si>
  <si>
    <t>The appearance of T13-L1 and L4-5 are both suggestive of a protruding/extruded intervertebral disc, and could be responsible for the clinical signs. No pelvic limb abnormalities are appreciated on this study. Soft tissue sprain/strain remains possible. The abdomen is normal.</t>
  </si>
  <si>
    <t>Recommend palpate for spinal discomfort and a neurologic examination. This patient may benefit from weight management as needed and anti-inflammatories.</t>
  </si>
  <si>
    <t>A lateral radiograph of the thorax, and three views of the abdomen are provided. Large volume of formed feces fills the distal colon. The fecal column is not angular/desiccated, but does occupy the majority of the pelvic canal. Small bowel are minimally filled. Small volume gas in the stomach. Normal rugal folds are visible. There is no radiopaque gastrointestinal foreign material. Normal-sized liver, kidney, spleen. No radiopaque urolithiasis. Moderate osteoarthritis and subluxation in both coxofemoral joints. In the thorax there is a mild mixed bronchointerstitial pattern throughout the lungs. Small area of more pronounced increased opacity overlying caudoventral heart, although there is a superimposed skin fold at this level. No soft tissue pulmonary nodules or pleural effusion. No esophageal dilation. Adequate tracheal diameter.</t>
  </si>
  <si>
    <t>1. Normal abdomen. Gastroenterocolitis is most likely. There is no evidence of gastric or small intestinal obstruction. The fecal column does not appear desiccated, however is relatively large for this patient and mild constipation may be present._x000D_
2. The appearance of the caudoventral lungs is most likely due to superimposed skin fold. Aspiration pneumonia would be suspected if the patient were coughing, febrile, or had abnormal lung auscultation. Bronchointerstitial pattern in the remaining lungs is likely normal age change and/or due to chronic airway inflammation. In the absence of a chronic cough, significance is doubtful.</t>
  </si>
  <si>
    <t>If the patient does not rapidly improve with supportive care, fasted abdominal ultrasound would be recommended.</t>
  </si>
  <si>
    <t>Ten radiographs are provided, with images of the thorax/abdomen and thoracic limbs. The cardiac silhouette and pulmonary vessels are normal size. There is no pleural fluid or gas. The diaphragm is intact. No rib fractures. Normal thymus is visible on the VD projections. Adequate tracheal diameter. Vertebral alignment is normal. No vertebral fracture or subluxation is appreciated. No narrowed intervertebral disc spaces. Normal caudal skull. Scapular contour is normal. The glenohumeral, cubital, and carpal joints are congruent. Physes are age appropriate. No metacarpal or phalangeal osseous abnormalities. The appearance of mild soft tissue thickening surrounding the right 3rd and 4th digits may be due to positioning. There is no emphysema or radiopaque foreign material. In the abdomen serosal detail is adequate for the young age of this patient. The gastrointestinal tract is mildly filled. There is a smoothly ovoid 0.8 x 0.5 cm mineral density in a loop of bowel, of doubtful clinical significance today. No organomegaly. Normal lumbar spine.</t>
  </si>
  <si>
    <t>Questionable right thoracic limb digits three and four soft tissue swelling versus positional artifact. Otherwise no thoracic limb abnormalities are identified to explain the clinical signs. Soft tissue sprain/strain or occult physeal insult should be considered. Intervertebral disc protrusion/extrusion is next on the differential list. The thorax and abdomen are normal.</t>
  </si>
  <si>
    <t>If the patient does not improve with supportive care and develops neurologic deficits, consultation with a neurologist would be recommended.</t>
  </si>
  <si>
    <t>Opposite lateral and VD views of the thorax and abdomen are provided for interpretation. This study is compared to the previous dated 9-1-22._x000D_
_x000D_
There is a moderate to severe bronchial pattern, which has progressed significantly relative to the previous radiographs. The lung pattern also has a miliary interstitial component, with many tiny ill defined nodular shadows. Pleural markings are slightly increased. The cardiovascular structures are within normal limits. The heart is at the upper end of normal range. No tracheal abnormalities are seen._x000D_
_x000D_
A small linear mineral opacity is identified in the caudal dorsal liver on midline, likely representing mineralization in the bile duct. This was also present in previous radiographs. The liver is at the upper end of normal range. At the upper end of normal range. The other organs are within normal limits. No mass lesions or loss of detail are seen in the abdomen.</t>
  </si>
  <si>
    <t>The bronchial pattern has progressed significantly relative to previous radiographs. There is also a miliary interstitial component that is more prominent in what was seen previously._x000D_
These changes are most compatible with progression of chronic bronchitis with plugging of distal airways and formation of small granulomas. Primary rule outs include parasitic infection such as lungworms or heartworm disease, immune mediated disease such as eosinophilic bronchopneumonpathy, idiopathic or allergic chronic bronchitis, or less likely infectious bronchitis or fungal pneumonia._x000D_
_x000D_
Focal mineralization in the area of the bile duct is unlikely to be clinically significant. Liver and spleen size is borderline, also not expected to be clinically significant in the absence of more specific clinical signs.</t>
  </si>
  <si>
    <t>CBC, heartworm testing, and Baermann fecal exam for lungworms is recommended._x000D_
Sampling from the lower airways via BAL/TTW or bronchoscopy should be considered to assist definitive diagnosis of the lung disease._x000D_
Symptomatic therapy for the cough is recommended.</t>
  </si>
  <si>
    <t>A three view study of the abdomen is provided for interpretation._x000D_
_x000D_
The liver is at the small end of acceptable size range. The margins appear smooth. The spleen is prominent but within normal limits. No foreign bodies are identified in the GI tract. No dilation the stomach or intestine is seen. Rugal folds in the stomach are slightly prominent. Serosal detail in the abdomen is normal. No mass lesions are seen.</t>
  </si>
  <si>
    <t>No significant anatomic abnormalities are identified. There are no visible foreign bodies or obstructive pattern._x000D_
_x000D_
Pancreatitis or gastroenteritis would be the primary differentials.</t>
  </si>
  <si>
    <t>Orthogonal radiographs of the abdomen are provided. There is no peritoneal or retroperitoneal effusion. There is gas and small volume fluid in the colon. Small volume gas in the stomach. Small bowel are minimally distended. No radiopaque foreign material. Normal-sized liver, spleen, left kidney. The right kidney is obscured. The urinary bladder is minimally filled and soft tissue opaque. The caudal thorax is normal.</t>
  </si>
  <si>
    <t>Diarrhea. Otherwise normal abdomen. A reason for the gastrointestinal signs is not identified. Gastroenteritis is most likely. There is no evidence of an obstructive process.</t>
  </si>
  <si>
    <t>A CBC, blood chemistry profile, fecal examination, and supportive care are recommended.</t>
  </si>
  <si>
    <t>5 images of the abdomen are provided for review.  Serosal detail is adequate in all quadrants.  The stomach contains a small amount of gas and the rugal folds are prominent.  The small intestines are normal in size.  Gas and feces are present in the colon.  The urinary bladder is small.  The remaining abdominal organs are normal.</t>
  </si>
  <si>
    <t>Two views of the abdomen are provided for review.  Serosal detail is adequate in all quadrants.  The stomach contains a small amount of gas and the rugal folds are prominent.  The small intestines are mildly variable in diameter but remain normal in size.  A rounded mineral structure is present within the right caudal abdomen apparently within the small intestine gas and feces are present in the colon.  The urinary bladder is small.  The remaining abdominal organs are normal.</t>
  </si>
  <si>
    <t>Prominent rugal folds suggestive of gastritis.  Intestinal mineral foreign body consistent with rock ingestion.  Localization within the small intestine and possibly near the ileocolic junction is likely based on the location.  This does not appear to have passed into the colon.</t>
  </si>
  <si>
    <t>Based on the size of the structure, passage through the ileocolic junction is considered unlikely in abdominal exploratory may be necessary.</t>
  </si>
  <si>
    <t xml:space="preserve">Patient Name : Moose Hammond, Date of study: Jul 5, 2024
4 images are provided for review
There are no previous radiographs for comparison.
Liver: The liver is subjectively normal in size.
Spleen: The spleen is normal in size with smooth margins and homogeneous soft tissue.
Kidneys: The kidneys are obscured without obvious renomegaly or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admixed with gas.  Gas is in the pylorus and descending duodenum in the left lateral image.  The stomach is within normal limits for size.  
The small intestine contains moderate gas with a subjectively uniform population for size. 
The colon contains mild to moderate well-defined soft tissue material and gas.
Musculoskeletal: The included musculoskeletal structures are normal.
</t>
  </si>
  <si>
    <t xml:space="preserve">1. Gastric material due to recent meal, versus gastritis/delayed gastric emptying.
- This does not rule out gastric foreign material, such as possible cloth material.
- There is no current evidence of pyloric outflow tract obstruction.
2. Non-specific small intestinal appearance such as from enteritis versus aerophagia/stress or variation of normal.
- If present, enteritis may be due to dietary indiscretion, toxin ingestion, inflammatory bowel disease, diet/antibiotic responsive disease, parasitism, or less likely occult systemic disease.  
</t>
  </si>
  <si>
    <t>Consider GI panel, fecal analysis/deworming, and routine blood work for further evaluation. Monitoring with repeat abdominal radiographs after 8-12 hours of fasting to monitor for passage of the gastric material.  Thoracic radiographs for further evaluation of reported coughing.  Empirical therapy and supportive care in the interim as needed.  Monitoring as directed or sooner if clinical signs acutely change, fail to improve or worsen.</t>
  </si>
  <si>
    <t>7 images of the thorax and abdomen are provided for review and compared with images dated 6/25/2024.  The cardiovascular structures are normal.  There is a moderate bronchial pattern in all lung lobes.  Previous alveolar infiltrates have resolved.  The mediastinal and pleural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</si>
  <si>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Radiographically normal abdomen.  Moderate bronchial pulmonary pattern=ZZ90= consider resolving bronchopneumonia most likely in this patient.</t>
  </si>
  <si>
    <t xml:space="preserve">Patient Name : Bub Soukup, Date of study: Jul 5, 2024
15 images are provided for review
Additional images dated the same day are also available (2703561).
Ungloved human digits primary beam.
Pulmonary parenchyma: A minimal to mild diffuse interstitial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slightly decreased diffusely, without obvious fluid striations. 
Gastrointestinal tract: The stomach contains a mild to moderate volume of heterogeneous soft tissue material and gas.
The small intestine contains mild gas and fluid or is empty with a subjectively uniform population for size. 
The colon contains mild to moderate gas or is empty.  The colon is subjectively normal in size.  
Bones/Joints:  Orientation of the left thoracic limb 2nd digit at the proximal interphalangeal joint due to positioning versus subluxation is only identified in the dorsopalmar image.  No obvious fractures of the included long bones are identified.  Numerous open physes and small cuboidal bones are present, consistent with patient age.  The included portion of the head is subjectively normal, with some ill-defined lucent sutures superimposed over the calvarial vault, but no obvious fractures.  
Soft tissues:  No obvious soft tissue enlargement is identified.  
</t>
  </si>
  <si>
    <t>1. Minimal to mild diffuse interstitial pulmonary pattern such as from artifact, hypoinflation, or unlikely minimal contusion or unlikely other.
2. Mild decreased peritoneal detail due to patients young age/variation of normal and/or minimal peritoneal fluid such as from hemorrhage/trauma versus other.
3. No obvious head fractures.
4. Presumed positioning artifact of left thoracic limb 4th digit or unlikely subluxation injury/other.
5. No evidence pelvic limb fractures.
6. Moderate heterogeneous gastric material due to recent meal and/or gastritis/delayed gastric emptying, or unlikely pyloric outflow tract obstruction, or other.</t>
  </si>
  <si>
    <t>If patient is experiencing signs of myelopathy/spinal injury, consult with neurologist and consider MRI/computed tomography.  If patient id demonstrating signs of lameness, radiographs collimated over region of interest with orthogonal views, and comparison images of the contralateral limb region for further evaluation, especially for a subtle injury in a patient of this age. Empirical therapy and supportive care in the interim as needed. Repeat abdominal radiographs after 8-12 hours of fasting/supportive care to monitor for passage of gastric material.    Monitoring as directed, or sooner if clinical signs acutely change, fail to improve or worsen.</t>
  </si>
  <si>
    <t xml:space="preserve">
1.Abdominal detail is normal._x000D_
2.On the lateral projection, liver size is at the upper limits of normal to mildly enlarged. The liver has smooth rounded ventral borders._x000D_
3.The spleen is normal._x000D_
4.The stomach contains an increased amount of gas, with prominent rugal folds._x000D_
5.The small intestines are mildly dilated, with a mixture of gas and fluid._x000D_
6.There is poorly formed feces in the ascending, transverse and descending colon.</t>
  </si>
  <si>
    <t>Mild hepatomegaly: This is most likely consistent with fat deposition vs. vacuolar change vs. hepatic venous congestion vs. hepatitis. Infiltrative neoplasia is considered less likely. Gas filled GI tract is likely due to aerophagia. No small intestinal obstruction is noted.</t>
  </si>
  <si>
    <t xml:space="preserve">
Virtual Radiologist Case Difficulty: MODERATE_x000D_
Virtual Radiologist Confidence: MODERATE_x000D_
Full blood work, and possible abdominal ultrasound to further evaluate hepatomegaly if confirmed.</t>
  </si>
  <si>
    <t>5 images of the abdomen are provided for review.  Serosal detail is adequate in all quadrants.  The stomach contains a small amount of gas and the rugal folds are prominent.  The small intestines are normal in size.  Gas is present in the colon.  The urinary bladder is small.  The remaining abdominal organs are normal.</t>
  </si>
  <si>
    <t xml:space="preserve">
1.On the lateral projection, the liver is at the lower limits of normal to slightly small._x000D_
2.On the lateral projection, the spleen is mildly enlarged._x000D_
3.Detail in the abdomen is normal._x000D_
4.The stomach is minimally distended._x000D_
5.The small intestine is mostly gas filled but uniform in diameter.</t>
  </si>
  <si>
    <t>Liver size at the lower limits of normal to mild microhepatia. This could represent a normal variant in this patient, chronic liver disease or associated with microvascular dysplasia or less likely, a congenital portosystemic shunt. Mild splenomegaly on the lateral projection. DDx: sedation vs. lymphoid hyperplasia vs. extramedullary hematopoiesis vs. splenic congestion. Infiltrative neoplasia is considered less likely but not ruled out.</t>
  </si>
  <si>
    <t xml:space="preserve">
Virtual Radiologist Case Difficulty: MODERATE_x000D_
Virtual Radiologist Confidence: MODERATE_x000D_
Correlation of radiographic finding with lab work would be suggested. Abdominal ultrasound or triphase CT portography to further assess the portal vasculature if there is clinical and/or biochemical concern for a portosystemic shunt.</t>
  </si>
  <si>
    <t>Three orthogonal thoracic radiographs dated 4th July 2024 are available for review. There are no previous radiographs available for comparison. _x000D_
_x000D_
Airway findings: A smoothly marginated soft tissue opacity is variably present overlying the dorsal aspect of the trachea at the thoracic inlet. This opacity reduces approximately 100 % of the dorsoventral diameter of the trachea. The intrathoracic trachea is normal. The tracheal bifurcation is widened. Throughout the lung parenchyma there is a mild to moderate interstitial opacification._x000D_
_x000D_
Cardiovascular findings: There is a moderate sized smoothly marginated soft tissue opacity contiguous with the caudal dorsal border of the cardiac silhouette. A soft tissue opacity is superimposed on the caudal cardiac silhouette in the dorsoventral image.  The overall cardiac silhouette is still mildly enlarged. There is mild increased cardiac sternal contact. The pulmonary vessels as well as the mainstem vasculature are normal._x000D_
_x000D_
Mediastinum and pleural space: There is increased ventral pleural, cranial mediastinal and pericardial fat._x000D_
_x000D_
Musculoskeletal findings: The patient is morbidly obese._x000D_
_x000D_
Included abdomen: There is hepatomegaly with rounded borders.</t>
  </si>
  <si>
    <t>1. The dorsal attenuation of the trachea is consistent with severe tracheomalacia causing near complete respiratory obstruction. _x000D_
2. Left atrial dilation with mild left-sided cardiomegaly: This is most likely due to mixoid degeneration of the mitral valve. The evidence for cardiac insufficiency is equivocal._x000D_
3. The diffuse interstitial opacification is at least partially due to body habitus. Pulmonary oedema, either due to upper respiratory obstruction (tracheomalacia) or early cardiac insufficiency is also likely present._x000D_
4. The hepatomegaly is most likely due to vacuolar hepatopathy, or underlying endocrine disease.</t>
  </si>
  <si>
    <t>Intensive medical management for tracheomalacia and a surgical consultation for tracheomalacia is advised._x000D_
Obesity predisposes for airway collapse, and reduction of thoracic volume (pickwickian syndrome), reducing pulmonary clearance, therefore weight management is necessary._x000D_
Radiography is insensitive for early cardiac insufficiency, therefore ECG, blood pressure measurements, and echocardiography are advised for further evaluation, or baseline measurements.</t>
  </si>
  <si>
    <t xml:space="preserve">
1.On the lateral projection, mild hepatomegaly with a smooth margin is present._x000D_
2.On the lateral projection, abdominal detail, particularly caudal to the stomach, is mildly decreased._x000D_
3.On the lateral projection, there is increased soft tissue opacity in the region of the spleen._x000D_
4.On the lateral projection, the small bowel is diffusely gas- and/or fluid-filled. No segmental small bowel dilation is noted._x000D_
5.On the lateral projection, a portion of the cecum and/or colon is gas-filled and has a rigid appearance.</t>
  </si>
  <si>
    <t>Mild hepatomegaly. Fat deposition is the top differential. Hepatitis, vacuolar change or hepatic venous congestion are next on the differential list. Early infiltrative neoplasia cannot be ruled out in an older dog. This should be correlated with clinical signs and blood work. Fluid- and gas-filled GI tract. DDx: normal post-prandial GI vs. enteritis. Rigid appearance to portions of the colon. If diarrhea is present, colitis becomes a  consideration. Decrease cranial abdominal detail on the lateral projection. DDx: secondary to confluence of soft tissue structures, including caudal extension of the liver vs. less suspected, low grade inflammation. Increase in soft tissue opacity in the splenic region on the lateral projection. DDx: confluence of soft tissue structures is suspected. True splenomegaly is a secondary consideration.</t>
  </si>
  <si>
    <t xml:space="preserve">
Virtual Radiologist Case Difficulty: MODERATE_x000D_
Virtual Radiologist Confidence: MODERATE_x000D_
Blood work to further assess the liver. Liver function testing and/or abdominal ultrasound if hepatopathy is present._x000D_
Empirical therapy for enteritis and/or colitis as clinically warranted.</t>
  </si>
  <si>
    <t xml:space="preserve">Patient Name : Elsa Garcia, Date of study: Jul 3, 2024
8 images are provided for review
Canine Abdomen (4 Images) - 3 Lateral, 1 Vd
Canine Thorax (4 Images) - 3 Lateral, 1 Vd
There are no previous radiographs for comparison.
Bones/Joints:
Spondylosis deformans is at C3-4, C5-6, T4-5, T5-6T12-13, T13-L1, L1-2, L4-5, and L5-6.  The C3-4, C5-6, T11-12, T12-13,T13-L1, L1-2, L3-4, L4-5, and L5-6 intervertebral disc spaces are narrowed.  This is most severe at L1-2.  The L1-2 endplates are sclerotic and well-defined.  There is no evidence of mineral over the intervertebral foramina.  
Mild right and moderate left coxofemoral joint osteoarthrosis is present.  
There is no evidence of medullary sclerosis, osteolysis, endosteal scalloping, or periosteal proliferation.
Soft tissues:  The left gluteal and thigh and crural soft tissues are small compared to the right.  The inguinal soft tissues are enlarged and rounded in the lateral image, consistent with reported history.  The remaining included soft tissues are normal.
</t>
  </si>
  <si>
    <t>1. Multifocal cervical and thoracolumbar intervertebral disc disease as above, subjectively most severe at L1-2.
2. Mild-moderate bilateral coxofemoral joint osteoarthrosis, more severe on the left.
3. Left thigh and crural soft tissue atrophy such as from disuse or neurogenic atrophy, or a combination of these.</t>
  </si>
  <si>
    <t>Consider computed tomography for further evaluation of the reported inguinal mass as well as incisional/excisional biopsy for a definitive diagnosis.  Oncologist consultation depending on results.  Consider neurologist consultation and MRI for further evaluation of the reported clinical signs of pain. Routine blood work and thoracic imaging to screen for occult systemic disease.  Empirical therapy and supportive care in the interim as needed.  Monitoring as directed, or sooner if clinical signs acutely change, fail to improve or worsen.</t>
  </si>
  <si>
    <t xml:space="preserve">
Virtual Radiologist Case Difficulty: LOW_x000D_
Virtual Radiologist Confidence: HIGH_x000D_
Further evaluation of the abdomen via ultrasound as clinically and/or warranted by the bloodwork. Pancreatic testing may also be warranted depending on the history and given the above findings.</t>
  </si>
  <si>
    <t>Thorax: There is moderate left-sided and mild right-sided cardiomegaly.  There is no evidence of cardiac pulmonary edema.  On the right lateral view there appears to be collapse of the mainstem bronchi.  The pulmonary parenchyma and pulmonary vasculature are unremarkable.  There is no evidence of pleural effusion or lymphadenopathy._x000D_
_x000D_
Abdomen: There is mild diffuse hepatomegaly.  The remainder of the abdominal viscera is unremarkable.  Serosal detail is normal.</t>
  </si>
  <si>
    <t>Moderate left-sided and mild right-sided cardiomegaly without evidence of decompensation._x000D_
_x000D_
Suspect dynamic collapsing mainstem bronchi._x000D_
_x000D_
Diffuse hepatomegaly.  Differential considerations include a hepatopathy, hepatitis, or possible congestion.</t>
  </si>
  <si>
    <t>Three orthogonal radiographs of the abdomen dated 3rd July 2024 are available for review. There are no previous radiographs available for comparison. _x000D_
_x000D_
Intra-abdominal findings: The stomach is mainly empty, with a normal axis. The duodenum is poorly visible. The small intestines are variably filled with gas, fluid and soft tissue opaque material. The caecum is mildly gas dilated. The transverse colon contains an increased amount of gas. The descending colon contains an increased amount of formed faeces. The urinary bladder is small. The tail of the spleen is mildly prominent. The hepatic silhouette is normal. Dragon kidney_x000D_
_x000D_
Extra-abdominal findings: No significant abnormalities are detected._x000D_
_x000D_
Included thorax: No significant abnormalities are detected.</t>
  </si>
  <si>
    <t>1. Relatively unremarkable abdomen. A gastritis may be present. This may be due to dietary indiscretion, or infectious-inflammatory causes. There is no evidence of a mineral opaque foreign body, or complete mechanical obstruction.  A partial obstruction by non-mineral opaque foreign material cannot be excluded.   Pancreatitis cannot be excluded._x000D_
2. The prominent tail of the spleen may be positional, or secondary to sedation. Splenitis, extramedullary hematopoiesis, lymphoid hyperplasia, or neoplasia is unlikely.</t>
  </si>
  <si>
    <t>Study:_x000D_
Spinal radiography: six images dated July 3, 2024_x000D_
_x000D_
Findings:_x000D_
The dens is intact and well defined. The atlantoaxial joint space is normal. There is in situ mineralization of the C7-T1 intervertebral disc. The patient has numerous, breed associated, congenitally anomalous thoracic vertebrae. The associated intervertebral disc spaces are narrowed. There is narrowing of the T 13-S1 intervertebral disc space. There is in situ mineralization of the L1-L2 L5-L6, and L6-L7 intervertebral disc. There is severe lumbosacral spondylosis deformans. The coxofemoral joints are normal. The included thorax and abdomen are unremarkable.</t>
  </si>
  <si>
    <t>There is multifocal in situ degenerative disc disease, evidence of T 13-L1 intervertebral disease and multifocal congenitally anomalous thoracic vertebrae. A compressive myelopathy is likely=ZZ90= however, MRI would be needed to better localize the compressive lesion.</t>
  </si>
  <si>
    <t>A three view study of the thorax and orthogonal abdomen views are provided for interpretation._x000D_
_x000D_
There is marked caudal displacement of the gastric axis and cranial abdominal organomegaly. The appearance is consistent with marked liver enlargement. There is a moderate reduction in serosal detail consistent with free fluid. Spleen margins are indistinct but suspected to be irregular._x000D_
_x000D_
There is moderate heart enlargement, with fairly normal shape of the cardiac silhouette. VHS =12.3. The pulmonary vessels are normal. There are multiple generally small but variably sized soft tissue nodules throughout the lung fields. Thin pleural fissure lines are faintly visible. Mild sternal lymph node enlargement is suspected.</t>
  </si>
  <si>
    <t>There is cranial abdominal organomegaly primarily involving the liver. Irregular spleen contour is also suspected. There is reduced abdominal detail consistent with probable hemorrhage secondary to neoplasia involving the liver and/or spleen._x000D_
The pulmonary changes are consistent with pulmonary metastasis of malignant neoplasia._x000D_
Mild sternal lymph node enlargement is suspected, which is often reactive but could also be associated with metastasis._x000D_
_x000D_
There is cardiomegaly, with relatively normal heart shape. The appearance is not suggestive of pericardial effusion, but this is still a consideration given the other findings that would be compatible with hemangiosarcoma. Dilated Cardiomyopathy or chronic valve disease should also be ruled out.</t>
  </si>
  <si>
    <t>Cranial abdominal neoplasia with secondary abdominal hemorrhage and pulmonary metastasis is the most likely diagnosis. Prognosis is poor._x000D_
Supportive care for the abdominal hemorrhage is recommended.</t>
  </si>
  <si>
    <t xml:space="preserve">
1.The liver is enlarged._x000D_
2.The spleen is mildly enlarged with a focal bulge in the splenic capsular margin._x000D_
3.Within the abdomen, there is reduced abdominal serosal detail._x000D_
4.The gastrointestinal tract is within normal limits._x000D_
5.There is a oval soft tissue opaque mass lesion noted within the mid abdomen.</t>
  </si>
  <si>
    <t>Three radiographs of the thorax/abdomen are provided. The cardiac silhouette and pulmonary vessels are normal size and shape. Small area of increased opacity overlying the mid caudal heart on the right lateral projection is not definitively seen on the other views. This increased opacity is dorsal to a superimposed skin fold. There is no pleural effusion or esophageal dilation. Normal tracheal diameter. In the abdomen there is small volume gas in the stomach. Small bowel are minimally filled. There is small volume gas in the cecum, and moderate volume formed feces in the colon. No radiopaque foreign material. Normal-sized liver, spleen, kidneys. The urinary bladder is minimally filled and soft tissue opaque.</t>
  </si>
  <si>
    <t>1. Suspect mild aspiration pneumonia. Artifact caused by superimposed skin fold is not ruled out._x000D_
2. Normal abdomen. A reason for her vomiting is not identified. Gastroenteritis/pancreatitis is most likely. There is no evidence of an obstructive process.</t>
  </si>
  <si>
    <t>A CBC, blood chemistry profile, testing for pancreatitis, and supportive care are recommended. If clinical signs do not rapidly improve, abdominal ultrasound would be recommended. If the patient is febrile, has elevated white blood cell count, or coughing, antibiotics would be recommended.</t>
  </si>
  <si>
    <t xml:space="preserve">
1.No abnormal AI findings reported._x000D_
2.No abnormal AI findings reported._x000D_
3.The liver and spleen appear within normal limits for size and contour._x000D_
4.The stomach is minimally distended._x000D_
5.The small intestinal tract is gas and fluid filled. No evidence of obstruction._x000D_
6.Resource: https://platform.v2.vetology.net/doc/gi_protectants_1</t>
  </si>
  <si>
    <t>Six radiographs of the thorax/abdomen and pelvic limbs are provided. The cardiac silhouette and pulmonary vessels are normal size and shape. There is no pleural fluid or gas. The diaphragm is intact. No pulmonary parenchymal abnormalities. No rib fractures. Normal thoracic spine. The viewable cervical spine and proximal thoracic limbs are normal. In the abdomen serosal detail is adequate for the young age of this patient. There is large volume soft tissue opaque ingesta in the stomach. Small bowel are mildly filled. The distal descending colon contains a large amount of formed feces. The distal fecal column occupies the majority of the pelvic canal. There are a few small mineral opaque fragments in the colon, likely incidental. No organomegaly. Lumbar vertebral alignment is normal. No narrowed intervertebral disc spaces or pelvic fractures. The coxofemoral joints are congruent. The patellar location is normal. Physes are age-appropriate. There is no soft tissue swelling. Soft tissue opacity overlying the cranial aspect of both stifle joints is normal for the young age of this patient.</t>
  </si>
  <si>
    <t>Possible mild constipation. Otherwise normal thorax, abdomen, pelvic limbs.</t>
  </si>
  <si>
    <t>If the patient shows tenesmus or discomfort with defecation, enema administration would be recommended.</t>
  </si>
  <si>
    <t xml:space="preserve">
1.The liver and spleen are normal size and shape._x000D_
2.No abnormal AI findings reported._x000D_
3.Serosal detail caudal to the stomach is mildly decreased on the lateral projection._x000D_
4.The stomach contains small-volume gas._x000D_
5.Small intestines are mildly filled with fluid and scant gas._x000D_
6.The colon is minimally filled.</t>
  </si>
  <si>
    <t>Study:_x000D_
Thoracic radiography: four images dated July 3, 2024_x000D_
_x000D_
Findings:_x000D_
There is moderate left ventricular and left atrial enlargement. The pulmonary vasculature is normal in size. The pulmonary parenchyma is unremarkable. The pleural space is normal. There is no intrathoracic lymphadenopathy. The trachea is normal in diameter. There is narrowing of the caudal lobar bronchi on the left lateral view timestamped 5:32 PM. The included abdomen is unremarkable. The T 13 vertebra is transitional with bilateral hypoplastic ribs.</t>
  </si>
  <si>
    <t>1. Moderate left-sided cardiomegaly, indicative of mitral valve disease, without evidence of decompensation. Echocardiography should be considered for further evaluation._x000D_
2. Bronchomalacia and dynamic bronchial compression/collapse. Normal diameter of the trachea does not exclude the possibility of concurrent tracheal collapse. Fluoroscopy can be considered for further evaluation.</t>
  </si>
  <si>
    <t>Study:_x000D_
Abdominal radiography: three images dated July 3, 2024_x000D_
_x000D_
Findings:_x000D_
The abdomen is distended with severely reduced peritoneal detail secondary to a large volume of peritoneal effusion. The severity of the effusion limits evaluation of the abdominal viscera. The stomach contains a small volume of gas. The small intestines are segmentally gas filled and normal in size and course. The colon contains formed fecal material. The margins of the liver and spleen are not clearly visualized. There is no overt hepatomegaly or splenomegaly. The renal silhouettes are normal in size and contour. The urinary bladder is not visualized due to summation with the peritoneal effusion. There is moderate bilateral pleural effusion. There is severe lumbosacral spondylosis deformans.</t>
  </si>
  <si>
    <t>Non-specific bicavitary effusion. A cause is not radiographically evident Differentials include infection, inflammation, bile peritonitis and pleuritis, pancreatitis, cardiac disease, neoplasia, hypoproteinemia, coagulopathy and nonneoplastic liver disease.</t>
  </si>
  <si>
    <t>Recommend CBC, serum chemistry, urinalysis, abdominal sonography with abdominocentesis plus/minus echocardiography and coagulation testing for further evaluation.</t>
  </si>
  <si>
    <t>A VD pelvis view, lateral views of both hind limbs, and a lateral thoracoabdominal view are provided for interpretation._x000D_
_x000D_
There is moderate narrowing of the T12-T13 intervertebral disc space._x000D_
_x000D_
There is mild chronic remodeling involving the right hip joint. The left hip is within normal limits._x000D_
A metal clip is present at the lateral aspect of both stifle joints consistent with the history of previous surgery. There is mild periarticular remodeling involving the left stifle. There is mild swelling of the stifle joint capsule. The left tarsus is unremarkable._x000D_
The right stifle has minimal remodeling changes. No joint effusion is seen. The right tarsus is unremarkable._x000D_
_x000D_
The cardiopulmonary structures are within normal limits. No abdominal organ abnormalities are identified.</t>
  </si>
  <si>
    <t>There is mild osteoarthritis involving the right hip joint._x000D_
_x000D_
Mild chronic degenerative changes are present involving the left stifle, not unexpected given the previous history of CCL rupture. No complications associated with the surgery are seen. There is mild swelling or joint capsule. More recent intra-articular injury such as a meniscal tear should be ruled out._x000D_
_x000D_
There is evidence of disc degeneration in the caudal thoracic spine. Relevance of this to the current clinical signs may be limited._x000D_
_x000D_
No thoracic or abdominal abnormalities are identified.</t>
  </si>
  <si>
    <t>Depending on the severity of lameness, surgical exploration of the left stifle may be indicated.</t>
  </si>
  <si>
    <t>Three radiographs of the thorax, and four views of the abdomen are provided. The cardiac silhouette and pulmonary vessels are normal size and shape. There are mild age-related changes in the lungs. No soft tissue pulmonary nodules. Round 0.8 cm mineral density overlying the ventral liver on the lateral views is likely superimposed nipple. This is also likely responsible for the around increased opacity in the lateral aspect of the left 8th intercostal space on the VD view. No pleural effusion. Normal cranial mediastinal width and tracheal diameter._x000D_
_x000D_
In the abdomen there is a small volume mid peritoneal effusion. There is a poorly delineated curved 7.2 x 5.2 cm soft tissue opacity in the mid ventral abdomen on both of the lateral views. There is a loop of small bowel containing gas and stippled soft tissue density overlying this contour. This rounded structure is not seen on the VD projection. The stomach is minimally filled. Small bowel are mild to moderately filled with gas and scant fluid. Small volume formed feces in the colon. Normal-sized liver, spleen, left kidney. The right kidney is obscured. There are two linear wire-like objects measuring 1.7 cm in the mid peritoneal space consistent with incidental chronic migrated gastrointestinal foreign material. The urinary bladder is minimally filled. The prostate is moderately enlarged, consistent with the reproductive status of this patient.</t>
  </si>
  <si>
    <t>1. Mid abdominal mass and mild peritoneal effusion. An intestinal mural mass is most likely. A splenic mass is next on the differential list. The stippled soft tissue density overlying the mass contour is most likely incidental. Foreign material causing an obstructive process is given much lesser consideration._x000D_
2. Normal thorax.</t>
  </si>
  <si>
    <t>Plan for ultrasound is appropriate.</t>
  </si>
  <si>
    <t>Patient Name : Bubba Tripaldi, Date of study: Jul 3, 2024
2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has a slightly reniform shape in the lateral image.  The cardiac silhouette is subjectively widened and rounded in the ventrodorsal image.  
Mediastinum: The cranial mediastinum is normal.
Trachea: The trachea is normal.
Esophagus: The esophagus contains mild gas in the lateral image.
Pleural space: The pleural space is normal.
Liver: The liver is is enlarged and mass-like with a rounded or lobular caudoventral margin that extends past the level of the 13th ribs.  The gastric axis is caudally displaced.  The right and mid-liver are enlarged and mass-like in the ventrodorsal image, with severe leftward stomach displacement.  
Spleen: The spleen is normal in size with smooth margins and homogeneous soft tissue.
Kidneys: The right kidney is mildly small with smooth margins.  The left kidney is subjectively normal.
Retroperitoneum: Retroperitoneal detail is adequate.
Urogenital: The urinary bladder is normal in size, homogeneous soft tissue, and smoothly marginated.
Peritoneum: Peritoneal detail is adequate.
Gastrointestinal tract: The stomach contains a moderate volume of gas.  The stomach is normal in size.
The small intestine contains a moderate volume of gas with a subjectively uniform population for size. A small intestinal segment may contains mild mineral in the right mid-ventral abdomen.
The colon contains moderate gas or is empty.  The colon is normal in size.  
Musculoskeletal: The patient is thin with concave soft tissue between spinous processes.  Multifocal thoracolumbar spondylosis deformans is present.  Moderate bilateral coxofemoral joint osteoarthrosis is present. The remaining included musculoskeletal structures are normal.
(amended on 07/04/2024 08:25)
This examination is compared to prior dated January 13, 2024 and prior.</t>
  </si>
  <si>
    <t>1. Hepatomegaly and suspected right-sided hepatic mass.
- Differential diagnoses include neoplasia such as a primary biliary cystadenoma/carcinoma or hepatocellular carcinoma versus other, or unlikely nodular hyperplasia or other.
2. Equivocal generalized cardiomegaly versus artifact from phase of the cardiopulmonary cycle or patient positioning.
- If present, consider thyrotoxic or hypertrophic cardiomyopathy or unlikely other.
- There is no current evidence of left-sided congestive heart failure.
3. Minimal-mild diffuse bronchial pulmonary pattern due to infectious/immune-mediated lower airway disease (such as from mycoplasma spp., bordetella spp., parasitism such as lung worms, feline asthma, or inhaled allergen/irritant), fibrosis from prior disease, age-related changes, or less likely other.
4. Mild right chronic renal disease.
5. Moderate bilateral coxofemoral joint osteoarthrosis.
6. Thin body condition.
(amended on 07/04/2024 08:25)
The hepatic changes are progressive compared to prior images.</t>
  </si>
  <si>
    <t>Routine blood work, thyroid function testing, urinalysis and SDMA for further evaluation.  Abdominal ultrasonography, coagulation testing and possibly hepatic tissue sampling depending on results. ONcologist consultation depending on results.  Echocardiography, eCG and blood pressure for further evaluation of the heart.  Empirical therapy and supportive care in the interim as needed.  Monitoring as directed or sooner if clinical signs acutely change, fail to improve or worsen.</t>
  </si>
  <si>
    <t xml:space="preserve">
1.Increased soft tissue opacity is noted in the cranial abdomen, caudal to the stomach on the lateral projection. Bowel displacement is present._x000D_
2.Serosal detail within the right cranial abdomen is decreased and bowel is displaced from this region._x000D_
3.There is mild hepatomegaly._x000D_
4.The stomach is mildly distended with gas and fluid and caudally displaced by the hepatomegaly._x000D_
5.The displaced small bowel contains gas and fluid and is normal in diameter.</t>
  </si>
  <si>
    <t>Hepatomegaly. DDx: fat deposition/vacuolar change vs. metabolic hepatopathy vs. hepatitis or in an older patient, consider infiltrative neoplasia. Decreased cranial abdominal detail. DDx includes scant fluid or inflammation such as pancreatitis or enteritis, versus soft tissue mass effect from hepatomegaly or less likely hepatic vs. splenic vs  pancreatic mass. There is moderate fluid and gas distention of the stomach. The degree of dilation of the stomach as well as the lack of significant distention of the small bowel suggests a paralytic or functional ileus such as from an acute pancreatitis or gastroenteritis.</t>
  </si>
  <si>
    <t xml:space="preserve">
Virtual Radiologist Case Difficulty: MODERATE_x000D_
Virtual Radiologist Confidence: MODERATE_x000D_
Further evaluation of the hepatomegaly and mid-abdomen via abdominal ultrasound. Blood work if not already performed._x000D_
Three view thoracic radiographs if an abdominal mass is identified.</t>
  </si>
  <si>
    <t>Study:_x000D_
Abdominal radiography: three images dated July 3, 2024_x000D_
_x000D_
Findings:_x000D_
The stomach contains a small volume of gas. The thickness of the gastric wall is within normal limits for the degree of gastric distention. Some small intestinal segments contain fragmented gas. Some small intestinal segments contain granular soft tissue material presumed to be ingesta. Some of the fragmented gas lucencies have a somewhat paisley shape. The small intestines appear normal in size and course. The colon contains formed fecal material. The liver and spleen are normal in size and margin. The renal silhouettes are normal in size and contour. The urinary bladder is normal in size and opacity. There is no prostatomegaly. The included thorax is normal. The osseous structures are unremarkable.</t>
  </si>
  <si>
    <t>The fragmented gas pattern seen in the small intestines can be an indicator of nonspecific enteritis. While some of the gas lucencies have a somewhat paisley shape, a linear foreign body/intestinal plication is considered less likely. The remainder the abdomen is unremarkable.</t>
  </si>
  <si>
    <t>Abdominal sonography should be considered for further evaluation if clinical signs persist or worsen in spite of ongoing medical management.</t>
  </si>
  <si>
    <t>Study:_x000D_
Abdominal radiography: three images dated July 3, 2024_x000D_
_x000D_
Findings:_x000D_
The abdominal serosal detail is normal. The stomach contains a small volume of gas. The small intestines are normal in size, course and content. The colon contains formed fecal material with a normal diameter. The liver and spleen are normal in size and margin. The kidneys are normal in size and contour. The urinary bladder is normal in size and opacity. There is no uterine dilation. The included thorax is normal. The osseous structures are unremarkable.</t>
  </si>
  <si>
    <t>Unremarkable abdomen. There is no constipation. A cause of the reported anorexia is not evident.</t>
  </si>
  <si>
    <t>Orthogonal radiographs of the thorax, and four views of the abdomen/pelvis are provided. Images dated 9/14/23 were reviewed. The cardiac silhouette and pulmonary vessels are normal size and shape. Mild unstructured interstitial pattern, crisp pleural fissure lines, and pulmonary osteomas is normal for the age of this patient. There is no pleural effusion or soft tissue pulmonary nodules._x000D_
_x000D_
In the abdomen the liver is equivocally prominent as before. Hepatic margins are smooth, and there are punctate mineral densities within the liver consistent with incidental choledocholithiasis. Normal-sized spleen and kidneys. The gastrointestinal tract is mildly filled. No radiopaque urolithiasis. The T13-L1 intervertebral disc space is mildly narrowed on the edge of the 2nd lateral view. No other spinal abnormalities. The right femoral head has a mottled appearance on the VD projection, not seen on the previous study. There is mild degenerative change in both coxofemoral joints. No definitive stifle joint abnormalities, although stifle joint evaluation is limited by superimposed tissue.</t>
  </si>
  <si>
    <t>1. The appearance of the right femoral head is concerning for neoplasia. This may be artifact caused by superimposed acetabular remodeling. There is bilateral coxofemoral osteoarthritis, likely contributing to discomfort. _x000D_
2. The appearance of T13-L1 is suggestive of intervertebral disc disease. This may be contributing to the clinical signs._x000D_
3. Equivocal prominent liver as before, consider normal variant, hepatopathy, or least likely neoplasia. No other intra-abdominal abnormalities._x000D_
4. Normal thorax.</t>
  </si>
  <si>
    <t>With the severity of clinical signs, recommend deciding between proceeding with advanced spinal/pelvic limb imaging (CT/MRI), versus humane euthanasia.</t>
  </si>
  <si>
    <t>Opposite lateral and VD views of the thorax and abdomen are provided for interpretation. This study is compared to the previous radiograph dated 3-1-24._x000D_
_x000D_
There is moderate left sided heart enlargement. The appearance is similar to the previous radiographs. There is a mild bronchial pattern which is slightly more prominent than the appearance in the previous study. No alveolar infiltrates or pleural abnormalities are identified. There is minimal narrowing of the caudal cervical trachea. This appearance is significantly less prominent than what was seen in previous radiographs. No laryngeal abnormalities are identified. There is a small opacity in the ventral neck region that appears to be a small dermal nodule._x000D_
_x000D_
The liver is mildly enlarged. This has progressed mildly relative to the previous radiographs. The spleen is within normal size limits overall, but the spleen margins appear slightly lobular. The other abdominal organs are within normal limits._x000D_
_x000D_
There is a soft tissue mass at the left side of the prepuce. No inguinal lymphadenopathy is seen.</t>
  </si>
  <si>
    <t>There is moderate left heart enlargement which is fairly similar to the previous radiographs. No evidence of heart failure is identified._x000D_
There is a mild bronchial pattern. This is slight more prominent than what was seen previously, but still within the limits of what might be seen as age related change considering the advanced age of the patient. Low-grade bronchitis cannot be excluded._x000D_
_x000D_
No evidence of tracheal collapse is seen in the current radiographs, but considering this was seen previously collapsing trachea is still a likely explanation for the coughing._x000D_
_x000D_
Liver size has increased slightly relative to the previous radiographs. The liver is mildly enlarged. There is subtle alteration of the contour the spleen. Clinical significance of these mild changes is unknown. However, follow up imaging such as ultrasound should be considered._x000D_
There is a large mass in the area of the prepuce that would be compatible most compatible with neoplasia. Granuloma or abscess would be less likely differentials.</t>
  </si>
  <si>
    <t>Symptomatic therapy for the cough is recommended._x000D_
_x000D_
Ultrasound of the abdomen for more definitive evaluation of the liver and spleen should be considered.</t>
  </si>
  <si>
    <t>Study:_x000D_
Abdominal radiography: three images dated July 3, 2024_x000D_
_x000D_
Findings:_x000D_
The stomach and small intestines contain unstructured heterogeneous/granular soft tissue material. The small intestines are normal in size and course. The colon contains formed fecal material and gas with a normal diameter. The liver and spleen are normal in size and margin. The renal silhouettes are normal in size and contour. The urinary bladder is normal in size and opacity. Suture foci are present caudal to each kidney, situated between the descending colon and in the mid-ventral abdominal body wall. The included thorax is normal. No skeletal abnormalities are present.</t>
  </si>
  <si>
    <t>Gastrointestinal contents likely represent ingesta. Foreign material cannot be completely excluded. There is no evidence of small intestinal mechanical obstruction. Repeat fasted radiography can be considered to ensure gastrointestinal emptying. Alternatively, sonography can be considered if clinical signs persist or worsen in spite of medical management.</t>
  </si>
  <si>
    <t xml:space="preserve">
1.In the abdomen there is no effusion._x000D_
2.The liver and spleen are normal size with smooth margins._x000D_
3.No abnormal AI findings reported._x000D_
4.No gastrointestinal abnormalities are appreciated. No signs of obstruction.</t>
  </si>
  <si>
    <t>Study:_x000D_
Abdominal radiography: four images dated July 3, 2024_x000D_
_x000D_
Findings:_x000D_
The serosal detail is adequate. The stomach is empty. The small intestines are normal in size, course and content. The colon contains formed fecal material. The liver and spleen are normal in size and margin. The renal silhouettes are normal in size and contour. The urinary bladder is normal in size and opacity. The included thorax is normal. There is mild L2-L3 and L7-S1 spondylosis deformans.</t>
  </si>
  <si>
    <t xml:space="preserve">Patient Name : chance koeler, Date of study: Jul 3, 2024
3 images are provided for review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normal in size and shape.
Mediastinum: In the lateral images, ill-defined increased soft tissue is suspected over the cranial mediastinum.  This is best identified as convex soft tissue dorsal to the 2nd sternebra.  This may correspond to slightly left-sided increased mediastinal soft tissue in the ventrodorsal image.  
Trachea: The trachea is normal.
Esophagus: The esophagus is contains minimal gas or is empty.
Pleural space: The pleural space is normal.
Musculoskeletal: The included musculoskeletal structures are normal.
</t>
  </si>
  <si>
    <t>1. Suspected cranial mediastinal increased soft tissue versus artifact from superimposed normal structures.
- Differential diagnoses include lymphadenomegaly such as from reactive hyperplasia, multicentric/metastatic neoplasia versus primary neoplasia such as thymoma or other.
2. Mild diffuse bronchial pulmonary pattern due to fibrosis from prior disease, age-related changes, or less likely infectious/immune-mediated lower airway disease or unlikely other.</t>
  </si>
  <si>
    <t>Consider computed tomography of the thorax for further evaluation of the cranial mediastinal soft tissue.  Abdominal imaging with radiographs versus computed tomography to screen for occult systemic disease.  If cranial mediastinal lymph node or nodule/mass is identified, consider coagulation testing and tissue sampling. ONcologist consultation depending on results.  Empirical therapy and supportive care in the interim as needed.  Monitoring as directed, or sooner if clinical signs acutely change, fail to improve or worsen.</t>
  </si>
  <si>
    <t xml:space="preserve">
1.A soft tissue mass in the splenic region has been identified. This could represent confluence of a single cranial abdominal mass vs. two separate masses affecting the liver and spleen._x000D_
2.Abdominal detail is decreased, particularly in the cranial abdomen. DDx: soft tissue mass only vs. mass and mesenteric inflammation and/or regional abdominal fluid._x000D_
3.A soft tissue mass is identified in the cranial abdomen. The liver is enlarged and mass-like, with caudal displacement of the gastric axis._x000D_
4.The abdomen is mildly pendulous._x000D_
5.The stomach is displaced by the cranial abdominal mass or infrequently, the cranial abdominal mass could represent a severely distended stomach._x000D_
6.The intestinal tract is displaced by the cranial abdominal mass. The displaced bowel is diffusely gas- and fluid-filled but no segmental bowel dilation is noted.</t>
  </si>
  <si>
    <t>Three radiographs of the thorax, and three views of the abdomen are provided. There is prominence of the left atrium. Cardiac to thoracic ratio and pulmonary vessel size is normal. The lungs are clear. No soft tissue pulmonary nodules, pleural effusion, or enlarged intrathoracic lymph nodes._x000D_
_x000D_
In the abdomen the liver is mildly enlarged with rounded margins. Normal-sized spleen and kidneys. The gastrointestinal tract is mildly filled. No radiopaque cystic calculi. The right patella is mildly medially displaced.</t>
  </si>
  <si>
    <t>1. Prominent left atrium consistent with acquired mitral valve disease. There is no pulmonary venous congestion or heart failure. This is of doubtful clinical significance today. Otherwise normal thorax._x000D_
2. Mild hepatomegaly, a nonspecific finding that may be steroid or other hepatopathy, acute inflammation, or neoplasia. There is no other supportive evidence of neoplasia on this study. No other abdominal abnormalities.</t>
  </si>
  <si>
    <t xml:space="preserve">
1.There is a oval soft tissue opaque mass lesion noted within the mid abdomen._x000D_
2.The gastrointestinal tract is within normal limits._x000D_
3.The liver is enlarged._x000D_
4.Within the abdomen, there is reduced abdominal serosal detail._x000D_
5.The spleen is mildly enlarged with a focal bulge in the splenic capsular margin.</t>
  </si>
  <si>
    <t>Study:_x000D_
Abdominal radiography: four images dated July 3, 2024_x000D_
_x000D_
Findings:_x000D_
There is decreased mid abdominal detail. The stomach is mildly gas and fluid distended. The pylorus is appropriately gas-filled on the left lateral image. There are two populations of small bowel with associated stacking and hairpin turns. Some small intestinal segments are gas and fluid distended. Other loops of bowel are normal in diameter. On the left lateral projection, there is an indistinct 2.8 cm mineral opaque structure in a gas distended loops a small bowel in the caudal ventral abdomen. There is a small volume of gas in the colon. The liver and spleen are normal in size and margin. The renal silhouettes are normal in size and contour. The urinary bladder is normal in size and opacity. There is no apparent prostatomegaly. The included thorax is unremarkable. No skeletal abnormalities are present. There is soft tissue swelling and subcutaneous emphysema along the dorsum presumably from subcutaneous fluid administration.</t>
  </si>
  <si>
    <t>1. Enteric foreign body and small intestinal mechanical obstruction. Consider exploratory laparotomy versus in-hospital supportive care with repeat radiography or abdominal sonography to monitor for persistence or resolution of these findings._x000D_
2. The decreased mid abdominal detail may be secondary to visceral crowding, peritonitis and/or peritoneal effusion.</t>
  </si>
  <si>
    <t xml:space="preserve">
1.The liver and spleen are normal size._x000D_
2.No abnormal AI findings reported._x000D_
3.Small intestines are minimally filled._x000D_
4.Small volume ingesta fills the stomach._x000D_
5.Abdominal detail is normal._x000D_
6.Gas and semiformed feces are present in the colon.</t>
  </si>
  <si>
    <t>Study:_x000D_
Abdominal radiography: five images dated July 3, 2024_x000D_
_x000D_
Findings:_x000D_
The stomach contains gas with the pylorus appropriately gas-filled on the left lateral image. The small intestines are normal in size, course and content. The colon contains formed fecal material. The liver and spleen are normal in size and margin. The renal silhouettes are normal in size and contour. The urinary bladder is normal in size and opacity. No mineral opaque calculi present in the bladder or region of the urethra. The prostate is moderately to severely enlarged with smooth margins. The included thorax is normal. The patient has numerous, breed associated, congenitally anomalous thoracic and caudal. There is moderate to severe multifocal thoracolumbar spondylosis deformans.</t>
  </si>
  <si>
    <t>1. Moderate to severe prostatomegaly. Rule out benign prostatic hyperplasia plus/minus prostatitis, prostatic abscess or para-prostatic cyst. Prostatic neoplasia is less likely in the absence of any parenchymal mineralization. Urine culture and abdominal sonography can be considered for further evaluation._x000D_
2. Multifocal congenitally anomalous vertebrae, typical for patient signalment.</t>
  </si>
  <si>
    <t>Study:_x000D_
Thoracic radiography: four images dated July 3, 2024_x000D_
_x000D_
Findings:_x000D_
The cardiac silhouette and pulmonary vasculature are normal in size. The pulmonary parenchyma is unremarkable. The pleural space is normal. There is no intrathoracic lymphadenopathy. The larynx and pharynx are normal. The trachea is normal in diameter and course. The included abdomen is normal. The osseous structures are unremarkable/age appropriate.</t>
  </si>
  <si>
    <t>Normal thorax. There is no radiographic evidence of cardiopulmonary disease. A cause of wheezing is not evident. Infectious respiratory disease PCR testing, airway sampling plus/minus heartworm testing and Baermann fecal flotation can be considered to further evaluate for possible lower airway disease.</t>
  </si>
  <si>
    <t xml:space="preserve">Patient Name : Ralph Charlton, Date of study: Jul 3, 2024
3 images are provided for review
There are no previous radiographs for comparison.  Electronic calipers partially limits evaluation on the submitted image.
Pulmonary parenchyma: A minimal to mild diffuse bronchial pattern is present.  The lungs are hypoinflated.  
Pulmonary vasculature: The pulmonary vasculature is subjectively normal in size and tapers in the periphery of the lungs.
Cardiac silhouette: The cardiac silhouette is moderately tall and occupies greater than 2/3 the height of the thorax.  The caudodorsal margin of the cardiac silhouette is flatted.  Rounded increased soft tissue is present in the region of the left atrium.  The cardiac silhouette is wide and occupies the width of 3.5-4 intercostal spaces.  
Mediastinum: The cranial mediastinum is normal.
Trachea: A soft tissue band partially superimposes over the dorsal aspect of the caudal cervical trachea.  
Esophagus: The esophagus is not well-identified.
Pleural space: The pleural space is normal.
Liver: The liver is enlarged with a rounded caudoventral margin extending past the level of the 13th ribs.  The right liver is rounded, enlarged and mass-like in the ventrodorsal image.  The gastric axis is mildly caudally displaced.  
Spleen: The spleen is normal in size with smooth margins and homogeneous soft tissue.
Kidneys: The left kidney is at the lower limit of normal for size.  The right kidney is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and gas.  A well-defined, moderately sized, rectangular mineral body is in the stomach, and is in the body of the stomach in the ventrodorsal image, and pylorus in the lateral images.  The stomach is within normal limits for size.  
The small intestine contains mild to moderate gas and mild fluid or is empty with a subjectively uniform population for size. 
The colon contains moderate heterogeneous soft tissue material and gas.
Musculoskeletal: The patient is obese.  The remaining included musculoskeletal structures are normal.
</t>
  </si>
  <si>
    <t xml:space="preserve">1. Moderate left-sided cardiomegaly and suspected right-sided cardiomegaly.
- Differential diagnoses include myxomatous mitral valvular disease with/without tricuspid valvular disease or cor pulmonale/pulmonary hypertension, or unlikely other.  
2. Minimal to mild diffuse bronchial pulmonary pattern such as from fibrosis from prior disease, age-related changes, infectious/immune-mediated lower airway disease, inhaled allergen/irritant, or less likely other. 
3. Hepatomegaly and suspected right-sided hepatic mass due to evolving neoplasia (malignant versus benign) or nodular hyperplasia, versus vacuolar change, nodular hyperplasia, hepatitis/cholangiohepatitis,or unlikely other.
4. Gastric mineral foreign material with partially/intermittent outflow tract obstruction and presumed gastritis/delayed gastric emptying.
5. Small intestinal appearance due to passage of ingesta versus enteritis, or unlikely other.
6. Dorsal redundant tracheal membrane with/without dynamic airway disease versus superimposed normal structures 
 </t>
  </si>
  <si>
    <t>Echocardiography, eCG, blood pressure, urinalysis and routine blood work for further evaluation if not recently performed.  Consider abdominal ultrasonography for further evaluation of the liver and gastrointestinal tract.  Consider tissue sampling if a hepatic mass is confirmed.  Consider gastroscopy versus monitoring gastric materials passage with serial radiographs.  Empirical therapy and supportive care in the interim as needed.  Monitoring as directed, or sooner if clinical signs acutely change, fail to improve or worsen.</t>
  </si>
  <si>
    <t xml:space="preserve">
1.Abdominal detail is decreased which may be secondary to organ crowding and/or abdominal fluid._x000D_
2.The ventral abdominal line is pendulous._x000D_
3.The colon is normal._x000D_
4.The stomach is caudally displaced by the hepatomegaly. No dilation of the stomach or small intestine is identified._x000D_
5.The liver is enlarged with asymmetric enlargement on the VD projection._x000D_
6.There is increased soft tissue opacity in the splenic region. This may be secondary to splenomegaly, a splenic mass or caudal extension of the liver into the splenic region.</t>
  </si>
  <si>
    <t>Three radiographs of the thorax and three views of the abdomen are provided. The cardiac silhouette and pulmonary vessels are normal size and shape. There are no abnormalities in the pulmonary parenchyma. Scant gas in the esophagus is transient and incidental. Normal tracheal diameter._x000D_
_x000D_
In the abdomen there is mild reduced cranial abdominal detail. Small volume gas in the stomach. Undulating soft tissue density overlying the stomach on the right lateral view may represent normal rugal folds. Small bowel are minimally distended. The cecum is gas filled. Small volume gas and semi-formed feces in the colon. Normal-sized liver, spleen, kidneys. Mild degenerative change in the left coxofemoral joint.</t>
  </si>
  <si>
    <t>Reduced cranial abdominal detail may be due to scant effusion versus inflammation. Gastroenteritis/pancreatitis is suspected. There is no definitive evidence of an obstructive process. The appearance of the stomach is most likely normal rugal folds. Small radiolucent gastric foreign material is not definitively ruled out. The thorax is normal.</t>
  </si>
  <si>
    <t>A CBC, blood chemistry profile, and supportive care are recommended. Depending on lab work results and if the patient does not rapidly improve, abdominal ultrasound would be recommended.</t>
  </si>
  <si>
    <t>Six radiographs of the abdomen are provided. There is no peritoneal or retroperitoneal effusion. There is gas and small volume fluid in the colon. Small intestines are mildly gas filled. Small volume gas in the stomach. There is no radiopaque gastrointestinal foreign material. The kidneys, spleen, and liver are normal size and shape. The caudal thorax is normal.</t>
  </si>
  <si>
    <t>Liquid diarrhea. Gastroenteritis/colitis is most likely. There is no evidence of an obstructive process.</t>
  </si>
  <si>
    <t>Recommend a CBC, blood chemistry profile, fecal exam, and supportive care. If the patient does not rapidly improve, abdominal ultrasound would be recommended.</t>
  </si>
  <si>
    <t xml:space="preserve">
1.The GI tract contains regions of gas and fluid but no segmental bowel dilation is noted._x000D_
2.No abnormal AI findings reported._x000D_
3.On the lateral projection, the liver is mildly enlarged with rounded margins. The ventral abdominal line is pendulous._x000D_
4.Splenic size, shape and margin are normal.</t>
  </si>
  <si>
    <t>Five radiographs are provided, including images of the thorax, abdomen, thoracic limbs. The cardiac silhouette and pulmonary vessels are normal size and shape. The lungs are clear. There is no pleural effusion. Adequate tracheal diameter. No scapular abnormalities. The glenohumeral and cubital joints are congruent. Mild enthesophyte formation on the humeral epicondyles bilaterally. There is no fracture or subluxation. There is mild enthesophyte formation along the cranial margin of the distal right radial epiphysis, with mild soft tissue thickening dorsal to the radiocarpal joint. Similar changes are not present in the left limb. Carpal bone alignment is normal. No metacarpal or phalangeal osseous or soft tissue abnormalities. The patient=ZZ91=s nails are quite long. In the abdomen there is no effusion or organomegaly. Formed feces fills the distal colon. No radiopaque urolithiasis.</t>
  </si>
  <si>
    <t>1. Bilateral mild cubital osteoarthritis, and mild right radiocarpal osteoarthritis. This, coupled with soft tissue sprain/strain is the most likely cause for acute lameness. A lateralized intervertebral disc lesion is next on the differential list._x000D_
2. Normal thorax and abdomen.</t>
  </si>
  <si>
    <t>Recommend a nail trim and supportive care with anti-inflammatories.</t>
  </si>
  <si>
    <t xml:space="preserve">
1.Serosal detail is normal._x000D_
2.The GI tract is unremarkable._x000D_
3.The liver and spleen are normal._x000D_
4.No abnormal AI findings reported.</t>
  </si>
  <si>
    <t>Three radiographs of the thorax, and a lateral view of the thoracolumbar spine are provided. The cardiac silhouette is normal size and shape on the lateral views. The heart appears elongated on the VD projection, likely due to thoracic conformation. There are mild bronchial markings consistent with age. No soft tissue pulmonary nodules or pleural effusion. In the abdomen serosal detail is adequate. The liver and spleen are normal size. The kidneys are obscured. Moderate volume soft tissue opaque ingesta in the stomach. Small and large bowel are mildly filled. Linear wire-like 2.2 cm metal opacity in the cranial left peritoneal space consistent with incidental chronic migrated gastric foreign material. Narrowed T12-13 intervertebral disc space. Mineralized intervertebral disc material in the L6-7 intervertebral disc space, extending dorsally to overlie the foramen. Vertebral alignment is normal.</t>
  </si>
  <si>
    <t>1. The appearance of T12-13 and L6-7 are both suggestive of intervertebral disc protrusion/extrusion. Such a lesion at these or another site is the most likely cause for the neurologic deficits._x000D_
2. Normal thorax. A reason for intermittent respiratory signs is not identified. There is no evidence of cardiovascular disease on this study. A small valvular regurgitant jet can result in a relatively loud murmur._x000D_
3. Normal abdomen.</t>
  </si>
  <si>
    <t>A CBC and blood chemistry profile should be considered to rule out a metabolic abnormality.</t>
  </si>
  <si>
    <t xml:space="preserve">
1.No abnormal AI findings reported._x000D_
2.The liver is enlarged._x000D_
3.The spleen and abdominal serosal detail are within normal limits._x000D_
4.The stomach is mildly gas and fluid filled with some soft tissue density material. The small bowel is gas and fluid-containing. No obvious obstruction.</t>
  </si>
  <si>
    <t xml:space="preserve">Patient Name : Finn Jones, Date of study: Jul 3, 2024
6 images are provided for review
Canine Abdomen (3 Images) - 3 Lateral
Canine Thorax (3 Images) - 2 Lateral, 1 Vd
There are no previous radiographs for comparison.
Bones/Joints:  T12-13 is narrowed.  T13 is transitional with a thickened right rib.  The L7 vertebra is transitional and partially sacralized with shortened transverse processed. 
There is no evidence of mineral over the intervertebral foramina.  Minimal right coxofemoral joint osteoarthrosis is suspected.
There is no evidence of medullary sclerosis, osteolysis, endosteal scalloping, or periosteal proliferation.
Soft tissues:  The included soft tissues are normal.
</t>
  </si>
  <si>
    <t>1. T12-13 intervertebral disc disease is suspected.
2. Transitional T13 vertebra with thickened right rib.
3. Sacralized L7.
4. Minimal right coxofemoral joint osteoarthrosis.</t>
  </si>
  <si>
    <t xml:space="preserve">Consider neurologist consultation and MRI for further evaluation.  Routine blood work and thoracic/abdominal imaging if not recently performed to screen for occult systemic disease.  Empirical therapy and supportive care in the interim as needed.  </t>
  </si>
  <si>
    <t xml:space="preserve">
1.The gastric rugae are prominent. The small bowel is diffusely gas- and fluid filled without segmental small bowel dilation._x000D_
2.Abdominal detail is normal._x000D_
3.Splenic size, shape and margin are normal._x000D_
4.Liver size, shape and margin are normal.</t>
  </si>
  <si>
    <t>Three radiographs of the abdomen are provided. Formed feces fills the distal colon. There is small volume stippled soft tissue density in the stomach. Small intestines are diffusely mildly filled with gas. Several loops of small bowel appear clustered in the mid abdomen, however is likely a function of intestinal crowding due to trim body condition. There are a few small crescent-shaped gas lucencies in the caudal abdomen on the lateral views. No radiopaque foreign material. Normal-sized liver and spleen. The kidneys are obscured. Normal caudal thorax.</t>
  </si>
  <si>
    <t>Bunched small intestines is most likely due to intestinal crowding due to patient size and distended colon. Partial small bowel obstruction with linear component is not definitively ruled out but given much lesser consideration in the absence of vomiting, lethargy, abdominal discomfort. Gastric contents appears to be residual ingesta. Foreign material is unlikely in the absence of vomiting.</t>
  </si>
  <si>
    <t>If gagging behavior persists, consider visual inspection of the pharyngeal/laryngeal region and radiographs that include the neck and thorax. If the patient develops gastrointestinal signs, repeat fasted abdominal radiographs would be recommended. It would be ideal for the patient to have an empty colon prior to additional abdominal imaging.</t>
  </si>
  <si>
    <t>Study:_x000D_
Thoracic radiography: five images dated July 2, 2024_x000D_
_x000D_
Findings:_x000D_
The cardiac silhouette and pulmonary vasculature are normal in size. There is a mild generalized bronchial pulmonary pattern. The pleural space is normal. There is no intrathoracic lymphadenopathy. The trachea is normal in diameter and course. There is no esophageal dilation. The stomach contains heterogeneous soft tissue material presumed to be ingesta. There is no evidence of a sliding hiatal hernia. The osseous structures are unremarkable.</t>
  </si>
  <si>
    <t>1. The mild generalized bronchial pulmonary pattern may indicate allergic, inflammatory, infectious, parasitic or irritant bronchitis. Airway sampling plus/minus heartworm testing and Baermann fecal flotation can be considered for further evaluation._x000D_
2. Normal diameter of the trachea does not exclude the possibility of dynamic airway disease. Fluoroscopy can be considered to further evaluate for possible tracheal collapse given the reported goose honking nature of the respiratory event.</t>
  </si>
  <si>
    <t>ABDOMEN (5 radiographs for review). _x000D_
_x000D_
- Peritoneal serosal detail is normal._x000D_
- The spleen is mildly enlarged, with rounded margins._x000D_
- The stomach contains mild gas and gas-stippled soft-tissue opaque material_x000D_
- The small intestine contains mild multifocal gas and soft-tissue opaque material_x000D_
- The colon contains gas, soft-tissue/fluid and lack of formed fecal material._x000D_
- The liver, region of the kidneys and urinary bladder are normal._x000D_
- The caudal thorax is normal_x000D_
- No musculoskeletal abnormalities are noted.</t>
  </si>
  <si>
    <t>1. The appearance of the stomach, small intestine and colon can be compatible with a non-specific generalized functional ileus (e.g. gastroenterocolitis). There is no evidence of small intestinal foreign material or mechanical obstruction. If clinically indicated (such as if the patient does not improve or worsens despite medical management), abdominal ultrasonography might be considered._x000D_
_x000D_
2. Mild splenomegaly. DDx congestion from sedation, lymphoid hyperplasia, EMH, less likely neoplasia.</t>
  </si>
  <si>
    <t xml:space="preserve">
1.The liver and abdominal serosal detail are within normal limits._x000D_
2.The stomach contains amorphous, soft-tissue-opaque material, most consistent with food._x000D_
3.The small intestines are a combination of gas-filled and fluid-filled/collapsed, and all are within normal limits for diameter._x000D_
4.The colon contains a combination of gas and granular fecal material._x000D_
5.On the lateral projection, the spleen is prominent but retains a normal shape and has a smooth margin._x000D_
6.The ventral abdominal line is minimally pendulous.</t>
  </si>
  <si>
    <t>Three radiographs of the thorax and three views of the abdomen are provided. The cardiac silhouette and pulmonary vessels are normal size and shape. The lungs are clear. There is no pleural effusion. Normal tracheal diameter._x000D_
_x000D_
In the abdomen there is moderate to large volume soft tissue opaque ingesta in the stomach. Small bowel are minimally filled. Formed feces fills the distal colon. No effusion. Normal-sized liver and spleen. The kidneys are incompletely visible. Punctate metal opaque focus in a loop of bowel is of doubtful clinical significance today. The uterus is not identified. Osseous structures are unremarkable.</t>
  </si>
  <si>
    <t>Normal thorax and postprandial abdomen. There is no evidence of neoplasia on this study.</t>
  </si>
  <si>
    <t>Three radiographs of the thorax/abdomen, and a VD view of the abdomen/proximal pelvic limbs are provided. The cardiac silhouette is normal size and shape. There is a mild bronchial pattern throughout the lungs consistent with age. No soft tissue pulmonary nodules or pleural effusion. Possible redundant dorsal trachealis membrane in the cervical region, and narrowed caudal cervical intervertebral disc spaces, of uncertain significance today. In the abdomen there is small volume amorphous soft tissue opaque ingesta in the stomach. Small bowel are mildly fluid filled. There is gas in the cecum and colon. No radiopaque foreign material or urolithiasis. Normal-sized liver, spleen, left kidney. The right kidney is obscured. No definitive spinal abnormalities. Both coxofemoral joints are wedged in shape, with mild thickened femoral necks. Both patellas are medially positioned.</t>
  </si>
  <si>
    <t>Normal thorax and abdomen. Bilateral medial patellar luxation and bilateral mild coxofemoral osteoarthritis.</t>
  </si>
  <si>
    <t xml:space="preserve">
1.Abdominal detail is normal._x000D_
2.No abnormal AI findings reported._x000D_
3.The liver and spleen are normal for size._x000D_
4.The stomach is mildly gas and fluid dilated._x000D_
5.There is gas and mild fluid dilation noted within the descending duodenum._x000D_
6.The small bowel contains gas and fluid but is largely normal in diameter throughout._x000D_
7.There is also gas and fluid distention of the cecum and the entire length of the colon._x000D_
8.View GI resource: https://platform.v2.vetology.net/doc/GI</t>
  </si>
  <si>
    <t>Three radiographs of the thorax/abdomen are provided. Images dated 5/28/24 are available for comparison. The cardiac silhouette is upper normal size today. There is increased opacity with suspect air bronchograms in the right middle lung lobe. Scant pleural effusion. Mild narrowed cervical trachea. The mainstem bronchi are compressed on the left lateral view. In the abdomen serosal detail is poor. The liver is mildly enlarged as before. Hepatic margins are smooth. There is small volume fluid and gas in the stomach. Small intestines are diffusely moderately fluid filled. The colon is minimally filled. No radiopaque foreign material. The left kidney and spleen are normal size. The right kidney is obscured. No radiopaque urolithiasis. Narrowed T11-12, T12-13, L1-2 intervertebral disc spaces, with spondylosis deformans. This was present on the previous study and is of doubtful clinical significance today.</t>
  </si>
  <si>
    <t>1. Mild peritoneal effusion, of uncertain etiology. This may be due to pancreatitis or renal failure._x000D_
2. Persistent mild hepatomegaly, likely diabetic hepatopathy._x000D_
3. Small intestinal functional ileus, a nonspecific finding that may be due to enteritis, metabolic abnormality, or stress/discomfort._x000D_
4. Probable aspiration pneumonia in the right middle lung lobe, and scant pleural effusion. Atelectasis due to recumbency could also cause the lung appearance but does not explain the pleural fluid. _x000D_
5. Tracheal and mainstem bronchial collapse as before._x000D_
6. No cardiovascular abnormalities are appreciated today.</t>
  </si>
  <si>
    <t>Abdominal ultrasound is recommended. If the patient is coughing, febrile, has elevated white blood cell count or abnormal lung auscultation, antibiotics would be recommended.</t>
  </si>
  <si>
    <t xml:space="preserve">
1.Abdominal detail is diffusely decreased. The ventral abdominal line is pendulous._x000D_
2.The liver and stomach are confluent, with mild displacement of the gastric axis, which may be due to hepatomegaly versus severe gastric distension._x000D_
3.Mildly filled intestines without evidence of complete obstruction._x000D_
4.No abnormal AI findings reported._x000D_
5.No abnormal AI findings reported.</t>
  </si>
  <si>
    <t>THORAX (3 total radiographs for review). _x000D_
_x000D_
- The cardiac silhouette and pulmonary vasculature are normal._x000D_
- The pulmonary parenchyma is normal_x000D_
- The trachea, esophagus and remainder of the mediastinum are normal._x000D_
- The pleural space and remaining intrathoracic structures are normal._x000D_
- Peritoneal serosal detail is normal._x000D_
- The stomach contains mild gas and gas-stippled soft-tissue opaque material_x000D_
- The small intestine contains mild multifocal gas and soft-tissue opaque material_x000D_
- The colon contains gas, soft-tissue/fluid and moderate formed fecal material._x000D_
- The liver, spleen, region of the kidneys and urinary bladder are normal._x000D_
- There are multiple mid and caudal thoracic wedge and butterfly shaped vertebral segments with associated spondylosis deformans.  The eighth and ninth thoracic spinous processes are fused.</t>
  </si>
  <si>
    <t>1. Normal thorax. A discrete cause for the reported coughing is not clearly identified. Radiographic sensitivity for subtle lower airway/airspace disease can be limited.  If the patient worsens or does not improve with medical management, you may consider repeat thoracic radiographs and/or thoracic CT for further assessment._x000D_
_x000D_
2. Unremarkable post prandial abdomen._x000D_
_x000D_
3. Multiple mid- and caudal thoracic hemivertebral segments and dorsal spinous process fusion, as expected for the patient breed.</t>
  </si>
  <si>
    <t xml:space="preserve">
1.Splenic size, shape and margin are normal._x000D_
2.The liver is mildly enlarged, and retains a smooth margin._x000D_
3.Abdominal detail is normal._x000D_
4.The stomach is normal. The small bowel is diffusely gas- and fluid-filled without segmental small bowel dilation.</t>
  </si>
  <si>
    <t>3 views of the abdomen are provided for review. Serosal detail is adequate. The stomach contains a small amount of gas and the rugal folds are mildly prominent. The small intestines are normal in size. Gas is present in the colon. The remaining abdominal organs are normal.</t>
  </si>
  <si>
    <t>Mildly prominent rugal folds suggestive of gastritis. This does not rule out underlying pancreatitis, dietary indiscretion, etc.</t>
  </si>
  <si>
    <t xml:space="preserve">
1.No abnormal AI findings reported._x000D_
2.The liver and spleen appear within normal limits._x000D_
3.Serosal detail is normal._x000D_
4.Small intestines are diffusely mild to moderately filled with fluid and gas. No convincing obstruction._x000D_
5.The stomach contains small volume fluid and gas.</t>
  </si>
  <si>
    <t>4 images of the thorax are provided for review.  The cardiovascular structures are normal.  There is a moderate bronchial pattern in all lung lobes.  Alveolar opacity is present in the right cranial and cranial subsegment of the left cranial lung lobe the trachea is mildly narrowed in the cervical region.  The mediastinal and pleural structures are normal.  Cranial abdominal detail is adequate.</t>
  </si>
  <si>
    <t>Moderate bronchial pulmonary pattern=ZZ90= consider bronchitis, response to inhaled irritants, response to circulating parasites, eosinophilic bronchopneumopathy.  Alveolar pulmonary pattern concerning for concurrent pneumonia.  Hemorrhage or neoplasia cannot be excluded.  Mild cervical tracheal narrowing consistent with previously suspected tracheal collapse.</t>
  </si>
  <si>
    <t xml:space="preserve">Patient Name : Covie Coombs, Date of study: Jul 2, 2024
4 images are provided for review
There are no previous radiographs for comparison.
Liver: The liver is small with cranial displacement of the gastric axis.  The liver is excluded in the ventrodorsal image.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No obvious peritoneal gas.
Gastrointestinal tract: The stomach contains a minimal fluid or is empty.
The small intestine contains mild fluid or is empty with a subjectively uniform population for size. 
The colon contains minimal soft tissue material and gas.
Musculoskeletal: Best identified in the right lateral image, a lucent linear defect is suspected in the mid- to caudal ventral abdominal body wall.  This defect communicates with a region of heterogeneous fat and soft tissue opacity that protrudes from the ventral abdominal body wall, and deforms the cutaneous surface.  Tubular soft tissue structuresa re in this region, best identified in the left lateral image.  Fluid striations are suspected around these herniated intestinal segments.  In the ventrodorsal image, gas is present in the soft tissues of the right caudolateral abdominal body wall, gluteal and thigh regions.   Gas is suspected over the left proximal and medial thigh in the ventrodorsal image. The remaining included musculoskeletal structures are normal.
</t>
  </si>
  <si>
    <t>1. Mid-/caudal-ventral abdominal body wall hernia with herniated small intestinal segments and suspected small volume peritoneal effusion.
- Peritoneal effusion may indicate evolving incarceration of herniated intestine, versus hemorrhage, steatitis or other.
- There is no current evidence of small intestinal mechanical ileus.
2. Right body wall, gluteal, thigh and left thigh emphysema is consistent with reported recent trauma (dog bite injury).
3. Microhepatia versus individual variation of normal.
- If present, consider portosystemic shunt versus other.</t>
  </si>
  <si>
    <t>Consider abdominal body wall hernia repair with reduction and peritoneal lavage.  Wound care and debridement/lavage of the soft tissue injuries as needed.  Empirical therapy and supportive care in the interim as needed.  Monitoring as directed or sooner if clinical signs acutely change, fail to improve or worsen.</t>
  </si>
  <si>
    <t xml:space="preserve">
1.Liver size, shape and margin are normal._x000D_
2.The stomach contains gas and a small amount of soft tissue density. Loops of small bowel are minimally gas and fluid filled without segmental small bowel dilation._x000D_
3.Splenic size, shape and margin are normal._x000D_
4.Abdominal detail is normal.</t>
  </si>
  <si>
    <t xml:space="preserve">Patient Name : Obi Wurmnest, Date of study: Jul 2, 2024
4 images are provided for review
There are no previous radiographs for comparison.
Liver: The liver is subjectively normal in size.
Spleen: The spleen is normal in size with smooth margins and homogeneous soft tissue.
Kidneys: The left kidney has a minimal or mildly undulant margin and is subjectively normal in size.  The right kidney is obscured without obvious enlargement or mineral.  
Retroperitoneum: Retroperitoneal detail is adequate.
Urogenital: The urinary bladder is normal in size, homogeneous soft tissue, and smoothly marginated.
Peritoneum: Peritoneal detail is adequate.
Gastrointestinal tract: The stomach is severely enlarged and results in caudal displacement of the intestine and spleen.  The stomach contains predominantly soft tissue/fluid and mild to moderate gas.  The gas is partially in the pylorus in the left lateral image.  Minimal mineral is in the stomach in the lateral images.   
The small intestine contains mild fluid or is empty with a subjectively uniform population for size. 
The colon contains mild well-defined soft tissue material and gas. The colon is normal in size.  
Musculoskeletal: The included musculoskeletal structures are normal.
</t>
  </si>
  <si>
    <t xml:space="preserve">1. Severe gastric enlargement such as from gastric stasis/functional ileus and/or gastritis or unlikely pyloric outflow tract obstruction (foreign material versus mucosal hypertrophy/hyperplasia) given lack of reported vomiting in history.
2. Minimal granular gastric mineral such as from dietary indiscretion, medication or unlikely other.
3. Minimal-mild left renal changes such as from chronic disease, or artifact.
4. No evidence of small intestinal mechanical ileus.  </t>
  </si>
  <si>
    <t>Consider abdominal ultrasonography for further evaluation of the stomach.  Therapy with gastroprotectants, antiemetics/prokinetics etc. as needed in the interim.  Monitoring with repeat abdominal imaging for progression/resolution of the gastric distension.  Consider gastroscopy for further evaluation of the stomach/pylorus. Consider repeat blood work for further evaluation of evolving disease, especially if not recently performed.  Empirical therapy and supportive care in the interim as needed.  Monitoring as directed or sooner if clinical signs acutely change, fail to improve or worsen.</t>
  </si>
  <si>
    <t xml:space="preserve">
1.The spleen is prominent vs mildly enlarged.._x000D_
2.The liver is enlarged with a questionably lobular border._x000D_
3.No abnormal AI findings reported._x000D_
4.Serosal detail is decreased._x000D_
5.The stomach is within normal limits. The small bowel is gas- and fluid-filled without segmental small bowel dilation or signs of obstruction.</t>
  </si>
  <si>
    <t>Hepatomegaly. Differential diagnoses include vacuolar hepatopathy such as from evolving hyperadrenocorticism, neoplasia (primary versus metastatic), or less likely hepatitis/cholangiohepatitis. Decreased serosal detail may be a result of abdominal crowding, but could also represent effusion, or inflammatory transudate such as caused by pancreatitis.</t>
  </si>
  <si>
    <t xml:space="preserve">
Virtual Radiologist Case Difficulty: MODERATE_x000D_
Virtual Radiologist Confidence: MODERATE_x000D_
Blood work and ultrasound of the abdomen are recommended for more definitive evaluation of the hepatobiliary structures and GI tract.</t>
  </si>
  <si>
    <t>A three view study of the abdomen is provided for interpretation._x000D_
_x000D_
No foreign bodies are identified in the GI tract. There are a few loops of small intestine that appear mildly fluid dilated. The appearance is not suggestive of an obstructive pattern. No intestinal plication is seen. There is an unusual linear shadow in the proximal descending colon that is suspicious for foreign material. Serosal detail in the abdomen is normal. The other organs are within normal limits.</t>
  </si>
  <si>
    <t>There is suspicion of foreign material in the colon, but this is not expected to be associated with the reported clinical signs._x000D_
No foreign bodies or obstructive pattern are seen involving the upper GI tract. Gastroenteritis is most likely. Metabolic disease should also be ruled out with appropriate labwork.</t>
  </si>
  <si>
    <t>Symptomatic therapy and supportive care for suspected gastroenteritis is recommended. Infectious causes should be ruled out.</t>
  </si>
  <si>
    <t>6 images of the thoracolumbar spine are provided for review.  No fractures, luxations, or aggressive osseous lesions are seen.  There is consistent narrowing of the intervertebral disc spaces at T11-13.  The soft tissue structures included are normal.</t>
  </si>
  <si>
    <t xml:space="preserve">
1.No abnormal AI findings reported._x000D_
2.No abnormal AI findings reported._x000D_
3.The liver is slightly small. The spleen is within normal limits for size._x000D_
4.Small-volume gas and scant amorphous soft tissue opacity within the stomach._x000D_
5.Small intestines are mildly fluid filled. No evidence of intestinal obstruction._x000D_
6.No radiopaque gastrointestinal foreign material or effusion is present.</t>
  </si>
  <si>
    <t>Study:_x000D_
Thoracic radiography: three images dated July 2, 2024_x000D_
_x000D_
Findings:_x000D_
The VD view is mislabeled. The cardiac silhouette (VHS approximately 10) and pulmonary vasculature are normal in size. There is incidental age-related bronchial wall mineralization. The pulmonary parenchyma is otherwise unremarkable. The pleural space is normal. There is no intrathoracic lymphadenopathy. The trachea is normal in diameter and course. The liver is small with associated cranial rotation of the gastric axis. There is narrowing of the T 12-T 13 through L2-L3 with sclerotic endplates and mild to moderate spondylosis deformans. The L3-L4 and L4-L5 intervertebral disc spaces also appear narrowed=ZZ90= however, this finding may be overestimated by beam distortion._x000D_
_x000D_
A human digit is present in the primary beam on the left lateral view.</t>
  </si>
  <si>
    <t>1. Unremarkable thorax. There is no radiographic evidence of cardiopulmonary disease. Consider echocardiography and ECG for further evaluation of the reported bradycardia._x000D_
2. Microhepatia. Rule out normal variant, vascular anomaly or chronic hepatitis/cirrhosis. Correlate with any liver enzyme abnormalities. Abdominal sonography and bile acid testing can be considered for further evaluation if clinically relevant._x000D_
3. Multifocal thoracolumbar intervertebral disc sees.</t>
  </si>
  <si>
    <t>Thorax: Today=ZZ91=s study is compared to a study dated 4/9/2024.  There is moderate to severe left-sided cardiomegaly which is increased in severity compared to previous study.  There is no evidence of cardiogenic pulmonary edema.  The pulmonary vasculature is unremarkable.  There is no evidence of pleural effusion or lymphadenopathy.  There are no abnormalities involving the visible portions of the abdomen.</t>
  </si>
  <si>
    <t>Moderate to severe left-sided cardiomegaly which has increased in severity compared to the previous study.</t>
  </si>
  <si>
    <t xml:space="preserve">
1.The liver and spleen are normal size and shape._x000D_
2.No abnormal AI findings reported._x000D_
3.Abdominal detail is normal._x000D_
4.Small intestines are minimally distended. No evidence of obstruction._x000D_
5.The stomach contains small volume gas and equivocal scant soft tissue density.</t>
  </si>
  <si>
    <t>Study:_x000D_
Abdominal radiography: three images dated July 2, 2024_x000D_
_x000D_
Findings:_x000D_
The serosal detail is adequate. The stomach contains a small volume of gas with the pylorus appropriately gas-filled on the left lateral image. The small intestines are normal in size, course and content. The colon contains gas and poorly formed fecal material. On the right lateral view, there is transient mild corrugation of the ascending/transverse colon the cranial abdomen. The liver and spleen are normal in size and margin. The renal silhouettes are normal in size and contour. The urinary bladder is normal in size and opacity. There is no prostatomegaly. The included thorax is unremarkable. No skeletal abnormalities present.</t>
  </si>
  <si>
    <t>The transient colonic wall corrugation may indicate nonspecific colitis. The abdomen is otherwise unremarkable. There is no radiographic evidence of gastrointestinal foreign material or small intestinal mechanical obstruction. Abdominal sonography can be considered for further evaluation if clinical signs persist or worsen in spite of medical management.</t>
  </si>
  <si>
    <t xml:space="preserve">
1.The stomach contains small volume fluid and gas._x000D_
2.Small intestines are diffusely mild to moderately filled with fluid and gas. No convincing obstruction._x000D_
3.Serosal detail is normal._x000D_
4.The liver and spleen appear within normal limits._x000D_
5.No abnormal AI findings reported.</t>
  </si>
  <si>
    <t>Orthogonal views of the thorax and abdomen including the pelvis and oblique views of both front limbs are provided for interpretation. There are six images total._x000D_
_x000D_
The cardiopulmonary structures are within normal limits. No abnormalities identified involving the spine, sternum, or ribs. No soft tissue swelling or mass effect is seen. The abdominal organs are all within normal size and shape limits. Serosal detail in the abdomen and retroperitoneal area is normal. The pelvis and hips are within normal limits. No abnormalities are seen involving either front limb.</t>
  </si>
  <si>
    <t>No musculoskeletal abnormalities identified that would explain the suspected pain._x000D_
_x000D_
The thorax and abdomen are unremarkable.</t>
  </si>
  <si>
    <t>No anatomic abnormalities it would explain the clinical signs are identified in the radiographs. Conservative management is recommended, with symptomatic therapy for nonspecific pain as needed.</t>
  </si>
  <si>
    <t>Orthogonal views of the thorax and abdomen are provided:_x000D_
_x000D_
Thorax:_x000D_
_x000D_
The mandibular and superficial cervical lymph nodes are moderately enlarged._x000D_
Similarly, the sternal, cranial mediastinal and tracheobronchial lymph nodes are moderately enlarged._x000D_
Cardiac silhouette has a normal shape and size._x000D_
Pulmonary vessels are within normal limits of size and shape._x000D_
Pulmonary parenchyma shows a moderate interstitial lung pattern._x000D_
Pleural space, diaphragm and thoracic wall within normal limits._x000D_
_x000D_
Abdomen:_x000D_
_x000D_
The stomach is empty_x000D_
Small intestines are mildly gas and fluid filled, not overtly distended. No signs of mechanical ileus._x000D_
Serosal detail is preserved._x000D_
Liver extends beyond the costal arch with sharp margins._x000D_
Spleen is enlarged with rounded margins._x000D_
Kidneys and urinary bladder WNL._x000D_
Sublumbar and inguinal lymph nodes are moderately enlarged._x000D_
_x000D_
Bilateral hip dysplasia with mild periarticular osteophytosis and bilateral muscle atrophy.</t>
  </si>
  <si>
    <t>1) Peripheral, thoracic and abdominal lymphadenopathy along with moderate  interstitial lung pattern and hepatic/splenomegaly are consistent with a multicentric disease scubas round cell neoplasia, most likely lymphoma (other round cell neoplasms less likely).</t>
  </si>
  <si>
    <t>Abdominal US with guided FNAs of the all the reported and reachable lymph nodes, liver and spleen along with oncologist consultation.</t>
  </si>
  <si>
    <t xml:space="preserve">
1.The liver is moderately enlarged with potential for a hepatic mass._x000D_
2.Segments of the colon have a rigid appearance._x000D_
3.The spleen is enlarged with potential for a splenic mass._x000D_
4.Abdominal detail is diffusely decreased and the abdomen is pendulous._x000D_
5.Moderate volume gas fills the stomach._x000D_
6.Small intestines are mildly fluid-filled.</t>
  </si>
  <si>
    <t>Four radiographs of the abdomen are provided. The liver, spleen, kidneys are normal size and shape. The stomach contains small volume soft tissue densities that is stippled with gas. Small intestines are mildly filled with gas and scant stippled soft tissue density. Small volume formed feces in the colon. There is no radiopaque gastrointestinal foreign material or urolithiasis. No lumbar spinal abnormalities. Slight hazy appearance of the ventral aspect of the L3 and L4 vertebral bodies is incidental variant caused by diaphragm attachment site. The caudal thorax is normal.</t>
  </si>
  <si>
    <t>The patient was reportedly fed 10 hours ago. Gastric contents appears to be residual ingesta, which is not unexpected particularly if the patient receives relatively large meals +/- treats. Foreign material is given lesser consideration unless the vomiting is quite frequent. Otherwise normal abdomen.</t>
  </si>
  <si>
    <t>With the chronicity of clinical signs, strictly fasted abdominal ultrasound should be considered.</t>
  </si>
  <si>
    <t xml:space="preserve">
1.The stomach appears within normal limits. The small bowel contains a mild amount of gas. No obvious signs of obstruction._x000D_
2.No abnormal AI findings reported._x000D_
3.The liver is mildly enlarged with normal shape and smooth margins._x000D_
4.Serosal detail is adequate.</t>
  </si>
  <si>
    <t>Study:_x000D_
Thoracic radiography: three images dated July 2, 2024_x000D_
_x000D_
Findings:_x000D_
The cardiac silhouette and pulmonary vasculature are normal in size. There is a mild diffuse bronchointerstitial pulmonary pattern. The pleural space is normal. There is no intrathoracic lymphadenopathy. The trachea is normal in diameter and course. The stomach contains heterogeneous soft tissue material presumed to be ingesta. The liver extends mildly beyond the costal arch with smooth margins. There is narrowing of the T 11-T 12 through L1-L2 intervertebral disc spaces. There is variable mild to severe multifocal spondylosis deformans present.</t>
  </si>
  <si>
    <t>1. The diffuse bronchointerstitial pulmonary pattern is a nonspecific finding. In the absence of any respiratory signs come of this finding would be considered a benign age-related change. Allergic, inflammatory, infectious, inhaled irritant or parasitic bronchitis are considered given the reported coughing. Airway sampling plus/minus heartworm testing and Baermann fecal flotation can be considered to further evaluate for lower airway disease. Normal diameter of the trachea does not exclude the possibility of dynamic airway disease/tracheal collapse as a possible cause of the reported coughing._x000D_
2. The generalized hepatomegaly is nonspecific. Rule out metabolic/vacuolar hepatopathy, hyperplasia, hepatitis or infiltrative neoplasia. Correlate with any liver enzyme abnormalities. Sonography can be considered for further evaluation if clinically relevant._x000D_
3. T 11-T 12 through L1-L2 intervertebral disc disease.</t>
  </si>
  <si>
    <t xml:space="preserve">
1.The spleen has a slightly rounded, well-defined margin, and is normal in overall size._x000D_
2.The caudoventral margin of the liver is enlarged and rounded._x000D_
3.The overall peritoneal serosal detail is normal._x000D_
4.The small bowel is diffusely gas- and fluid-filled without segmental small bowel dilation._x000D_
5.The stomach contains granular food material, with a moderately caudally displaced axis.</t>
  </si>
  <si>
    <t>Three radiographs of the abdomen are provided. There is no abdominal effusion. The stomach contains a moderate amount of soft tissue opacity and small volume gas. Gastric contents is stippled with gas and there are several faint ovoid kibble-like contours in the stomach. There is scant mineral opaque debris in the stomach as well. Small intestines are diffusely mildly filled with fluid and gas. Semi-formed and formed feces in the colon. Normal-sized liver, spleen. The kidneys are incompletely visible. Osseous structures are age-appropriate.</t>
  </si>
  <si>
    <t>Mineral debris in the stomach may represent administered medications, a component of normal diet, or foreign material. In the absence of vomiting, significance is doubtful. Remaining gastric contents appears to be normal ingesta. There is no significant intestinal dilation to suggest small bowel obstruction.</t>
  </si>
  <si>
    <t>If the patient develops vomiting, hyporexia, abdominal discomfort, recommend repeat fasted abdominal radiographs to rule out foreign material or obstruction.</t>
  </si>
  <si>
    <t xml:space="preserve">
1.The small intestines are mildly diffusely dilated with a mixture of gas and fluid._x000D_
2.In some small intestinal loops, there is soft tissue opaque material interspersed with a fine gas pattern._x000D_
3.The cecum is gas dilated._x000D_
4.The transverse and descending colon contain gradually more poorly formed feces._x000D_
5.There is a mild reduction of cranial peritoneal serosal detail._x000D_
6.The stomach has a normal axis, and contains a mild amount of granular material._x000D_
7.A mild amount of gas is present in the duodenum._x000D_
8.The hepatic silhouette is normal._x000D_
9.The spleen is normal.</t>
  </si>
  <si>
    <t>The overall impression is one of gastroenteritis/colitis. Pancreatitis cannot be excluded. This may be due to dietary indiscretion, or infectious-inflammatory causes. There is no evidence of a complete mechanical obstruction. The reduction of peritoneal serosal detail may be due to intestinal crowding, or a mild amount of peritoneal effusion. This may be secondary to pancreatitis, or a modified inflammatory transudate. The AI result for this case is most compelling for: gastroenterocolitis and/or pancreatitis in a patient WITH GI signs. In a patient WITHOUT GI signs, this report can represent a normal post-prandial GI tract.</t>
  </si>
  <si>
    <t xml:space="preserve">
If GI signs are present, abdominal ultrasound to assess the GI tract and pancreas._x000D_
Fecal analysis is advised._x000D_
Alternatively, continued empirical management with fluids, antiemetics, antacids, prophylactic deworming, and gastroprotectants as clinically indicated and repeat radiographs as clinically indicated may be considered._x000D_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</si>
  <si>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Two survey radiographs of the abdomen, followed by an upper GI series spanning 7 hours is provided. Images dated 6/27/24 are available for comparison. Peritoneal and retroperitoneal detail is adequate. There is small volume gas and suspect scant amorphous soft tissue density in the stomach. Small and large bowel are minimally distended. Small round soft tissue density ventral to L5 on the lateral view is end-on-on loop of small bowel. No radiopaque foreign material or organomegaly. The caudal thorax is normal._x000D_
_x000D_
On the initial postcontrast images, there is scant barium in the esophagus, incidental. Moderate volume barium in the stomach and extending into proximal small bowel. At 20 minutes, barium has progressed throughout the majority of the small bowel, with mild reduced volume gastric barium. At one hour, there is progressive reduction of the volume of barium within the stomach. At three hours, there is scant barium remaining in the stomach. There is a poorly delineated ovoid 2.3 x 1.5 cm area of stippled contrast within the pylorus on both of these views. This mineral opaque contour is not seen on any of the other images. The majority of the barium is now located in the distal small bowel, proximal colon, with a small amount of barium in the rectum. At seven hours, there is no barium remaining in the stomach or small bowel. There is scant gas within the stomach, along with a faint gas-stippled ovoid 1.1 x 1.6 cm area in the region of the pylorus on both the VD and lateral view. Barium is concentrated cecum and colon. No intestinal filling defects on this study.</t>
  </si>
  <si>
    <t>Highly suspect small gastric foreign object. This was most convincing on the three-hour images, and would have been definitive if the ovoid mineral contour remained on the seven hour images. It is possible that a foreign object is minimally absorbent, allowing for minimal barium retention on the last set of images. No other gastrointestinal abnormalities.</t>
  </si>
  <si>
    <t>With the chronicity of clinical signs, and particularly if vomiting has persisted, gastroscopy should be considered.</t>
  </si>
  <si>
    <t>Study:_x000D_
Spinal radiography (including the thorax and abdomen): orthogonal views (two images) dated July 2, 2024_x000D_
_x000D_
Findings:_x000D_
On the lateral projection, there is narrowing of the T 11-T 12 and T 12-T 13 intervertebral disc spaces. The lumbar spine is unremarkable. There is no evidence of discospondylitis. The cardiac silhouette and pulmonary vasculature are normal in size. The pulmonary parenchyma is unremarkable. The pleural space is normal. There is no intrathoracic lymphadenopathy. The trachea is normal in diameter and course. The stomach contains a small volume of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moderately distended._x000D_
_x000D_
A human digit is present in the primary beam on the VD view.</t>
  </si>
  <si>
    <t>1. Suspect T 11-T 12 and T 12-T 13 intervertebral disc disease._x000D_
2. Moderate urinary bladder distention. Rule out conscious retention versus upper motor neuron disease.</t>
  </si>
  <si>
    <t>Neurology consultation and MRI should be considered for further evaluation.</t>
  </si>
  <si>
    <t xml:space="preserve">
1.Liver size is at the lower limits of normal but retains a smooth margin._x000D_
2.Splenic size, shape and margin are normal._x000D_
3.Abdominal detail is normal._x000D_
4.The small intestinal tract contains normal volumes of fluid, gas and ingesta._x000D_
5.The stomach contains a small amount of air and either has prominent gastric rugae or contains a small amount of soft tissue material.</t>
  </si>
  <si>
    <t>5 lateral views of the abdomen and spine are presented for review.  Serosal detail is adequate in all quadrants.  The stomach contains a moderate amount of gas.  The small intestines are normal in size.  Gas is present in the colon.  The urinary bladder is small.  The remaining abdominal organs are normal.  Spinal alignment is normal with no consistently narrowed intervertebral disc spaces.  No fractures or aggressive osseous lesions are seen.</t>
  </si>
  <si>
    <t>Radiographically normal abdomen on the view provided.  Radiographically normal spine on the views provided.  This does not rule out intervertebral disc herniation or other causes of spinal cord compression.</t>
  </si>
  <si>
    <t>Study:_x000D_
Spinal, pelvic and pelvic limb radiography: seven images dated July 2, 2024_x000D_
_x000D_
Findings:_x000D_
The L1-L2 intervertebral disc space appears mildly narrowed in comparison to the adjacent to spaces on the lateral projection timestamped 1:17 PM. The coxofemoral joints are unremarkable with good coverage of the femoral head by the acetabulum bilaterally. The right patella is superimposed with the medial femoral condyle on the VD view timestamped 1:01 PM. The left patella is in the correct anatomic location. There is increased soft tissue opacity within the cranial and caudal aspect of the right stifle joint space. The degree of soft tissue opacity within the left stifle joint spaces within normal limits. No degenerative change is present in either stifle. The bones of the tarsus and included portion of the pes are unremarkable bilaterally. The pelvic limb musculature is bilaterally symmetric. The included thorax and abdomen are unremarkable._x000D_
_x000D_
Human digits are present in the primary beam on the lateral projection of the left pelvic limb.</t>
  </si>
  <si>
    <t>1. Suspect L1-L2 intervertebral disc disease. Neurology consultation and MRI can be considered for further evaluation if the reported spinal pain persists or worsens in spite of activity or section pain management._x000D_
2. Right medial luxating patella. Surgical correction can be considered._x000D_
3. The right stifle joint effusion/capsular thickening may indicate concurrent integration and/or meniscal injury. Correlate with any joint instability/cranial drawer.</t>
  </si>
  <si>
    <t xml:space="preserve">Patient Name : Molly Jones, Date of study: Jul 2, 2024
3 images are provided for review
There are no previous radiographs for comparison.  The abdomen is excluded from the ventrodorsal image.  Ungloved human digits primary beam.  
Liver: The liver is slightly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not well-identified, without obvious enlargement or mineral.
Peritoneum: Peritoneal detail is adequate.
Gastrointestinal tract: The stomach contains a moderate to large volume of gas.   Gas is in the pylorus in the left lateral image.  The stomach is within normal limits for size.  
The small intestine contains mild gas and fluid or is empty with a subjectively uniform population for size. 
The colon contains moderate well-defined soft tissue material and gas.
Musculoskeletal: Multiple prominent nipples, consistent with intact status of this patient.  The remaining included musculoskeletal structures are normal.  Reported caudal abdominal masses are not definitively identified.
</t>
  </si>
  <si>
    <t xml:space="preserve">1. Mild microhepatia.
- If present, consider occult portosystemic shunt or microvascular dysplasia or unlikely other.
2. Presumed normal gastrointestinal tract given lack of reported clinical signs.  </t>
  </si>
  <si>
    <t>Consider  routine blood work and bile acid testing. Consider computed tomography of the abdomen for further evaluation of reported caudal abdominal masses for pre-surgical planning of incisional/excisional biopsy.  Oncologist consultation depending on results. Empirical therapy and supportive care in the interim as needed.  Monitoring as directed, or sooner if clinical signs acutely change, fail to improve or worsen.</t>
  </si>
  <si>
    <t>Study:_x000D_
Thoracic/abdominal and pelvic radiography: six images dated July 2,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region of the prostate is not included on the lateral projections. The osseous structures are unremarkable. There is good coverage of the femoral head by the acetabulum bilaterally. The pelvic limb musculature is bilaterally symmetric.</t>
  </si>
  <si>
    <t>1. Normal thorax. There is no radiographic evidence of heart disease. Consider echocardiography for further evaluation of the reported heart murmur._x000D_
2. Unremarkable abdomen._x000D_
3. Unremarkable coxofemoral joints.</t>
  </si>
  <si>
    <t xml:space="preserve">Patient Name : Bella Bustard, Date of study: Jul 2, 2024
7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Small broad-based ventral extra-thoracic fat to soft tissue nodules is suspected.  T9-10 spondylosis deformans is present.  The remaining included musculoskeletal structures are normal.
</t>
  </si>
  <si>
    <t>1. Minimal-mild diffuse bronchial pulmonary pattern such as from infectious/immune-mediated lower airway disease (mycoplasma spp., bordetella spp., parasitism, or other), inhaled allergen/irritant, fibrosis from prior disease, age-related changes, or less likely other.
2. Suspected extra-thoracic lipoma versus evolving neoplasia or other.</t>
  </si>
  <si>
    <t>Etiology of reported cough is not definitively identified. Consider airway sampling and respiratory PCR panel for further evaluation.  Empirical therapy and supportive care in the interim as needed.  Monitoring as directed or sooner if clinical signs acutely change, fail to improve or worsen.</t>
  </si>
  <si>
    <t xml:space="preserve">
Virtual Radiologist Case Difficulty: MODERATE_x000D_
Virtual Radiologist Confidence: MODERATE_x000D_
Hyperadrenocorticism or other endocrinopathies should be ruled out._x000D_
Liver biopsy may be indicated if no underlying cause for the hepatomegaly is found.</t>
  </si>
  <si>
    <t>Study:_x000D_
Abdominal, pelvic and pelvic limb radiography: eight images dated July 2, 2024_x000D_
_x000D_
Findings:_x000D_
The stomach and some small intestinal segments contain unstructured heterogeneous/granular soft tissue material presumed to be ingesta. The small intestines are normal in size, course and content. The colon contains formed fecal material with a normal diameter. The liver and spleen are normal in size and margin. The renal silhouettes are normal in size and contour. The urinary bladder is normal in size and opacity. No mineral opaque calculi are present in the bladder or region of the urethra. The L7 vertebra is transitional. The image spine is otherwise unremarkable. There is good coverage of the femoral head by the acetabulum bilaterally. The patella is in the correct anatomic location bilaterally. The degree of soft tissue opacity within the stifle joint spaces is within normal limits. No degenerative change is present in either stifle. The tarsus is unremarkable bilaterally. The pelvic limb musculature is bilaterally symmetric.</t>
  </si>
  <si>
    <t>1. Postprandial gastrointestinal tract=ZZ90= otherwise, unremarkable abdomen._x000D_
2. There are no significant osseous abnormalities.</t>
  </si>
  <si>
    <t>A source of pain is not evident. Abdominal sonography and cPLI testing can be considered to further evaluate for sources of intra-abdominal pain.</t>
  </si>
  <si>
    <t>Study:_x000D_
Abdominal radiography: three images dated July 2, 2024_x000D_
_x000D_
Findings:_x000D_
The serosal detail is adequate. The stomach contains a small volume of gas with the pylorus appropriately gas-filled on the left lateral image. The thickness of the gastric wall is within normal limits for the degree of gastric distention. The small intestines are normal in size, course and content. The colon contains a small volume of gas with a normal diameter. The liver and spleen are normal in size and margin. The kidneys are normal in size and contour. The urinary bladder is normal in size and opacity. There is no uterine dilation. The included thorax is normal. The osseous structures are unremarkable.</t>
  </si>
  <si>
    <t xml:space="preserve">
1.The stomach contains a mild amount of gas and soft tissue material._x000D_
2.No small intestinal segmental dilation is noted._x000D_
3.The liver size is at the lower limits of normal to slightly small._x000D_
4.Splenic size, shape and margin are normal._x000D_
5.The serosal detail is adequate.</t>
  </si>
  <si>
    <t>Three radiographs of the thorax/abdomen are provided. The cardiac silhouette and pulmonary vessels are normal size and shape. There are no abnormalities in the pulmonary parenchyma or pleural space. Soft tissue thickening with punctate gas lucencies dorsal to the thoracic spine consistent with recent subcutaneous fluid administration. In the abdomen serosal detail is adequate. There is moderate volume soft tissue opaque ingesta in the stomach. Small bowel are mildly filled with fluid and gas. Small volume semi-formed feces in the colon. No radiopaque gastrointestinal foreign material or cystic calculi. Spondylosis deformans at L3-4 is of doubtful clinical significance today. One of the patellas is likely medially displaced.</t>
  </si>
  <si>
    <t>Normal thorax and postprandial abdomen. Gastric contents is presumably normal ingesta, with images obtained following recent meal. If the images were obtained following at least 12 hours anorexia, foreign material would be more likely.</t>
  </si>
  <si>
    <t>A CBC, blood chemistry profile, and fasted abdominal ultrasound is recommended. Glucose supplementation may be necessary for a fasting study.</t>
  </si>
  <si>
    <t>Three radiographs of the abdomen are provided. The urinary bladder is moderately distended and soft tissue opaque. No abnormalities in the region of the medial iliac lymph nodes. The gastrointestinal tract is mildly filled. Normal-sized liver and spleen. The kidneys are partially visible and also appear to be normal size. No osseous abnormalities.</t>
  </si>
  <si>
    <t xml:space="preserve">
1.See liver finding. The small bowel is diffusely gas- and fluid-filled without segmental small bowel dilation._x000D_
2.Abdominal detail is normal._x000D_
3.Splenic size, shape and margin are normal._x000D_
4.Microhepatia is present with cranial positioning to the gastric axis.</t>
  </si>
  <si>
    <t>Four radiographs of the abdomen dated 2nd July 2024 are available for review. These are compared with previous radiographs dated 30th June 2024_x000D_
_x000D_
Intra-abdominal findings: The hepatic silhouette is normal in size with smooth borders. The spleen is normal in shape, size and position. The kidneys are partially obscured by gastrointestinal contents, but the visible aspect are normal. The stomach contains a moderate amount of kibble. The small intestines are variably filled with fluid, soft tissue opaque material and gas. Some loculated gas patterns are present. The colon contains a moderate amount of gradually more formed faeces. The urinary bladder is filled. The serosal detail is normal._x000D_
_x000D_
Extra-abdominal findings: No significant abnormalities are detected._x000D_
_x000D_
Included thorax: No significant abnormalities are detected.</t>
  </si>
  <si>
    <t>Normal post-prandial abdomen. In comparison with previous radiographs, the gas and mild fluid distension of the small intestines is no longer present.</t>
  </si>
  <si>
    <t xml:space="preserve">Patient Name : Lucky DiFranco, Date of study: Jul 2, 2024
3 images are provided for review
Canine Thorax (3 Images) - 2 Lateral, 1 Vd
There are no previous radiographs for comparison.
Pulmonary parenchyma: A minimal to mild interstitial pattern is present that is most severe in the right cranial and caudal lung lobes, and left caudal lung lobe in the ventrodorsal image.
Pulmonary vasculature: The pulmonary vasculature is partially obscured in the right and left caudal lung lobes.  There is a suspicion of right cranial and caudal lobar venous enlargement in the left lateral and ventrodorsal images.
Cardiac silhouette: The cardiac silhouette is severely enlarged and tall, occupying greater than 2/3 the height of the thorax. The trachea is dorsally displaced. The caudodorsal margin of the cardiac silhouette is flattened. Rounded increased soft tissue is present in the region of the left atrium in the ventrodorsal image. A soft tissue bulge is at the 2-3 o'clock position of the cardiac silhouette (left auricular appendage). The cardiac silhouette is slightly convex in the region of the right atrium.
Mediastinum: The cranial mediastinum is normal.
Trachea: A soft tissue band partially superimposes over the dorsal aspect of the trachea.  
Esophagus: The esophagus is not well-identified.
Pleural space: The pleural fissure lines are between the right cranial/middle and right middle/caudal lung lobes in the ventrodorsal image.  
Musculoskeletal: The included musculoskeletal structures are normal.
</t>
  </si>
  <si>
    <t>1. Severe left- and mild-right-sided cardiomegaly.
- Differential diagnoses include myxomatous mitral valvular disease with/without tricuspid valvular disease, pulmonary hypertension/cor pulmonale, or unlikely other.
2.Interstitial pulmonary pattern most severe in the caudal lungs with suspected pulmonary venous enlargement is most likely due to left-sided congestive heart failure.
- Non-cardiogenic edema from possible seizure activity is also possible, but considered less likely.   
3. Mild pleural fluid such as from left-sided congestive heart failure versus tangential beam artifact, pleural thickening/folding, or unlikely other.
(amended on 07/02/2024 10:46)
4. Dorsal redundant tracheal membrane versus superimposed normal structures, with/without underlying dynamic airway disease.</t>
  </si>
  <si>
    <t>Diuretic and oxygen therapy, with monitoring for progression/resolution of the pulmonary pattern with serial thoracic radiographs.  Consider Holter monitoring to rule-out syncopal events versus reported seizure activity.  If this is truly seizure activity, neurologist consultation and MRI once stable.  Echocardiography, ECG and blood pressure for further evaluation as well as routine blood work and urinalysis once stable.   Monitoring as directed or sooner if clinical signs acutely change, fail to improve or worsen.
(amended on 07/02/2024 10:46)
Consider bronchoscopy/tracheoscopy and airway sampling for further evaluation if clinically indicated for dynamic airway disease.</t>
  </si>
  <si>
    <t>Opposite lateral and ventrodorsal abdominal radiographs (3 images) dated July 2, 2024._x000D_
_x000D_
_x000D_
The liver and spleen are normal in size and shape. The left kidney is normal in size and shape. The right kidney is best visualized on the lateral views with no abnormalities appreciated. The urinary bladder is small and fluid opaque. The stomach is moderately distended with heterogeneous soft-tissue content and a smaller volume of gas. The soft-tissue content resides in the pyloric antrum on the left lateral view. The proximal duodenum is visible as a mildly gas-filled bowel segment on left lateral view. The remainder of the small intestine is uniformly normal in diameter with most segments empty/collapsed and a minority minimally filled with fluid and gas. The course of the small bowel is unremarkable. The colon contains a small amount of somewhat poorly formed stool this with gas. Retroperitoneal and peritoneal detail are adequate. No regional lymphadenopathy is evident._x000D_
There is lumbosacral spondylosis deformans without disc space narrowing.</t>
  </si>
  <si>
    <t>1. This study is negative for a small intestinal mechanical obstruction or radiopaque foreign material._x000D_
2. The gastric soft tissue content is of unknown clinical relevance and can represent residual ingesta from a functional gastric stasis vs. a mixture of ingesta and clinically significant foreign material. The persistence of soft-tissue content in the nondependent pyloric antrum on the left lateral view may be incidental, but could also represent a pyloric outflow obstruction.</t>
  </si>
  <si>
    <t>Abdominal ultrasound to further examine the gastric content vs. repeat abdominal radiographs after fluids, a single antiemetic injection, and fasting for 16 hours NPO food and 4 hours NPO water to assess appropriate gastric emptying._x000D_
_x000D_
Supportive care with fluid rehydration, antiemetics, gastroprotectants/omeprazole, and bland diet.  CBC, UA, fecal +/- baseline cortisol if not performed with the reported chemistry values. To screen for underlying causes.  Repeat fasted abdominal radiographs or ultrasound if the patient fails medical management.</t>
  </si>
  <si>
    <t>Five orthogonal survey radiographs of the thorax and abdomen dated 2nd July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stomach is mainly empty, with a little gas. There is appropriate gas in the pyloric region on the left lateral image. The small intestines are diffusely mildly distended with a mix of gas and fluid. The caecum is moderately to severely gas dilated. The transverse and descending colon contains poorly formed faeces and gas.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Musculoskeletal findings: No significant abnormalities are detected.</t>
  </si>
  <si>
    <t>1. The findings are suggestive of an enteritis/enterocolitis. This is likely infectious-inflammatory, or secondary to dietary indiscretion. There is no evidence for a foreign body, or segmental obstruction. Considering chronicity of the findings, other organ or systemic diseases such as hepatitis, cholangiohepatitis, pancreatitis should be considered.</t>
  </si>
  <si>
    <t>Consider an abdominal ultrasound. If diarrhoea develops,  supportive management including rehydration, gastroprotectants,  full blood work, faecal analysis may be considered.</t>
  </si>
  <si>
    <t xml:space="preserve">
1.No abnormal AI findings reported._x000D_
2.The spleen and liver appear within normal limits._x000D_
3.Adequate serosal detail is noted in the peritoneal space._x000D_
4.The stomach contains a moderate amount of food-like material and a mild amount of gas._x000D_
5.Several small bowel loops also are mildly gas filled._x000D_
6.No overtly dilated loops of bowel are noted._x000D_
7.The colon appears to contain a small amount of formed stool and a mild but variable amount of gas.</t>
  </si>
  <si>
    <t>7 images of the thorax and abdomen are provided for review. The cardiovascular structures are normal. There is a diffuse interstitial pattern that is considered appropriate for the age of the patient. No pulmonary nodules or enlarged intrathoracic lymph nodes are seen. The pleural and mediastinal structures are normal. Abdominal serosal detail is adequate. The stomach contains a small amount of soft tissue material. The small intestines are normal in size. Gas is present in the colon and cecum. The remaining abdominal organs are normal.</t>
  </si>
  <si>
    <t>Gastric contents in a fasted patient are concerning for foreign material. Severe ileus cannot be excluded but is considered less likely with lack of distension.</t>
  </si>
  <si>
    <t>Consider abdominal ultrasound for further evaluation of the gastrointestinal tract and pancreas. Further fasting and rehydration could be considered with recheck radiographs to determine if gastric contents persist.</t>
  </si>
  <si>
    <t xml:space="preserve">
1.The spleen is smoothly marginated and within normal limits for size._x000D_
2.The stomach contains a small volume of gas._x000D_
3.The small bowel contains gas and fluid. No evidence of obstruction._x000D_
4.There is mild hepatomegaly with smooth margins._x000D_
5.No abnormal AI findings reported.</t>
  </si>
  <si>
    <t>Opposite lateral and ventrodorsal abdominal radiographs (5 images) dated July 2, 2024._x000D_
_x000D_
_x000D_
The liver and spleen are normal in size and shape. The urinary bladder is mildly distended with homogeneous fluid opacity. The kidneys are only partially visible due to superimposed bowel with no abnormalities appreciated. The stomach contains a mild volume of gas, a smaller volume of mobile soft-tissue/fluid content, and has prominent rugal folds. The pyloric antrum is gas-filled on the left lateral view. The small intestine is primarily empty/collapsed with a minority and a small amount of gas and fluid. The cecum contains gas. The colon contains a small and gas and a scant amount of fluid. Retroperitoneal and peritoneal detail are normal. No regional lymphadenopathy is evident._x000D_
No aggressive or clinically significant osseous pathology is identified.</t>
  </si>
  <si>
    <t>Non-obstructive gastroenteritis +/- colitis.  The small amount of mobile gastric content likely represents residual ingesta or fluid pooling from a functional gastric stasis=ZZ90= clinically significant foreign material causing gastric irritation is less likely. Rule out dietary indiscretion or toxin vs. food allergy/intolerance vs. flareup of a chronic enteropathy (ex: IBD) vs. GI infectious vs. systemic/extra GI causes (liver or kidney injury/disease, pancreatitis, endocrine disorder, systemic infection, non-GI neoplasia).</t>
  </si>
  <si>
    <t>Supportive care with fluid rehydration, antiemetics, gastroprotectants/omeprazole, antidiarrheal with probiotic, and bland diet.  General health profile (CBC, chemistry, UA, fecal) +/- spec cPL and baseline cortisol to screen for underlying causes.  Repeat fasted abdominal radiographs or ultrasound if the patient fails medical management.</t>
  </si>
  <si>
    <t xml:space="preserve">
1.The ascending, transverse and descending colon contain gradually more formed faeces._x000D_
2.The small intestines are mildly dilated with a mixture of gas and fluid, and have a mild turgid appearance._x000D_
3.The stomach has a normal axis, with subjectively thickened mucosal folding._x000D_
4.There is a mildly reduced cranial abdominal serosal detail._x000D_
5.The liver is normal in shape, size and opacity._x000D_
6.The spleen is visible and within normal limits.</t>
  </si>
  <si>
    <t>Orthogonal abdomen views made yesterday around noon and a follow-up three-view abdominal study made approximately 24 hours later are provided for interpretation and comparison._x000D_
_x000D_
In the initial radiographs, the stomach is mildly distended with amorphous soft-tissue dense ingesta and a minimal quantity of granular mineral dense debris. Similar material is seen throughout the intestinal tract including the colon. The volume of ingesta in the intestinal tract including the colon is minimal. No distention of the colon/rectum or solid appearing foreign bodies are identified. Abdominal serosal detail is normal. The other organs are within normal size and shape limits._x000D_
_x000D_
In the follow-up radiographs made today, most of the gastric content has moved to the intestinal tract into the colon. The distal colon and rectum are mildly distended with heterogenous fecal material. There are a few loops of small intestine that are slightly gas dilated._x000D_
There is a small quantity of soft-tissue dense ingesta with a semi-formed and slightly irregular appearance remaining within the stomach. The stomach is no longer dilated.</t>
  </si>
  <si>
    <t>The radiographic abnormalities are fairly subtle. The content of the GI tract in the original radiographs appears relatively normal, and no evidence of constipation or obstruction is seen._x000D_
_x000D_
In the follow-up radiographs, the content remaining within the stomach appears mildly irregular, and is still present in spite of the fasting. Most of the gastric content has moved in the colon, and some of this has a mildly irregular appearance as well. The gassy appearance of the intestine is not suggestive of obstruction, but likely represents mild enteritis secondary to the passage of foreign material.</t>
  </si>
  <si>
    <t>A small quantity of what is suspected to be foreign material such as furniture or toy stuffing is still present in the stomach._x000D_
Most of what was likely similar material has moved through the GI tract into the colon, so conservative management is recommended at this time with the expectation that all the foreign material will eventually pass._x000D_
_x000D_
Follow-up imaging such as a barium upper GI study or ultrasound should be considered if clinical signs of persistent for material or obstruction appear over the next 48 hours.</t>
  </si>
  <si>
    <t>Study:_x000D_
Abdominal radiography: four images dated May 21, 2024_x000D_
_x000D_
Findings:_x000D_
The stomach unstructured heterogeneous/granular soft tissue material presumed to be ingesta. Some small intestinal segments contain similar material. The small intestines are otherwise gas and fluid-filled and normal in size and course. The colon contains gas and poorly formed fecal material with a corrugated wall. The liver and spleen are normal in size and margin. The renal silhouettes are normal in size and contour. The urinary bladder is normal in size and opacity. There is no uterine dilation. The included thorax is normal. The osseous structures are unremarkable.</t>
  </si>
  <si>
    <t>There is evidence of nonspecific colitis in this prior study. The abdomen is otherwise unremarkable.</t>
  </si>
  <si>
    <t>Consider repeat abdominal radiography to evaluate for any evidence of mechanical obstruction secondary to be possible dietary indiscretion. Alternatively, abdominal sonography can be considered for further evaluation if clinical signs persist or worsen in spite of medical management.</t>
  </si>
  <si>
    <t>Five radiographs of the thorax and abdomen are provided. The studies compared to the previous dated 2-16-24._x000D_
_x000D_
There is severe dynamic narrowing of the trachea and lobar bronchi. Many of the lobar bronchi have a dilated appearance consistent with bronchiectasis. Moderate interstitial to alveolar infiltrates are present in the caudal lung fields, more prominent on the left side. Mild interstitial opacity is also present in the cranial subsegment of both cranial lobes. There is mild generalized cardiomegaly, that was not present in the previous radiographs._x000D_
_x000D_
There is moderate to severe hepatomegaly. The liver enlargement has also progressed relative to the previous study. There is a mineral dense foreign body in the stomach, approximately 2.5 cm in length in 1 cm and thickness, likely with irregular shape. The appearance is compatible with a rock, but different from the rocks seen in the stomach in the previous radiographs. There are a few loops of mildly gas dilated small intestine. Serosal detail in the abdomen is mildly reduced._x000D_
_x000D_
There is severe narrowing of the C5-C6 intervertebral disc space, and moderate narrowing at T13-L1.</t>
  </si>
  <si>
    <t>Interstitial to alveolar pulmonary infiltrates are present, most prominent in the caudal lobes. The appearance would be compatible with congestive heart failure or pneumonia. There is generalized heart enlargement that was not present in the previous radiographs a few months ago. Heart failure is a consideration but pneumonia is felt more likely._x000D_
There is also progressive hepatomegaly and a mild reduction in abdominal detail. Neoplasia such as lymphoma should also be ruled out as a cause of the pulmonary infiltrates and hepatomegaly._x000D_
_x000D_
There is a foreign body in the stomach, but this may not be responsible for the current clinical signs. There are a few mildly dilated small bowel loops, but the appearance is not suggestive of obstruction at this time in the foreign body is suspected to be in the stomach._x000D_
_x000D_
Other causes for the hepatomegaly such as infectious disease or endocrine disease should also be ruled out.</t>
  </si>
  <si>
    <t>Ultrasound the abdomen to evaluate for evidence of potential neoplasia such as lymphoma and FNA of the liver for cytologic evaluation is recommended._x000D_
_x000D_
The cause of the pulmonary infiltrates is not definitively known at this time, empiric antibiotic therapy for possible pneumonia is recommended._x000D_
_x000D_
Echocardiography is recommended to further assess the severity of the heart disease and likelihood of heart failure as a cause of the pulmonary changes._x000D_
_x000D_
There is pulmonary evidence of chronic bronchitis as well as chondromalacia and dynamic airway collapse. Long-term symptomatic therapy for the cough is likely indicated after resolution of the current active appearing pulmonary infiltrates_x000D_
_x000D_
Disc degeneration is present in the caudal cervical spine and thoracolumbar junction. Symptomatic therapy is recommended as needed.</t>
  </si>
  <si>
    <t>Three radiographs of the thorax/abdomen are provided. Images dated 4/1/22 are available for comparison. The cardiac silhouette is normal size and shape on the lateral views. Fat deposition encircles the heart and extends into the cranial mediastinum on the VD projection. Pulmonary vessels are normal size. There is a small area of increased opacity overlying the cranial heart on the right lateral view. This is not definitively seen on the VD projection, and is at the same level as a skinfold. There is no pleural effusion. Small volume gas in the esophagus is transient and incidental. Normal tracheal diameter. In the abdomen serosal detail is adequate. The prostate is mildly enlarged, consistent with the reproductive status of this patient. Normal-sized kidneys, liver, spleen. The gastrointestinal tract is mildly filled. Punctate mineral density overlying the urinary bladder on the left lateral view is not persistent and is likely superimposed intestinal contents.</t>
  </si>
  <si>
    <t>1. Increased opacity overlying the cranial heart on the right lateral view is concerning for focal aspiration pneumonia. Summating skinfold could also cause this appearance. No other abnormalities are identified to explain the cough._x000D_
2. Normal abdomen.</t>
  </si>
  <si>
    <t>If the patient is febrile or has elevated white blood cell count, antibiotics would be recommended. Otherwise, this patient may benefit from symptomatic treatment for the cough.</t>
  </si>
  <si>
    <t>Study:_x000D_
Abdominal radiography: right lateral and orthogonal views dated July 2, 2024_x000D_
_x000D_
Findings:_x000D_
The stomach contains heterogeneous soft tissue material with multiple small interspersed linear mineral opacities. The small intestines are gas-filled and normal in size and course. The colon contains formed fecal material. The liver and spleen are normal in size and margin. The renal silhouettes are normal in size and contour. The urinary bladder is normal in size and opacity. There is mild T 12-T 13, mild T 13-L1 and moderate L2-L3 spondylosis deformans. The included thorax is normal.</t>
  </si>
  <si>
    <t>Three radiographs of the thorax/abdomen are provided. Images dated 7/20/22 are available for comparison. The cardiac silhouette and pulmonary vessels are normal size and shape. There are mild age-related changes in the lungs. No pleural effusion or pulmonary nodules. Normal cranial mediastinal width and tracheal diameter. In the abdomen there is small volume fluid and gas in the stomach. The cranial right quadrant has a hazy appearance on the VD projection. Round soft tissue contour in the cranioventral abdomen on the lateral views is likely fluid in the pylorus. There is slight hazy soft tissue density ventral to the pylorus on both lateral views. Small bowel are mildly filled with fluid and scant gas. There is gas and small volume formed feces in the cecum and colon. Two linear metal opaque 2.2 cm wire objects in the ventral peritoneal space as before, incidental. No radiopaque urolithiasis. Normal-sized liver, kidneys, spleen. The lateral margins of the left kidney are smoothly irregular suggestive of previous infarcts, of doubtful significance today.</t>
  </si>
  <si>
    <t>Hazy cranial right quadrant and adjacent to the pylorus suggestive of gastritis/pancreatitis. No other definitive abdominal abnormalities. The thorax is normal.</t>
  </si>
  <si>
    <t xml:space="preserve">
1.There is a decrease in abdominal detail. This may be attributed to superimposition of soft tissue structures secondary to the caudal extension of the liver however a component of mesenteric inflammation and/or small volume of fluid cannot be excluded._x000D_
2.The stomach is slightly caudally positioned due to the hepatomegaly and has a normal to slightly caudally displaced gastric axis secondary to the hepatomegaly._x000D_
3.The intestines are displaced caudally into the mid- and caudal abdomen by the cranial abdominal organomegaly. The intestines are gas- and fluid-filled with the bowel being distended suggestive of a functional ileus or potentially a mechanical obstruction._x000D_
4.The ventral abdominal line is mildly pendulous._x000D_
5.There is smoothly margined hepatomegaly. On the VD projection, the hepatomegaly is mildly asymmetric._x000D_
6.The spleen is normal.</t>
  </si>
  <si>
    <t>Three radiographs of the thorax, and a right lateral view of the abdomen are provided. Images dated June 29, 2024 were reviewed for comparison. There is improved aeration in the mid ventral right lungs, with a small area of moderate interstitial pattern remaining, seen ventral to the tracheal bifurcation on the left lateral projection, and in the lateral aspect of the right 5th intercostal space on the VD projection. Otherwise the lungs are clear. Cardiovascular structures are normal size. Normal tracheal diameter._x000D_
_x000D_
In the abdomen the stomach contains a moderate amount of soft tissue opacity that is stippled with gas. Small intestines are diffusely mildly filled with fluid and scant gas. Moderate volume semi-formed feces in the colon. There is a single punctate mineral opaque focus in the distal colon. No other foreign material is appreciated. There is no effusion. Normal-sized liver, spleen, right kidney. The left kidney is not included on the VD projection.</t>
  </si>
  <si>
    <t>1. Pneumonia is significantly improved but not resolved. There is mild residual pneumonia in the right middle lobe._x000D_
2. Normal postprandial abdomen. Gastric contents appears to be normal ingesta. Small radiolucent foreign material also within the stomach is not definitively ruled out but given much lesser consideration in the absence of persistent vomiting.</t>
  </si>
  <si>
    <t>Recommend continue supportive care as needed. If the patient does not continue to improve, strictly fasted abdominal ultrasound would be recommended. If not available, a positive contrast gastrogram is another option.</t>
  </si>
  <si>
    <t>Three radiographs of the thorax, and three views of the abdomen are provided. The cardiac silhouette is normal size and shape. Pulmonary vessels are normal size. There are no abnormalities in the pulmonary parenchyma. Normal tracheal diameter. No esophageal dilation. In the abdomen there is large volume soft tissue opaque ingesta in the stomach. Small intestines are moderately gas-filled. Formed feces filled the distal colon. There is a curved 3.3 cm soft tissue opacity immediately cranial to the urinary bladder on both of the lateral views. Normal size splenic head, left kidney, liver. The right kidney is obscured. The urinary bladder is mildly filled and soft tissue opaque. No osseous abnormalities.</t>
  </si>
  <si>
    <t>1. Soft tissue density in the caudoventral abdomen may represent incidental appearance of a normal splenic tail, although is more rounded than expected. Fluid-filled uterine horns (pyometra, mucometra, hydrometra) is not definitively ruled out. No other abdominal abnormalities.
2. Normal thorax.</t>
  </si>
  <si>
    <t>Abdominal ultrasound should be considered to evaluate the spleen and uterus. There is no contraindication for general anesthesia based on this study.</t>
  </si>
  <si>
    <t>Study:_x000D_
Thoracic and abdominal radiography: seven images dated July 2, 2024_x000D_
_x000D_
Findings:_x000D_
The cardiac silhouette and pulmonary vasculature are normal in size. There is a mild to moderate generalized bronchial palmar a pattern. No alveolar disease is present. The pleural space is normal. There is no intrathoracic lymphadenopathy. The larynx is unremarkable. The trachea is normal in diameter and course. There is no esophageal dilation. The stomach contains heterogeneous/granular soft tissue material presumed to be ingesta. Similar material is present in some small intestinal segments. The small intestines are normal in size and course. The colon contains formed fecal material. The liver extends moderately beyond the costal arch with smooth and sharp margins. The spleen is normal in size and margin. The renal silhouettes are normal in size and contour. The urinary bladder is normal in size and opacity. The osseous structures are unremarkable. The patient is of overweight body condition.</t>
  </si>
  <si>
    <t>1. The mild generalized bronchial pulmonary pattern may indicate allergic, inflammatory, infectious, parasitic or irritant bronchitis. In addition to the pending heartworm test, airway sampling plus/minus Baermann fecal flotation can be considered for further evaluation. There is no evidence of aspiration pneumonia._x000D_
2. The generalized hepatomegaly is nonspecific. Rule out metabolic/vacuolar hepatopathy, hyperplasia, hepatitis or infiltrative neoplasia. Sonography can be considered for further evaluation. The abdomen is otherwise unremarkable.</t>
  </si>
  <si>
    <t>A cause of the reported vomiting versus regurgitation is not evident. There is no evidence of small intestinal mechanical obstruction or an esophageal motility disorder. Consider abdominal sonography plus/minus an esophagogram for further evaluation if clinical signs persist or worsen in spite of medical management.</t>
  </si>
  <si>
    <t xml:space="preserve">
1.The stomach is normal. The small bowel is diffusely gas- and fluid-filled without segmental small bowel dilation._x000D_
2.The liver is moderately enlarged._x000D_
3.Splenic size, shape and margin are normal._x000D_
4.Abdominal detail is normal.</t>
  </si>
  <si>
    <t>Opposite lateral and ventrodorsal abdominal radiographs (4 images) dated July 2, 2024._x000D_
_x000D_
The liver and spleen are normal in size and shape. Both kidneys are normal in size and shape. The urinary bladder is small and poorly visualized. The stomach contains a mild volume of mobile homogeneous soft-tissue/fluid content and a smaller volume of gas. This material is mobile between views, and the pyloric antrum is gas-filled on the left lateral projection. The small intestine is uniformly normal in diameter with segments empty/collapsed or minimally distended with gas and fluid and having broad ropelike turns in its course to give it a subjectively turgid appearance. The colon contains a scant amount of poorly formed stool. Retroperitoneal and peritoneal detail are adequate. No regional lymphadenopathy is evident._x000D_
No osseous abnormalities are detected.</t>
  </si>
  <si>
    <t>Non-obstructive gastroenteritis and colitis. The mobile soft-tissue/fluid content in the stomach is suspected represent residual ingesta or fluid pooling from a functional gastric stasis=ZZ90= clinically significant foreign material causing gastric irritation is considered less likely._x000D_
Rule out dietary indiscretion or toxin vs. food allergy/intolerance vs. flareup of a chronic enteropathy (ex: IBD) vs. GI infectious vs. systemic/extra GI causes (liver or kidney injury/disease, endocrine disorder, systemic infection).</t>
  </si>
  <si>
    <t>Supportive care with fluid rehydration, antiemetics, gastroprotectants/omeprazole, antidiarrheal with probiotic, and bland diet.  General health profile (CBC, chemistry, UA, fecal) +/- spec cPL to screen for underlying causes.  Repeat fasted abdominal radiographs or ideally abdominal ultrasound if the patient fails medical management.</t>
  </si>
  <si>
    <t xml:space="preserve">
1.The liver and spleen are normal._x000D_
2.No abnormal AI findings reported._x000D_
3.Abdominal detail is normal._x000D_
4.The stomach is distended._x000D_
5.The small intestinal tract is diffusely mildly distended and mostly gas-filled with some of the intestinal loops containing heterogenous material._x000D_
6.The colon and cecum are gas-filled and the colon has a rigid appearance.</t>
  </si>
  <si>
    <t>Study:_x000D_
Abdominal radiography: three images dated July 1, 2024_x000D_
_x000D_
Findings:_x000D_
The stomach contains a small volume of gas. The thickness of the gastric wall and rugae are considered within normal limits for the degree of gastric distention. The small intestines are normal in size, course and content. The colon is gas filled. The liver is normal in size and margin. The spleen is moderately enlarged with smooth margins. The kidneys are normal in size and contour. The urinary bladder is normal in size and opacity. There is no prostatomegaly. The included thorax is normal. The L1 vertebra is transitional with bilateral hypoplastic ribs</t>
  </si>
  <si>
    <t xml:space="preserve">
1.Liver size, shape and margin are normal._x000D_
2.Splenic size, shape and margin are normal._x000D_
3.Abdominal detail is normal._x000D_
4.The stomach is mildly gas and fluid filled. The small bowel is gas and fluid-containing. No findings of complete obstruction.</t>
  </si>
  <si>
    <t>The appearance of the GI tract is likely related to normal ingesta in the absence of GI symptoms. However, if GI symptoms are present, gastroenteritis/colitis secondary to dietary indiscretion or infectious causes is suspected.</t>
  </si>
  <si>
    <t>Thorax: There is no evidence of pulmonary metastatic disease.  The pulmonary parenchyma, cardiac silhouette, and pulmonary vasculature are unremarkable.  There is no evidence of pleural effusion or lymphadenopathy.  There is a large subcutaneous mass with a fat opacity along the right lateral thorax.  Abdomen: There is mild amount of heterogeneous soft tissue opacity within the gastric lumen without evidence of obstruction.  The duodenum and segments of jejunum have small mineral debris within their lumens.  There is no evidence of a small intestinal obstructive process.  The liver is diffusely enlarged with rounding of its caudal ventral margins.  The remainder of the abdominal viscera is unremarkable.</t>
  </si>
  <si>
    <t>Subcutaneous lipoma along the right lateral thoracic wall._x000D_
_x000D_
Diffuse hepatomegaly.  Primary differential considerations include a hepatopathy or possible hepatitis._x000D_
_x000D_
The material within the gastric lumen most likely represents normal ingesta however foreign material cannot be ruled out._x000D_
_x000D_
Minimal debris within the small intestines without evidence of obstruction.</t>
  </si>
  <si>
    <t>Orthogonal views of the thorax and spine are provided. There are eight images total._x000D_
_x000D_
Mild left sided heart enlargement is identified. The pulmonary vessels and parenchyma are within normal limits._x000D_
The liver is smaller than expected for patient size._x000D_
_x000D_
The C3-C4 disc space appears moderately narrowed in the lateral view and the C4-C5 disc space appears moderately narrowed in the VD view, but neither can be definitively corroborated in the orthogonal view._x000D_
There is variable disc space narrowing involving multiple locations in the thoracic spine. No significant abnormalities are seen involving the lumbar spine, although the lumbosacral region is not included in the lateral views._x000D_
The pelvis and hips are within normal limits.</t>
  </si>
  <si>
    <t>1) There is mild left sided cardiomegaly. Chronic mitral valve regurgitation would be the most likely explanation. No pulmonary disease or evidence of heart failure is identified._x000D_
_x000D_
2) There is suspicion of disc space narrowing in the mid cervical spine, but this cannot be definitively determined from this study. Disc disease would be a potential explanation for the suspected pain. Other soft tissue pathology not apparent in the radiographs should still be ruled out. No evidence of discospondylitis is identified._x000D_
The narrowed disc spaces in the thoracic spine is unlikely to be significant.</t>
  </si>
  <si>
    <t>The radiographic appearance of the spine is inconclusive._x000D_
Dedicated cervical spinal radiographs under anesthesia with positioning age could be considered for more definitive evaluation of disc spaces._x000D_
Cross sectional imaging such as MRI would be ideal, and should be considered depending on the severity of clinical signs and response to empiric medical management for possible disc disease.</t>
  </si>
  <si>
    <t xml:space="preserve">Patient Name : Ella Gray, Date of study: Jul 1, 2024
4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moderate heterogeneous soft tissue material and gas.  The stomach is within normal limits for size. Gas is in the pylorus and descending duodenum in the left lateral image.  
The small intestine contains mild to moderate gas and fluid or is empty.  Multiple well-defined small ovoid mineral foci are superimposed over the small intestine and colon.  Some small intestinal segments with gas and enlarged compared to other segments.  
The colon contains mild to moderate heterogeneous soft tissue material and gas.
Musculoskeletal: The included musculoskeletal structures are normal.
</t>
  </si>
  <si>
    <t>1. Small intestinal changes due to non-specific enteritis versus evolving mechanical ileus.
2. Possible small intestinal versus colonic mineral foreign material due to reported diet (BARF) versus dietary indiscretion, with/without enteritis/colitis.</t>
  </si>
  <si>
    <t xml:space="preserve">Consider empirical therapy and supportive care for dietary indiscretion and repeat radiographs after 8-12 hours of fasting to monitor for progression/improvement of the small intestinal appearance.  Alternatively, consider abdominal ultrasonography.  Routine blood work, fecal analysis/deworming may be contributory.  Monitoring as directed, or sooner if clinical signs acutely change or worsen in the face of empirical therapy and supportive care.  </t>
  </si>
  <si>
    <t xml:space="preserve">
1.Abdominal detail is normal._x000D_
2.The small intestinal tract contains normal volumes of fluid, gas and ingesta._x000D_
3.The ascending, transverse and descending colon are in a normal position and contain gradually more formed feces._x000D_
4.The stomach contains a small amount of air and either has prominent gastric rugae or contains a small amount of soft tissue material._x000D_
5.On the VD projection, the hepatic silhouette appears small however on the lateral projection, the hepatic silhouette is normal._x000D_
6.Splenic size, shape and margin are normal.</t>
  </si>
  <si>
    <t>Thorax: The pulmonary parenchyma, cardiac silhouette, and pulmonary vasculature are unremarkable.  There is no evidence of pleural effusion or lymphadenopathy.  There is thoracic lumbar vertebral spondylosis deformans._x000D_
_x000D_
Abdomen: There is mild diffuse hepatomegaly.  The remainder of the abdominal viscera is unremarkable.  There are regions of spondylosis deformities involving the caudal portions of the thoracic vertebral column and cranial portions of the lumbar vertebral column as well as the lumbosacral junction.</t>
  </si>
  <si>
    <t>Unremarkable thorax._x000D_
_x000D_
Diffuse hepatomegaly._x000D_
_x000D_
Multiple regions of spondylosis deformans.</t>
  </si>
  <si>
    <t>Orthogonal views of the thorax and abdomen are provided:_x000D_
_x000D_
Thorax:_x000D_
_x000D_
Cardiac silhouette shows a mild enlargement of the left atrium dorsally displacing the carina._x000D_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WNL._x000D_
Ventral and lefts died SC lipomas.</t>
  </si>
  <si>
    <t>1) Left atrial enlargement secondary to chronic mitral endocardiosis vs cardiomyopathy, without signs of CHF._x000D_
2) Unremarkable abdomen.</t>
  </si>
  <si>
    <t>Consider a cardiology consultation with ECG and echocardiogram and abdominal US to further evaluate the GI signs and potential anemia.</t>
  </si>
  <si>
    <t>A two view thoracoabdominal study is provided for interpretation._x000D_
_x000D_
No pulmonary infiltrates or bronchial thickening are identified. The appearance of the trachea and larynx is unremarkable. The cardiovascular structures are within normal limits._x000D_
_x000D_
The liver is markedly enlarged, with rounding of the margins. The other abdominal organs are within normal size and shape limits. Abdominal serosal detail is normal.</t>
  </si>
  <si>
    <t>No thoracic or tracheal abnormalities are identified to explain the cough._x000D_
Allergic lung disease would be most likely. Low-grade idiopathic chronic bronchitis or viral tracheobronchitis could also still be present without more significant radiographic changes._x000D_
_x000D_
There is marked hepatomegaly. Diffuse liver disease including metabolic or endocrine associated hepatopathies vs. less likely hepatitis or neoplasia should be ruled out.</t>
  </si>
  <si>
    <t>CBC and serum chemistry is recommended._x000D_
_x000D_
Symptomatic therapy for the cough is recommended._x000D_
_x000D_
If the cough persists long-term, bronchoscopy could be considered for definitive diagnosis.</t>
  </si>
  <si>
    <t xml:space="preserve">
1.The small intestine is diffusely fluid filled._x000D_
2.The liver is enlarged with rounded borders._x000D_
3.There is increased soft tissue opacity in the splenic region. DDx: secondary to caudal extension of the liver vs. loss of detail due to abdominal fluid vs. splenomegaly or a splenic mass._x000D_
4.There is poor detail identified in the abdomen. DDx: secondary to hepatomegaly causing crowding of the abdominal organs and/or abdominal fluid._x000D_
5.The abdomen is mildly pendulous._x000D_
6.The stomach contains fluid and some gas.</t>
  </si>
  <si>
    <t xml:space="preserve">Patient Name : Gus Gus Collins, Date of study: Jul 1, 2024
3 images are provided for review
Canine Abdomen (3 Images) - 1 Vd, 2 Lateral
Compared to prior dated 09/04/2023.
Liver: The liver is slightly enlarged in the right lateral image with caudal displacement of the gastric axis.  This is not corroborated in the orthogonal images.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to moderate volume of heterogeneous soft tissue material and gas.  The stomach is subjectively normal in size.  Gastric rugal folds are minimally prominent in the ventrodorsal image. 
The small intestine contains mild to moderate heterogeneous soft tissue material, gas and fluid or is empty with a subjectively uniform population for size. 
The colon contains mild heterogeneous soft tissue material and gas.  the colon is normal in size.
Musculoskeletal: The included musculoskeletal structures are normal.
</t>
  </si>
  <si>
    <t>1. Gastric material due to recent meal, versus gastritis/delayed gastric emptying or unlikely pyloric outflow tract obstruction.
2. Non-specific small intestinal and colon changes such as from enteritis, colitis, or individual variation of normal.
- Differential diagnoses for enteritis/colitis include dietary indiscretion, toxin ingestion, diet/antibiotic responsive disease, inflammatory bowel disease, parasitism/primary infectious disease, hemorrhagic enterocolitis, pancreatitis or occult systemic disease.
- There is no current evidence of small intestinal mechanical ileus.
3. Equivocal hepatomegaly due to variation of normal versus vacuolar change, nodular hyperplasia, hepatitis/cholangiohepatitis, or unlikely other.</t>
  </si>
  <si>
    <t>Consider GI panel, bile acid testing, fecal analysis/deworming and routine blood work for further evaluation.  Routine blood work if not recently performed.  Abdominal ultrasonography for further evaluation of the liver and gastrointestinal tract.  Empirical therapy and supportive care in the interim as needed.  Monitoring with repeat abdominal radiographs if signs fail to improve or worsen.</t>
  </si>
  <si>
    <t>Study:_x000D_
Spinal radiography: six images dated July 1, 2024_x000D_
_x000D_
Findings:_x000D_
The dens is intact and well defined. The atlantoaxial joint space is normal. There is no cervical or thoracic intervertebral disc space narrowing. The L3-L4 through L5-L6 intervertebral displaces mildly narrowed. There is a small mineral opacity superimposed with the L6-L7 intervertebral foramen. The coxofemoral joints are normal with good coverage of the femoral head by the acetabulum bilaterally. The included thorax is normal. The included abdomen is unremarkable.</t>
  </si>
  <si>
    <t>1. L3-L4 through L5-L6 intervertebral disc disease is suspected._x000D_
2. The mineral opacity superimposed with the L6-L7 intervertebral foramen may indicate herniated mineralized disc material or lateralized spondylosis deformans.</t>
  </si>
  <si>
    <t>Consider neurology consultation and MRI if clinical signs persist or worsen in spite of activity restriction and pain management.</t>
  </si>
  <si>
    <t xml:space="preserve">
1.Abdominal detail is normal._x000D_
2.The GI tract is normal._x000D_
3.Splenic size, shape and margin are normal._x000D_
4.Liver size, shape and margin are normal.</t>
  </si>
  <si>
    <t>8 images of the thorax, abdomen, and skull are provided for review.  The cardiovascular structures are normal.  Alveolar opacity is present in the right middle and left cranial lung lobes.  The mediastinal and pleural structures are normal.  Abdominal serosal detail is adequate in all quadrants.  The stomach contains a moderate amount of gas and the rugal folds are prominent.  The small intestines are normal in size.  Gas and feces are present in the colon.  The urinary bladder is small.  The remaining abdominal organs are normal.  Multiple teeth are absent.  The rostral portion of the mandible is lytic and directed laterally (a marker is not visible on the open-mouth DV view to determine laterality).</t>
  </si>
  <si>
    <t>Prominent rugal folds suggestive of gastritis.  This does not rule out underlying pancreatitis or infiltrative neoplasia.  Abdominal ultrasound could be considered in further evaluation.  Alveolar pulmonary pattern concerning for aspiration type pneumonia.  Airway sampling may be helpful in further evaluation.  Rostral mandibular fracture.  Lucency suggesting underlying aggressive lesion such as neoplasia or osteomyelitis.  Biopsy may be necessary for definitive diagnosis.</t>
  </si>
  <si>
    <t xml:space="preserve">
1.The spleen is enlarged but retains a smooth margin._x000D_
2.Decreased serosal detail._x000D_
3.There is heterogeneous soft tissue opacity in the stomach._x000D_
4.Liver size, shape and margin are normal._x000D_
5.No small intestinal segmental dilation is noted. No signs of obstruction.</t>
  </si>
  <si>
    <t>Study:_x000D_
Abdominal radiography: three images dated July 1, 2024_x000D_
_x000D_
Compared to prior study dated October 21, 2021_x000D_
_x000D_
Findings:_x000D_
The stomach contains a small volume of gas. The small intestines are normal in size, course and content. The colon contains formed fecal material. The liver and spleen are normal in size and margin. The kidneys are normal in size and contour. The urinary bladder is moderately distended. No mineral opaque calculi are present in the bladder or region of the urethra. There is no apparent prostatomegaly. Multiple punctate mineral foci consistent with incidental pulmonary osteomas are present in the included caudal lung fields. The osseous structures are unremarkable.</t>
  </si>
  <si>
    <t>There is no urocystolithiasis. The moderate urinary bladder distention may be secondary to conscious retention. Non-radiopaque urinary obstruction cannot be completely excluded. Urine culture and abdominal sonography can be considered for further evaluation of the recurrent urinary tract infections.</t>
  </si>
  <si>
    <t xml:space="preserve">
1.A mild amount of air is present in the cranial duodenum in the ventrodorsal image._x000D_
2.The small intestinal tract contains normal volumes of fluid, gas and ingesta but portions have a rigid appearance._x000D_
3.The ascending, transverse and descending colon are in a normal position and contain gradually more formed feces._x000D_
4.The stomach contains a small amount of air and either has prominent gastric rugae or contains a small amount of soft tissue material._x000D_
5.Splenic size, shape and margin are normal._x000D_
6.Abdominal detail in the cranial abdomen is mildly decreased on the lateral projection._x000D_
7.Liver size is at the lower limits of normal but retains a smooth margin.</t>
  </si>
  <si>
    <t>Six orthogonal survey radiographs of the thorax and abdomen dated 1st July 2024 are available for review. There are no previous radiographs available for comparison. _x000D_
_x000D_
Thorax: _x000D_
Airway findings: A smoothly marginated soft tissue opacity is variably present overlying the dorsal aspect of the trachea at the thoracic inlet. This opacity reduces approximately 20% of the dorsoventral diameter of the trachea. The intrathoracic trachea is normal. The thorax is hypoinflated. There is a mild bronchointerstitial opacification._x000D_
_x000D_
Cardiovascular findings: There is a small smoothly marginated soft tissue opacity contiguous with the caudal dorsal border of the cardiac silhouette. A soft tissue opacity is superimposed on the caudal cardiac silhouette in the dorsoventral image.  The overall cardiac silhouette is still within normal limits. The pulmonary vessels as well as the mainstem vasculature are normal._x000D_
_x000D_
Mediastinum and pleural space: Some thin pleural fissure lines are present. _x000D_
_x000D_
Abdomen: The buttock silhouette to smoothly enlarged. The tail of the spleen is prominent. The stomach is mainly empty, containing some gas. There is appropriate gas in the pylorus on the left lateral image. The small intestines are mainly empty. The descending colon contains some gas and poorly formed faeces. The urinary bladder is filled. The kidneys are partially obscured by gastrointestinal contents, but the visible aspect are normal. The serosal detail is normal._x000D_
_x000D_
Musculoskeletal findings: The patient is obese.</t>
  </si>
  <si>
    <t>1. The dorsal attenuation of the trachea is consistent with redundant trachealis membrane or overlying musculature. _x000D_
2. Caudal dorsal mild bronchointerstitial pattern: Primary consideration should be given to normal ageing/fibrosis from previous disease and hypoinflation. Allergic bronchitis, chronic bacterial /viral bronchitis +/- parasitic bronchitis should also be considered. Less likely are hyperardenocorticism, neoplasia (such a lymphoma) or idiopathic pulmonary fibrosis.  _x000D_
3 Left atrial dilation. This is most likely due to mixoid degeneration of the mitral valve. There is no evidence for cardiac insufficiency. _x000D_
4.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origins._x000D_
5. Mild splenomegaly: differential diagnoses include passive congestion from sedation (if administered), splenitis, extramedullary hematopoiesis, lymphoid hyperplasia, or neoplasia.</t>
  </si>
  <si>
    <t>Correlate with palpation testing for upper respiratory disease. Consider evaluation for airway collapse (fluoroscopy vs. right lateral inspiratory and expiratory radiographs vs. CT with virtual bronchoscopy). _x000D_
Respiratory workup including CBC, serum chemistry, urinalysis, Baermann faecal testing, 4DX, +/- respiratory panel as indicated may be considered.  Alternatively, diagnostic /empirical therapy for lower airway disease, empirical deworming, and removal of allergens and environmental irritants (i.e. smoke, dust, perfumes, etc.) can be considered. _x000D_
Radiography is insensitive for early cardiac insufficiency, therefore ECG, blood pressure measurements, and echocardiography may be considered for further evaluation, or baseline measurements._x000D_
Consider abdominal ultrasonographic examination, with a view to FNA of abnormal organs, after complete blood work, and a normal coagulation panel.</t>
  </si>
  <si>
    <t xml:space="preserve">
1.The liver is partially obscured but appears mildly enlarged._x000D_
2.A mid-abdominal mass is identified._x000D_
3.On the lateral views, the mass is in the splenic region._x000D_
4.Abdominal detail is diffusely decreased._x000D_
5.The abdomen is pendulous._x000D_
6.Gas filled and somewhat rigid Intestines are deviated by the mass.</t>
  </si>
  <si>
    <t>A two view thoracoabdominal study is provided for interpretation._x000D_
_x000D_
Rugal folds in the stomach are slightly prominent. No foreign bodies are identified in the GI tract. No dilation of the stomach or intestine is seen. Serosal detail in the abdomen is normal. The other organs are within normal size and shape limits._x000D_
The cardiovascular structures are within normal limits. No pulmonary or pleural abnormalities are seen. No esophageal abnormalities are identified.</t>
  </si>
  <si>
    <t>No foreign bodies or obstructive pattern are identified. Gastroenteritis is most likely. Pancreatitis should also be ruled out._x000D_
No thoracic abnormalities are identified.</t>
  </si>
  <si>
    <t>Symptomatic therapy and supportive care is recommended._x000D_
Infectious causes of enteritis and parasitism should be ruled out.</t>
  </si>
  <si>
    <t xml:space="preserve">
1.The stomach is mildly to moderately gas distended._x000D_
2.The small bowel is diffusely gas- and fluid-filled with intestinal distention approaching the upper limit of normal. In a small portion of cases, uterine horn distention could mimic small bowel dilation._x000D_
3.Cranial abdominal detail is mildly decreased._x000D_
4.Liver size is at the lower limits of normal to slightly small with cranial displacement of the gastric axis._x000D_
5.Resource: https://platform.v2.vetology.net/doc/microhepatia_and_giulcers_x000D_
6.Splenic size, shape and margin are normal.</t>
  </si>
  <si>
    <t>Orthogonal views of the thorax are provided:_x000D_
_x000D_
Thorax:_x000D_
_x000D_
Questionable narrowing of the trachea at the caudal cervical region._x000D_
Cardiac silhouette has a normal shape and size._x000D_
Pulmonary vessels are within normal limits of size and shape._x000D_
Pulmonary parenchyma is within normal limits. No evidence of aspiration pneumonia nor signs of pulmonary nodules/masses._x000D_
Pleural space, mediastinum, diaphragm and thoracic wall within normal limits._x000D_
_x000D_
Liver extends beyond the costal arch with sharp margins.</t>
  </si>
  <si>
    <t>1) Rule out dynamic cervical tracheal collapse. Unremarkable thorax without signs of cardiomegaly (this does not exclude a cardiac disease), pulmonary metastases nor signs of thoracic lymphadenopathy. _x000D_
2) Hepatomegaly: Metabolic vs Vacuolar infiltration vs Hepatic nodular hyperplasia vs Inflammatory vs Toxic vs Neoplastic or a combination of these differentials.</t>
  </si>
  <si>
    <t>Given the lack of cardiomegaly but audible murmur, consider a cardiology consultation with ECG and echocardiogram followed by an abdominal US to further evaluate the hepatic parenchyma prior to a fluoroscopy (followed by tracheobronchoscopy, BAL and culture/cytology) to rule in extrathoracic tracheal collapse and to rule in/out intrathoracic vs bronchial component, evaluating treatment options. Take advantage of the bronchoscopy to further evaluate the larynx given 30% of patients with tracheal collapse display different degrees of laryngeal paralysis.</t>
  </si>
  <si>
    <t>Seven orthogonal survey radiographs of the thorax and abdomen dated 1st July 2024 are available for review. These are compared with previous radiographs dated 28th March 2024_x000D_
_x000D_
Thorax:_x000D_
Airway findings: The trachea is elevated within the thorax. There is narrowing of the mainstem bronchi. There is widening of the tracheal bifurcation. Throughout the lung parenchyma there is a minimal bronchointerstitial opacification, most prominent in the perihilar region.  No nodules or masses are seen._x000D_
_x000D_
Cardiovascular findings: There is a large smoothly marginated soft tissue opacity contiguous with the caudal dorsal border of the cardiac silhouette. A smoothly marginated soft tissue opacity is superimposed on the caudal cardiac silhouette in the dorsoventral image. The overall cardiac silhouette is enlarged.  The cardiac silhouette occupies over 80% of the width of the thoracic volume. The cranial and caudal pulmonary vasculature are within upper normal limits. The caudal vena cava is normal._x000D_
_x000D_
Mediastinum and pleural space: There is mild ventral soft tissue attenuation consistent with mild pleural effusion._x000D_
_x000D_
Musculoskeletal findings: No significant abnormalities are detected._x000D_
_x000D_
Abdomen: There is gas in the stomach with a normal axis. The duodenum is mild to moderately gas and fluid dilated. The small intestines are filled with a small amount of gas, fluid and soft tissue opaque material. The descending colon contains gas. The hepatic silhouette is normal in size with smooth borders. The spleen is normal in shape, size and position. The kidneys are partially obscured by gastrointestinal contents, but the visible aspect are normal. The urinary bladder is normal. The serosal detail is normal.</t>
  </si>
  <si>
    <t>1.Mainly left sided cardiomegaly with left atrial dilation: This is most likely due to mitral valve insufficiency. The size is comparable with previous radiographs. The minimal bronchointerstitial opacification was less prominent previously, therefore very early cardiogenic pulmonary oedema may be present._x000D_
2. The duodenal distension is suspicious of pancreatitis/duodenitis. The gas dilation of the colon supports the clinical differential of a colitis. No radiopaque foreign material, or segmental distension is seen.</t>
  </si>
  <si>
    <t>The evidence for cardiac insufficiency is equivocal. ECG, blood pressure measurements and echocardiography are advised. Alternatively, diagnostic treatment with diuretics and repeat radiographs may be considered._x000D_
Supportive management including rehydration, gastroprotectants,  full blood work, faecal analysis if clinically indicated is advised, if not already performed.</t>
  </si>
  <si>
    <t>A three view study of the thorax that includes the cranial abdomen is provided for interpretation._x000D_
_x000D_
The heart is within normal size and shape limits. No pulmonary infiltrates or bronchial thickening are identified. The trachea is unremarkable. No pleural abnormalities are seen. The cranial abdominal organs are within normal limits.</t>
  </si>
  <si>
    <t>No significant cardiopulmonary abnormalities are identified. The thorax is unremarkable.</t>
  </si>
  <si>
    <t>The cause of cough is not apparent in the radiographs. Considering the chronic history and lack of significant radiographic changes, allergic lung disease or low-grade idiopathic chronic bronchitis is most likely. _x000D_
Symptomatic therapy is recommended.</t>
  </si>
  <si>
    <t>Study:_x000D_
Thoraci/abdominal c radiography: three images dated July 1, 2024_x000D_
_x000D_
Findings:_x000D_
The cardiac silhouette and pulmonary vasculature are normal in size. The pulmonary parenchyma is unremarkable. The pleural space is normal. There is no intrathoracic lymphadenopathy. The patient has redundant dorsal tracheal membrane. The trachea is normal in diameter and course. The abdominal serosal detail is adequate.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 There is no intervertebral disc space or foraminal narrowing.</t>
  </si>
  <si>
    <t>1. A cause of the right axillary pain is not evident. Computed tomography can be considered for further evaluation if the clinical signs persist or worsen in spite of pain management._x000D_
2. Redundant dorsal tracheal membrane. Normal diameter of the trachea does not exclude the possibility of concomitant tracheal collapse._x000D_
3. Normal thorax. There is no radiographic evidence of cardiopulmonary disease._x000D_
4. Unremarkable abdomen.</t>
  </si>
  <si>
    <t xml:space="preserve">
1.The stomach is normal. The small bowel is diffusely gas- and fluid-filled without segmental small bowel dilation._x000D_
2.Splenic size, shape and margin are normal._x000D_
3.Abdominal detail is normal._x000D_
4.The liver is at the upper normal limits for size.</t>
  </si>
  <si>
    <t>Three orthogonal radiographs of the abdomen dated 1st July 2024 are available for review. There are no previous radiographs available for comparison. _x000D_
_x000D_
Intra-abdominal findings: The stomach is empty with some gas. There is appropriate gas in the left lateral image in the pyloric region. The small intestines are variable in shape and size. Some empty, others are mildly distended with gas and fluid/soft tissue opaque material. Some gas loculations are in a string of parole pattern. The caecum is moderately gas distended. The colon gradually contains more formed faeces. The urinary bladder is normal. The serosal detail is normal for age._x000D_
_x000D_
Extra-abdominal findings: No significant abnormalities are detected._x000D_
_x000D_
Included thorax: No significant abnormalities are detected.</t>
  </si>
  <si>
    <t>The overall impression is one of mild gastroenteritis.  This may be due to dietary indiscretion, or infectious-inflammatory causes. There is no evidence of a mineral opaque foreign body, linear foreign body, or complete mechanical obstruction.  A partial obstruction by non-mineral opaque foreign material cannot be excluded.   Pancreatitis is possible.</t>
  </si>
  <si>
    <t xml:space="preserve">
1.Abdominal detail is normal._x000D_
2.Splenic size, shape and margin are normal._x000D_
3.Liver size, shape and margin are normal._x000D_
4.Small amount of irregular opacity at the stomach. Small intestines are mildly filled with fluid and gas without segmental small bowel dilation.</t>
  </si>
  <si>
    <t>Three orthogonal radiographs of the abdomen dated 1st July 2024 are available for review. There are no previous radiographs available for comparison. _x000D_
_x000D_
Intra-abdominal findings: The hepatic silhouette is normal. The kidneys are partially obscured by gastrointestinal contents, but the visible aspect are normal. The spleen is normal. The stomach is mainly empty, where there subjectively thickened wall and prominent rugal folds. There is appropriate gas in the pylorus on the left lateral image. To small intestines are mildly cranially displaced, and mildly distended with gas and fluid. The transverse colon is undulating, with gas. Within the transverse colon there is a focal distension with poorly formed faeces. The descending colon is mildly dilated with semiformed faeces. The urinary bladder is distended. No intestinal loops are seen superimposed on the urinary bladder or descending colon._x000D_
_x000D_
Extra-abdominal findings: No significant abnormalities are detected._x000D_
_x000D_
Included thorax: No significant abnormalities are detected.</t>
  </si>
  <si>
    <t>1. The overall impression is one of mild gastroenteritis.  This may be due to dietary indiscretion, or infectious-inflammatory causes. There is no evidence of a mineral opaque foreign body, or complete mechanical obstruction. The localised distension of the transverse colon is most likely incidental positional faecal material. Pancreatitis cannot be excluded. There is no evidence for pyometra, however assessment is mildly limited due to distended colon.</t>
  </si>
  <si>
    <t>Orthogonal views of the thoracolumbar spine and a right lateral thorax view are provided for interpretation._x000D_
_x000D_
No significant disc space narrowing or spinal subluxation is seen. No destructive or productive bone lesions are identified. Paravertebral soft tissues are unremarkable._x000D_
_x000D_
There is mild generalized heart enlargement. The shape of the heart is most suspicious for left-sided chamber enlargement. VHS is borderline at 10.7.</t>
  </si>
  <si>
    <t>No spinal abnormalities are identified. Soft tissue pathology causing back pain could still be present and not visible in the radiographs._x000D_
_x000D_
There is mild generalized heart enlargement. No pulmonary abnormalities are identified.</t>
  </si>
  <si>
    <t>Symptomatic therapy for the suspected pain is recommended.</t>
  </si>
  <si>
    <t xml:space="preserve">
1.Formed feces in the distal colon._x000D_
2.The stomach and small bowel are minimally filled._x000D_
3.Splenic size, shape and margin are normal._x000D_
4.On the lateral projection, the liver is mildly enlarged with rounded margins. The ventral abdominal line is pendulous._x000D_
5.On the VD projection, a mild asymmetric increase in soft tissue opacity is noted in the cranial abdomen. DDx: superimposition of the hepatomegaly and GI tract vs. far less likely, caudal extension of a hepatic mass._x000D_
6.No abnormal AI findings reported.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</si>
  <si>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A tubular soft tissue opacity is seen ventral to the descending colon superimposed with the dorsal aspect of the bladder most consistent with an enlarged uterine body.</t>
  </si>
  <si>
    <t>1) Unremarkable thorax without signs of pulmonary metastases nor signs of thoracic lymphadenopathy._x000D_
1) Enlarged uterus most compatible with pyometra. Other less likely differentials would include mucometra/hemometra vs early gestation.</t>
  </si>
  <si>
    <t>Consider abdominal US to further evaluate the uterus along with urinary tract with renal function test, urinalysis, UPC and urine culture.</t>
  </si>
  <si>
    <t xml:space="preserve">
1.No intestinal plication is seen._x000D_
2.The liver is normal._x000D_
3.On the VD projection, an increase in soft tissue opacity is noted in the left lateral abdomen. This is attributed to superimposition of the spleen and left kidney. The spleen appears normal on the lateral projection making splenomegaly a secondary consideration._x000D_
4.Serosal detail in the cranial abdomen is mildly decreased on the lateral projection._x000D_
5.A minimal quantity of soft tissue dense ingesta is visible in the stomach and there is mild prominence to the gastric rugae._x000D_
6.The small bowel is diffusely gas- and fluid-filled but without segmental bowel dilation.</t>
  </si>
  <si>
    <t>Three radiographs of the thorax/abdomen, and two views of the thoracic limbs are provided. There is a note that the craniocaudal thoracic limb view has the laterality markers reversed. In the thorax the right heart appears prominent on the VD projection, although may be exaggerated by mild rotation. The right caudal pulmonary artery is prominent at the intersection with the 9th rib. Ventrally positioned pulmonary vessel on the right lateral view is due to rotation. A mild mixed bronchointerstitial pattern is present throughout the lungs. No pleural effusion. Heart heart redundant dorsal trachealis membrane causes moderate narrowed cervical trachea on the right lateral view. In the abdomen there is no peritoneal or retroperitoneal effusion. Formed feces fills the distal colon. The stomach and small bowel are minimally filled. No radiopaque urolithiasis. Normal thoracolumbar spine. No scapular abnormalities. The left glenohumeral and cubital joints are congruent. Carpal bones are in appropriate alignment. No metacarpal or phalangeal osseous or soft tissue abnormalities. There is no radiopaque foreign material or emphysema.</t>
  </si>
  <si>
    <t>1. No thoracic limb abnormalities are identified on this study. Soft tissue sprain/strain is most likely._x000D_
2. Equivocal prominent right heart and right caudal pulmonary artery, concerning for heartworm disease or pulmonary hypertension. In the absence of associated blood work abnormalities, murmur, or respiratory signs, significance is doubtful. Otherwise normal thorax._x000D_
3. Normal abdomen. An intervertebral disc lesion is not definitively ruled out.</t>
  </si>
  <si>
    <t>Recommend palpate for spinal discomfort, CBC and blood chemistry profile. This patient may benefit from anti-inflammatories and strict rest.</t>
  </si>
  <si>
    <t>Five radiographs of the abdomen are provided. There is no peritoneal or retroperitoneal effusion. The stomach contains small volume gas and normal rugal folds are visible. Stippled soft tissue density overlying the stomach on the lateral views is superimposed transverse colon. Small intestines are minimally filled. Formed feces fills the colon. No radiopaque gastrointestinal foreign material. The liver is upper normal size. Normal-sized kidneys and spleen. Small round soft tissue density ventral to L5-6 is end-on deep circumflex iliac vessels. Spondylosis deformans is of doubtful significance today. Normal caudal thorax.</t>
  </si>
  <si>
    <t>Normal abdomen. There is no evidence of an obstructive process. Gastroenteritis/pancreatitis is most likely.</t>
  </si>
  <si>
    <t xml:space="preserve">
1.The stomach is normal. The small bowel is diffusely gas- and fluid-filled without segmental small bowel dilation._x000D_
2.The liver is mildly enlarged._x000D_
3.Splenic size, shape and margin are normal._x000D_
4.Abdominal detail is normal.</t>
  </si>
  <si>
    <t>Three radiographs of the thorax/abdomen are provided. The cardiac silhouette and pulmonary vessels are normal size and shape. There is no pleural effusion. The lungs are clear. No esophageal dilation. In the abdomen serosal detail is normal. There is small volume amorphous soft tissue density and gas in the stomach. Small intestines are diffusely mildly filled with a mixture of fluid and small volume gas. There are several loops of small bowel that appear clustered/bunched in the caudal abdomen on the right lateral view, however is not persistent. Moderate volume semi-formed feces in the colon. Normal-sized liver, spleen, kidneys. No radiopaque cystic calculi.</t>
  </si>
  <si>
    <t>Gastric contents appears to be normal ingesta. All or a portion of this could be foreign material causing gastritis and intermittent pyloric outflow obstruction. Bunched small bowel is typically concerning for a partial obstruction, however since this is not persistent is most likely due to crowding caused by relatively trim body condition. The thorax is normal.</t>
  </si>
  <si>
    <t>If vomiting persists, fasted positive contrast gastrogram should be considered. Abdominal ultrasound is another option, as long as the patient is strictly fasted and there is minimal gas in the stomach at the time of imaging.</t>
  </si>
  <si>
    <t xml:space="preserve">
1.No abnormal AI findings reported._x000D_
2.The liver and spleen are normal in size with smooth margins._x000D_
3.Serosal detail is adequate._x000D_
4.The stomach is mildly gas and fluid filled with dense material. The small bowel is gas and fluid-containing._x000D_
5.There is no evidence of a gastrointestinal obstruction.</t>
  </si>
  <si>
    <t>Three radiographs of the abdomen are provided. There is no peritoneal or retroperitoneal effusion. The stomach contains moderate volume granular soft tissue opaque ingesta. Small bowel are mildly filled with soft tissue density and gas. There is formed feces in the colon. The cecum is gas filled. The urinary bladder is mildly filled and soft tissue opaque. No abnormalities in the region of the medial iliac lymph nodes. Normal size kidneys, spleen, liver. No osseous abnormalities.</t>
  </si>
  <si>
    <t>Normal postprandial abdomen. There is no evidence of radiopaque urolithiasis.</t>
  </si>
  <si>
    <t>Urinalysis, CBC, and blood chemistry profile are recommended.</t>
  </si>
  <si>
    <t>Study:_x000D_
Abdominal/pelvic/pelvic limb radiography: three images dated July 1, 2024_x000D_
_x000D_
Findings:_x000D_
The patient has age appropriate open physes. The imaged spine is unremarkable. There is no coxofemoral luxation. The pelvis and sacroiliac joints are normal. The patella is in the correct anatomic location bilaterally. The tibial tuberosity apophysis is age appropriate bilaterally. The degree of soft tissue opacity within the stifle joint spaces is within normal limits. The bones of the tarsus and pes are unremarkable. There are no apparent fractures or luxations. The pelvic limb musculature is bilaterally symmetric.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included thorax is normal.</t>
  </si>
  <si>
    <t>1. A cause of the left pelvic limb nonweightbearing lameness is not evident._x000D_
2. Unremarkable abdomen.</t>
  </si>
  <si>
    <t>Focused joint radiographs based on localization of the lameness/orthopedic exam can be considered to ensure no subtle Salter-Harris type fractures are missed. Additionally, orthopedic consultation can be considered if the lameness persists in spite of pain management.</t>
  </si>
  <si>
    <t xml:space="preserve">
1.No abnormal AI findings reported._x000D_
2.The liver and spleen are mildly enlarged._x000D_
3.Mid-peritoneal detail is decreased._x000D_
4.No small intestinal segmental dilation is noted._x000D_
5.Small volume of gas is present within the stomach and small bowel._x000D_
6.There is gas in the cecum and proximal colon, with small volume of formed feces distally.</t>
  </si>
  <si>
    <t>Abdomen: There is a mild amount of punctate mineral opacities within the gastric lumen without evidence of obstruction.  There is no evidence of a small intestinal obstruction or foreign material.  The liver and spleen are unremarkable.  The urinary tract is unremarkable.  Serosal detail is normal.</t>
  </si>
  <si>
    <t>The mineral opacities within the gastric lumen may represent normal ingesta or nonobstructive foreign material.</t>
  </si>
  <si>
    <t>Study:_x000D_
Thoracic/abdominal radiography: four images dated July 1,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gas with the pylorus appropriately gas-filled on the left lateral image the small intestines are normal in size, course and content. The colon contains a small volume of gas with a normal diameter. The liver and spleen are normal in size and margin. The kidneys are normal in size and contour. The urinary bladder is not visualized and is likely small/empty. There is no prostatomegaly. The osseous structures are unremarkable.</t>
  </si>
  <si>
    <t>1. Unremarkable thorax. There is no radiographic evidence of heart disease. Consider echocardiography for further evaluation of the reported heart murmur._x000D_
2. Unremarkable abdomen. A cause of the reported intermittent vomiting and weight loss is not evident. Consider abdominal sonography and a G.I. panel for further evaluation.</t>
  </si>
  <si>
    <t xml:space="preserve">
1.The spleen is normal._x000D_
2.The stomach contains a mild amount of fluid in food material._x000D_
3.The gastric axis is normal._x000D_
4.The small intestines are homogenous in size, mildly distended, mainly with fluid opaque material._x000D_
5.The ascending colon contains gas._x000D_
6.No abnormal AI findings reported._x000D_
7.The hepatic silhouette is normal.</t>
  </si>
  <si>
    <t>Three radiographs of the abdomen are provided. Images dated 5/28/24 are available for comparison. There is no peritoneal or retroperitoneal effusion. The stomach contains a small to moderate amount of fluid, scant gas, and a few punctate mineral opaque foci. There are several loops of minimally filled small bowel, as well as several that are moderately fluid and gas dilated. Small volume formed feces in the colon. Round 1.6 cm soft tissue density in the mid lateral right abdomen on the VD projection is end-on loop of small bowel. The liver, kidneys, and spleen are normal size and shape. No radiopaque cystic calculi. Normal caudal thorax.</t>
  </si>
  <si>
    <t>1. Gastric contents appears to be fluid and mineral debris that should be able to pass successfully. Additional radiolucent gastric foreign material causing gastritis and pyloric outflow obstruction is not definitively ruled out._x000D_
2. A few moderately dilated loops of small bowel may be due to enteritis or partial obstruction. There is no severe intestinal dilation to suggest complete obstruction at this time.</t>
  </si>
  <si>
    <t xml:space="preserve">
1.Liver size, shape and margin are normal._x000D_
2.Abdominal detail is normal._x000D_
3.The stomach contains gas and a small amount of soft tissue density. Loops of small bowel are minimally gas and fluid filled without segmental small bowel dilation._x000D_
4.Splenic size, shape and margin are normal.</t>
  </si>
  <si>
    <t>Three radiographs of the thorax/abdomen are provided. There is equivocal prominence of the left atrium, seen as increased distance between the caudal heart waist and tracheal bifurcation on the lateral views. No left atrial enlargement is appreciated on the VD projection. Cardiac to thoracic ratio and pulmonary vessel size is normal. There is narrowed tracheal bifurcation on the left lateral view. Redundant dorsal trachealis membrane causes moderate narrowed cervical trachea on the right lateral projection. There are no abnormalities in the pulmonary parenchyma. No pleural effusion. Fat deposition in the cranial mediastinum. No laryngeal abnormalities. In the abdomen the liver is mildly enlarged with smooth margins. Normal-sized spleen and kidneys. The gastrointestinal tract is moderately filled. No radiopaque urolithiasis. Narrowed T12-13, L1-2, L3-4, L4-5 intervertebral disc spaces.</t>
  </si>
  <si>
    <t>1. Dynamic cervical tracheal collapse, the most likely cause for coughing. Probable dynamic mainstem bronchial collapse could be contributing._x000D_
2. Equivocal prominent left atrium suggestive of acquired mitral valve disease. This is of doubtful clinical significance today, and is not responsible for the cough._x000D_
3. Mild hepatomegaly, a nonspecific finding that may be steroid or other hepatopathy, acute inflammation, or least likely neoplasia. The should be correlated with history and blood work. No other abdominal abnormalities._x000D_
4. Several narrowed intervertebral discs spaces in the caudal thoracic and lumbar spine. Intervertebral disc disease could be responsible for discomfort.</t>
  </si>
  <si>
    <t>Recommend routine blood work, weight management, utilization of a body harness in place of a neck lead, and symptomatic treatment for the cough.</t>
  </si>
  <si>
    <t>Four radiographs of the abdomen are provided. The thorax is included on two of the lateral views. The cardiac silhouette and pulmonary vessels are normal size. There are no abnormalities in the pulmonary parenchyma. No pleural effusion. Adequate tracheal diameter. Small volume fluid in the caudal esophagus is likely incidental. In the abdomen serosal detail is poor. The patient is thin. Moderate volume gas in the stomach. The intestines are poorly delineated but appear to be diffusely mild to moderately fluid filled. No formed feces is appreciated. No radiopaque foreign material. Gastric axis position is normal. No radiopaque urolithiasis. The spleen and kidneys are obscured. Moderate degenerative change in the coxofemoral joints. Punctate mineral density overlying the L1-2 intervertebral foramen is of doubtful clinical significance today.</t>
  </si>
  <si>
    <t>1. Poor abdominal detail may be due to effusion and/or lack of intra-abdominal fat._x000D_
2. Probable small intestinal functional ileus, a nonspecific finding that may be due to stress, metabolic abnormality, primary gastrointestinal disorder._x000D_
3. Normal thorax.</t>
  </si>
  <si>
    <t>Two lateral radiographs of the abdomen are provided. The prostate is moderate to severely enlarged with smooth margins. The urinary bladder is mildly filled and soft tissue opaque. No abnormalities are appreciated along the plane of the urethra or in the region of the medial iliac lymph nodes. Peritoneal and retroperitoneal detail is adequate. Normal-sized kidneys and liver. The spleen is obscured. The gastrointestinal tract is mildly filled. No osseous abnormalities, and the caudal thorax is normal.</t>
  </si>
  <si>
    <t>Prostatomegaly consistent with benign prostatic hyperplasia. Prostatitis may also be present. Prostatomegaly may be responsible for the clinical signs. No radiopaque urolithiasis is appreciated. Radiolucent uroliths or urinary bladder/urethral lesion are not definitively ruled out.</t>
  </si>
  <si>
    <t>Consider urinalysis and ultrasound evaluation of the urinary tract to rule out a structural abnormality or radiolucent calculi. Also consider neutering this patient.</t>
  </si>
  <si>
    <t>Study:_x000D_
Thoracic/abdominal radiography: four images dated June 25, 2024_x000D_
_x000D_
Findings:_x000D_
There is straightening of the caudal cardiac waist on the lateral projections. The pulmonary vasculature is normal in size. The pulmonary parenchyma is unremarkable. The pleural space is normal. There is no intrathoracic lymphadenopathy. The trachea is normal in diameter and course. The stomach contains unstructured heterogeneous/granular soft tissue material presumed to be ingesta. Some small intestinal segments contain granular soft tissue material also presumed to be ingesta. The small intestines are normal in size and course. The liver and spleen are normal in size and margin. The kidneys are normal in size and contour. The urinary bladder is normal in size and opacity. There is no prostatomegaly. There is in situ mineralization of the T 11-T 12 and T 13-L1 intervertebral discs. There is narrowing of the L3-L4 intervertebral disc space with mild spondylosis deformans._x000D_
_x000D_
Human digits are present in the primary beam on the right lateral views.</t>
  </si>
  <si>
    <t>1. Straightening of the caudal cardiac waist can be an indicator of mild specific left atrial enlargement/mitral valve disease. There is no evidence of cardiac decompensation. Echocardiography can be considered for further evaluation._x000D_
2. A cause of coughing is not evident. Lack of a definitive bronchial pulmonary pattern does not exclude the possibility of allergic/inflammatory, infectious, irritant or parasitic bronchitis. Normal diameter of the trachea does not exclude the possibility of dynamic airway disease. Sedated laryngeal exam, fluoroscopy, airway sampling plus/minus heartworm testing and Baermann fecal flotation can be considered to further evaluate the reported coughing._x000D_
3. Postprandial gastrointestinal tract=ZZ90= otherwise, unremarkable abdomen._x000D_
4. L3-L4 intervertebral disc disease. There is also T 11-T 12 and T 13-L1 in situ degenerative disc disease.</t>
  </si>
  <si>
    <t>Orthogonal radiographs of the thorax are provided. The neck is included on the lateral view. The cardiac silhouette and pulmonary vessels are normal size and shape. There are no abnormalities in the pulmonary parenchyma or pleural space. Adequate tracheal diameter. No esophageal dilation. No laryngeal abnormalities are appreciated. Mild soft tissue thickening ventral to the caudal mandibles may be due to rotation. Normal cranial abdomen.</t>
  </si>
  <si>
    <t>Normal thorax. A reason for coughing is not identified. Inhaled irritants/allergens should be considered. No tracheal abnormalities are appreciated on this study, however dynamic collapse remains possible, as it may not be imaged on a static radiographic study.</t>
  </si>
  <si>
    <t>Three orthogonal radiographs of the abdomen dated 28th June 2024 are available for review. There are no previous radiographs available for comparison. _x000D_
_x000D_
Intra-abdominal findings: There is a moderate amount of granular food material in the stomach. There is appropriate gas in the pylorus on the left lateral image. Within the pyloric antrum on the left lateral image, there is irregular soft tissue opaque material surrounded by gas. The small intestines are distributed evenly and are within normal limits for shape, size and contents. The ascending, transverse and descending colon have a normal position and contain gradually more formed faeces. The hepatic silhouette is normal in size with smooth borders. The spleen is normal in shape, size and position. The kidneys are partially obscured by gastrointestinal contents, but the visible aspect are normal. The urinary bladder is filled. The serosal detail is normal._x000D_
_x000D_
Extra-abdominal findings: [ ]_x000D_
_x000D_
Included thorax: [ ]</t>
  </si>
  <si>
    <t>1. The moderate amount of granular food material within the stomach may be indicative of a recent meal. Alternatively, dietary indiscretion, soft tissue foreign material may be present. This needs to be correlated with time of feeding and last emesis. The soft tissue opaque material in the pylorus is likely normal food, however non-radiopaque foreign material causing partial pyloric outflow obstruction should be considered.</t>
  </si>
  <si>
    <t>Repeat 3-view post fasting radiographs depending on clinical progression or consider an abdominal ultrasound. If vomiting continues without development of diarrhea, an upper GI contrast study may also be considered.</t>
  </si>
  <si>
    <t xml:space="preserve">Patient Name : auggie mccormick, Date of study: Jun 30, 2024
3 images are provided for review
Canine Abdomen (3 Images) - 2 Lateral, 1 Vd
There are no previous radiographs for comparison.
Abdomen:
Liver: The liver extends caudal to the costochondral junction on the lateral projection but appears small on the VD projection. Overall, liver size is considered normal.
Spleen: Normal
Kidneys and urinary bladder: The left kidney appears mildly enlarged on the VD projection. The right kidney is not definitively visualized. The urinary bladder is small. 
GI: The stomach is gas filled. The gastric rugae are prominent. On both the lateral and VD projections, the descending duodenum is gas filled and has a rigid appearance with questionable wall thickening vs. adhered mucus. Several of the small bowel loops are minimally fluid distended while there are other small bowel loops that are completely empty and smaller. Max:min diameter is approximately 2:1. 
Abdominal detail: Mid-abdominal detail is minimally decreased with a slight wispy appearance to the mid-abdomen. A few small gas opacities in the mid-abdomen cannot be definitively placed within bowel. 
Caudal thorax: The CVC size is normal. No aspiration pneumonia is noted. 
Msk: The caudal thoracic and cranial lumbar articular processes are hypoplastic. </t>
  </si>
  <si>
    <t xml:space="preserve">1. Gastritis, duodenitis with segmental small bowel dilation. The lack of gas in the empty small bowel suggests a mechanical obstruction. Gastric and duodenal irritation secondary to foreign body passage is the primary consideration. 
2. Abdominal fluid. Potential free abdominal air. If real, the small quantity of free abdominal air would be more consistent with intestinal perforation over gastric perforation. Rule out septic peritonitis.
3. Normal CVC size. No evidence of aspiration pneumonia. 
4. Caudal thoracic and cranial lumbar congenitally hypoplastic caudal articular processes. This finding is unrelated to the abdominal findings. </t>
  </si>
  <si>
    <t xml:space="preserve">Abdominal ultrasound ASAP. If abdominal ultrasound is not available, abdominocentesis for fluid analysis and cytology along with comparison of fluid glucose to blood glucose to assess for sepsis. Exploratory laparotomy should also be considered given the radiographic findings. </t>
  </si>
  <si>
    <t xml:space="preserve">
1.There is a moderate amount of fluid and gas within the stomach._x000D_
2.The colon is gas-filled._x000D_
3.The stomach has a normal axis._x000D_
4.The small intestines are homogenously fluid-filled, and mildly dilated._x000D_
5.The spleen is normal for size, shape and margin._x000D_
6.Abdominal detail is normal._x000D_
7.The descending colon contains mainly fluid opaque material._x000D_
8.The hepatic silhouette is normal.</t>
  </si>
  <si>
    <t xml:space="preserve">
1.Abdominal detail is decreased._x000D_
2.There is stippled soft tissue density feces in the distal colon._x000D_
3.There are several loops of minimally distended small bowel, as well as several that are severely dilated with fluid and gas._x000D_
4.Some of the dilated bowel loops are suspected to represent small bowel._x000D_
5.The liver is borderline, but this also can be normal in a juvenile patient._x000D_
6.The spleen is obscured.</t>
  </si>
  <si>
    <t>WHOLE-BODY (3 total radiographs for review). _x000D_
_x000D_
- Peritoneal serosal detail is normal._x000D_
- The stomach is moderately to markedly distended with gas, fluid and a mixture of homogenous and gas stippled soft tissue opaque material._x000D_
- The small intestine contains mild multifocal gas and soft-tissue opaque material.  There is the impression of a few small intestinal segments that have mildly mineralized walls._x000D_
- The colon has a corrugated appearance and contains gas, soft-tissue/fluid and minimal formed fecal material._x000D_
- There is mineralized material in the region of the gallbladder._x000D_
- The liver, spleen, kidneys and urinary bladder are normal._x000D_
- The cardiac silhouette and pulmonary vasculature are normal._x000D_
- The pulmonary parenchyma is normal_x000D_
- The trachea, esophagus and remainder of the mediastinum are normal._x000D_
- The pleural space and remaining intrathoracic structures are normal._x000D_
- Questionable narrowing of the T12-13 intervertebral disc space._x000D_
- Mild multifocal spondylosis deformans.</t>
  </si>
  <si>
    <t>1.  Moderate to marked gastric distention with mixed material (e.g. food and/or foreign material).  There is no obvious pyloric outflow tract obstruction clearly identified, however radiographic sensitivity can be limited and you may consider abdominal ultrasound with evaluation of the pyloroduodenal junction._x000D_
_x000D_
2. The appearance of the stomach, small intestine and colon can otherwise also be compatible with a non-specific generalized functional ileus (e.g. gastroenterocolitis). There is no evidence of small intestinal foreign material or mechanical obstruction._x000D_
_x000D_
3. Mineralized gall bladder sludge_x000D_
_x000D_
4.  Normal thorax._x000D_
_x000D_
5.  Possible thoracolumbar (T12-13) intervertebral disc disease.</t>
  </si>
  <si>
    <t xml:space="preserve">
1.There is smoothly margined hepatomegaly. On the VD projection, the hepatomegaly is mildly asymmetric._x000D_
2.There is a decrease in abdominal detail. This may be attributed to superimposition of soft tissue structures secondary to the caudal extension of the liver however a component of mesenteric inflammation and/or small volume of fluid cannot be excluded._x000D_
3.The ventral abdominal line is mildly pendulous._x000D_
4.The stomach is slightly caudally positioned due to the hepatomegaly and has a normal to slightly caudally displaced gastric axis secondary to the hepatomegaly._x000D_
5.The intestines are displaced caudally into the mid- and caudal abdomen by the cranial abdominal organomegaly. The intestines are gas- and fluid-filled with the bowel being distended suggestive of a functional ileus or potentially a mechanical obstruction._x000D_
6.The spleen is normal.</t>
  </si>
  <si>
    <t>3 views of the abdomen are provided for review.  Serosal detail is adequate in all quadrants.  The stomach contains a moderate amount of mottled soft tissue material.  The small intestines are normal in size.  Gas and feces are present in the colon.  The urinary bladder is small.  The remaining abdominal organs are normal.  Numerous hemivertebrae are present within the spine.  These are seen at T5-12, L3-4, and the sacrocaudal spine.</t>
  </si>
  <si>
    <t>Material within the stomach may represent normal ingesta or foreign material.  Consider repeat radiographs following strict fasting to determine if gastric contents persist.  Congenital hemivertebrae.  These are extremely common in this breed and may or may not be associated with spinal cord issues.</t>
  </si>
  <si>
    <t>4 images of the thorax are presented for review.  2 images of the abdomen and the study are not requested to be reviewed.  The cardiovascular structures are normal.  There is a diffuse interstitial pulmonary pattern that is considered appropriate for the age of the patient.  A rounded soft tissue mass is seen in the caudodorsal thorax on midline.  No pulmonary nodules or enlarged intrathoracic lymph nodes are seen.  The pleural and mediastinal structures are normal.  Cranial abdominal detail is adequate.  Rounded mineral structures are seen in the right ventral liver in the area of the gallbladder.</t>
  </si>
  <si>
    <t>Caudodorsal thoracic mass.  Pulmonary origin neoplasia is considered most likely.  An esophagram could be considered to completely rule out hiatal hernia, although the mass is more ventral than typically seen with hiatal hernia.  CT could be considered in surgical planning.  Cholelithiasis.  Abdominal ultrasound could be considered.</t>
  </si>
  <si>
    <t>Study:_x000D_
Abdominal radiography: three images dated June 29, 2024_x000D_
_x000D_
Findings:_x000D_
The serosal detail is normal. The stomach contains a small volume of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 included thorax is normal. The osseous structures are unremarkable. There is no intervertebral disc space or foraminal narrowing.</t>
  </si>
  <si>
    <t>Unremarkable abdomen. There is no radiographic evidence of gastrointestinal foreign material or small intestinal mechanical obstruction.</t>
  </si>
  <si>
    <t>Abdominal sonography and cPLI testing can be considered to further evaluate for intra-abdominal cause is of the clinical signs.</t>
  </si>
  <si>
    <t>3 views of the abdomen are provided for review.  Serosal detail is adequate in all quadrants.  The stomach contains a moderate amount of mottled soft tissue material.  The small intestines are normal in size.  Gas and feces are present in the colon.  The urinary bladder is small.  Uterus is not visible.  The remaining abdominal organs are normal.</t>
  </si>
  <si>
    <t xml:space="preserve">
1.No abnormal AI findings reported._x000D_
2.The liver and spleen are normal._x000D_
3.Serosal detail in the abdomen is normal. The abdomen is slightly tucked._x000D_
4.Rugal folds in the stomach appears slightly swollen._x000D_
5.No segmental dilation of the small intestine is seen._x000D_
6.The colon contains gas and has a rigid appearance.</t>
  </si>
  <si>
    <t>Three orthogonal radiographs of the abdomen dated 29th June 2024 are available for review. There are no previous radiographs available for comparison. _x000D_
_x000D_
Intra-abdominal findings: There is a moderate amount of granular food material within the stomach, with a normal axis. The descending duodenum is mildly filled. The small intestines contain fluid, gas and soft tissue opaque material and are within normal limits for shape and size. The descending colon is mildly distended with poorly formed faeces. The urinary bladder is small. The hepatic silhouette is normal in size with smooth borders. The spleen is normal in shape, size and position. The kidneys are partially obscured by gastrointestinal contents, but the visible aspect are normal._x000D_
Extra-abdominal findings: No significant abnormalities are detected. The lumbar vertebral column is normal._x000D_
_x000D_
Included thorax: No significant abnormalities are detected.</t>
  </si>
  <si>
    <t>1. Relatively unremarkable post-prandial abdomen. The mild filling of the duodenum relative to the small intestines may support a differential of pancreatitis.</t>
  </si>
  <si>
    <t>Full bloodwork, CPL testing, and abdominal ultrasound may be considered.</t>
  </si>
  <si>
    <t>Three orthogonal radiographs of the abdomen dated 29th June 2024 are available for review. There are no previous radiographs available for comparison. _x000D_
_x000D_
Intra-abdominal findings: The serosal detail is low. The stomach contains a moderate amount of heterogenous soft tissue opaque material. The small intestines are variably filled with fluid, soft tissue opaque material and gas. The gas has a locular, sometimes grapelike appearance the large intestines diffusely mild to moderately gas dilated, and otherwise empty. The urinary bladder is small. The hepatic silhouette is normal. The spleen is normal. The kidneys are partially obscured by gastrointestinal contents, but the visible aspect are normal._x000D_
_x000D_
Extra-abdominal findings: Consistent with young age._x000D_
_x000D_
Included thorax: The caudal vena cava is mildly tapering.</t>
  </si>
  <si>
    <t>1. The findings are consistent with a colitis, potentially enterocolitis. This is likely due to infectious-inflammatory origin or less likely dietary indiscretion parvovirus needs to be excluded._x000D_
2. The mildly tapering vena cava is most likely due to dehydration.</t>
  </si>
  <si>
    <t>Supportive management including rehydration, gastroprotectants,  full blood work, faecal analysis if clinically indicated is advised, if not already performed. Repeat 3-view post fasting radiographs depending on clinical progression or consider an abdominal ultrasound. A medical consultation for further workup for chronic colitis may be considered depending on clinical progression.</t>
  </si>
  <si>
    <t xml:space="preserve">
1.The liver extends slightly beyond the costal arch but maintains sharp margins and there is no deviation of the gastric axis._x000D_
2.The spleen is normal size._x000D_
3.The abdomen is slightly pendulous but abdominal detail is normal._x000D_
4.Small-volume amorphous soft tissue ingesta within the stomach._x000D_
5.Small intestines are mildly filled._x000D_
6.Formed feces fills the colon.</t>
  </si>
  <si>
    <t>Liver at the upper limits of normal for size. Fat deposition suspected. Appearance to the GI tract is compatible with a normal post-prandial GI tract. If GI signs are present, this appearance can also represent low grade gastroenteritis. This finding needs to be correlated with clinical signs.</t>
  </si>
  <si>
    <t xml:space="preserve">
Virtual Radiologist Case Difficulty: MODERATE_x000D_
Virtual Radiologist Confidence: MODERATE_x000D_
Further evaluation of the liver and/or GI tract as clinically and/or biochemically warranted.</t>
  </si>
  <si>
    <t>Study:_x000D_
Abdominal radiography: five images dated June 29, 2024_x000D_
_x000D_
Findings:_x000D_
There is decreased serosal detail secondary to a moderate amount of peritoneal effusion. The stomach contains gas with the pylorus appropriately gas-filled on the left lateral image. The small intestines are normal in size, course and content. The colon contains gas and formed fecal material. The liver is normal in size and margin. The head of the spleen is normal in size and shape. The tail the spleen is not visualized. The renal silhouettes are normal in size and contour. The urinary bladder is normal in size and opacity. The included thorax is normal. There is mild to moderate multifocal spondylosis deformans present.</t>
  </si>
  <si>
    <t>Moderate nonspecific peritoneal effusion. A cause is not radiographically evident. There is no evidence of gastrointestinal foreign material or small intestinal mechanical obstruction.</t>
  </si>
  <si>
    <t>Abdominal sonography and abdominocentesis with fluid analysis should be considered for further evaluation.</t>
  </si>
  <si>
    <t xml:space="preserve">
1.Cranial abdominal detail is mildly decreased._x000D_
2.Resource: https://platform.v2.vetology.net/doc/pancreatitis_x000D_
3.The liver is mildly enlarged._x000D_
4.The spleen is normal._x000D_
5.The stomach contains a moderate amount of mixed gas and fluid._x000D_
6.Small intestinal bowel loops are normal in size and distribution and have mainly a soft tissue pattern._x000D_
7.The colon contains gas and fluid._x000D_
8.Resource: https://platform.v2.vetology.net/doc/gi_protectants_1</t>
  </si>
  <si>
    <t>Opposite lateral and VD views of the thorax and abdomen are provided for interpretation. There are seven images total._x000D_
_x000D_
Rugal folds in the stomach are slightly prominent. The stomach is not dilated or malpositioned. The spleen is prominent but still felt to be within normal limits. The liver is at the upper end of normal range. Small intestinal gas is slightly increased. No dilation or plication the intestine is seen. No foreign bodies are identified._x000D_
_x000D_
The cardiovascular structures are within normal limits. No pulmonary infiltrates are identified. No esophageal abnormalities are seen.</t>
  </si>
  <si>
    <t>The GI changes are mild but would be compatible with gastroenteritis. No foreign bodies or obstructive pattern are identified. The rest of the abdomen is within normal limits._x000D_
No thoracic abnormalities are identified.</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</si>
  <si>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beyond the costal arch.  The stomach contains a moderate amount of ingesta.  The small intestines are normal in size.  Gas and feces are present in the colon.  The urinary bladder is small.  The remaining abdominal organs are normal.  Spinal alignment is normal with no consistently narrowed intervertebral disc spaces.  The coxofemoral joints are congruent.  No fractures or aggressive osseous lesions are seen.</t>
  </si>
  <si>
    <t>Hepatomegaly=ZZ90= this is a nonspecific finding that may be seen with congestion, vacuolar hepatopathy, inflammation, neoplasia, etc.  Abdominal ultrasound may be helpful in further evaluation if biochemically indicated.  Radiographically normal thoracolumbar spine.  This does not rule out intervertebral disc herniation or other causes of spinal cord compression.  CT or MRI could be considered in further evaluation.  Radiographically normal thorax for patient of this age.</t>
  </si>
  <si>
    <t>Three orthogonal radiographs of the abdomen dated 29th June 2024 are available for review. There are no previous radiographs available for comparison. _x000D_
_x000D_
Intra-abdominal findings: The stomach contains a moderate amount of gas and some fluid. The pylorus is fluid-filled on the left and right lateral images. In the fundus in the ventrodorsal image, the soft tissue opaque material visible is outlined by a thin line of gas. Small intestines are mainly empty. The descending colon contains formed faeces. The urinary bladder is small. Dragon parenchyma the serosal detail is normal._x000D_
_x000D_
Extra-abdominal findings: No significant abnormalities are detected._x000D_
_x000D_
Included thorax: No significant abnormalities are detected.</t>
  </si>
  <si>
    <t>Findings are suggestive of a soft tissue opaque foreign body within the stomach which may cause a partial pyloric outflow obstruction. Alternatively, dietary indiscretion or infectious-inflammatory gastritis causing reduced gastric outflow/partial ileus should be considered.</t>
  </si>
  <si>
    <t>Study:_x000D_
Abdominal radiography: three images dated June 29, 2024_x000D_
_x000D_
Findings:_x000D_
The stomach contains a small volume of gas with the pylorus appropriately gas-filled on the left lateral image. The small intestines are normal in size, course and content. The colon contains formed fecal material with a normal diameter. The liver and spleen are normal in size and margin. The kidneys are normal in size and contour. The urinary bladder is normal in size and opacity. There is no prostatomegaly. There is narrowing of the T 12-T 13 intervertebral disc space.</t>
  </si>
  <si>
    <t>1. T 12-T 13 intervertebral disc disease._x000D_
2. Unremarkable abdomen. There is no colonic dilation to suggest constipation.</t>
  </si>
  <si>
    <t xml:space="preserve">
1.No segmental small intestinal distention is present._x000D_
2.The liver and spleen are normal size._x000D_
3.No effusion is present._x000D_
4.Moderate volume soft tissue opacity and/or gas fills the stomach._x000D_
5.Small intestines are mildly filled with a mixture of fluid and gas._x000D_
6.No abnormal AI findings reported.</t>
  </si>
  <si>
    <t>Study:_x000D_
Abdominal radiography: four images dated June 29, 2024_x000D_
_x000D_
Findings:_x000D_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There is no prostatomegaly. The included thorax is unremarkable. There is variable mild to severe multifocal thoracolumbar and lumbosacral spondylosis deformans. There is severe L3-L4 articular facet periarticular bone formation. Multiple small soft tissue opaque nodules are present in the subcutaneous or cutaneous tissues of the caudal ventral abdomen.</t>
  </si>
  <si>
    <t>1. Unremarkable abdomen. There is no radiographic evidence of intra-abdominal neoplasia._x000D_
2. Ventral abdominal subcutaneous/cutaneous nodules. Consider cutaneous hemangiosarcoma given the reported bleeding of these lesions.</t>
  </si>
  <si>
    <t>Abdominal sonography and a three view thoracic met check can be considered for further evaluation/staging. Tissue sampling of the cutaneous/subcutaneous lesions should also be considered.</t>
  </si>
  <si>
    <t>2 images of the thorax and abdomen are presented for review.  The cardiovascular structures are normal on the views provided, although complete evaluation of the lateral view is difficult due to obliquity.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prominent.  The small intestines are normal in size.  Gas and feces are present in the colon.  The urinary bladder is small.  The remaining abdominal organs are normal.  There is hypoplasia of the left 13th rib with lumbarization of the right 13th rib.  There is mild consistent narrowing of the intervertebral disc spaces at C5-6 and T11-13.  No fractures or aggressive osseous lesions are seen.</t>
  </si>
  <si>
    <t>Prominent rugal folds suggestive of gastritis.  This does not rule out underlying pancreatitis or infiltrative neoplasia.  Abdominal ultrasound could be considered in further evaluation if clinically indicated.  Radiographically normal thorax for patient of this age.  Narrowed intervertebral disc spaces suggestive of intervertebral disc herniations.  This does not rule out intervertebral disc herniation at another site or other causes of spinal cord compression.  CT or MRI could be considered in further evaluation.</t>
  </si>
  <si>
    <t>Five radiographs of the thorax and abdomen are provided. The cardiac silhouette and pulmonary vessels are normal size and shape. There are no abnormalities in the pulmonary parenchyma. No pleural effusion. Moderate narrowed cervical trachea on the left lateral view. Several small soft tissue opaque cutaneous nodules along the dorsum, of uncertain significance._x000D_
_x000D_
In the abdomen there is no effusion. The liver and spleen are normal size. The kidneys are incompletely visible. The gastrointestinal tract is minimally filled. The urinary bladder is not definitively seen. Several narrowed lumbar intervertebral disc spaces, of doubtful clinical significance today.</t>
  </si>
  <si>
    <t>1. Probable dynamic cervical tracheal collapse. No intrathoracic abnormalities._x000D_
2. Normal abdomen.</t>
  </si>
  <si>
    <t>There is no contraindication for general anesthesia based on this study, however if it is planned for immediately following these images, consider extubation with partial inflation of the endotracheal tube cuff given current gastric contents.</t>
  </si>
  <si>
    <t xml:space="preserve">
1.The ascending, transverse and descending colon contain gradually more formed faeces._x000D_
2.The liver is normal in shape, size and opacity._x000D_
3.The spleen is visible and within normal limits._x000D_
4.There is a mildly reduced cranial abdominal serosal detail._x000D_
5.The stomach has a normal axis, with subjectively thickened mucosal folding._x000D_
6.The small intestines are mildly dilated with a mixture of gas and fluid, and have a mild turgid appearance.</t>
  </si>
  <si>
    <t xml:space="preserve">Patient Name : Gus Wallace, Date of study: Jun 29, 2024
4 images are provided for review
There are no previous radiographs for comparison.
Liver: The liver is mildly small with cranial displacement of the gastric axis.  
Spleen: The spleen is normal in size with smooth margins and homogeneous soft tissue.
Kidneys: The kidneys are obscured without obvious enlargement or mineral.
Retroperitoneum: Retroperitoneal detail is adequate.
Urogenital: The urinary bladder is partially obscured without obvious enlargement or mineral.
Peritoneum: Peritoneal detail is adequate.
Gastrointestinal tract: The stomach contains a mild gas and is within normal limits for size. Gas is in the pylorus in the left lateral image.  
The small intestine contains mild gas and fluid or is empty with a subjectively uniform population for size. 
The colon contains moderate well-defined soft tissue material and gas.
Musculoskeletal: The  T11 and T13 vertebrae are wedge-shaped, and the T12 and L1 vertebrae are narrowed in a craniocaudal dimension.  Caudal vertebral anomalies consistent with breed (screw tail anomaly).  The remaining included musculoskeletal structures are normal.
</t>
  </si>
  <si>
    <t>1. Mild microhepatia versus artifact from positioning/technique or individual variation of normal.
- If present, consider occult portosystemic shunt, microvascular dysplasia, or unlikely other.
2. No evidence of gastrointestinal mechanical ileus.
3. T11 through L1  and caudal vertebral congenital vertebral anomalies consistent with breed.</t>
  </si>
  <si>
    <t>Etiology of reported chronic vomiting is not definitively identified.  Consider enteritis from inflammatory bowel disease, diet/antibiotic responsive disease, parasitism/primary infectious disease, pancreatitis, gastric ulceration pyloric antral mucosal hypertrophy/hyperplasia, or less likely other.   Consider GI panel, fecal analysis/deworming, and routine blood work for further evaluation. Bile acid testing may be contributory.  Abdominal ultrasonography may be contributory for further evaluation. Empirical therapy and supportive care in the interim as needed.  Monitoring as directed or sooner if clinical signs acutely change, fail to improve or worsen.</t>
  </si>
  <si>
    <t xml:space="preserve">
1.The stomach has a normal axis, with subjectively thickened mucosal folding._x000D_
2.The small intestines are mildly dilated with a mixture of gas and fluid, and have a mild turgid appearance._x000D_
3.The ascending, transverse and descending colon contain gradually more formed faeces._x000D_
4.The spleen is visible and within normal limits._x000D_
5.There is a mildly reduced cranial abdominal serosal detail._x000D_
6.The liver is normal in shape, size and opacity.</t>
  </si>
  <si>
    <t>Study:_x000D_
Thoracic and abdominal radiography: five images dated June 29,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</si>
  <si>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1. Normal thorax. A cause of coughing is not evident. Lack of a definitive bronchial pulmonary pattern does not exclude the possibility of allergic/inflammatory, infectious, irritant or parasitic bronchitis. Consider airway sampling plus/minus heartworm testing and Baermann fecal flotation to further evaluate for lower airway disease._x000D_
2. Unremarkable abdomen. A cause of the reported vomiting is not evident. There is no radiographic evidence of gastrointestinal foreign material or small intestinal mechanical obstruction. Abdominal sonography can be considered for further evaluation if clinical signs persist or worsen in spite of medical management.</t>
  </si>
  <si>
    <t>Study:_x000D_
Thoracic/abdominal radiography: five images dated June 27, 2024_x000D_
_x000D_
Findings:_x000D_
The cardiac silhouette and pulmonary vasculature are normal in size. There is a mild generalized bronchial pulmonary pattern. The pleural space is normal. There is no intrathoracic lymphadenopathy. The patient has a redundant dorsal tracheal membrane. The trachea lumen appears mildly narrowed at the thoracic inlet on all lateral projections. The stomach contains a small volume of gas. The small intestines are normal in size, course and content. The colon contains gas and formed fecal material. The liver extends mildly beyond the costal arch with smooth and sharp margins. The spleen is normal in size and margin. The renal silhouettes are normal in size and contour. The urinary bladder is normal in size and opacity. There is no prostatomegaly. There is mild bilateral elbow periarticular bone formation. There is narrowing of the C5-C6, C6-C7, L2-L3 and L4-L5 intervertebral disc spaces. There is associated sclerotic endplates and  spondylosis deformans at C5-C6, C6-C7 and L4-L5. On the left lateral views, the left patella is superimposed with the femoral condyles. There is mild periarticular bone formation present at the proximal aspect of the femoral trochlear groove.</t>
  </si>
  <si>
    <t>1. The mild generalized bronchial pulmonary pattern may indicate allergic, inflammatory, infectious, parasitic or irritant bronchitis. Airway sampling, heartworm testing and Baermann fecal flotation can be considered for further evaluation._x000D_
2. Suspect chondromalacia and dynamic airway disease/tracheal collapse. Fluoroscopy can be considered for further evaluation._x000D_
3. The generalized hepatomegaly is nonspecific. Rule out metabolic/vacuolar hepatopathy, hyperplasia, hepatitis or infiltrative neoplasia. Sonography can be considered for further evaluation._x000D_
4. Mild bilateral elbow osteoarthrosis._x000D_
5. C5-C6, C6-C7, L2-L3 and L4-L5 intervertebral disease._x000D_
6. Left (presumably medial) luxating patella and mild stifle osteoarthrosis.</t>
  </si>
  <si>
    <t>Four radiographs of the thorax and abdomen are provided. The cardiac silhouette and pulmonary vessels are normal size and shape. There are no abnormalities in the pulmonary parenchyma. No pleural effusion/gas, or intrathoracic lymphadenomegaly. The diaphragm is intact. No rib fractures. Normal proximal thoracic limbs. Mild thickened and slight wispy appearance of the right lateral cervical tissues on the VD projection. Normal tracheal diameter and position. No cervical spinal abnormalities. Metal opaque 0.8 cm pallet in the dorsal extrathoracic tissues is of doubtful clinical significance today. In the abdomen there is no effusion or organomegaly. The urinary bladder is moderately filled and well delineated. Moderate volume formed feces in the distal colon. The stomach and small bowel are minimally filled. No radiopaque foreign material. Normal lumbar spine.</t>
  </si>
  <si>
    <t>Wispy appearance of the lateral right cervical tissues is likely due to the reported puncture wounds. No other evidence of trauma on this study. The thorax and abdomen are normal.</t>
  </si>
  <si>
    <t>Recommend supportive care and wound management.</t>
  </si>
  <si>
    <t>Three radiographs of the thorax and four views of the abdomen are provided. There is mild left-sided cardiomegaly. The cranial lobar vein is prominent on the left lateral view. There is a moderate interstitial pattern in the right perihilar region on the VD projection, not appreciated on the lateral views. No pleural effusion. Moderate narrowed cervical trachea._x000D_
_x000D_
In the abdomen serosal detail is adequate. There is small volume gas in the stomach. Small intestines are diffusely moderate to severely dilated with fluid and scant gas. Gas and small volume formed feces in the colon. No radiopaque foreign material. Normal size liver, spleen, kidneys. No radiopaque cystic calculi. Osseous structures are unremarkable.</t>
  </si>
  <si>
    <t>1. Mild left-sided cardiomegaly consistent with acquired mitral valve disease. There is pulmonary venous congestion. Hazy right perihilar region only on the VD projection is likely due to dorsal recumbency. No convincing evidence of heart failure at this time._x000D_
2. Cervical tracheal collapse._x000D_
3. Small intestinal functional ileus, a nonspecific finding that may be due to enteritis, metabolic abnormality, or other primary gastrointestinal disorder. No other abdominal abnormalities.</t>
  </si>
  <si>
    <t>Abdominal ultrasound is recommended. Follow-up echocardiogram should be considered, although is given secondary priority to abdominal imaging.</t>
  </si>
  <si>
    <t xml:space="preserve">
1.There is a focal loss of serosal detail in the cranial abdomen on the VD projection._x000D_
2.The pyloroduodenal is widened and the proximal duodenum contains a mild amount of air._x000D_
3.The gastric lumen contains a mild amount of soft tissue and gas opacity._x000D_
4.The gastric rugae are prominent._x000D_
5.The small bowel is diffusely fluid distended with a mild disparity in small bowel diameter._x000D_
6.Portions of the colon are gas filled and have a rigid appearance._x000D_
7.No abnormal AI findings reported._x000D_
8.The liver and spleen are normal.</t>
  </si>
  <si>
    <t>Abdomen: There is moderate generalized cardiomegaly.  There is an interstitial/alveolar pattern associated with the perihilar region.  A mild bronchial pattern is noted.  There is no evidence of pleural effusion or lymphadenopathy._x000D_
_x000D_
Abdomen: There are no abnormalities identified.</t>
  </si>
  <si>
    <t>Generalized cardiomegaly with suspected decompensation/failure._x000D_
_x000D_
Mild bronchial pattern which may be age-related or bronchitis.</t>
  </si>
  <si>
    <t>Seven orthogonal survey radiographs of the thorax and abdomen dated 28th June 2024 are available for review. There are no previous radiographs available for comparison. These images are submitted for an abdominal read._x000D_
_x000D_
Abdomen: Multiple severely fluid distended intestinal loops are visible in the caudal dorsal abdomen, extending from the dorsal aspect of the urinary bladder cranially. The stomach is empty. The small intestines are within normal limits for shape, size and contents. The descending colon contains a mild amount of faeces. The hepatic silhouette is mildly enlarged with rounded borders. There are prominent nipple shadows. The kidneys are partially obscured by gastrointestinal contents, but the visible aspect are normal. The spleen is normal. The serosal detail is normal. The urinary bladder is filled. Within the centre of the urinary bladder there is a conglomerate of mineral opacities. One larger mineral smoothly marginated calculus is present also._x000D_
_x000D_
Musculoskeletal findings: The patient is obese._x000D_
_x000D_
Included thorax: There is a mild homogenous interstitial opacification due to body habitus. No significant abnormalities are detected.</t>
  </si>
  <si>
    <t>1. Differentials include pyometra, less likely hydrometra or mucometra. An early pregnancy is considered unlikely. _x000D_
2. Cystolithiasis with or without cystitis._x000D_
3. The hepatomegaly is most likely due to vacuolar hepatopathy, or underlying endocrine disease.</t>
  </si>
  <si>
    <t>Confirm findings with ultrasonographic examination. Exclude possible mating and pregnancy. If confirmed, ovaryohysterectomy and cystotomy is advised after appropriate preanaesthetic workup.</t>
  </si>
  <si>
    <t xml:space="preserve">
1.There is poor detail identified in the abdomen. DDx: secondary to hepatomegaly causing crowding of the abdominal organs and/or abdominal fluid._x000D_
2.The abdomen is mildly pendulous._x000D_
3.The small intestine is diffusely fluid filled._x000D_
4.The liver is enlarged with rounded borders._x000D_
5.There is increased soft tissue opacity in the splenic region. DDx: secondary to caudal extension of the liver vs. loss of detail due to abdominal fluid vs. splenomegaly or a splenic mass._x000D_
6.Mineral dense material and distended viscus are present in the region of the uterine horns._x000D_
7.In cases of pregnancy, fetal mineralization indicates fetal age of &gt;45 days._x000D_
8.IMPORTANT: This AI evaluation currently DOES NOT assess for the presence of fetal mummification and/or abnormal gas within or around the fetus (fetal viability) and/or fetal number._x000D_
9.The stomach contains fluid and some gas.</t>
  </si>
  <si>
    <t>5 images of the entire body and pelvis/pelvic limbs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beyond the costal arch.  The stomach contains a moderate amount of ingesta.  The small intestines are normal in size.  Gas and feces are present in the colon.  The urinary bladder is small.  The kidneys are small with a mineral structure in the right renal pelvis.  The remaining abdominal organs are normal.  The coxofemoral joints are congruent.  No fractures or aggressive osseous lesions are seen.  The joint surfaces are smooth and regular.  Mild soft tissue is seen in the right stifle joint when compared with the left, with both similar degrees of obliquity on the lateral views.</t>
  </si>
  <si>
    <t>Hepatomegaly is likely related to previously diagnosed hyperadrenocorticism.  Chronic renal changes with right nephrolith.  Radiographically normal thorax for patient of this age.  Mild right stifle effusion suggestive of soft tissue injury such as to the cranial cruciate ligament or meniscus</t>
  </si>
  <si>
    <t>Abdomen: There is a linear metallic structure superimposed over the liver as well as one superimposed over the cranial abdomen caudal to the stomach.  The remainder of the liver and spleen are unremarkable.  There are no abnormalities involving the visible portions of the urinary tract.  Serosal detail is normal.  There are metallic projectiles (BBs) superimposed over the soft tissues  one of the pelvic limbs (right lateral view)._x000D_
_x000D_
Thorax (lateral view).</t>
  </si>
  <si>
    <t>Metallic linear foreign bodies of unknown origin or location.  These may be migrating.  It is uncertain if these are chronic or acute._x000D_
_x000D_
Metallic BBs within the soft tissues of the pelvic limbs.</t>
  </si>
  <si>
    <t>Thorax: There is moderate left-sided cardiomegaly.  There is an interstitial to alveolar pattern involving the perihilar region.  There is no evidence of pleural effusion or lymphadenopathy.  The remainder of the thorax is unremarkable.  On the visible portions of the abdomen there is mild diffuse hepatomegaly.  The remainder of the visible portions of the abdominal viscera are unremarkable.</t>
  </si>
  <si>
    <t>Left-sided cardiomegaly with evidence of decompensation/failure._x000D_
_x000D_
Mild diffuse hepatomegaly.</t>
  </si>
  <si>
    <t xml:space="preserve">Patient Name : Abby Mullin, Date of study: Jun 28, 2024
7 images are provided for review
This examination complements prior dated June 14, 2024.
Pulmonary parenchyma: A minimal to mild diffuse bronchial pattern is present.  Multiple small mineral foci are in the cranioventral lungs in the lateral image.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ventral extremity of the spleen is slightly rounded and enlarged in the right lateral image.
Kidneys: The kidneys are normal in size and shape without obvious mineral.
Retroperitoneum: Retroperitoneal detail is adequate.
Urogenital: The urinary bladder is normal in size, homogeneous soft tissue, and smoothly marginated.
Peritoneum: Only in the left lateral image, an ovoid soft tissue structure superimposes over the caudoventral margin of the liver.
Gastrointestinal tract: The stomach contains mild fluid or is empty.  The stomach is normal in size.
The small intestine contains mild gas, fluid or is empty with a subjectively uniform population for size. 
The colon contains moderate well-defined soft tissue material and gas. The colon wall is mildly spastic.  
Musculoskeletal: Mild bilateral coxofemoral joint osteoarthrosis is present.  Bilateral elbow and shoulder osteoarthrosis is present.  T12-13 and L7-S1 spondylosis deformans is present.  The remaining included musculoskeletal structures are normal.  The soft tissues of the left lateral thoracic body wall caudal and lateral to the scapula are subjectively enlarged and slightly heterogeneous.  
</t>
  </si>
  <si>
    <t>1.  Left lateral extra-thoracic enlarged soft tissues with mild heterogeneity such as from cellulitis/myositis/fasciitis such as from migrating foreign material, occult injury,  or evolving neoplasia (soft tissue sarcoma or less likely other) 
2.. Minimal-mild diffuse bronchial pulmonary pattern such as from fibrosis from prior disease, age-related changes, or unlikely infectious/immune-mediated lower airway disease or other.
3. Multiple small mineral foci in the cranioventral lungs such as from pulmonary osseous metaplasia/benign osteomas, granuloma from prior disease, or unlikely other.
4. Mild splenomegaly versus artifact from positioning/technique.
- If present, differential diagnoses include extramedullary hematopoiesis, lymphoid hyperplasia, or evolving neoplasia.
5. Mild bilateral coxofemoral joint osteoarthrosis 
6. Similar bilateral elbow osteoarthrosis.
7. Similar bilateral shoulder osteoarthrosis.
8. T12-13 and L7-S1 spondylosis deformans.</t>
  </si>
  <si>
    <t>Etiology of reported anemia is not definitively identified and may be due to chronic disease versus other.  Computed tomography of the thoracic limbs/thorax and abdomen for further evaluation.  If an occult mass is identified, consider tissue sampling. If splenomegaly is confirmed, consider coagulation testing and tissue sampling.  Oncologist consultation depending on results.    Empirical therapy and supportive care in the interim as needed.  Monitoring as directed or sooner if clinical signs acutely change, fail to improve or worsen.</t>
  </si>
  <si>
    <t>3 views of the abdomen are provided for review.  Serosal detail is adequate in all quadrants.  The stomach contains a small amount of soft tissue material and the rugal folds are prominent.  The small intestines are normal in size.  Gas is present in the colon.  The urinary bladder is small.  The remaining abdominal organs are normal.</t>
  </si>
  <si>
    <t xml:space="preserve">
1.The spleen and liver silhouettes are within normal limits._x000D_
2.Serosal detail is normal._x000D_
3.The stomach contains small-volume amorphous soft tissue opacity and gas. Small intestines are diffusely mildly filled with fluid._x000D_
4.No abnormal AI findings reported.</t>
  </si>
  <si>
    <t>WHOLE-BODY (3 radiographs for review). No previous for comparison._x000D_
_x000D_
- Marked left-sided cardiomegaly, characterized by dorsa displacement of the caudal aspect of the thoracic trachea. Overt rounding in the region of the left atrium and auricle._x000D_
- Pulmonary vasculature is within normal._x000D_
- Unstructured interstitial pattern in the right lung lobes as compared to the left._x000D_
- Mild dynamic change in diameter of the trachea at the thoracic inlet._x000D_
- Moderate hepatomegaly._x000D_
- Granular mineral opaque material in the region of the gallbladder._x000D_
- Gastrointestinal tract, spleen, kidneys normal._x000D_
- Bilateral stifle osteoarthritis, seemingly worse on the left.</t>
  </si>
  <si>
    <t>1. Marked left-sided cardiomegaly with overt left atrial and left auricular enlargement. Although there is no distinct pulmonary vasculature distention, there is an asymmetric right-sided unstructured interstitial pattern that given the reported history does raise concern for left sided congestive heart failure, although it could be pulmonary atelectasis/hypoinflation. If safe, you may consider diuretic administration and recheck thoracic radiographs to further evaluate for persistence vs. resolution of the pulmonary opacification. Ultimately, echocardiogram/ECG and cardiologist consultation are recommended._x000D_
_x000D_
2. Moderate, likely benign vacuolar hepatopathy._x000D_
_x000D_
3. Cholecystolithiasis._x000D_
_x000D_
4. Left stifle osteoarthritis.</t>
  </si>
  <si>
    <t xml:space="preserve">
1.The liver is moderately enlarged._x000D_
2.The shape of the liver is normal, and the margins are smooth._x000D_
3.There is a small quantity of soft tissue dense ingesta in the stomach._x000D_
4.No abnormal AI findings reported._x000D_
5.No abnormal AI findings reported._x000D_
6.The intestines are gas and fluid filled, without signs of dilation or obstruction.</t>
  </si>
  <si>
    <t xml:space="preserve">Patient Name: Royce Sekhon, Date of study: Jun 24, 2024
6 images are provided for review
Previous images dated [06/18/2024 Case#2690423] are available for comparison. Abdomen evaluation has been requested. 
Abdomen:
Liver: The liver is moderately enlarged causing caudal displacement of the stomach. The liver margins are mildly irregular diffusely. On the lateral projections, what appears to be a soft tissue mass resides in the mid-abdomen which may represent a pedunculated liver mass or splenic mass. On the VD projection, this mass is positioned caudal to the stomach and cranial to the spleen, but the mass is less opaque than soft tissue on the VD projection and the margins of all adjacent soft tissue structures (liver, spleen, stomach and small bowel) are visible making a fat opacity mass more likely. Overlying the left caudal liver tip is a rounded region concerning for a nodule. 
Spleen: On the VD projection, the recognizable portion of the spleen, positioned caudally, is enlarged and has a lobular margin. 
Kidneys and urinary bladder: The left kidney is caudally displaced by the left mid-abdominal mass. The right kidney is not visible on the VD projections. On the lateral projections, a soft tissue structure that may represent the right kidney or splenic head is noted ventral to T12-L1. The urinary bladder is mildly to moderately distended. No radiopaque calculi are noted. The prostate is enlarged and has stippled mineral opacity overlying the prostate on the lateral projection.
GI: An oval radiopaque structure is present within the gastric lumen. The small bowel is diffusely gas filled, displaced into the right mid-abdomen and has a somewhat rigid appearance. The colon is empty. 
Abdominal detail: An increase in soft tissue opacity with focal mineral opacity overlies the sublumbar region.
Caudal thorax: The right heart is enlarged. The CVC is distended. The pulmonary artery to the cranial thorax appears decreased for size. On the lateral projection is a rounded soft tissue mass in the caudodorsal thorax. No gas is noted within this structure. On the VD projection, this soft tissue structure appears to be positioned in the region of the esophageal hiatus. Gas dilation of the caudal thoracic esophagus is also present along with a right caudal lung lobe alveolar infiltrate. 
Msk: An irregular mineral opacity is ventral to or associated with the ventral margin of the sacrum on all lateral projections. A periosteal reaction and endosteal thinning are present along the caudal aspect of at least one femoral diaphysis on the lateral projection.
A lytic lesion affects the L3 dorsal spinous process on the lateral projections. </t>
  </si>
  <si>
    <t xml:space="preserve">1) Given the history of a hepatocellular carcinoma, hepatomegaly with suspected pedunculated masses extending from the caudal aspect of the liver is the primary consideration. Splenic origin for the left cranial abdominal mass is a secondary consideration. Tertiary consideration is disseminated lymphoma affecting the caudal mediastinum, liver and spleen +/- abdominal lymphadenopathy. 
2) Caudodorsal thoracic soft tissue mass that arises along midline. DDx: herniation of a liver mass or liver lobe through the esophageal hiatus vs. caudal mediastinal lymphadenopathy vs. less suspected, hiatal hernia.
3) CVC and right heart enlargement with small cranial pulmonary vasculature. If the cranial abdominal masses are of liver origin, rule out extension into the hepatic veins and potentially tumor thrombi causing PTE is a primary consideration. PTE due to tumor emboli could also explain the right caudal lung lobe alveolar infiltrate given the dorsal location. Alternatively, a splenic origin hemangiosarcoma with right atrial/auricular involvement could explain the right heart changes and decreased pulmonary artery size. A mass within the right atrium could also result in tumor thrombi causing the right caudal alveolar infiltrate.
4) Prostatomegaly with suspected prostatic mineralization. Appearance to the sublumbar region, ventral margin of S1 and femoral diaphysis, rule out prostatic carcinoma with lymph node and osseous metastasis. </t>
  </si>
  <si>
    <t xml:space="preserve">Cardiac and abdominal ultrasounds vs. whole body CT with contrast to determine tumor origin, assess for right atrial involvement vs. mediastinal lymphadenopathy and further assess the prostate and suspected osseous lesions. FNAs or biopsies as needed for cytology/histopathology. Coagulation profile, platelet count and PCV prior to any liver and/or splenic FNAs or biopsies. </t>
  </si>
  <si>
    <t xml:space="preserve">
1.The serosal margins of the liver are irregular and there is caudal deviation of the gastric axis._x000D_
2.Resource: https://platform.v2.vetology.net/doc/liver_disease_x000D_
3.There is increased soft tissue in the splenic region along with bowel displacement suggestive of a mass effect._x000D_
4.Abdominal detail is decreased._x000D_
5.The ventral abdominal line is pendulous secondary to the cranial abdominal organomegaly/mass._x000D_
6.The stomach is caudally displaced by the hepatomegaly. The small bowel is normal._x000D_
7.There is moderate to marked hepatomegaly that extends caudally to the mid-abdomen on the lateral projection.</t>
  </si>
  <si>
    <t>3 views of the abdomen are provided for review.  Serosal detail is adequate in all quadrants.  The stomach contains a small amount of granular material and the rugal folds are prominent.  The small intestines are normal in size.  Gas is present in the colon.  The urinary bladder is small.  A rounded soft tissue mass is seen at the caudal aspect of the head of the spleen on the VD view.  The remaining abdominal organs are normal.  Intact implants present along the right tibia consistent with previous surgery.  A femoral head and neck ostectomy it appears to have been previously performed on the right.  Metallic debris is present adjacent to the right coxofemoral joint.  There is remodeling of the left pubis and ischium with medial displacement of the acetabulum.  The right ilial wing is shortened.
(amended on 07/03/2024 16:40)
No additions.</t>
  </si>
  <si>
    <t>Material within the stomach may represent residual ingesta or foreign material.  Consider repeat radiographs following strict fasting to determine if gastric contents persist.  Prominent rugal folds suggestive of gastritis.  This does not rule out underlying pancreatitis, infiltrative neoplasia, inflammatory bowel disease, etc.  Small splenic mass=ZZ90= consider regeneration, inflammation, hematoma, neoplasia.  Abdominal ultrasound could be considered in further evaluation.  Likely previous right tibial fracture repair and femoral head and neck ostectomy.  Remodeling of the pelvis consistent with previous fractures and malunion.  The residual metallic debris may indicate underlying projectile trauma.
(amended on 07/03/2024 16:40)
Clinical information indicates the metallic debris seen adjacent to the right coxofemoral joint is associated with debris in their x-ray machine.  This makes previous projectile trauma unlikely.</t>
  </si>
  <si>
    <t>As above.
(amended on 07/03/2024 16:40)
No additions.</t>
  </si>
  <si>
    <t xml:space="preserve">
1.The small intestines are mildly dilated with a mixture of gas and fluid, and have a mild turgid appearance._x000D_
2.The ascending, transverse and descending colon contain gradually more formed faeces._x000D_
3.The liver is normal in shape, size and opacity._x000D_
4.The spleen is visible and within normal limits._x000D_
5.There is a mildly reduced cranial abdominal serosal detail._x000D_
6.The stomach has a normal axis, with subjectively thickened mucosal folding.</t>
  </si>
  <si>
    <t>Three radiographs of the thorax and five views of the abdomen are provided. The cardiac silhouette and pulmonary vessels are normal size and shape. A mild unstructured interstitial pattern and a few pulmonary osteomas is normal for the age and size of this patient. There are no soft tissue pulmonary nodules, pleural effusion, or intrathoracic lymphadenomegaly. Normal tracheal diameter._x000D_
_x000D_
In the abdomen serosal detail is adequate. Formed feces fills the distal colon. The stomach and small bowel are mildly filled. Fluid in the pylorus causes the round soft tissue contour in the cranioventral abdomen on the lateral views. There is no radiopaque foreign material or urolithiasis. Normal size liver, spleen, kidneys. No osseous abnormalities.</t>
  </si>
  <si>
    <t>Orthogonal views of the abdomen are provided:_x000D_
_x000D_
Abdomen:_x000D_
_x000D_
The stomach is empty._x000D_
Small intestines are mildly gas and fluid filled, not overtly distended. No signs of mechanical ileus._x000D_
Serosal detail is preserved._x000D_
Liver and spleen are within normal limits of size and smoothly marginated._x000D_
Kidneys and urinary bladder WNL._x000D_
_x000D_
Thoracic congenital hemivertebrae leading to kyphosis and scoliosis._x000D_
Suspected hip dysplasia without periarticular osetophytosis.</t>
  </si>
  <si>
    <t>1) Unremarkable abdomen. _x000D_
2) Congenital thoracic hemivertebrae are typical of the breed but predispose to neuro conditions such as constrictive thoracolumbar myelopathy secondary to caudal articular process dysplasia.</t>
  </si>
  <si>
    <t>Consider a neuro exam with MRI if necessary: if negative, consider an orthopedic exam under sedation.</t>
  </si>
  <si>
    <t>Patient Name: Barker Blahnik, Date of study: Jun 28, 2024
Canine Abdomen (4 Images) - 2 Lateral, 2 VD
There are no previous radiographs for comparison.
Findings:
Gastrointestinal tract: The stomach contains a small volume of gas and is normal in position. The small intestines are diffusely within normal limits of diameter and distribution, with no evidence of foreign material. The colon is normal in size and contains loosely formed feces and gas.
Liver: The liver is normal in size and shape.
Spleen: The spleen is normal in position with smooth margins.
Urinary: The kidneys are normal in size, shape, and margination. The urinary bladder is mildly distended and normal in opacity.
Peritoneal space: There is adequate serosal detail.
Musculoskeletal: There are no repeatable sites of intervertebral disc space narrowing. The vertebral bodies and endplates are intact/normal. The superficial soft tissue structures are normal.</t>
  </si>
  <si>
    <t>1. The gastrointestinal tract is radiographically normal. There is no evidence of a mechanical small intestinal obstruction or mineral/metal opaque foreign body.
-Differentials for painful abdominal palpation include pancreatitis and referred back pain (i.e. intervertebral disc disease).
2. The urinary bladder is mildly distended. Consider stress retention versus urinary obstruction. There is no evidence of mineral opaque urinary calculi.</t>
  </si>
  <si>
    <t>CBC, biochemistry, cPL and urinalysis are recommended if not already performed. An abdominal ultrasound could be considered to further evaluate the pancreas. If back pain is identified, a neurologic exam would be recommended to screen for intervertebral disc disease. Medical management and supportive care are recommended in the interim. Confirmation of urethral patency is suggested (i.e. normal micturition versus urinary catheterization).</t>
  </si>
  <si>
    <t xml:space="preserve">
1.The stomach is mildly gas and fluid filled with some soft tissue density material. The small bowel is gas and fluid-containing. No obvious obstruction._x000D_
2.The spleen is within normal limits._x000D_
3.The liver is within normal limits for size._x000D_
4.Detail in the abdomen is normal.</t>
  </si>
  <si>
    <t>Orthogonal views of the thorax and abdomen are provided:_x000D_
_x000D_
Thorax:_x000D_
_x000D_
Cardiac silhouette has a normal shape and size._x000D_
Pulmonary vessels are within normal limits of size and shape._x000D_
Pulmonary parenchyma shows an alveolar pulmonary pattern with air bronchograms ventrally located on both cranial lung lobes (left cranial more severely affected). No evidence of pulmonary nodules/masses._x000D_
Pleural space, mediastinum, diaphragm and thoracic wall within normal limits._x000D_
_x000D_
Abdomen:_x000D_
_x000D_
The stomach is filled with food and distended with gas secondary to aerophagia._x000D_
Small intestines are mildly gas and fluid filled, not overtly distended. No signs of mechanical ileus._x000D_
Serosal detail is preserved._x000D_
Liver and spleen are within normal limits of size and smoothly marginated._x000D_
Kidneys and urinary bladder WNL.</t>
  </si>
  <si>
    <t>1) Alveolar pulmonary pattern with air bronchograms ventrally located on both cranial lung lobes (left cranial more severely affected) consistent with aspiration pneumonia._x000D_
2) Unremarkable abdomen.</t>
  </si>
  <si>
    <t>Consider empirical treatment for pneumonia with follow up radiographs every 48/72 hours to evaluate response to treatment. Rule out any predisposing cause for vomition, regurgitation or neurological condition such as laryngeal paralysis.</t>
  </si>
  <si>
    <t xml:space="preserve">Patient Name : JJ Cambell, Date of study: Jun 28, 2024
4 images are provided for review
Canine Abdomen (2 Images) - 2 Lateral
Canine Thorax (2 Images) - 1 Lateral, 1 Vd
There are no previous radiographs for comparison.
Pulmonary parenchyma: A minimal diffuse bronchial pattern is present.
Pulmonary vasculature: The pulmonary vasculature is subjectively normal in size and tapers in the periphery of the lungs.
Cardiac silhouette: The cardiac silhouette is slightly tall and occupies 2/3 the height of the thorax with dorsal tracheal displacement.  The caudodorsal margin of the cardiac silhouette is slightly flattened.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gas and is within normal limits for size.  Gas is in the pylorus in the left lateral image.
The small intestine contains mild fluid or is empty with a subjectively uniform population for size. 
The colon contains moderate admixed soft tissue material and gas.
Bones/Joints:  there is no evidence of thoracolumbar intervertebral disc space narrowing.  A dens is present.  There is no evidence of atlantoaxial subluxation. Bilateral femoral trochlear hypoplasia without current evidence of patella luxation. The coxofemoral joints are normal.  The stifle joints are normal.  
There is no evidence of medullary sclerosis, osteolysis, endosteal scalloping, or periosteal proliferation.
Soft tissues:   The included musculoskeletal structures are normal.
</t>
  </si>
  <si>
    <t xml:space="preserve">1. Mild left-sided cardiomegaly such as from myxomatous mitral valvular disease and insufficiency.
- There is no evidence of left-sided congestive heart failure.
2. Minimal diffuse bronchial pulmonary pattern due to fibrosis from prior disease, age-related changes, or unlikely infectious/immune-mediated lower airway disease, or other.
3. Normal abdomen.
4. Bilateral femoral trochlear hypoplasia without current evidence of patella luxation.  </t>
  </si>
  <si>
    <t>Echocardiography, ECG and blood pressure as well as urinalysis and routine blood work for further evaluation if not recently performed.  Etiology of the reported neurologic/orthopedic clinical signs is not definitively identified, and this examination does not rule out occult intervertebral disc herniation or soft tissue strain/sprain injury.     Empirical therapy and supportive care in the interim as needed.  Monitoring as directed, or sooner if clinical signs acutely change, fail to improve or worsen.</t>
  </si>
  <si>
    <t>6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The abdomen, the stomach contains a moderate amount of gas.  The small bowel is subjectively normal and uniform in diameter and contains a mild amount of gas and fluid.  The colon is also normal in diameter and appears mildly fluid-filled.  The liver and spleen are normal in size, shape, and margination.  The bilateral renal silhouettes are within normal limits.  The urinary bladder is unremarkable.  Serosal detail is normal._x000D_
No osseous abnormalities are seen.</t>
  </si>
  <si>
    <t>The appearance of the GI tract is consistent with functional ileus as with gastroenteritis, including due to parvovirus.  Dietary indiscretion, parasites, or other nonspecific gastroenteritis is also possible.  No evidence of mechanical obstruction of the GI tract is seen._x000D_
Radiographically normal thorax.</t>
  </si>
  <si>
    <t>Correlation with blood work and fecal analysis and a parvo test appears indicated.  Symptomatic/supportive medical management appears appropriate.</t>
  </si>
  <si>
    <t>THORAX (3 radiographs for review). Compared to 03/29/24._x000D_
_x000D_
- The previously-described left sided cardiomegaly is not seen._x000D_
- There is the impression of mild right-sided cardiomegaly, which is characterized by rounding of the cranial and right cardiac margins._x000D_
- The previously-described redundant dorsal tracheal membrane is not seen._x000D_
- The pulmonary vasculature, parenchyma and pleural space are normal._x000D_
- The gastrointestinal tract confers an appearance of aerophagia._x000D_
- The liver, spleen, kidneys and urinary bladder are normal._x000D_
- Mild narrowing of the T12-13 intervertebral disc with spondylosis deformans._x000D_
- Bilateral glenohumeral periarticular osteophyte formation.</t>
  </si>
  <si>
    <t>1. Overall, an overt cause for the reported dry coughing is not clearly noted._x000D_
_x000D_
2. Mild right sided cardiomegaly can be compatible with the reported pulmonary arterial hypertension (less likely tricuspid valvular disease). No evidence of RS-CHF._x000D_
_x000D_
3. Resolved redundant dorsal tracheal membrane does not necessarily exclude tracheal collapse._x000D_
_x000D_
4. Aerophagia._x000D_
_x000D_
5. T12-13 intervertebral disc disease._x000D_
_x000D_
6. Mild glenohumeral osteoarthrosis.</t>
  </si>
  <si>
    <t xml:space="preserve">
1.The small bowel is diffusely gas- and fluid-filled without segmental small bowel dilation._x000D_
2.The stomach contains a small amount of gas._x000D_
3.Splenic size, shape and margin are normal._x000D_
4.The liver is mildly enlarged but retains a smooth margin._x000D_
5.Abdominal detail is normal.</t>
  </si>
  <si>
    <t xml:space="preserve">Patient Name : Benny DennyDenny, Date of study: Jun 28, 2024
3 images are provided for review
There are no previous radiographs for comparison.  The cranial tip of the thorax is excluded from the oblique ventrodorsal image.
Pulmonary parenchyma: A minimal diffuse bronchial pattern is present.
Pulmonary vasculature: The pulmonary vasculature is subjectively normal in size and tapers in the periphery of the lungs.
Cardiac silhouette: The cardiac silhouette is has a minimally flat caudodorsal margin in the right lateral image.
Mediastinum: The cranial mediastinum is normal on limited evaluation.
Trachea: The trachea is normal.
Esophagus: The esophagus is not well-identified.
Pleural space: The pleural space is normal.
Musculoskeletal: The included musculoskeletal structures are normal.
</t>
  </si>
  <si>
    <t xml:space="preserve">1. Minimal left- atrial enlargement versus artifact from positioning/technique.
- If present, consider evolving myxomatous mitral valvular disease versus other.
- there is no evidence of left-sided congestive heart failure.
2. Minimal diffuse bronchial pulmonary pattern such as from fibrosis from prior disease, age-related changes, or unlikely infectious/immune-mediated lower airway disease or other.
3. No obvious intra-thoracic lymphadenomegaly or pulmonary nodules.  </t>
  </si>
  <si>
    <t>Consider echocardiography and ECG for further evaluation of the heart murmur.  Abdominal imaging for further evaluation of weight loss such as from evolving mass(es) and neoplasia  will likely be contributory. Empirical therapy and supportive care as needed in the interim.  Monitoring as directed or sooner if clinical signs acutely change, fail to improve or worsen.</t>
  </si>
  <si>
    <t>Three radiographs of the thorax and three views of the abdomen are provided. The cardiac silhouette and proximal pulmonary vessels are normal size. There are a few focally dilated distal aspect of the caudodorsal pulmonary arteries There are numerous incidental pulmonary osteomas in the lungs. Round 0.7 cm increased opacity caudal to the heart and overlying the diaphragm on the right lateral view is seen overlying the caudal lateral left thorax on the VD projection. There is soft tissue opacity with air bronchograms in the cranioventral lungs bilaterally, worse on the left. Scant pleural fluid. Adequate tracheal diameter._x000D_
_x000D_
In the abdomen there is moderate volume cranial peritoneal fluid. No organomegaly is appreciated. The gastrointestinal tract is minimally filled. No radiopaque foreign material or urolithiasis. Osseous structures are unremarkable.</t>
  </si>
  <si>
    <t>1. Moderate peritoneal effusion, concerning for a neoplastic process. Metabolic abnormality or inflammatory process such as gastroenteritis/pancreatitis is next on the differential list. No other abdominal abnormalities._x000D_
2. Bilateral ventral alveolar pattern and scant pleural effusion, consistent with aspiration pneumonia._x000D_
3. Small nodule in the caudal left lung lobe is concerning for metastatic disease, but could be a granuloma. No other evidence of pulmonary metastatic disease.</t>
  </si>
  <si>
    <t>Antibiotics and abdominal ultrasound are recommended.</t>
  </si>
  <si>
    <t xml:space="preserve">
1.The liver is mildly enlarged._x000D_
2.The colon contains gas and fluid._x000D_
3.Resource: https://platform.v2.vetology.net/doc/gi_protectants_1_x000D_
4.The spleen is normal._x000D_
5.Cranial abdominal detail is mildly decreased._x000D_
6.Resource: https://platform.v2.vetology.net/doc/pancreatitis_x000D_
7.The stomach contains a moderate amount of mixed gas and fluid._x000D_
8.Small intestinal bowel loops are normal in size and distribution and have mainly a soft tissue pattern.</t>
  </si>
  <si>
    <t>4 images of the thorax are provided for review. The trachea is mildly dorsally deviated, indicating left ventricular enlargement. There is straightening of the caudal cardiac waist in the region of the left atrium. The pulmonary vasculature is normal in size. No pulmonary infiltrates are seen. The pleural and mediastinal structures are normal. Cranial abdominal detail is adequate.</t>
  </si>
  <si>
    <t>Mild left sided cardiomegaly without current evidence of cardiogenic pulmonary edema.</t>
  </si>
  <si>
    <t>Echocardiography could be considered in further evaluation.</t>
  </si>
  <si>
    <t>Orthogonal views of the thorax and abdomen are provided:_x000D_
_x000D_
Thorax:_x000D_
_x000D_
Suspected cervical tracheal narrowing._x000D_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t>
  </si>
  <si>
    <t>1) Rule out dynamic cervical tracheal collapse. Otherwise, unremarkable thorax and abdomen.</t>
  </si>
  <si>
    <t>Consider fluoroscopy (followed by tracheobronchoscopy, BAL and culture/cytology) to rule in extrathoracic tracheal collapse and to rule in/out intrathoracic vs bronchial component, evaluating treatment options. Take advantage of the bronchoscopy to further evaluate the larynx given 30% of patients with tracheal collapse display different degrees of laryngeal paralysis.</t>
  </si>
  <si>
    <t>Orthogonal views of the abdomen are provided:_x000D_
_x000D_
Abdomen:_x000D_
_x000D_
The stomach and colon are empty._x000D_
Small intestines are mildly gas and fluid filled, not overtly distended. No signs of mechanical ileus._x000D_
Serosal detail is preserved._x000D_
Liver and spleen are within normal limits of size and smoothly marginated._x000D_
Kidneys and urinary bladder WNL.</t>
  </si>
  <si>
    <t>1) Unremarkable abdomen. Rule out dietary indiscretion/foreign material ingested and vomited/intoxication.</t>
  </si>
  <si>
    <t>Consider abdominal US to further evaluate causes of vomition, diarrhea and lethargy along with renal and hepatic function test.</t>
  </si>
  <si>
    <t xml:space="preserve">
1.Serosal detail is normal._x000D_
2.The stomach contains small volume fluid and gas._x000D_
3.The liver and spleen appear within normal limits._x000D_
4.No abnormal AI findings reported._x000D_
5.Small intestines are diffusely mild to moderately filled with fluid and gas. No convincing obstruction.</t>
  </si>
  <si>
    <t>A two view thoracoabdominal study is provided for interpretation._x000D_
_x000D_
Moderate heart enlargement is identified. The cardiac silhouette appears rounded in the VD view. Evaluation of heart shape and dorsal lung fields in the lateral view is limited due to marked rotational obliquity. There is a mild bronchointerstitial pulmonary pattern. Redundant dorsal tracheal membrane is evident, but no narrowing of the tracheal cartilage is seen._x000D_
_x000D_
There are several loops of small intestine that are mildly gas dilated. This is likely the result of aerophagia and is probably transient. The other abdominal organs visible in this study appear normal.</t>
  </si>
  <si>
    <t>Moderate cardiomegaly is identified. No changes indicative of heart failure are seen._x000D_
The bronchial pattern is mild, but would be compatible allergic lung disease, low-grade bronchitis, or mild idiopathic chronic bronchitis._x000D_
_x000D_
The redundant dorsal tracheal membrane is a finding that is commonly incidental, but dynamic tracheal collapse cannot be excluded on the basis of survey radiographs.</t>
  </si>
  <si>
    <t>Concerning the chronic nature of the cough, idiopathic or allergic chronic bronchitis is likely. The radiographic changes are mild._x000D_
_x000D_
There is cardiomegaly, but this is not suspected to be associated with the current clinical signs. Echocardiography should be considered for more definitive evaluation.</t>
  </si>
  <si>
    <t xml:space="preserve">
1.No dilation of the small intestine is seen._x000D_
2.The gastric rugae are prominent._x000D_
3.Liver size is normal to upper limits of normal. Liver margin is normal._x000D_
4.Splenic size, shape and margin are normal._x000D_
5.Cranial abdominal detail is decreased.</t>
  </si>
  <si>
    <t>Study:_x000D_
Abdominal radiography: three images dated June 28, 2024_x000D_
_x000D_
Findings:_x000D_
The stomach contains a small farm of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There is no prostatomegaly. The included thorax is normal. No skeletal abnormalities are present.</t>
  </si>
  <si>
    <t>Abdominal sonography can be considered for further evaluation if the patient begins to exhibit any gastrointestinal signs.</t>
  </si>
  <si>
    <t>6 images of the thorax and abdomen are provided for review.  The lung lobes are retracted from the thoracic wall and fluid is present in the pleural space.  The cardiac silhouette cannot be fully visualized due to silhouetting but appears grossly normal in size.  The visible pulmonary vasculature is normal in size.  Alveolar opacity is seen in the left cranial lung lobe.  The bronchus appears normal in direction without truncation.  Abdominal serosal detail is reduced in all quadrants.  The liver margins are rounded and extend beyond the costal arch, causing caudal displacement of the gastric axis.  The stomach contains a moderate amount of gas.  The small intestines are normal in size.  Gas and feces are present in the colon.  The urinary bladder is small.  The remaining abdominal organs are normal.</t>
  </si>
  <si>
    <t>Hepatomegaly=ZZ90= this is a nonspecific finding that may be seen with congestion, vacuolar hepatopathy, inflammation, neoplasia, etc. Bicavitary effusion.  Echocardiography and/or abdominal ultrasound may be helpful in further evaluation.  Alveolar opacity in the left cranial lung lobe.  Consider neoplasia, hemorrhage, pneumonia.  No bronchial changes are seen to strongly suggest lung lobe torsion, although this cannot be completely excluded.  Airway sampling, lung ultrasound (including color Doppler evaluation of flow), and/or CT may be helpful.</t>
  </si>
  <si>
    <t xml:space="preserve">
1.The splenic serosal margins are also poorly defined._x000D_
2.The stomach is normal in position but the intestine is displaced._x000D_
3.There is a very large mass-effect within the cranial abdomen that is displacing colon and small intestines into the caudal abdomen. The gastrointestinal tract is considered within normal limits with the exception of being displaced by the mass-effect._x000D_
4.There is a marked reduction in serosal detail within the peritoneal space and the abdomen has a pendulous appearance._x000D_
5.The caudoventral hepatic serosal margins are somewhat poorly defined but appear to be rounded.</t>
  </si>
  <si>
    <t xml:space="preserve">Patient Name : Luna Savoy, Date of study: Jun 28, 2024
3 images are provided for review
Canine Abdomen (3 Images) - 2 Lateral, 1 Vd
There are no previous radiographs for comparison.  
N.B. Patient signalment is listed as "FS".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No obvious enlarged tubular soft tissue segments in the region of the uterine horns.
Peritoneum: Peritoneal detail is adequate.
Gastrointestinal tract: The stomach contains a mild to moderate volume of gas and some ill-defined soft tissue material.  The stomach is within normal limits for size.  Gastric rugal folds are prominent.  Gas is suspected in the pylorus and descending duodenum.
The small intestine contains mild homogeneous fluid or is empty with a subjectively uniform population for size. 
The colon contains minimal soft tissue material and gas.
Musculoskeletal:  The included musculoskeletal structures are normal.
caudal thorax:  The caudal vena cava is small in both lateral images, consistent with reported dehydration.  
</t>
  </si>
  <si>
    <t xml:space="preserve">1.  Ill-defined soft tissue gastric material may be foreign material with partial/intermittent pyloric outflow tract obstruction, versus normal ingesta.
2. Prominent gastric rugal folds such as from non-specific gastritis versus normal variation.
3. Non-specific small intestinal changes such as from enteritis, or individual variation of normal.
- There is no current evidence of small intestinal mechanical ileus.
4. No obvious uterine horn enlargement is identified. 
5. Consistently small caudal vena cava consistent with reported dehydration/hypovolemia.
</t>
  </si>
  <si>
    <t>Consider abdominal ultrasonography for further evaluation of the gastrointestinal tract or uterus, especially if the patient is truly intact.  Alternatively, therapy for gastroenteritis and monitoring with recheck radiographs in 8-12 hours for passage of gastric material.  If gastric material is persistent, consider gastroscopy for retrieval of possible foreign material contributing to reported clinical signs.   Empirical therapy and supportive care in the interim as needed.  Monitoring as directed, or sooner if clinical signs acutely change, fail to improve or worsen.</t>
  </si>
  <si>
    <t>Survey orthogonal thoracoabdominal views and two lateral thoracoabdominal views made after oral administration of a small quantity of liquid barium 30 minutes apart are provided for interpretation._x000D_
_x000D_
In the survey radiographs, the upper GI tract appears empty and nondistended. No foreign bodies or obstructive pattern are identified. The colon is moderately dilated with gas and a small to moderate quantity of fecal material. The other abdominal organs are within normal size and shape limits. Serosal detail is normal._x000D_
The heart is at the upper end of normal size range, with normal shape. The pulmonary vessels and parenchyma are within normal limits. No esophageal abnormalities are identified._x000D_
_x000D_
After barium administration, the barium appears to have coated and soaked into a tubular appearing structure in the stomach that measures approximately 1.5 x 5.0 cm. The subjective appearance is typical of a trichobezoar or something of similar consistency._x000D_
In the follow up image made 30 minutes later, this shadow is no longer apparent. There is minimal residual barium within the Crips of the gastric mucosa, and the rest of the barium is distributed throughout normal appearing small intestinal loops. No dilation or plication the intestine is seen.</t>
  </si>
  <si>
    <t>There is an unusual appearance to the barium within the stomach in the initial) radiograph, that suggests the presence of formed foreign material such as 1st/hair, textile, or grass. However, 30 minutes later the appearance of the stomach is empty and entirely normal so clinical significance of the appearance in the one image is equivocal._x000D_
The intestinal tract is unremarkable._x000D_
_x000D_
The content seen in the stomach could represent a small quantity residual food in the stomach at the time of the radiographs.</t>
  </si>
  <si>
    <t>The radiographic findings are limited. There is potential for a small quantity of persistent radiolucent gastric foreign material, but there is not enough evidence in this study to warrant surgical or endoscopic intervention at this time. There is no evidence of obstruction._x000D_
Symptomatic therapy is recommended, with follow up imaging such as a double contrast gastrogram after fasting if clinical signs are still present in one week.</t>
  </si>
  <si>
    <t>Radiographically normal liver, spleen and abdominal detail. Post-prandial intestinal tract vs. low grade enteritis. This finding must be correlated to clinical signs of intestinal disease such as vomiting.</t>
  </si>
  <si>
    <t xml:space="preserve">
Virtual Radiologist Case Difficulty: LOW_x000D_
Virtual Radiologist Confidence: HIGH_x000D_
Empirical therapy for enteritis and further diagnostics if GI signs are present.</t>
  </si>
  <si>
    <t xml:space="preserve">Patient Name : Winston Frey, Date of study: Jun 28, 2024
8 images are provided for review
There are no previous radiographs for comparison.
Liver: The liver is enlarged with a flat or rounded to lobular caudal and caudoventral margin in the lateral images.  The gastric axis is caudally displaced.  A suspected right caudal liver margin is rounded in the ventrodorsal image.  The liver occupies 3-4 intercostal spaces in the ventrodorsal image.
Spleen: In the mid to mid-ventral abdomen, tubular to lobular soft tissue is present, suspected to be the enlarged ventral extremity of the spleen.  This results in caudal and dorsal dispalcement of intestine.  The spleen is possibly rounded or enlarged in the mid-abdomen in the ventrodorsal image.  
Kidneys: The left kidney is normal and the right kidney is obscured without obvious enlargement/mineral.
Retroperitoneum: Retroperitoneal detail is adequate.
Urogenital: The urinary bladder is obscured without obvious enlargement or mineral.  
Peritoneum: A mild to moderate volume of fluid opaque striations are admixed with peritoneal fat which partially obscures serosal margins.
Gastrointestinal tract: The stomach contains a mild heterogeneous soft tissue material and gas.  Gas is suspected in the pylorus in the left lateral image.  The stomach is subjectively normal in size.
The small intestine contains fluid or is empty with a subjectively uniform population for size. 
The colon contains mild well-defined soft tissue material and gas.
Musculoskeletal: A prior right-sided TPLO has been performed.  Moderate bilateral coxofemoral joint osteoarthrosis is present.  Moderate bilateral stifle osteoarthrosis is present.  Multifocal thoracolumbar spondylosis deformans is present. The remaining included musculoskeletal structures are normal.
</t>
  </si>
  <si>
    <t>1. Hepatomegaly and suspected hepatic mass/nodule.
- Differential diagnoses include neoplasia such as a primary carcinoma or metastatic disease, or nodular hyperplasia, vacuolar hepatopathy, or unlikely other or a combination of these.
2. Suspected splenomegaly and possible splenic mass or less likely folding/artifact.
- If present, differential diagnoses include neoplasia (primary versus metastatic/multicentric) or less likely extramedullary hematopoiesis, lymphoid hyperplasia, or other.
3. Mild to moderate peritoneal fluid such as from malignant effusion versus hemorrhage or unlikely other.
4. Moderate bilateral coxofemoral and stifle osteoarthrosis.
5. Prior right-TPLO and moderate right stifle osteoarthrosis.
6. Moderate left stifle osteoarthrosis.</t>
  </si>
  <si>
    <t>Consider abdominal ultrasonography for further evaluation of the liver/spleen and peritoneum with fluid analysis/cytology and possible tissue sampling of hepatic/splenic mass depending on results.   Routine blood work and urinalysis may be contributory.  If hepatomegaly and hepatic mass are confirmed, computed tomography may be contributory for pre-surgical planning of excisional/incisional biopsy and histopathology.  Oncologist consultation depending on results.  Empirical therapy and supportive care in the interim as needed.  Monitoring as directed, or sooner if clinical signs acutely change, fail to improve or worsen.</t>
  </si>
  <si>
    <t xml:space="preserve">Patient Name : Ninah Beltran, Date of study: Jun 28, 2024
3 images are provided for review
Canine Abdomen (3 Images) - 2 Lateral, 1 Vd
There are no previous radiographs for comparison.
Liver: The liver is subjectively normal in size and occupies at least 3 intercostal spaces in the ventrodorsal image.  The gastric axis is likely caudally displaced due to patient obliquity in the lateral images.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No obvious thickening of the urinary bladder or dorsally positioned mineral.  
Peritoneum: Peritoneal detail is adequate.
Gastrointestinal tract: The stomach contains a moderate volume of heterogeneous soft tissue material and gas.  This is in the pylorus in the left lateral image.  The stomach is within normal limits for size.  
The small intestine contains mild to moderate gas and heterogeneous soft tissue material. The small intestine has a subjectively uniform population for size. 
The colon contains mild heterogeneous soft tissue material and gas.  The colon is normal in size.  
Musculoskeletal: L2-3 spondylosis deformans is present.  The remaining included musculoskeletal structures are normal.
Caudal thorax:  Multiple small ovoid mineral foci in the ventral lungs are most likely benign osteomas.  
</t>
  </si>
  <si>
    <t xml:space="preserve">1. Gastric material due to recent meal, versus gastritis/delayed gastric emptying or less likely pyloric outflow tract obstruction given lack of reported gastrointestinal clinical signs.
2. Non-specific small intestinal and colon changes such as from enteritis, colitis, or individual variation of normal given lack of reported gastrointestinal clinical signs.
3. No evidence of urinary bladder enlargement or mineral in this examination.
4. Presumed benign pulmonary osteomas.  </t>
  </si>
  <si>
    <t>This examination does not rule out radiolucent urocystoliths.  Consider contrast vaginocystourethrography versus ultrasonography for further evalaution of the urinary bladder.  Urinalysis, urine culture/sensitivity testing and BRAF testing versus traumatic catheterization for further evaluation.  Routine blood work and coagulation testing may be contributory.  Empirical therapy and supportive care for possible cystitis in the interim.  Monitoring with repeat abdominal radiographs after fasting, or consider abdominal ultrasonography if signs fail to improve or worsen in the face of empirical therapy.</t>
  </si>
  <si>
    <t>Four radiographs of the thorax and abdomen are provided. The cardiac silhouette is normal size and shape. There are no abnormalities in the pulmonary parenchyma. No pleural effusion. Crisp pleural fissure lines are normal for the age of this patient. The trachea is normal diameter. No thoracic spinal abnormalities. In the abdomen the liver is mildly enlarged with smooth margins. Normal-sized spleen and kidneys. The gastrointestinal tract is moderately filled. No radiopaque cystic calculi. The T10-11 intervertebral disc space is narrowed, an incidental anatomic variant. No other narrowed intervertebral disc spaces or foramina. There is no endplate lysis. The coxofemoral joints are congruent. Patellar location is normal.</t>
  </si>
  <si>
    <t>Normal thorax and abdomen. A reason for discomfort is not identified. Soft tissue sprain/strain is most likely. An intervertebral disc lesion is next on the differential list.</t>
  </si>
  <si>
    <t>If there are no neurologic deficits and pain can be medically managed, this patient may benefit from anti-inflammatories and strict rest. Otherwise, consultation with a neurologist and advanced spinal imaging with CT/MRI would be recommended.</t>
  </si>
  <si>
    <t>Three radiographs of the thorax, two views of the thoracic limbs, and two views of the abdomen are provided. The right laterality marker is located on the left side of the patient on the VD thoracic radiograph. The cardiac silhouette and pulmonary vessels are normal size and shape. There are faint bronchial markings consistent with age. The patient is overweight, with moderate volume subcutaneous fat. Normal tracheal diameter and cranial mediastinal width. No cervical spinal abnormalities. Scapular contour and opacity are normal. The shoulder joints and left cubital joint are congruent. There is mild soft tissue swelling in the distal right manus, with no fracture or subluxation. No distal left thoracic limb abnormalities._x000D_
_x000D_
In the abdomen there is formed feces in the distal colon. Gas in the proximal colon and cecum. The stomach and small bowel are minimally filled. Normal-sized spleen, liver, left kidney. The right kidney is obscured. No radiopaque urolithiasis. Wispy thickened mid ventral abdominal body wall and adjacent subcutaneous tissues consistent with recent surgery. Normal lumbar spine. Minimal degenerative change in the coxofemoral joints, incidental.</t>
  </si>
  <si>
    <t>1. Mild soft tissue swelling in the distal right thoracic limb. Soft tissue sprain/strain is suspected. Small puncture wound with cellulitis/edema could also cause this appearance. In the absence of right-sided lameness, significance is uncertain. No left thoracic limb abnormalities._x000D_
2. Normal thorax and abdomen.</t>
  </si>
  <si>
    <t>Recommend continued supportive care with anti-inflammatories.</t>
  </si>
  <si>
    <t>2 views of the abdomen are provided for review. Serosal detail is adequate. The stomach contains a moderate amount of gas and the rugal folds are mildly prominent. The small intestines are normal in size. Gas is present in the colon. The remaining abdominal organs are normal.</t>
  </si>
  <si>
    <t>Mildly prominent rugal folds suggestive of gastritis. This does not rule out underlying pancreatitis or infiltrative neoplasia.</t>
  </si>
  <si>
    <t xml:space="preserve">Patient Name : Little Buddy Solper, Date of study: Jun 28, 2024
6 images are provided for review
Canine Abdomen (3 Images) - 2 Lateral, 1 Vd
Canine Thorax (3 Images) - 2 Lateral, 1 Vd
There are no previous radiographs for comparison.
Pulmonary parenchyma: Small, round soft tissue to mineral foci are identified in the right lateral image over the ventral aspect of the 4th ribs and mid-aspect of the 8th ribs.   These nodules are suspiciously larger than local vascular structures.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left kidney is normal.  The right kidney is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mild to moderate gas.  The stomach is normal in size.  Gas is in the pylorus in the left lateral image.  Gastric rugal folds are minimally or mildly prominent.
The small intestine contains mild gas and  fluid or is empty with a subjectively uniform population for size. 
The colon contains moderate heterogeneous soft tissue material and gas.
Musculoskeletal: The included musculoskeletal structures are normal.
</t>
  </si>
  <si>
    <t>1. Possible mineral pulmonary nodules versus granulomas from prior disease or pulmonary osteomas.
- If a primary osseous neoplasm is identified, this may represent early metastatic disease.
2. Minimal to mild diffuse bronchial pattern due to infectious/immune-mediated lower airway disease, fibrosis from prior disease, age-related changes, or unlikely other.
3. Prominent gastric rugal folds such as from non-specific gastritis versus normal variation.
- Differential diagnoses for gastritis include dietary indiscretion, toxin ingestion, diet/antibiotic responsive disease, parasitism/primary infectious disease, pancreatitis, or occult systemic disease.
4. There is no evidence of small intestinal mechanical ileus.</t>
  </si>
  <si>
    <t>Empirical therapy and supportive care in the interim as needed for gastrointestinal clinical signs.  Consider routine blood work, GI panel, fecal analysis/deworming and possibly abdominal ultrasonography for further evaluation.  Monitoring the thorax with repeat radiographs in 3-4 weeks for progression of possible pulmonary nodules versus other.  Thoracic computed tomography may also be beneficial for a more sensitive evaluation of the lungs.  Monitoring  as directed, or sooner if clinical signs acutely change, fail to improve or worsen.</t>
  </si>
  <si>
    <t xml:space="preserve">
1.On the VD projection, an increase in soft tissue opacity is noted in the left lateral abdomen. This is attributed to superimposition of the spleen and left kidney. The spleen appears normal on the lateral projection making splenomegaly a secondary consideration._x000D_
2.The liver is normal._x000D_
3.No intestinal plication is seen._x000D_
4.The small bowel is diffusely gas- and fluid-filled but without segmental bowel dilation._x000D_
5.Serosal detail in the cranial abdomen is mildly decreased on the lateral projection._x000D_
6.A minimal quantity of soft tissue dense ingesta is visible in the stomach and there is mild prominence to the gastric rugae.</t>
  </si>
  <si>
    <t>WHOLE-BODY (5 total radiographs for review). _x000D_
_x000D_
- Multiple mid and caudal thoracic wedge and butterfly shaped hemi-vertebral segments with rib head crowding, disc space narrowing and local regional spondylosis deformans._x000D_
- Probable transitional lumbosacral vertebral segment and/or sacral hemivertebrae with congenital screw tail vertebral anomaly and local regional spondylosis deformans._x000D_
- Mild diffuse bronchial pattern._x000D_
- Cardiac silhouette and pulmonary vasculature are normal._x000D_
- Trachea, pleural space, mediastinum and remaining included intrathoracic structures normal._x000D_
- Peritoneal serosal detail is normal._x000D_
- The stomach contains mild gas and gas-stippled soft-tissue opaque material_x000D_
- The small intestine contains mild multifocal gas and soft-tissue opaque material_x000D_
- The colon contains gas, soft-tissue/fluid and mild formed fecal material._x000D_
- The liver, spleen, kidneys and urinary bladder are normal.</t>
  </si>
  <si>
    <t>1.  Widespread congenital breed related mid and caudal thoracic hemivertebrae, spondylosis deformans and intervertebral disc degeneration._x000D_
_x000D_
2.  Marked lumbosacral and sacral vertebral malformation with possible transitional lumbosacral vertebral segment and sacral hemivertebrae.  Expected breed related congenital screw tail vertebral anomaly._x000D_
_x000D_
3.  Mild diffuse bronchial pattern. Most likely representing age-related lower airway changes, however a component of chronic bronchitis is possible, especially if there is a history of abnormal respiratory sounds, wheezing and/or coughing._x000D_
_x000D_
4.  Normal abdomen.</t>
  </si>
  <si>
    <t xml:space="preserve">
1.The liver is upper limits of normal for size to mildly enlarged but retains a smooth margins._x000D_
2.Abdominal detail is normal._x000D_
3.Small intestines are mildly gas filled._x000D_
4.Formed feces is present in the distal colon._x000D_
5.Moderate volume ingesta fills the stomach._x000D_
6.The spleen is normal for size.</t>
  </si>
  <si>
    <t xml:space="preserve">Patient Name : Beretta McCarthy, Date of study: Jun 28, 2024
3 images are provided for review
Canine Abdomen (3 Images) - 1 Vd, 2 Lateral
There are no previous radiographs for comparison.
Liver: The liver is subjectively normal in size.
Spleen: The spleen is normal in size with smooth margins and homogeneous soft tissue.
Kidneys: The kidneys are obscured without obvious enlargement or mineral.  
Retroperitoneum: Retroperitoneal detail is adequate.
Urogenital: The urinary bladder is normal in size, homogeneous soft tissue, and smoothly marginated.
Peritoneum: In the ventrodorsal image, in the left cranial to mid-abdomen, ill-defined lucent foci are present.  One of these is suspected to be left-lateral to the stomach, superimposed over the left10th intercostal space.  This is not well-identified in the lateral images.  Peritoneal detail is minimally or mildly decreased.  Fluid opaque striations are suspected in the ventral abdomen in the lateral image.
Gastrointestinal tract: The stomach contains a moderate to large volume of gas. 
The identified small intestine contains mild fluid or is empty with a subjectively uniform population for size. 
The colon contains mild gas and fluid or is empty.  The colon is subjectively normal in size.
Musculoskeletal: The caudal vertebrae are shortened and misshapen, consistent with breed (screw tail anomaly).  The remaining included musculoskeletal structures are normal.
</t>
  </si>
  <si>
    <t xml:space="preserve">1. Suspicious left cranial/mid-abdominal lucent foci for peritoneal gas versus atypical position of intestinal structures or heterogeneous peritoneal fluid/fat such as from peritonitis
- If this is peritoneal gas, consider ruptured hollow viscus such as from gastric ulceration due to dietary indiscretion and/or helicobacter spp. versus other.
- If this is a segment of intestine with small luminal gas foci, linear foreign body is possible, but this is considered unlikely.
2. Suspicious for mild peritoneal effusion such as from peritonitis or less likely patient age/decreased body condition, or other.
- Peritoneal fluid/peritonitis due to gastritis/gastric ulceration versus other is considered.
</t>
  </si>
  <si>
    <t>Consider abdominal ultrasonography versus computed tomography or even horizontal-beam radiographs for further evaluation of possible peritoneal gas versus other.  Ultrasonography and computed tomography to further evaluate the gastrointestinal tract for possible signs of ulceration versus other.  Consider gastroscopy for further evaluation of gastric/proximal duodenal ulceration depending on results of additional abdominal imaging.  Routine blood work, fecal analysis/deworming, GI panel and therapy for gastritis/ulceration in the interim as needed.  Thoracic imaging may be beneficial to screen for occult systemic disease. Monitoring as directed, or sooner if clinical signs acutely change, fail to improve or worsen in the face of empirical therapy.</t>
  </si>
  <si>
    <t xml:space="preserve">
1.No abnormal AI findings reported._x000D_
2.The liver and spleen are normal._x000D_
3.The small bowel is diffusely gas- and fluid-filled but without segmental bowel dilation._x000D_
4.On the VD projection, a portion of the colon is gas filled and has a rigid appearance._x000D_
5.Serosal detail in the cranial abdomen is mildly decreased on the lateral projection._x000D_
6.The gastric rugae are prominent.</t>
  </si>
  <si>
    <t>Three radiographs of the thorax, and five views of the abdomen are provided. Images dated 12/1/22 are available for comparison. The cardiac silhouette and pulmonary vessels are normal size and shape. There is a mild unstructured interstitial pattern consistent with the patient=ZZ91=s age. No soft tissue pulmonary nodules or intrathoracic lymphadenomegaly. Small osseous bodies overlying one of the bicipital grooves is likely incidental today._x000D_
_x000D_
In the abdomen the liver is mildly enlarged with smooth margins, similar to the previous study. Normal-sized kidneys and spleen. Serosal detail is adequate. There is small volume fluid and gas in the stomach. Small bowel are mildly fluid filled. Small volume formed feces in the colon. There is no radiopaque gastrointestinal foreign material or urolithiasis. The osseous structures are unremarkable.</t>
  </si>
  <si>
    <t>Prominent liver, similar to the previous study. Steroid or other hepatopathy is most likely. An inflammatory or neoplastic process is very unlikely. Otherwise normal abdomen and thorax.</t>
  </si>
  <si>
    <t xml:space="preserve">
1.The ventral abdominal line is pendulous._x000D_
2.In most cases, the stomach and small bowel are minimally filled however in a small number of cases, gastric distention will silhouette with the liver artifactually creating the appearance of hepatomegaly._x000D_
3.On the lateral projection, the liver is mildly enlarged with rounded margins. Less commonly, gastric distention silhouetting with the liver can trigger this AI result._x000D_
4.Abdominal detail is satisfactory._x000D_
5.Resource: https://platform.v2.vetology.net/doc/liver_disease_x000D_
6.Splenic size, shape and margin are normal._x000D_
7.Formed feces in the distal colon.</t>
  </si>
  <si>
    <t>4 images of the abdomen are provided for review.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small.  The remaining abdominal organs are normal.</t>
  </si>
  <si>
    <t>Abdominal ultrasound may be helpful in further evaluation of the hepatobiliary system and adrenal glands.</t>
  </si>
  <si>
    <t xml:space="preserve">
1.There is a moderate amount of soft-tissue dense material present in the stomach._x000D_
2.Abdominal detail is satisfactory_x000D_
3.The liver is mildly enlarged with rounding to the caudoventral liver margin._x000D_
4.Splenic size, shape and margin are normal._x000D_
5.The small intestines are predominantly fluid-filled._x000D_
6.No segmental small bowel dilation is identified.</t>
  </si>
  <si>
    <t>THORAX and ABDOMEN (6 total radiographs for review). No previous for comparison._x000D_
_x000D_
- Mild diffuse bronchial pattern and a few thickened lower airways._x000D_
- Visible multifocal pleural fissures._x000D_
- There is a soft-tissue opaque band dorsally overlying the trachea at the level of the thoracic inlet._x000D_
- The cardiovascular structures and remainder of the thorax is normal._x000D_
- The stomach contains mild gas and gas-stippled soft-tissue opaque material._x000D_
- The small intestine and colon contain mild multifocal gas and soft-tissue opaque material._x000D_
- The included musculoskeletal structures are normal.</t>
  </si>
  <si>
    <t>1. Mild diffuse bronchial pattern and a few thickened pleural fissures could indicate chronic lower airway disease (e.g. chronic bronchitis). A component of this can be due to normal age-related lower airway change. _x000D_
_x000D_
2. The appearance of the trachea at the level of the cervical region can be compatible with tracheal collapse._x000D_
_x000D_
3. Unremarkable post prandial abdomen with mild aerophagia.</t>
  </si>
  <si>
    <t>Nine radiographs are provided, with images of the thorax, thoracic limbs, abdomen, pelvic limbs. The cardiac silhouette and pulmonary vessels are normal size. A mild bronchial pattern is normal for the age of this patient. Fat deposition is seen cranioventral to the heart. No soft tissue pulmonary nodules or pleural effusion. Normal tracheal diameter. The 4th sternal segment is absent, with a few small amorphous mineral densities at its expected location. No rib abnormalities are appreciated. Normal thoracic spine. Narrowed C6-7 intervertebral disc space. There is a large fat opaque lipomatous thickening measuring at least 14.4 cm ventral to the cranial sternum, of doubtful significance. Scapular contour and opacity is normal. Normal shoulder and cubital joints. No thoracic limb lysis or periosteal proliferation. Smoothly marginated round soft tissue opaque 1.6 cm cutaneous nodule in the caudal medial distal left antebrachial tissues, of doubtful significance. There are no adjacent osseous changes. No carpal or metacarpal osseous abnormalities._x000D_
_x000D_
In the abdomen the liver is mildly enlarged with smooth margins. Mild caudal deviation gastric axis. Normal spleen and kidneys. The gastrointestinal tract is mildly filled. No radiopaque cystic calculi. No abnormalities in the lumbar spine. Moderate degenerative change in the coxofemoral joints. Pelvic limb musculature is approximately symmetric, and patella location is normal.</t>
  </si>
  <si>
    <t>1. The appearance of the 4th sternal segment is concerning for a lytic process, such as can be seen with neoplasia or less likely osteomyelitis. This could be a congenital variant. Otherwise normal thorax._x000D_
2. The appearance of C6-7 is suggestive of a protruding/extruded intervertebral disc. This is the only abnormality identified to explain the thoracic limb clinical signs. No thoracic limb abnormalities are present on this study. Soft tissue sprain/strain remains possible._x000D_
3. Mild hepatomegaly, a nonspecific finding that may be steroid or other hepatopathy, acute inflammation, or least likely neoplasia. No other abdominal abnormalities._x000D_
4. Moderate coxofemoral osteoarthrosis. This could be contributing to discomfort.</t>
  </si>
  <si>
    <t>Recommend palpate for spinal discomfort and a neurologic examination. Also recommend CBC, blood chemistry profile, and palpate for evidence of sternal discomfort. If further evaluation of the sternum is desired, ultrasound would be recommended.</t>
  </si>
  <si>
    <t xml:space="preserve">
1.Mild splenic enlargement._x000D_
2.Slight decrease in abdominal detail._x000D_
3.The stomach contains small volume gas and scant soft tissue density._x000D_
4.No abnormal AI findings reported._x000D_
5.Small intestines are mildly fluid filled. No signs of obstruction.</t>
  </si>
  <si>
    <t>Three radiographs of the thorax, three views of the abdomen, and orthogonal views of the left stifle are provided. The cardiac silhouette and pulmonary vessels are normal size and shape. There are mild age-related changes in the lungs. There are no soft tissue pulmonary nodules or pleural effusion. Normal cranial mediastinal width. Severe spondylosis deformans in the caudal thoracic spine, incidental._x000D_
_x000D_
In the abdomen there is no effusion. Normal size liver, kidneys, spleen. The ventral splenic tail margins are slightly irregular on the right lateral view. Formed feces fills the colon. Small volume gas in the stomach and small bowel. No radiopaque urolithiasis. Spondylosis deformans is present throughout the lumbar spine, likely incidental. The left coxofemoral joint is congruent. The left patella is in normal position. There is large volume fluid in the cranial and caudal aspect of the left stifle joint. Moderate enthesophyte formation on the femoral trochlear ridges, distal patella, femoral epicondyles, proximal lateral tibia.</t>
  </si>
  <si>
    <t>1. Severe left stifle effusion most consistent with cranial cruciate ligament tear/rupture. This is the cause for lameness._x000D_
2. Smoothly irregular splenic tail margins may be incidental hyperplasia or extramedullary hematopoiesis. Neoplasia is not definitively ruled out. No other abdominal abnormalities._x000D_
3. Normal thorax.</t>
  </si>
  <si>
    <t>Ultrasound evaluation of the spleen should be considered, with fine-needle aspirates of any abnormalities identified for a definitive diagnosis. Surgical stabilization of the left stifle is recommended.</t>
  </si>
  <si>
    <t>5 images of the thorax and abdomen are provided for review.  The cardiovascular structures are normal.  Alveolar opacity is present in the right and left cranial lung lobes.  The mediastinal and pleural structures are normal.  Abdominal serosal detail is adequate in all quadrants.  The stomach contains a small amount of gas and the rugal folds are prominent.  The small intestines are normal in size, but several larger segments appear gathered in the cranial abdomen on the left lateral view.  Gas and feces are present in the colon.  The cecum is gas-filled.  The urinary bladder is small.  The remaining abdominal organs are normal.</t>
  </si>
  <si>
    <t>Prominent rugal folds suggestive of gastritis.  Possible focal area of plication seen on the left lateral view concerning for linear foreign body obstruction.  Abdominal ultrasound could be considered in further evaluation versus repeat radiographs including the VD view.  Alveolar pulmonary pattern concerning for aspiration type pneumonia.  Airway sampling may be helpful in further evaluation.</t>
  </si>
  <si>
    <t xml:space="preserve">
1.The stomach contains a small to moderate amount of amorphous soft tissue density._x000D_
2.Small intestines and the colon are minimally filled._x000D_
3.The liver and spleen are normal._x000D_
4.No abnormal AI findings reported._x000D_
5.There is no effusion.</t>
  </si>
  <si>
    <t xml:space="preserve">Patient Name : Juju Rich-Smith, Date of study: Jun 28, 2024
3 images are provided for review
There are no previous radiographs for comparison.
Pulmonary parenchyma: In the left lung lobes is a moderate alveolar pattern and mild to moderate interstitial pattern.  The alveolar component is most severe in the left cranial lung lobe, with air-bronchograms and lobar margination with the caudal lung lobe.  
Pulmonary vasculature: The visible pulmonary vasculature is subjectively normal in size and tapers in the periphery of the lungs.
Cardiac silhouette: The cardiac silhouette is normal in size and shape.
Mediastinum: Only in the lateral image, subtle increased soft tissue is suspected in the ventral mediastinum.  This is not identified in the ventrodorsal images.
Trachea: The trachea is normal.
Esophagus: The esophagus is not well-identified.
Pleural space: The pleural space is normal.
Musculoskeletal: The included musculoskeletal structures are normal.
</t>
  </si>
  <si>
    <t>1. Moderate left cranial lung lobe alveolar pattern and mild-moderate interstitial pulmonary pattern.
- Differential diagnoses include bronchopneumonia/aspiration pneumonia,  or unlikely non-cardiogenic or cardiogenic pulmonary edema given the distribution of the pattern, hemorrhage, atypical neoplasia or unlikely other.
2. Superimposed normal structures versus evolving mediastinal soft tissue such as from lymph node enlargement/mass or unlikely mediastinal fluid/mediastinitis or other.</t>
  </si>
  <si>
    <t>Therapy for suspected pneumonia with broad-spectrum antibiotics and supportive care in the interim.  Therapy for 1-2 weeks past radiographic resolution.  Routine blood work to screen for occult systemic disease.  If signs fail to improve or worsen in the face of therapy for pneumonia, consider additional differentials more likely and screen for occult cardiac disease or occult systemic disease contributing to pulmonary pattern. Monitoring as directed or sooner if clinical signs acutely change, fail to improve or worsen.</t>
  </si>
  <si>
    <t xml:space="preserve">
1.The liver extends moderately beyond the costal arch with a smooth margin._x000D_
2.The abdomen is pendulous._x000D_
3.The small intestines are normal in size, course and content._x000D_
4.The colon contains partially formed fecal material._x000D_
5.The stomach contains a small volume of gas._x000D_
6.The spleen is normal in size and margin._x000D_
7.Abdominal detail is normal.</t>
  </si>
  <si>
    <t>Orthogonal radiographs of the thorax, and three views of the abdomen are provided. There is mild generalized cardiomegaly. Pulmonary vessels are normal size. Small area of moderate to severe interstitial pattern in the cranioventral lungs. No pleural effusion. Normal tracheal diameter._x000D_
_x000D_
In the abdomen the liver is mildly enlarged. Normal-sized kidneys and spleen. Blunted cranial lateral aspect of the left kidney, likely incidental. There is scant midabdominal effusion. The gastrointestinal tract is minimally filled. Widened gastroduodenal angle on the VD projection. No radiopaque foreign material. The urinary bladder is mildly filled and soft tissue opaque. No osseous abnormalities.</t>
  </si>
  <si>
    <t>1. Scant peritoneal effusion and widened gastroduodenal angle. Gastroenteritis/pancreatitis is suspected. There is no evidence of an obstructive process._x000D_
2. Mild hepatomegaly, likely diabetic hepatopathy. Acute hepatic inflammation or venous congestion could be contributing._x000D_
3. Probable mild aspiration pneumonia._x000D_
4. Mild generalized cardiomegaly suggestive of chronic degenerative mitral and tricuspid valve disease. There is no evidence of pulmonary venous congestion or heart failure.</t>
  </si>
  <si>
    <t>Abdominal ultrasound, and treatment for aspiration pneumonia is recommended. Follow-up echocardiogram could be considered, but is lesser priority than abdominal ultrasound.</t>
  </si>
  <si>
    <t>Study:_x000D_
Thoracic and abdominal radiography: six images dated June 27, 2024_x000D_
_x000D_
Findings:_x000D_
The cardiac silhouette and pulmonary vasculature are normal in size. The pulmonary parenchyma is unremarkable. The pleural space is normal. There is an indistinct round soft tissue opacity dorsal to the second sternabrae, likely indicating sternal lymphadenopathy. The trachea is normal in diameter and course. There is moderate peritoneal effusion. A large (a proximally 15 cm) lobulated soft tissue opaque mass is present in the mid-ventral abdomen dorsal to the tail the spleen. The tail the spleen is moderately enlarged. The liver is normal in size and margin. The stomach contains a small volume of gas. The small intestines are segmentally gas filled and normal in size and course. The colon contains gas and formed fecal material. The renal silhouettes are normal in size and contour. The urinary bladder is normal in size and opacity. There is severe lumbosacral spondylosis deformans.</t>
  </si>
  <si>
    <t>1. Mid abdominal mass. A splenic mass is suspected. Rule out neoplasia, hyperplasia or hematoma._x000D_
2. The concurrent generalized enlargement of the spleen may be secondary to extramedullary hematopoiesis, lymphoid hyperplasia or neoplasia._x000D_
3. Moderate nonspecific peritoneal effusion while the patient is reportedly not anemic, a hemoabdomen is still considered given the concern for a splenic mass. Abdominocentesis should be considered for further evaluation._x000D_
4. The sternal lymphadenopathy may be reactive or neoplastic._x000D_
5. There is no evidence of pulmonary metastatic disease.</t>
  </si>
  <si>
    <t xml:space="preserve">
1.Mineral dense material and distended viscus are present in the region of the uterine horns._x000D_
2.In cases of pregnancy, fetal mineralization indicates fetal age of &gt;45 days._x000D_
3.IMPORTANT: This AI evaluation currently DOES NOT assess for the presence of fetal mummification and/or abnormal gas within or around the fetus (fetal viability) and/or fetal number._x000D_
4.The liver is enlarged with suspicion of asymmetric hepatomegaly or a liver mass._x000D_
5.The spleen is mildly enlarged with a focal bulge in the splenic capsular margin._x000D_
6.There is reduced abdominal serosal detail._x000D_
7.The gastrointestinal tract is within normal limits except in a small number of cases where severe gastric distention mimics the finding of hepatomegaly or a liver mass.</t>
  </si>
  <si>
    <t xml:space="preserve">
Abdominal ultrasound with possible fine-needle aspiration for cytology would be recommended._x000D_
Coagulation profile, platelet count and PCV prior to abdominocentesis and/or tissue sampling._x000D_
Three view thoracic radiographs after confirmation of an abdominal mass._x000D_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generate._x000D_
Evaluate fetal skeletal structures on radiographs, via ultrasound or submit for radiology review if fetal number and/or evaluation of fetal viability is needed.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</si>
  <si>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fluid._x000D_
Small intestines are mildly gas and fluid filled, not overtly distended. No signs of mechanical ileus._x000D_
Serosal detail is decreased._x000D_
Liver and spleen are within normal limits of size and smoothly marginated._x000D_
Kidneys and urinary bladder WNL.</t>
  </si>
  <si>
    <t>1) Unremarkable thorax without signs of pulmonary metastases nor signs of thoracic lymphadenopathy._x000D_
2) Rule out free fluid: transudate vs exudate.</t>
  </si>
  <si>
    <t>Consider abdominal US to further evaluate the peritoneum, GI tract/pancreas and the urinary tract with renal function, UPC and urinalysis.</t>
  </si>
  <si>
    <t xml:space="preserve">Patient Name : villalobos ozzie, Date of study: Jun 27, 2024
3 images are provided for review
Canine Thorax (3 Images) - 2 Lateral, 1 Vd
There are no previous radiographs for comparison.
Pulmonary parenchyma: A minimal diffuse bronchial pattern is present.
Pulmonary vasculature: The pulmonary vasculature is subjectively normal in size and tapers in the periphery of the lungs.
Cardiac silhouette: The cardiac silhouette is minimally flat at its caudodorsal margin in the right lateral image.  
Mediastinum: The cranial mediastinum is normal.
Trachea: A slight soft tissue band superimposes over the caudal cervical tracheal segment in the right lateral image.
Esophagus: The esophagus is not well-identified.
Pleural space: The pleural space is normal.
Musculoskeletal: The included musculoskeletal structures are normal.
</t>
  </si>
  <si>
    <t>1. Minimal left atrial enlargement or less likely artifact from phase of the cardiopulmonary cycle and patient positioning given reported murmur.
- The primary differential diagnosis is myxomatous mitral valvular disease.
- There is no evidence of left-sided congestive heart failure.  
2. Minimal diffuse bronchial pulmonary pattern such as from fibrosis from prior disease, age-related changes, or unlikely infectious/immune-mediated lower airway disease or other.
3. Slight dorsal redundant tracheal membrane with/without dynamic airway disease versus superimposed normal structures.</t>
  </si>
  <si>
    <t>Consider echocardiography, eCG and blood pressure as well as routine blood work and urinalysis.  Consider respiratory PCR panel, airway sampling, and fecal analysis/deworming for further evaluation. Empirical therapy and supportive care for cough in the interim as needed.   Monitoring as directed or sooner if clinical signs acutely change, fail to improve or worsen.</t>
  </si>
  <si>
    <t xml:space="preserve">Patient Name : Gordo Ferguson, Date of study: Jun 27, 2024
8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slightly symmetrically widened.  No obvious increased mediastinal soft tissue in the lateral images.
Trachea: The trachea is normal.
Esophagus: The esophagus is not well-identified.
Pleural space: Thin pleural fissures that do not widen in the periphery of the lungs are between the right cranial/middle and right middle/caudal lung lobes.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The stomach is normal in size.  
The small intestine contains mild gas and fluid or is empty with a subjectively uniform population for size. 
The colon contains mild heterogeneous soft tissue material and gas.  The colon is normal in size. 
Bones/Joints:
Caudal vertebral changes consistent with breed (screw tail anomaly).  In situ intervertebral disc mineral is at L4-5, L5-6, and L6-7.
There is no evidence of intervertebral disc space narrowing, or mineral over the intervertebral foramina.  A dens is present.  No evidence of atlanto-axial subluxation.  
A small well-defined round and pin-point mineral body are just distal to the right medial malleolus.  No evidence of coxofemoral joint osteoarthrosis.  No evidence of stifle joint osteoarthrosis.  
There is no evidence of medullary sclerosis, osteolysis, endosteal scalloping, or periosteal proliferation.
Soft tissues:  The included soft tissues are normal.
</t>
  </si>
  <si>
    <t>1. Minimal-mild diffuse bronchial pulmonary pattern such as from fibrosis from prior disease, age-related changes, infectious/immune-mediated lower airway disease, or unlikely other.
- No current evidence of alveolar pattern such as from reported prior bronchopneumonia.  
2. Slight cranial mediastinal widening due to fat deposition, variation of normal or unlikely other.
3. Presumed tangential beam artifact versus pleural thickening/fibrosis or unlikely scant pleural fluid.
4. Small osteophytes/enthesophytes in the region of the right tarsocrural joint medial collateral ligament, verus susperimposed mineral
5. Multifocal lumbar  in situ intervertebral disc mineral.
6. No obvious intervertebral disc space narrowing.</t>
  </si>
  <si>
    <t>This examination does not rule out occult myelopathy such as from evolving intervertebral disc herniation or other given reported clinical signs.  Consider neurologist consultation and MRI.  Routine blood work prior to referral if not recently performed.  Empirical therapy and supportive care as needed in the interim.  Monitoring as directed, or sooner if clinical signs acutely change, fail to improve or worsen.</t>
  </si>
  <si>
    <t xml:space="preserve">
1.Abdominal detail is normal._x000D_
2.Splenic size, shape and margin are normal._x000D_
3.Liver size, shape and margin are normal._x000D_
4.The GI tract is normal.</t>
  </si>
  <si>
    <t>Three orthogonal thoracic radiographs dated 27th June 2024 are available for review. There are no previous radiographs available for comparison. _x000D_
_x000D_
Airway findings: There is increased soft tissue rostral to the laryngeal opening and caudal to the mandible, reducing the dorsal nasopharynx size. The lumen of the cervical and thoracic trachea is variable between radiographs. The trachea is narrow at the thoracic inlet (thoracic inlet ratio 0.06). The thoracic trachea is dorsally displaced, however both lateral images are obliqued. There is a mild to moderate patchy bronchointerstitial opacification of the lung parenchyma._x000D_
_x000D_
Cardiovascular findings: There is a small smoothly marginated soft tissue opacity contiguous with the caudal dorsal border of the cardiac silhouette. A soft tissue opacity is superimposed on the caudal cardiac silhouette in the dorsoventral image.  The overall cardiac silhouette is still within normal limits. The pulmonary vasculature is poorly visible. The mainstem vessels are poorly visible._x000D_
_x000D_
Mediastinum and pleural space: No significant abnormalities are detected._x000D_
_x000D_
Musculoskeletal findings: The patient is obese._x000D_
_x000D_
Included abdomen: No significant abnormalities are detected.</t>
  </si>
  <si>
    <t>1. The soft tissue in the nasopharynx may be positional artefact. Alternatively caudal soft palate thickening, retropharyngeal neoplasia, submandibular lymphadomegaly, other space occupying lesion should be considered. _x000D_
2. The variable size the trachea is consistent with tracheomalacia, and/or redundant trachealis membrane. The extent of attenuation would be expected to cause coughing. This is more likely than the primary tracheal hypoplasia, even though thoracic inlet ratio is well below normal._x000D_
3. Left atrial dilation. This is most likely due to mixoid degeneration of the mitral valve. There is no evidence for cardiac insufficiency. _x000D_
4. Diffuse patchy bronchointerstitial pattern: Primary consideration should be given to normal ageing/fibrosis from previous disease. Allergic bronchitis, chronic bacterial /viral bronchitis +/- parasitic bronchitis should also be considered. Less likely are hyperardenocorticism, neoplasia (such a lymphoma) or idiopathic pulmonary fibrosis. Considering the potential upper airway abnormality, microaspiration should also be considered.</t>
  </si>
  <si>
    <t>Radiography is insensitive for early cardiac insufficiency, therefore ECG, blood pressure measurements, and echocardiography may be considered for further evaluation, or baseline measurements._x000D_
An upper airway examination is indicated. Consider evaluation for airway collapse (fluoroscopy vs. right lateral inspiratory and expiratory radiographs vs. CT with virtual bronchoscopy). Alternatively consider medical management. Consider surgical consultation depending on clinical progression. _x000D_
Respiratory workup including CBC, serum chemistry, urinalysis, Baermann faecal testing, 4DX, +/- respiratory panel as indicated may be considered.  Alternatively, diagnostic /empirical therapy for lower airway disease, empirical deworming, and removal of allergens and environmental irritants (i.e. smoke, dust, perfumes, etc.) can be considered.</t>
  </si>
  <si>
    <t>Abdomen: On the ventrodorsal view there is a ovoid somewhat pedunculated looking soft tissue opacity superimposed over the caudal right abdomen.  The liver and spleen are unremarkable.  There are no abnormalities involving the visible portions of the urinary tract or gastrointestinal tract.  Serosal detail is normal.  There is moderate spondylosis deformans at the lumbosacral junction.  Spondylosis deformans is also noted at T12-13, L1-2,  L2-3, and L3-4._x000D_
_x000D_
Thorax: There are no abnormalities identified._x000D_
_x000D_
Skull (lateral view: There are no abnormalities identified.  On the visible portions of the cervical vertebral column there appears to be narrowing/collapse of intervertebral disc spaces C2-3 through C5-6.  There is possible endplate lucency associated with C3-4 and C4-5.</t>
  </si>
  <si>
    <t>The soft tissue opacity within the caudal right abdomen most likely represents a summation artifact._x000D_
_x000D_
Suspect numerous regions of intervertebral disc disease involving the cervical vertebral column._x000D_
_x000D_
Possible endplate lysis at C3-4 and C4-5.</t>
  </si>
  <si>
    <t xml:space="preserve">
1.There is moderate hepatomegaly that extends caudally on the lateral projection._x000D_
2.The serosal margins of the liver are irregular and there is caudal deviation of the gastric axis._x000D_
3.The splenic silhouette is enlarged and there is both increased soft tissue opacity in the mid-abdomen and displacement of bowel away from the splenic region._x000D_
4.Abdominal detail is decreased._x000D_
5.The abdomen is pendulous._x000D_
6.The stomach is caudally displaced by the hepatomegaly. The small bowel is normal.</t>
  </si>
  <si>
    <t>Marked hepatomegaly with rounded hepatic serosal margins. Differentials for this would include hepatic neoplasia, nodular hyperplasia, or, slightly less likely, given the irregularity of the serosal margins a vacuolar hepatopathy. Lesser considerations for the soft tissue mass in the cranial abdomen are severe gastric distention or a cranially positioned splenic mass. Decreased abdominal detail. DDx: secondary to the mass only +/- abdominal fluid. Increased soft tissue in the mid-abdomen and splenomegaly. DDx: splenomegaly in conjunction with hepatomegaly vs. splenic mass vs. pedunculated hepatic mass vs. mid-abdominal lymphadenopathy.</t>
  </si>
  <si>
    <t xml:space="preserve">
Virtual Radiologist Case Difficulty: MODERATE_x000D_
Virtual Radiologist Confidence: MODERATE_x000D_
A CBC, biochemistry profile, and urinalysis are recommended if not recently performed._x000D_
Abdominal ultrasound +/- abdominocentesis +/- tissue sampling. Coagulation profile, platelet count and PCV prior to tissue sampling.</t>
  </si>
  <si>
    <t>Study:_x000D_
Thoracic and abdominal radiography: seven images dated June 27,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stomach contains a small volume of gas. There is granular soft tissue material throughout the small intestines thought to represent ingesta. The small intestines are normal in size and course. The colon contains a small volume of gas. The liver is normal in size and margin. On the right lateral view, there are two faint round soft tissue opaque bulges from the ventral margin of the tail the spleen. The renal silhouettes are normal in size and contour. The urinary bladder is normal in size and opacity. There is mild L2-L3 and L3-L4 spondylosis deformans.</t>
  </si>
  <si>
    <t>1. Splenic nodule. Rule out extramedullary hematopoiesis, lymphoid hyperplasia neoplasia. Sonography should be considered for further evaluation._x000D_
2. The gastrointestinal tract is unremarkable. A cause of the reported recurrent diarrhea is not evident. Abdominal sonography and a G.I. panel can be considered for further evaluation._x000D_
3. Normal thorax. There is no radiographic evidence of cardiopulmonary disease or intrathoracic neoplasia.</t>
  </si>
  <si>
    <t xml:space="preserve">Patient Name : Charlie Ramirez, Date of study: Jun 27, 2024
3 images are provided for review
Canine Abdomen (3 Images) - 2 Lateral, 1 Vd
There are no previous radiographs for comparison.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Urogenital: Tubular soft tissue is present in the mid- and caudal abdomen in all image.  Some of these segments are superimposes over or between the descending colon and urinary bladder.  These segments are in the right and left caudal abdomen in the ventrodorsal image.  The urinary bladder is within normal limits for size, homogeneous soft tissue, and smoothly marginated.
Peritoneum: Peritoneal detail is adequate.
Gastrointestinal tract: The stomach contains mild heterogeneous soft tissue material and gas.  The stomach is within normal limits for size.
The small intestine contains mild homogeneous gas and fluid or is empty with a subjectively uniform population for size. 
The colon contains mild gas and fluid or is empty.  The colon is subjectively normal in size
Musculoskeletal: The included musculoskeletal structures are normal.
</t>
  </si>
  <si>
    <t>1. Presumed bilateral enlarged uterine horns such as from evolving pyometra, mucometra, metritis, or unlikely other.
2. Mild microhepatia versus variation of normal.
- If present, differential diagnoses include occult portosystemic shunting vessel, or unlikely chronic hepatitis/cirrhosis or other.  
3. Non-specific gastrointestinal tract changes such as from enteritis, colitis, or individual variation of normal.</t>
  </si>
  <si>
    <t xml:space="preserve"> If clinical signs are consistent with pyometra, consider celiotomy and ovariohysterectomy.  Thoracic imaging to screen for occult systemic disease prior to celiotomy as well as routine blood work if not recently performed.  Bile acid testing may be contributory.  Empirical therapy and supportive care in the interim as needed.  Monitoring as directed or sooner if clinical signs acutely change, fail to improve or worsen.</t>
  </si>
  <si>
    <t xml:space="preserve">
1.The gastric rugae are prominent._x000D_
2.The spleen is normal._x000D_
3.The small intestine is of uniform population size and is diffusely of soft tissue and gas opacity with a rigid appearance to several loops._x000D_
4.No mechanical ileus is visualized._x000D_
5.The colon is gas filled and has a rigid appearance._x000D_
6.There is a focal loss of serosal detail in the cranial abdomen on the lateral projection._x000D_
7.On the lateral projection, the liver size is at the lower limits of normal to slightly small or a portion of the liver has been cut-off from the image.</t>
  </si>
  <si>
    <t>Orthogonal radiographs of the abdomen are provided. There is no peritoneal or retroperitoneal effusion. Small volume fluid and gas in the stomach on the lateral view. Fluid-filled pylorus causes the round soft tissue contour in the cranioventral abdomen on this projection. On the VD projection there is possible scant amorphous soft tissue density in the gastric fundus versus normal rugal folds. Small bowel are diffusely mildly filled with fluid and gas. Scant semi-formed feces in the colon. There are a few punctate mineral densities in the proximal descending colon, likely incidental. Otherwise no radiopaque foreign material. Normal-sized liver, spleen, kidneys. Osseous structures and the caudal thorax are unremarkable.</t>
  </si>
  <si>
    <t>No definitive abnormalities are appreciated on this study. The appearance of the gastric fundus is most likely collapsed rugal folds. Small volume foreign material causing gastritis and pyloric outflow obstruction is not definitively ruled out. There is no evidence of small bowel obstruction.</t>
  </si>
  <si>
    <t>A positive contrast gastrogram should be considered to rule out gastric foreign material. Strictly fasted abdominal ultrasound is another option, as long as there is minimal gas in the stomach at the time of imaging.</t>
  </si>
  <si>
    <t xml:space="preserve">
1.Serosal detail within the peritoneal space is normal._x000D_
2.The colon contains scant fecal material and gas._x000D_
3.The liver and spleen are normal in size and shape._x000D_
4.No abnormal AI findings reported._x000D_
5.The small bowel contains gas and fluid and is normal in diameter._x000D_
6.The stomach contains a small volume of fluid opaque material and gas. The gastric rugae appear prominent.</t>
  </si>
  <si>
    <t xml:space="preserve">Patient Name : Zoey Berk, Date of study: Jun 27, 2024
4 images are provided for review
There are no previous radiographs for comparison.
Pulmonary parenchyma: In the right-lateral image, superimposed over one of the 6th ribs and the caudal subsegment of the left cranial lung is round soft tissue nodule that is larger than adjacent vasculature.  This is suspected to be over the left 7th intercostal space in the ventrodorsal image.  In the left lateral image, a suspicious rounded soft tissue opacity superimposes over the dorsal aspect of the of the right cranial lung lobe at the level of T5.  this is not identified in the ventrodorsal image.  A minimal to mild diffuse bronchial pattern is present.
Pulmonary vasculature: The pulmonary vasculature is subjectively normal in size and tapers in the periphery of the lungs.
Cardiac silhouette: The cardiac silhouette is enlarged and occupies 2/3 the height of the thorax in the left lateral image.  the caudodorsal margin of the cardiac silhouette is flattened or rounded.  Rounded increased soft tissue is in the region of the left atrium in the ventrodorsal image.  The cardiac silhouette is slightly convex in the region of the left auricle in the ventrodorsal image.  The trachea is slightly dorsally displaced,
Mediastinum: The cranial mediastinum is normal.
Trachea: The trachea is normal.
Esophagus: The esophagus is not well-identified.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Two well-defined metal ballistic pellets are in the peritoneum.  No peritoneal gas is identified.  Peritoneal detail is adequate.
Gastrointestinal tract: The stomach contains a mild gas or is empty.  The stomach is within normal limits for size.
The small intestine contains mild gas with a subjectively uniform population for size. 
The colon contains mild well-defined soft tissue material and gas.  The colon is normal in size.
Musculoskeletal: Only in one lateral image, ovoid mineral is dorsal to the larynx and partially superimposed over the wing of the atlas due to obliquity of the neck.  Ovoid mineral is superimposed over the laryn.  Mild generlaized laryngeal mineral is also present.  The L7 vertebrae is partially sacralized on the right.  The remaining included musculoskeletal structures are normal.
</t>
  </si>
  <si>
    <t>1. Suspected left caudal lung lobe soft tissue nodule or unlikely superimposed normal structures.
2. Suspicious for right cranial lung lobe soft tissue nodule versus superimposed normal structures, 
- If present, these are suspicious for metastatic neoplasia from occult primary malignancy or unlikely other.
3. Mild-moderate left-sided cardiomegaly such as from myxomatous mitral valvular disease versus other.
- There is no current evidence of left-sided congestive heart failure.  
4. Minimal to mild diffuse bronchial pattern due to fibrosis from prior disease, age-related changes, infectious/immune-mediated lower airway disease, inhaled allergen/irritant, or unlikely other.
5. Ovoid mineral dorsal and over the larynx due to atypical benign cartilage mineralization versus dystrophic mineral such as of an occult neoplasm, versus superimposed granuloma from prior disease, or unlikely other.
6. Peritoneal metal ballistic pellets.
7. No obvious abdominal mass/mass effect, peritoneal fluid, or peritoneal gas.</t>
  </si>
  <si>
    <t>Consider echocardiography, ECG and blood pressure for further evaluation, especially if a murmur is identified.  Routine blood work if not recently performed.Consider computed tomography of the neck and thorax for a more sensitive evaluation of suspected pulmonary nodules and laryngeal mineral.  Sedated laryngeal examination or laryngoscopy may also be contributory.  Coagulation testing and tissue sampling if a suspicious mass/nodule is identified/confirmed (such as in the larynx), especially if pulmonary nodules are also confirmed.   Oncologist consultation depending on results.  Empirical therapy and supportive care in the interim as needed. Monitoring as directed or sooner if clinical signs acutely change, fail to improve or worsen.</t>
  </si>
  <si>
    <t xml:space="preserve">
1.On the VD projection, there is asymmetric liver enlargement causing caudal displacement of the stomach. On the lateral projection, the ventral liver margin extends caudally, ventral to the stomach._x000D_
2.The spleen is at the upper limits of normal for size to mildly enlarged but retains a smooth margin._x000D_
3.There is no effusion._x000D_
4.The abdomen is pendulous._x000D_
5.The gastrointestinal tract is mildly filled.</t>
  </si>
  <si>
    <t>Opposite lateral and VD views of the thorax and abdomen are provided for interpretation. There are 10 images total._x000D_
_x000D_
There is marked vertebral endplate destruction and associated sclerosis and spondylosis involving the L2-L3 intervertebral disc space. The disc spaces moderately narrowed. The L5-L6 to space is also moderately narrowed, but the endplates at this location appear normal. Slight narrowing is seen at other locations in the lumbar spine. There is mild chronic remodeling of the articular facets in the mid lumbar spine._x000D_
_x000D_
The abdominal organs are all within normal size and shape limits. No abnormalities are seen involving the GI tract. No mass lesions or loss of detail are identified._x000D_
_x000D_
The cardiovascular structures are within normal limits. No pulmonary infiltrates are seen, but complete evaluation of the lungs is not possible due to overexposure of ventral lung fields in the lateral views. No thoracic lymphadenopathy or pleural effusion is seen.</t>
  </si>
  <si>
    <t>An active appearing discospondylitis lesion is identified in the cranial lumbar spine at L2-L3._x000D_
_x000D_
No other significant anatomic abnormalities are identified.</t>
  </si>
  <si>
    <t>The presence of discospondylitis might account for the clinical presentation. More generalized systemic infectious/inflammatory disease should also be ruled out._x000D_
_x000D_
Cross sectional imaging such as MRI or CT would be ideal to better define the nature and severity of the spinal changes and rule out additional sites of discospondylitis._x000D_
_x000D_
Blood and urine culture is recommended in addition to minimum database lab work._x000D_
_x000D_
Antibiotic therapy is recommended, with recheck radiographs in one month.</t>
  </si>
  <si>
    <t>Two opposite lateral abdomen views views made at 9:40 AM today and four follow up radiographs (right lateral and VD ( made at 1:50 PM today are provided to assess movement of the barium administered yesterday._x000D_
_x000D_
In the initial morning radiographs, a moderate quantity of barium is still present throughout the GI tract, including the stomach, small intestine, and large intestine. No filling defects suggestive of foreign body are identified. No dilation of the stomach or intestine is seen. No changes suggestive of intestinal plication are identified. Serosal detail is normal and the other organs are unremarkable._x000D_
_x000D_
In the follow progress made this afternoon, there is still barium coating the surface of the gastric mucosa, but no pulling a barium is present consistent with complete emptying of the stomach. A small quantity barium remaining in the small intestine, but most is now in the colon. No dilation or plication of the intestine is seen. The other organs are unremarkable.</t>
  </si>
  <si>
    <t>The volume of barium remaining in the GI tract after fasting of over 12 hours is consistent with delayed gastric emptying intestinal transit. However, no findings indicative of a foreign body or obstruction are identified._x000D_
The barium continues to move through the GI tract without evidence of specific anatomic pathology over the next four hours, albeit slowly._x000D_
_x000D_
Delay transit secondary to gastroenteritis or metabolic disease is suspected.</t>
  </si>
  <si>
    <t>No indication of foreign body or obstruction is seen._x000D_
Symptomatic therapy and supportive care is recommended.</t>
  </si>
  <si>
    <t xml:space="preserve">
1.The liver and spleen are normal size._x000D_
2.Abdominal detail is mildly decreased._x000D_
3.The stomach is mildly gas and fluid filled with some soft tissue density material. The small bowel is gas and fluid-containing with regions of mild distension. No signs of complete obstruction._x000D_
4.No abnormal AI findings reported.</t>
  </si>
  <si>
    <t>The AI result for this case is most compelling for: Gastroenteritis/colitis. A small intestinal functional ileus would also be compatible with this appearance, however, a complete mechanical obstruction is not suspected. The decreased abdominal detail may represent mesenteric inflammation secondary to GI disease vs. pancreatitis vs. less likely, lymphadenopathy</t>
  </si>
  <si>
    <t xml:space="preserve">
Virtual Radiologist Case Difficulty: MODERATE_x000D_
Virtual Radiologist Confidence: MODERATE_x000D_
Supportive and symptomatic therapy for gastroenteritis/pancreatitis is recommended. Repeat radiographs to assess for passage of gastric contents or obstruction, and abdominal ultrasound could be performed for further evaluation.</t>
  </si>
  <si>
    <t>Six radiographs of the thorax and abdomen are provided. The name on the images attached to this request is =ZZ92=Martinez, Nola=ZZ92=. The cardiac silhouette and pulmonary vessels are normal size and shape. There are no abnormalities in the pulmonary parenchyma or pleural space. Small volume fat deposition separates the heart from the sternum on the lateral view. The lungs are clear. No pleural effusion. Adequate tracheal diameter._x000D_
_x000D_
In the abdomen there is no peritoneal or retroperitoneal effusion. The urinary bladder is mildly filled and soft tissue opaque. There is curved 2.3 cm soft tissue opacity dorsal to the colon at the level of L6 on the 1st lateral view. The splenic tail is rounded on both of the lateral projections. Normal-sized liver and kidneys. Moderate volume formed feces in the distal colon. The stomach and small bowel are minimally filled. No spinal or coxofemoral joint abnormalities. Small osseous bodies cranial to the left femoral greater trochanter are incidental.</t>
  </si>
  <si>
    <t>1. Suspect medial iliac lymphadenomegaly, likely reactive and due to urinary bladder abnormalities such as cystitis. Summating superimposed musculature could also cause this appearance. There is no evidence of radiopaque cystic calculi._x000D_
2. Rounded splenic tail may be incidental splenic position/curvature. A splenic mass lesion is not ruled out._x000D_
3. Normal thorax.</t>
  </si>
  <si>
    <t>Ultrasound evaluation of the urinary tract and spleen is recommended.</t>
  </si>
  <si>
    <t>Opposite lateral and VD views of the abdomen are provided._x000D_
_x000D_
There is a large lobular soft tissue mass effect in the abdomen, there is primarily mid to caudal abdomen bilaterally but also extends cranially on the left side. The appearance is typical of pathologically fluid distended uterus. The liver is at the small end of normal size range. The other organs are within normal size and shape limits. There is a small quantity of linear mineral dense foreign material the stomach. Serosal detail in the abdomen is normal._x000D_
One pleural fissure line can be seen superimposed over the heart in the left lateral view. The appearance is suspicious for slight pleural effusion.</t>
  </si>
  <si>
    <t>The appearance of the abdomen is consistent with pyometra. The lobular soft tissue mass would be consistent is compatible with a convoluted fluid dilated hollow viscus. This is presumed to be uterus, although since it cannot be followed definitively into the pelvic canal fluid distended intestine cannot be entirely excluded._x000D_
_x000D_
The small quantity of gastric foreign material is present incidental._x000D_
_x000D_
There is one pleural fissure line, but significant pleural effusion is not for shape. This can sometimes be seen secondary to inflammatory disease in the abdomen. Primary thoracic pathology is probably unlikely but thoracic radiographs should still be considered.</t>
  </si>
  <si>
    <t>Pyometra is likely responsible for the radiographic changes and clinical signs. Surgical exploration of the abdomen is recommended.</t>
  </si>
  <si>
    <t>Three radiographs of the abdomen are provided. There is poor mid and cranial abdominal detail. Poorly delineated round/ovoid soft tissue opaque mass occupies the majority of the cranial abdomen. This mass is at least 12.1 cm in size, predominantly left-sided, and causes caudal and rightward deviation of bowel loops. The stomach is deviated dorsally and to the left on the VD and right lateral views. No gastric deviation on the left lateral view. The gastrointestinal tract is minimally filled. Thin flat 1.5 x 0.3 cm soft tissue density in the stomach on the lateral views is of doubtful clinical significance. The urinary bladder is not definitively seen. Narrowed L1-2, L2-3 intervertebral disc spaces, of doubtful significance today. Normal caudal thorax.</t>
  </si>
  <si>
    <t>Large cranioventral abdominal mass with mild effusion. Neoplasia originating from the spleen and/or liver is suspected. Hemangiosarcoma is the top differential. No other definitive abdominal abnormalities.</t>
  </si>
  <si>
    <t>Standard three-projection radiographic study of the thorax is recommended, followed by abdominal ultrasound.</t>
  </si>
  <si>
    <t xml:space="preserve">
1.The colon contains moderate fluid and mild gas._x000D_
2.The visible margins of the liver and spleen are obscured by the decrease in abdominal detail._x000D_
3.No abnormal AI findings reported._x000D_
4.No abnormal AI findings reported._x000D_
5.The stomach contains mild gas and is normal in size._x000D_
6.Mineral dense material and distended viscus are present in the region of the uterine horns._x000D_
7.In cases of pregnancy, fetal mineralization indicates fetal age of &gt;45 days._x000D_
8.IMPORTANT: This AI evaluation currently DOES NOT assess for the presence of fetal mummification and/or abnormal gas within or around the fetus (fetal viability) and/or fetal number._x000D_
9.The small intestine contains heterogeneous soft tissue material and gas._x000D_
10.Overall, the small intestine is normal in size.</t>
  </si>
  <si>
    <t xml:space="preserve">
Virtual Radiologist Case Difficulty: MODERATE_x000D_
Virtual Radiologist Confidence: MODERATE_x000D_
Abdominal ultrasonography and abdominocentesis for fluid analysis/cytology if abdominal fluid is identified and fluid sampling can be safely performed._x000D_
Thoracic imaging to screen for occult systemic disease if an abdominal mass is identified._x000D_
If peritoneal sepsis is identified, exploratory celiotomy for occult gastrointestinal ulceration would be warranted._x000D_
Testing for systemic coagulopathy is recommended if a hemoabdomen is present and an abdominal mass is not identified._x000D_
Evaluate fetal skeletal structures on radiographs, via ultrasound or submit for radiology review if fetal number and/or evaluation of fetal viability is needed.</t>
  </si>
  <si>
    <t>Opposite lateral and VD views of the abdomen are provided. Some of the images include most of the thorax._x000D_
_x000D_
Thorax: There is an ill defined area of soft tissue opacity compatible with a small mass in the right caudal lung field near midline, suspected to be involving the accessory lung lobe. There is also ill defined opacity in the right cranial lung field, the etiology of which is unknown. There is no discrete mass or air bronchograms. There is mild pleural effusion in the right hemithorax. Widening of the cranial mediastinum is suspected, but this area is not well represented. The cardiovascular structures are within normal limits. There is a small quantity of gas in the esophagus. No tracheal abnormalities are identified._x000D_
_x000D_
The liver is moderately enlarged. There is a round soft tissue shadow dorsal to the caudal aspect of the liver: this is suspected to be an artifact caused by positioning of the stomach. Both kidneys have irregular margins and a prominent calculus in the pelvis. Abdominal detail is normal._x000D_
_x000D_
There is moderate narrowing of many intervertebral disc spaces throughout the thoracic and lumbar spine.</t>
  </si>
  <si>
    <t>There is mild pleural effusion, and a small mass is suspected in the right caudal thorax. Additional pathology is suspected in the cranial thorax, but this area is not fully represented in this study. Neoplasia is a primary consideration. Infectious/inflammatory disease such as pulmonary abscess, migrating foreign body, or fungal disease should also be ruled out._x000D_
_x000D_
The liver is moderately enlarged. This can be associated with any type of diffuse hepatopathy including hepatitis or lymphoma but also less important metabolic or endocrine hepatopathies. Clinical significance in this case is unknown. Infectious or neoplastic causes should be ruled out._x000D_
_x000D_
Intervertebral disc degeneration in multiple locations is likely present._x000D_
_x000D_
Both kidneys have calculi and cortical scarring. Relevance to the clinical signs is unknown. The thoracic pathology is suspected to be more important.</t>
  </si>
  <si>
    <t>A complete three view study of the thorax is recommended, or CT could be used for more complete evaluation._x000D_
_x000D_
CBC, serum chemistry, and urinalysis is recommended._x000D_
Ultrasound of the abdomen and FNA of the liver for cytologic evaluation should also be considered.</t>
  </si>
  <si>
    <t xml:space="preserve">
1.There is moderate to marked hepatomegaly that extends caudally to the mid-abdomen on the lateral projection._x000D_
2.Abdominal detail is decreased._x000D_
3.The ventral abdominal line is pendulous secondary to the cranial abdominal organomegaly/mass._x000D_
4.The stomach is caudally displaced by the hepatomegaly. The small bowel is normal._x000D_
5.The serosal margins of the liver are irregular and there is caudal deviation of the gastric axis._x000D_
6.Resource: https://platform.v2.vetology.net/doc/liver_disease_x000D_
7.There is increased soft tissue in the splenic region along with bowel displacement suggestive of a mass effect.</t>
  </si>
  <si>
    <t>Study:_x000D_
Abdominal radiography: three images dated June 27, 2024_x000D_
_x000D_
Findings:_x000D_
The stomach contains a small volume of gas. There is amorphous soft tissue in the pylorus on the left lateral and orthogonal views. The small intestines are normal in size, course and content. The colon contains formed fecal material. The liver and spleen are normal in size and margin. The renal silhouettes are normal in size and contour. The urinary bladder is normal in size and opacity. There is no prostatomegaly. The included thorax is normal. The T 13 vertebra is transitional with a faint vestigial rib on the right and no appreciable rib on the left. The L7 vertebra is also transitional.</t>
  </si>
  <si>
    <t>Gastric contents are concerning for foreign material given the known dietary indiscretion. Ingesta cannot be completely excluded. There is no evidence of small intestinal mechanical obstruction.</t>
  </si>
  <si>
    <t>Recommend repeat fasted radiography to monitor for persistence or passage of the material in the stomach. Alternatively, abdominal sonography can be considered for further evaluation.</t>
  </si>
  <si>
    <t xml:space="preserve">
1.Splenic size, shape and margin are normal._x000D_
2.The stomach contains small volume gas and scant amorphous soft tissue density material. Diffuse, mild to moderate gas dilation of the small bowel without evidence of obstruction._x000D_
3.Abdominal detail is normal._x000D_
4.Liver size, shape and margin are normal.</t>
  </si>
  <si>
    <t>Study:_x000D_
Abdominal radiography: right lateral projection dated June 27, 2024_x000D_
_x000D_
Findings:_x000D_
Evaluation is limited by the lack of a VD view. The stomach contains a small amount of heterogeneous soft tissue material. The small intestines are normal in size, course and content. The colon contains a small volume of gas. The liver and spleen are normal in size and margin. The kidneys are normal in size and contour. The urinary bladder is normal in size and opacity. The included thorax is unremarkable. There is moderate lumbosacral spondylosis deformans. One of the 13th ribs appears hypoplastic (laterality indeterminate).</t>
  </si>
  <si>
    <t>Repeat fasted radiography can be considered to ensure gastric emptying. Alternatively, sonography can be considered if clinical signs persist or worsen in spite of medical management.</t>
  </si>
  <si>
    <t xml:space="preserve">
1.Abdominal detail is normal._x000D_
2.The stomach contains gas and ingesta or prominent rugae. The small bowel is diffusely fluid filled but without segmental small bowel dilation._x000D_
3.Resource: https://platform.v2.vetology.net/doc/liver_disease_x000D_
4.Splenic size, shape and margin are normal._x000D_
5.Liver size is normal to upper limits of normal. Liver margin is normal.</t>
  </si>
  <si>
    <t>Four radiographs of the abdomen are provided. There is no peritoneal or retroperitoneal effusion. Small volume gas and fluid in the stomach. Fluid-filled pylorus causes the round soft tissue contour in the cranioventral abdomen on the lateral views. Mild widened gastroduodenal angle on the VD projection. Small intestines are diffusely mildly fluid filled. Scant semi-formed feces in the colon. No radiopaque foreign material. Normal-sized liver, spleen, kidneys. The urinary bladder is mildly filled and soft tissue opaque. Incidental multipartite fabella noted on the edge of the study. The caudal thorax is unremarkable.</t>
  </si>
  <si>
    <t>Widened gastroduodenal angle and fluid-filled small bowel. Gastroenteritis/pancreatitis is suspected. There is no evidence of an obstructive process. The abdomen is otherwise normal.</t>
  </si>
  <si>
    <t>A CBC, blood chemistry profile, and supportive care are recommended. If the patient does not improve, abdominal ultrasound would be recommended.</t>
  </si>
  <si>
    <t xml:space="preserve">
1.Liver size, shape and margin are normal._x000D_
2.Splenic size, shape and margin are normal._x000D_
3.The stomach contains gas and small amount of amorphous soft tissue density. Small intestines are diffusely, minimally distended._x000D_
4.Abdominal detail is normal.</t>
  </si>
  <si>
    <t>Five radiographs of the thorax and abdomen are provided. Images dated 8/15/23 are available for comparison. There is new development of mild generalized cardiomegaly. Pulmonary vessels are normal size. Mild bronchial pattern consistent with age. Thin soft tissue density overlying the cranial thorax on the lateral views is incidental platelike atelectasis. There is no pleural effusion. Moderate narrowed cervical trachea on the right lateral view. No cervicothoracic spinal abnormalities._x000D_
_x000D_
In the abdomen the round soft tissue opaque mass in the cranioventral abdomen is again identified, measuring 5.3 cm today. The mass blends with the splenic tail on both lateral views. Equivocal scant adjacent effusion. No gastric axis deviation. Normal size splenic head and kidneys. The gastrointestinal tract is minimally filled. The urinary bladder is not definitively seen. Narrowed T12-13 and L1-2 intervertebral disc spaces as before, of doubtful significance today. The coxofemoral joints are congruent. The left patella is medially displaced.</t>
  </si>
  <si>
    <t>1. Progressive cranioventral abdominal mass, with suspect scant effusion. Neoplasia such as hemangiosarcoma originating from the spleen is most likely. Pedunculated hepatic mass is next on the differential list. Acute hemorrhage and/or thromboembolic insult may be responsible for the clinical signs._x000D_
2. Mild generalized cardiomegaly, a new development that is most consistent with acquired mitral and tricuspid valve disease. There is no evidence of pulmonary venous congestion or heart failure today. No other thoracic abnormalities._x000D_
3. Cervical tracheal collapse._x000D_
4. Medial patellar luxation on the left.</t>
  </si>
  <si>
    <t>Abdominal ultrasound and cranial nerve assessment is recommended.</t>
  </si>
  <si>
    <t xml:space="preserve">
1.No abnormal AI findings reported._x000D_
2.Small-to-moderate volume ingesta in the stomach._x000D_
3.Small intestines and colon are minimally filled without compelling evidence for obstruction._x000D_
4.Liver and spleen appear within normal limits._x000D_
5.Peritoneal detail is normal.</t>
  </si>
  <si>
    <t>Opposite lateral and VD views of the thorax and abdomen are provided._x000D_
_x000D_
Moderate pneumothorax is identified, more of the free gas is seen on the right side. Pleural margins in the ventral lung fields have a loculated appearance with irregular contour, also primarily involving the right side and the accessory lung lobe region. The pulmonary parenchyma has a mild bronchointerstitial pattern of equivocal significance, and no pleural effusion is seen._x000D_
There is an elliptical soft tissue shadow in the right cranial ventral thorax that measures approximately 2 x 4 cm. This is not quite in the location of the expected sternal lymph node, and is also not definitively involving the lung._x000D_
The heart is elevated from the sternum by free thoracic gas. The cardiac silhouette is within normal size and shape limits._x000D_
_x000D_
There is a slight reduction in detail in the abdomen. The organs are within normal size and shape limits. No abdominal mass lesions are seen. The small intestine has moderately increased gas content overall, but no dilation or plication is seen._x000D_
_x000D_
There is moderate thoracolumbar spondylosis. The left fourth rib appears thickened in the VD view, but this is not corroborated in the lateral views and may be artifactual. No fractures or destructive bone lesions are identified.</t>
  </si>
  <si>
    <t>Moderate pneumothorax is present. The loculated irregular appearance of the pleural margins in the right ventral thorax suggestive of chronicity. An inflammatory component or pre-existing anatomic lung pathology should also be ruled out as a cause of this appearance._x000D_
_x000D_
There is an unusual small mass shadow in the right cranial thorax, etiology cannot be determined in the appearance is nonspecific. Possible rule outs would include neoplasia as well as granuloma._x000D_
Considering the original presentation with submandibular pain, the current presence of pneumothorax, and the suspicion of slightly reduced abdominal detail a migrating radiolucent foreign body would be a primary differential for this patient.</t>
  </si>
  <si>
    <t>More advanced imaging is indicated. CT is recommended. The thorax is of primary concern but inclusion of the neck and abdomen is suggested.</t>
  </si>
  <si>
    <t xml:space="preserve">
1.Cranial abdominal detail is mildly decreased.  If this is the only finding, this is more likely due to normal overlying structures or radiographic technique. If this finding is part of a larger group of findings, cranial abdominal inflammation becomes a stronger consideration._x000D_
2.The stomach contains gas and ingesta or prominent rugae._x000D_
3.There is formed fecal material within the colon._x000D_
4.The small intestine is uniform in diameter containing both fluid and gas. No segmental small bowel dilation is noted._x000D_
5.Borderline splenomegaly is present but a splenic mass is NOT detected._x000D_
6.Liver size, shape and margin are normal.</t>
  </si>
  <si>
    <t>Study:_x000D_
Abdominal radiography: two images dated June 27, 2024_x000D_
_x000D_
Findings:_x000D_
The stomach contains a small volume of gas. The small intestines are normal in size, course and content. The colon contains a small volume of gas. There is poorly formed fecal material in the rectum. The liver is on the lower limits of normal for size with mild associated cranial rotation of the gastric axis. The spleen is normal in size and margin. The renal silhouettes are normal in size and contour. The urinary bladder is normal in size and opacity. The included thorax is normal. The osseous structures are unremarkable.</t>
  </si>
  <si>
    <t>1. The gastrointestinal tract is unremarkable. A cause of the reported hematochezia is not evident. There is no radiographic evidence of gastrointestinal foreign material or small intestinal mechanical obstruction. Abdominal sonography can be considered for further evaluation if clinical signs persist or worsen in spite of medical management._x000D_
2. Microhepatia. Rule out normal variant, vascular anomaly or chronic hepatitis/cirrhosis. Correlate with any liver enzyme abnormalities. Abdominal sonography and bile acid testing can be considered for further evaluation if clinically relevant.</t>
  </si>
  <si>
    <t xml:space="preserve">
1.The stomach is normal. The small bowel is diffusely gas- and fluid-filled but without segmental bowel dilation._x000D_
2.Splenic size, shape and margin are normal._x000D_
3.The liver is small with cranial displacement of the gastric axis, slightly more asymmetric on the ventrodorsal image._x000D_
4.Abdominal detail is mildly decreased on the lateral projection but normal on the VD projection.</t>
  </si>
  <si>
    <t>Nine orthogonal radiographs of the lumbar vertebral column and pelvis dated 27th June 2024 are available for review. There are no previous radiographs available for comparison. _x000D_
_x000D_
Vertebral column: All intervertebral disc spaces which are included are a widened, with irregular vertebral end plates, and sclerosis of the vertebral and plates. The lumbosacral junction is severely widened, predominantly ventrally, with irregular vertebral and plates. The sacrum is ventrally displaced relative to the L7 vertebral body. The L7 vertebral body is remodelled._x000D_
_x000D_
Pelvis: There is severe widening of both coxofemoral joint spaces. Acetabular modelling is present._x000D_
_x000D_
Joints and long bones: There is severe lysis of the trochlear grooves, bilaterally, and lysis of the proximal tibial plateau in the region of the insertion of the patellar ligament. Extensive osteophyte formation is present at the fabella and tibial plateau. The joint spaces are severely widened. There is bilateral lysis of the lateral femoral condyle, increasing the joint width._x000D_
_x000D_
Soft tissues: The caudal thigh and back musculature is very poor.</t>
  </si>
  <si>
    <t>1. Severe erosive polyarthropathy including the vertebral column and appendicular skeleton: A severe autoimmune polyarthropathy, rheumatoid arthritis is most likely. An infectious polyarthritis is considered less likely in light of vertebral changes. A metabolic bone disease is possible.</t>
  </si>
  <si>
    <t>Complete blood work, synoviocenthesis and evaluation of rheumatoid factors, infectious disease testing is advised. Appropriate medical management depending on outcome.</t>
  </si>
  <si>
    <t>Two radiographs of the abdomen dated 27th May 2024 are available for review. There are no previous radiographs available for comparison. _x000D_
_x000D_
Intra-abdominal findings: The stomach is mainly empty containing some gas. The rugal folds are subjectively prominent. The small intestines are distributed evenly and are within normal limits for shape, size and contents. The ascending, transverse and descending colon have a normal position and contain gradually more formed faeces.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</si>
  <si>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Relatively unremarkable post-prandial abdomen. Considered presentation, a mild gastritis, pancreatitis is possible.</t>
  </si>
  <si>
    <t>Observational/empirical management is advised. consider abdominal ultrasound depending on clinical progression.</t>
  </si>
  <si>
    <t xml:space="preserve">Patient Name : Stache Lara, Date of study: Jun 27, 2024
3 images are provided for review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mildly tall and occupies 2/3 the height of the thorax.  The trachea is slightly dorsally displaced.  The caudodorsal margin of the cardiac silhouette is slightly flat.  This is not well identified in the ventrodorsal image.
Mediastinum: The cranial mediastinum is normal.
Trachea: The trachea is normal.
Esophagus: The esophagus is not well-identified.
Pleural space: The pleural space is normal.
Musculoskeletal: The included musculoskeletal structures are normal.
</t>
  </si>
  <si>
    <t>1. Minimal-mild left-sided cardiomegaly versus artifact from patient positioning/phase of the cardiopulmonary cycle.
- If present, the primary differential diagnosis is myxomatous mitral valvular disease.
- No current evidence of left-sided congestive heart failure.  
2. Mild diffuse bronchial pulmonary pattern due to fibrosis from prior disease, age-related changes, infectious/immune-mediated lower airway disease, or unlikely other.</t>
  </si>
  <si>
    <t>Echocardiography, ECG and blood pressure for further evaluation, especially if a murmur is later identified.  Routine blood work and urinalysis may be contributory if not recently performed.  Consider respiratory PCR panel and/or airway sampling for further evaluation.  Empirical therapy and supportive care in the interim as needed.  Monitoring as directed or sooner if clinical signs acutely change, fail to improve or worsen.</t>
  </si>
  <si>
    <t>Seven radiographs of the thorax/abdomen are provided. The cardiac silhouette and pulmonary vessels are normal size and shape. A mild bronchial pattern is present consistent with age. There are no soft tissue pulmonary nodules or pleural effusion. Adequate tracheal diameter. Normal cranial mediastinal width. In the abdomen the liver, spleen, right kidney are normal size. Ventral splenic margins are mildly smoothly irregular. The left kidney is reduced in size. The urinary bladder is mildly filled and soft tissue opaque. The gastrointestinal tract is mildly filled. Narrowed T12-13 intervertebral disc space, of doubtful clinical significance today. The coxofemoral joints are congruent. There is broad-based fat opaque lipomatous mass measuring at least 6.6 cm ventral to the prepuce.</t>
  </si>
  <si>
    <t>1. Irregular ventral splenic tail margins, consider due to extramedullary hematopoiesis, lymphoid hyperplasia, inflammation, and neoplasia._x000D_
2. Reduced left renal size, likely chronic renal disease._x000D_
3. Normal thorax. There is no evidence of cardiovascular disease on this study. A small valvular regurgitant jet can result in a relatively loud murmur.</t>
  </si>
  <si>
    <t>Three radiographs of the thorax/abdomen are provided. The cardiac silhouette is normal size for this particular breed. The left ventricle appears more prominent on the VD view due to thoracic conformation and mild rotation. A mild bronchial pattern is present throughout the lungs. There are no soft tissue pulmonary nodules or pleural effusion. Tracheal diameter is adequate. Curved gas lucency ventral to the trachea at the thoracic inlet on the 1st lateral view is incidental gas within the esophagus. Mild breed-related congenital vertebral malformations in the mid thoracic spine, incidental. In the abdomen the liver is upper normal size with smooth margins. Normal-sized spleen. The kidneys are incompletely visible. There are numerous smoothly marginated round mineral opaque cystic calculi present. These images are JPEG format, limiting size determination of these calculi. The prostate is moderately enlarged with smooth margins. There are several faint punctate mineral densities overlying the cranial prostate, but also appear to extend cranial to the prostate and are likely superimposed superficial debris. The gastrointestinal tract is moderately filled. Narrowed L2-3 intervertebral disc space with spondylosis deformans, as well as spondylosis deformans in the caudal lumbar spine, likely incidental. The reported dorsal lesion is not definitively seen on this study.</t>
  </si>
  <si>
    <t>1. Small cystic calculi._x000D_
2. Prostatomegaly consistent with benign prostatic hyperplasia. No other abdominal abnormalities._x000D_
3. Normal thorax.</t>
  </si>
  <si>
    <t xml:space="preserve">
1.Abdominal detail is normal._x000D_
2.The stomach is normal. The small bowel is diffusely gas- and fluid-filled without segmental small bowel dilation._x000D_
3.The liver is mildly enlarged._x000D_
4.Splenic size, shape and margin are normal.</t>
  </si>
  <si>
    <t>4 images of the thorax are provided for review.  The cardiovascular structures are normal.  There is a moderate bronchial pattern in all lung lobes.  Alveolar opacity is present in the right cranial and middle lung lobes.  The trachea is variable in diameter.  The mediastinal and pleural structures are normal.  Cranial abdominal detail is adequate.  The liver margin is rounded and extends beyond the costal arch.</t>
  </si>
  <si>
    <t>Tracheal narrowing suggestive of dynamic tracheal collapse.  Moderate bronchial pulmonary pattern=ZZ90= consider bronchitis, response to inhaled irritants, response to circulating parasites, eosinophilic bronchopneumopathy.  Alveolar pulmonary pattern concerning for concurrent pneumonia, hemorrhage, or neoplasia.  Airway sampling may be helpful in further evaluation.  Hepatomegaly=ZZ90= this is a nonspecific finding that may be seen with congestion, vacuolar hepatopathy, inflammation, neoplasia, etc.  Abdominal ultrasound may be helpful in further evaluation if biochemically indicated.</t>
  </si>
  <si>
    <t>THORAX (2 total radiographs for review)._x000D_
_x000D_
- The cardiac silhouette and pulmonary vasculature are normal._x000D_
- The pulmonary parenchyma is normal_x000D_
- There is a mild undulation of the trachea in the mid-thoracic region._x000D_
- The esophagus and remainder of the mediastinum is/are normal._x000D_
- The pleural space and remaining intrathoracic structures are normal._x000D_
- There is curvilinear mineral material in the region of the gallbladder._x000D_
- The stomach is moderately distended with gas-stippled soft-tissue opaque material._x000D_
- The remaining cranial abdominal structures are normal._x000D_
- Thin/hypoplastic ribs originating from T13 bilaterally.</t>
  </si>
  <si>
    <t>1. A discrete radiographic cause for the reported coughing and wheezing is not clearly identified. The bronchopulmonary structures are within normal limits, however radiographic sensitivity for lower airway disease can be limited._x000D_
_x000D_
2. Mild undulation of the trachea at the level of the thoracic inlet can be compatible with tracheal collapse, although no overt collapse is noted._x000D_
_x000D_
3. Mineral gallbladder sludge/debris._x000D_
_x000D_
4. Recent meal._x000D_
_x000D_
5. Transitional thoracolumbar vertebral segment.</t>
  </si>
  <si>
    <t>Three orthogonal thoracic radiographs dated 27th June 2024 are available for review. There are no previous radiographs available for comparison. _x000D_
_x000D_
Airway findings: A smoothly marginated soft tissue opacity is variably present overlying the dorsal aspect of the trachea at the thoracic inlet. This opacity reduces approximately 90% of the dorsoventral diameter of the trachea. The intrathoracic trachea is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The patient is overweight._x000D_
_x000D_
Included abdomen: There is mild smoothly marginated hepatomegaly.</t>
  </si>
  <si>
    <t>1. The dorsal attenuation of the trachea is consistent with tracheomalacia, and/or redundant trachealis membrane. The extent of attenuation would be expected to cause coughing and/or upper respiratory obstruction._x000D_
2. The hepatomegaly is most likely due to vacuolar hepatopathy, or underlying endocrine disease.</t>
  </si>
  <si>
    <t>Consider evaluation for airway collapse (fluoroscopy vs. right lateral inspiratory and expiratory radiographs vs. CT with virtual bronchoscopy). Alternatively consider medical management. Consider surgical consultation depending on clinical progression._x000D_
Obesity predisposes for airway collapse, and reduction of thoracic volume (pickwickian syndrome), reducing pulmonary clearance, therefore weight management is advised.</t>
  </si>
  <si>
    <t>ABDOMEN and PELVIC LIMBS (6 radiographs for review)._x000D_
_x000D_
- Caudal thoracic vertebral column normal._x000D_
- Right rib of T13 is absent. Left rib is thickened and adjoined to the vertebral body._x000D_
- Lumbar vertebrae and lumbosacral junction normal._x000D_
- Mild, bilateral coxofemoral osteophyte formation._x000D_
- Distal femoral varus and medial luxation of both patellas._x000D_
- Bilateral stifle osteophyte formation with sharp new bone formation in the region of the intercondylar eminence of the tibia._x000D_
- A few soft-tissue opaque tubular segments are superimposed over the urinary bladder that may represent mild uteromegaly._x000D_
- The liver is moderately enlarged, with rounded margins._x000D_
- There is a focal flattening of the cranial pole of the right kidney.</t>
  </si>
  <si>
    <t>1. Unremarkable spine, except for a transitional thoracolumbar vertebra._x000D_
_x000D_
2. Mild bilateral coxofemoral osteoarthrosis._x000D_
_x000D_
3. Bilateral medial patellar luxation, with predisposing distal femoral varus angular limb deformity._x000D_
_x000D_
4. Degenerative stifle disease bilaterally . There are osteophytes in the intercondylar eminence region of the tibia (the site of insertion of the cranial cruciate ligament), which may suggest a degree of cranial cruciate ligament disease._x000D_
_x000D_
5. Moderate generalized hepatomegaly. Most likely representing vacuolar (metabolic) hepatopathy. Hepatic congestion, hepatitis or neoplasia are possible, but less likely._x000D_
_x000D_
6. Prominent uterus. No distinct visualization of the reported uterine masses or ureterocele.</t>
  </si>
  <si>
    <t xml:space="preserve">Patient Name : Chiquito Guerrero, Date of study: Jun 27, 2024
2 images are provided for review
Canine Abdomen (2 Images) - 1 Lateral, 1 Vd
There are no previous radiographs for comparison.
Liver: The liver is subjectively normal in size.
Spleen: The spleen is normal in size with smooth margins and homogeneous soft tissue.
Kidneys: The left kidney is normal.  The right kidney is obscured without obvious mineral or enlargement.  
Retroperitoneum: Retroperitoneal detail is adequate.
Urogenital: The urinary bladder is normal in size, homogeneous soft tissue, and smoothly marginated.  The prostate gland is mildly enlarged and homogeneous soft tissue.
Peritoneum: Peritoneal detail is adequate.
Gastrointestinal tract: The stomach contains a moderate volume of gas.  Gastric rugal folds are slightly undulant. The stomach is normal in size.
The small intestine contains mild to moderate gas or is empty with a subjectively uniform population for size. 
The colon contains moderate gas.  The colon is normal in size.
Musculoskeletal: The included musculoskeletal structures are normal.
</t>
  </si>
  <si>
    <t xml:space="preserve">1. Non-specific gastric, small intestinal and colon changes such as from gastritis, enteritis, colitis, or individual variation of normal.
- There is no evidence of small intestinal mechanical ileus.
- Differential diagnoses include dietary indiscretion, toxin ingestion, diet/antibiotic responsive disease, inflammatory bowel disease, parasitism/primary infectious disease, pancreatitis or less likely occult systemic disease.
2. Mild prostatic gland enlargement such as from benign hyperplasia consistent with the intact status of this patient, or unlikely neoplasia or other..
</t>
  </si>
  <si>
    <t>Consider abdominal ultrasonography for further evaluation.  Routine blood work, GI panel, and fecal analysis/deworming may be contributory.  Empirical therapy and supportive care in the interim as needed.  Monitoring as directed or sooner if clinical signs acutely change, fail to improve or worsen.</t>
  </si>
  <si>
    <t xml:space="preserve">
1.No abnormal AI findings reported._x000D_
2.The gastric rugae are prominent._x000D_
3.The small bowel contains gas and fluid but is largely normal in diameter throughout._x000D_
4.Portions of the colon are gas filled with a rigid appearance and/or corrugated._x000D_
5.Abdominal detail is normal._x000D_
6.The liver and spleen are normal for size.</t>
  </si>
  <si>
    <t>Evidence of gastritis and colitis with minimal gas and fluid dilation of the small bowel suggests a paralytic or functional ileus such as from an acute gastroenteritis/colitis from dietary indiscretion, bacterial, viral, or parasitic disease. Pancreatitis or metabolic derangement from non-GI disease could also be considered. There is no evidence of mechanical obstruction of the gastrointestinal tract.</t>
  </si>
  <si>
    <t>Six radiographs of the thorax and abdomen are provided. The patient is overweight with moderate to large volume subcutaneous fat. Transient severe narrowed cervical and cranial thoracic trachea. The cardiac silhouette is normal size and shape. Pulmonary vessels are normal size. No abnormalities in the pulmonary parenchyma. No pleural effusion. In the abdomen there is moderate volume of soft tissue opaque ingesta in the stomach. Small bowel are minimally filled. Formed feces in the distal colon. Normal-sized liver, spleen, kidneys. Round 0.3 cm mineral density overlying the urinary bladder may be superimposed intestinal contents.</t>
  </si>
  <si>
    <t>1. Dynamic severe cervical and thoracic tracheal collapse, the most likely cause for respiratory signs. No other thoracic abnormalities._x000D_
2. Possible small cystic calculus, of a size that should be able to pass the urethra. Otherwise normal abdomen.</t>
  </si>
  <si>
    <t>Recommend symptomatic treatment for the cough. This patient may benefit from utilization of a body harness in place of a neck lead, symptomatic treatment for the cough, and reducing excitement. Strongly recommend weight management.</t>
  </si>
  <si>
    <t xml:space="preserve">
1.The liver is moderately enlarged with sharp, caudal margins._x000D_
2.The spleen is normal._x000D_
3.No abnormal AI findings reported._x000D_
4.The gastric lumen contains a mild amount of soft tissue and gas opacity._x000D_
5.The small intestine is a uniform population size and is diffusely of soft tissue opacity with a small amount of gas throughout._x000D_
6.The colon contains a moderate amount of formed, heterogenous fecal material caudally.</t>
  </si>
  <si>
    <t>Three radiographs of the thorax and two lateral views of the abdomen are provided. The cardiac silhouette and pulmonary vessels are normal size. Mild unstructured interstitial pattern and a few pulmonary osteomas is normal for the age of this patient. There is no pleural effusion or intrathoracic lymphadenomegaly. Normal cranial mediastinal width and tracheal diameter._x000D_
_x000D_
In the abdomen there is small volume gas in the stomach and throughout the small bowel. Round soft tissue contour in the cranioventral abdomen on the right lateral view is fluid within the pylorus. Formed feces in the colon. Normal size liver. The spleen and kidneys are obscured. No radiopaque cystic calculi. No medial iliac lymphadenomegaly. There is punctate mineral density overlying the L2-3 intervertebral foramen. No other spinal abnormalities. The visible coxofemoral joints are unremarkable.</t>
  </si>
  <si>
    <t>1. The appearance of L2-3 is suggestive of a protruding/extruded intervertebral disc. Such a lesion at this or another site is the most likely cause for the pelvic limb deficits._x000D_
2. Normal abdomen and thorax.</t>
  </si>
  <si>
    <t>Three orthogonal survey radiographs of the thorax and abdomen dated 27th June 2024 are available for review. There are no previous radiographs available for comparison. The thorax is incompletely included and obliqued on most images, limiting interpretation._x000D_
_x000D_
Thorax: _x000D_
Airway findings: The cervical and thoracic trachea have a normal size, outline and position. The carina, tracheal bifurcation and mainstem bronchi are normal. The pulmonary parenchyma is normal. No nodules or masses are seen._x000D_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stomach is empty with some gas. The rugal folds are subjectively prominent. There is appropriate gas in the pyloric region on the left lateral image. The small intestines are variably filled with gas and fluid/soft tissue opaque material. The descending colon is moderately to severely distended with compacted faeces. The urinary bladder is distended. The serosal detail is normal. The hepatic silhouette is normal in size with smooth borders. The spleen is normal in shape, size and position. The kidneys are partially obscured by gastrointestinal contents, but the visible aspect are normal._x000D_
_x000D_
Musculoskeletal findings: No significant abnormalities are detected.</t>
  </si>
  <si>
    <t>1. Moderate constipation. There is no evidence for a space occupying lesion in the pelvis. This may be due to diet/activity. A peripheral neuropathy is considered unlikely._x000D_
2. Distended bladder, likely secondary to the constipation.</t>
  </si>
  <si>
    <t>Empiric management of constipation is advised. supportive dietary management. Depending on recurrence, consider an abdominal ultrasonographic examination.</t>
  </si>
  <si>
    <t>A three view study of the abdomen is provided. The heart and caudal thorax is included._x000D_
_x000D_
The abdominal organs are all within normal size and shape limits. The GI tract appears empty and nondistended. Rugal folds in the stomach are slightly prominent. No foreign bodies are identified. Serosal detail in the abdomen is normal._x000D_
_x000D_
The cardiopulmonary structures are within normal limits. No esophageal abnormalities are identified.</t>
  </si>
  <si>
    <t>Prominent gastric rugal folds would be compatible with gastritis, although this can also be seen incidentally. No foreign bodies or other significant anatomic abnormalities are identified._x000D_
No esophageal pathology is seen.</t>
  </si>
  <si>
    <t>Symptomatic therapy for possible gastritis/esophagitis or pancreatitis is recommended._x000D_
Depending on persistence and severity of the clinical signs, endoscopy could be considered to assist definitive diagnosis.</t>
  </si>
  <si>
    <t>Opposite lateral and VD views of the thorax and abdomen are provided._x000D_
_x000D_
The cardiovascular structures are within normal limits. No pulmonary infiltrates or pleural effusion are identified. No tracheal or esophageal abnormalities are seen. There is no thoracic lymphadenopathy._x000D_
_x000D_
The abdominal organs are all within normal size and shape limits. No mass effect or loss of detail are seen in the abdomen. Rugal folds in the stomach are mildly prominent. No dilation of the stomach or intestine is identified._x000D_
_x000D_
Disc spaces in the thoracolumbar region appears slightly narrowed. The appearance is subtle and equivocal. No destructive or productive bone lesions are identified.</t>
  </si>
  <si>
    <t>No radiographic abnormalities felt to be clinically significant are identified. There are no changes that would explain the fever or clinical signs.</t>
  </si>
  <si>
    <t>CNS pathology or systemic infectious/inflammatory disease should be ruled out._x000D_
Supportive care is recommended.</t>
  </si>
  <si>
    <t>Three orthogonal radiographs of the abdomen dated 27th June 2024 are available for review. There are no previous radiographs available for comparison. _x000D_
_x000D_
Intra-abdominal findings: The stomach is empty, with some gas. The rugal folds are subjectively prominent. The small intestines are variable in shape and size, containing an increased amount of gas, but within upper normal limits for size. Within the caudal right aspect of the abdomen there is a severely gas dilated loop with a tortuous appearance. The descending colon is empty. The hepatic silhouette is normal in size with smooth borders. The spleen is normal in shape, size and position. The kidneys are partially obscured by gastrointestinal contents, but the visible aspect are normal. The serosal detail is mildly reduced. The urinary bladder is empty._x000D_
_x000D_
Extra-abdominal findings: No significant abnormalities are detected._x000D_
_x000D_
Included thorax: No significant abnormalities are detected.</t>
  </si>
  <si>
    <t>The overall impression is one of gastroenteritis/colitis.  This may be due to dietary indiscretion, or infectious-inflammatory causes. The severely gas dilated loop may be ascending colon, however the tortuous appearance would be atypical for colonic gas dilation. A colonic torsion, obstruction by non-radiopaque foreign material, severe typhlitis should be considered. Small intestinal volvulus, partial obstruction of small intestinal outflow is possible. Hemorrhagic gastroenteritis is possible.</t>
  </si>
  <si>
    <t>Considering questionable nature of the gas dilated loop, and moderate to severe clinical findings, abdominal ultrasound is indicated and/or an upper GI contrast study. If this is not available, and clinical condition does not improve, an explorative laparotomy may be considered, accepting the risk a nonsurgical lesion is found. Supportive management including rehydration, gastroprotectants,  full blood work, faecal analysis if clinically indicated is advised, if not already performed.</t>
  </si>
  <si>
    <t xml:space="preserve">
1.Liver size is normal to upper limits of normal. Liver margin is normal._x000D_
2.Splenic size, shape and margin are normal._x000D_
3.Cranial abdominal detail is decreased._x000D_
4.The gastric rugae are prominent._x000D_
5.No dilation of the small intestine is seen.</t>
  </si>
  <si>
    <t>Six orthogonal survey radiographs of the thorax and abdomen dated 27th June 2024 are available for review. There are no previous radiographs available for comparison. _x000D_
_x000D_
Thorax: _x000D_
Airway findings: A smoothly marginated soft tissue opacity is variably present overlying the dorsal aspect of the trachea at the thoracic inlet. This opacity reduces approximately 50% of the dorsoventral diameter of the trachea. The intrathoracic trachea is normal. The pulmonary parenchyma has a minimal bronchointerstitial opacification. The thorax is hypoinflated._x000D_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There is increased cranial mediastinal fat._x000D_
_x000D_
Abdomen: The hepatic silhouette is normal in size with smooth borders. The spleen is normal in shape, size and position. The kidneys are partially obscured by gastrointestinal contents, but the visible aspect are normal. The stomach contains kibble and has a normal axis. The duodenum is mildly distended in the ventral dorsal image. The small intestines are distributed evenly and are within normal limits for shape, size and contents. The ascending, transverse and descending colon have a normal position. The descending colon and rectum is moderately dilated. The urinary bladder is filled. The serosal detail is normal._x000D_
_x000D_
Musculoskeletal findings: The patient is morbidly obese. There are ventral cutaneous masses, consistent with the mammary mass as reported.</t>
  </si>
  <si>
    <t>1. The dorsal attenuation of the trachea is consistent with tracheomalacia, and/or redundant trachealis membrane. The extent of attenuation would be expected to cause coughing._x000D_
2. Negative metastasis check._x000D_
3. Mild constipation likely due to inactivity. The mildly distended duodenum is likely transient filling. Pancreatitis is possible._x000D_
4. Mammary masses._x000D_
5. The bronchointerstitial opacification is most likely due to hypoinflation and body habitus in absence of any respiratory disease.</t>
  </si>
  <si>
    <t>Consider evaluation for airway collapse (fluoroscopy vs. right lateral inspiratory and expiratory radiographs vs. CT with virtual bronchoscopy). Alternatively consider medical management. Consider surgical consultation depending on clinical progression. _x000D_
Obesity predisposes for airway collapse, and reduction of thoracic volume (pickwickian syndrome), reducing pulmonary clearance, therefore weight management is indicated.</t>
  </si>
  <si>
    <t xml:space="preserve">
1.Abdominal detail is normal._x000D_
2.The liver is mildly enlarged but with a normal shape and smooth margins. No hepatic mass has been identified._x000D_
3.Splenic size, shape and margin are normal._x000D_
4.The stomach and intestinal tract are normal.</t>
  </si>
  <si>
    <t>6 images of the abdomen are provided for review.  Serosal detail is adequate in all quadrants.  The stomach contains a moderate amount of gas and the rugal folds are prominent.  The small intestines are normal in size.  The cecum is gas-filled.  Gas and feces are present in the colon.  The urinary bladder is small.  The remaining abdominal organs are normal.</t>
  </si>
  <si>
    <t>Orthogonal views of the abdomen are provided:_x000D_
_x000D_
Abdomen:_x000D_
_x000D_
The stomach is distended with food and gas._x000D_
Small intestines are fluid filled, not overtly distended. No signs of mechanical ileus._x000D_
Serosal detail is preserved._x000D_
Liver and spleen are within normal limits of size and smoothly marginated._x000D_
Kidneys and urinary bladder WNL._x000D_
_x000D_
Unremarkable thorax and spine.</t>
  </si>
  <si>
    <t>1) Unformed feces in the colon. Rule out HGE vs IBD flare up vs gastroenterocolitis of allergic/inflammatory/idiopathic origin vs pancreatitis.</t>
  </si>
  <si>
    <t>Consider IV fluids and abdominal US to further evaluate causes of the reported GI signs.</t>
  </si>
  <si>
    <t xml:space="preserve">
1.Splenic size, shape and margin are normal._x000D_
2.Liver size is at the lower limits of normal but retains a smooth margin._x000D_
3.Abdominal detail in the cranial abdomen is mildly decreased on the lateral projection._x000D_
4.A mild amount of air is present in the cranial duodenum in the ventrodorsal image._x000D_
5.The small intestinal tract contains normal volumes of fluid, gas and ingesta but portions have a rigid appearance._x000D_
6.The ascending, transverse and descending colon are in a normal position and contain gradually more formed feces._x000D_
7.The stomach contains a small amount of air and either has prominent gastric rugae or contains a small amount of soft tissue material.</t>
  </si>
  <si>
    <t xml:space="preserve">Patient Name : Kujo Wann, Date of study: Jun 26, 2024
11 images are provided for review
There are no previous radiographs for comparison.
Bones/Joints:
In the lateral image of the head, there is a linear lucent defect in the dorsal aspect of the skull, in the region of the parietal to occipital bones.  A small ovoid mineral opacity is just dorsal to this defect.  This defect does not extend full thickness into the calvarial vault.  this is suspected to superimpose over the right parietal/temporal bones from lateral to just over midline in the ventrodorsal image.
There is no evidence of intervertebral disc space narrowing, or mineral over the intervertebral foramina.  
There is no evidence of medullary sclerosis, osteolysis, endosteal scalloping, or periosteal proliferation.
Soft tissues:  The soft tissues dorsal to the head are subjectively enlarged.  Suspected gas foci are superimposed over these tissues in the lateral image. the right globe is rostrolaterally displaced and the right orbital soft tissues are enlarged.   The remaining included soft tissues are normal.
</t>
  </si>
  <si>
    <t>1. Suspected right parietal/temporal bone linear fracture extending across mid-line.
2. Right-sided and dorsal soft tissue swelling of the head, and suspicious for emphysema, such as from recent trauma, or unlikely abscess or other.
3. No evidence of intervertebral disc disease or other spinal abnormalities.</t>
  </si>
  <si>
    <t>Consider MRI versus computed tomography and neurologist consultation as soon as possible.  Empirical therapy and supportive care in the interim as needed such as for intra-cranial swelling versus hematoma or other, especially given reported seizure activity.  Monitoring as directed or sooner if clinical signs acutely change, fail to improve or worsen.</t>
  </si>
  <si>
    <t xml:space="preserve">
1.Abdominal detail is normal._x000D_
2.Liver size is normal and retains a smooth margin._x000D_
3.A portion of the colon is gas filled and rigid._x000D_
4.The stomach contains a small amount of air and either has prominent gastric rugae or contains a small amount of soft tissue material._x000D_
5.The small intestinal tract contains normal volumes of fluid, gas and ingesta._x000D_
6.Splenic size, shape and margin are normal.</t>
  </si>
  <si>
    <t>Orthogonal views of the thorax are provided:_x000D_
_x000D_
Thorax:_x000D_
_x000D_
No signs of tracheal collapse._x000D_
Cardiac silhouette shows a mild enlargement of the left atrium dorsally displacing the carina._x000D_
Pulmonary vessels are within normal limits of size and shape._x000D_
Pulmonary parenchyma is within normal limits. No evidence of pulmonary nodules/masses._x000D_
Pleural space, mediastinum, diaphragm and thoracic wall within normal limits.</t>
  </si>
  <si>
    <t>1) Left atrial enlargement secondary to chronic mitral endocardiosis without signs of CHF. Rule out concomitant tricuspid endocardiosis with pulmonary hypertension._x000D_
2) Lack of visualization of tracheal collapse does not exclude this differential (especially taking into account the breed). Unremarkable lungs do not exclude a bronchitis of allergic vs inflammatory/infectious or parasitic origin. No signs of pulmonary metastases nor signs of thoracic lymphadenopathy.</t>
  </si>
  <si>
    <t>4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mild amount of gas.  The small bowel is normal and uniform in diameter.  A mild amount of stool is noted in the colon.  The liver appears moderately enlarged extending down the costal arch with rounded caudal ventral serosal margins.  The head of the spleen appears within normal limits.  The renal silhouettes and urinary bladder are normal.  Serosal detail is adequate._x000D_
No osseous abnormalities are seen.</t>
  </si>
  <si>
    <t>Moderate hepatomegaly.  This is most consistent with vacuolar hepatopathy, inflammation, or possibly neoplasia.  Nonspecific gastroenteritis pancreatitis is not excluded as a cause of the clinical signs._x000D_
Radiographically normal thorax.</t>
  </si>
  <si>
    <t>Correlation with blood work may be helpful.  An abdominal ultrasound could be considered for further evaluation.</t>
  </si>
  <si>
    <t xml:space="preserve">
1.The stomach contains a moderate amount of mixed gas and fluid._x000D_
2.The spleen is normal._x000D_
3.Cranial abdominal detail is mildly decreased._x000D_
4.The liver is mildly enlarged._x000D_
5.Resource: https://platform.v2.vetology.net/doc/pancreatitis_x000D_
6.Small intestinal bowel loops are normal in size and distribution and have mainly a soft tissue pattern._x000D_
7.The colon contains gas and fluid._x000D_
8.Resource: https://platform.v2.vetology.net/doc/gi_protectants_1</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</si>
  <si>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 Caudal to the stomach the spleen is abnormally angled cranially with a reversed C shape adjacent to the stomach and shifted to the right hemiabdomen in the VD view with loss of its normal location adjacent to the left abdominal wall. Serosal detail is preserved._x000D_
Small intestines are mildly gas and fluid filled, not overtly distended. No signs of mechanical ileus._x000D_
Liver is within normal limits of size and smoothly marginated._x000D_
Kidneys and urinary bladder WNL.</t>
  </si>
  <si>
    <t>1) Unremarkable thorax without signs of pulmonary metastases nor signs of thoracic lymphadenopathy._x000D_
2) Enlarged and abnormally positioned spleen: Rule out splenic torsion. If so, rule out also subjacent splenic pathology.</t>
  </si>
  <si>
    <t>Consider abdominal US to further evaluate the spleen and suspected torsion with +/- CT if necessary.</t>
  </si>
  <si>
    <t xml:space="preserve">
1.The stomach is normal. The small bowel is diffusely gas- and fluid-filled without segmental small bowel dilation._x000D_
2.Ill defined opacity in the cranial abdomen. The margins of the spleen are mildly irregular._x000D_
3.Liver size, shape and margin are normal._x000D_
4.Suspected mild peritoneal effusion.</t>
  </si>
  <si>
    <t>The AI result for this case is most compelling for: Cranial abdominal mass. Splenic mass is suspected over lymphadenopathy or pancreatic origin. Differential diagnosis includes confluence of normal structures or hemangiosarcoma, versus a hematoma or hemangioma.</t>
  </si>
  <si>
    <t>3 views of the abdomen are provided for review.  Serosal detail is adequate in all quadrants.  The stomach contains a moderate amount of mottled soft tissue material.  The small intestines are normal in size.  Gas and feces are present in the colon.  The cecum is gas-filled.  The urinary bladder is small.  The remaining abdominal organs are normal.</t>
  </si>
  <si>
    <t xml:space="preserve">
1.The colon is gas filled and has a rigid appearance._x000D_
2.There is a focal decrease in cranial abdominal serosal detail._x000D_
3.The gastric lumen contains a mild amount of soft tissue and gas opacity._x000D_
4.The gastric rugae are prominent._x000D_
5.The small intestine is of uniform population size and is diffusely of soft tissue opacity with minimal gas opacity._x000D_
6.No mechanical ileus is visualized._x000D_
7.The spleen is at the upper limits of normal to mildly enlarged but retains a smooth margin._x000D_
8.Liver size, shape and margin are normal.</t>
  </si>
  <si>
    <t xml:space="preserve">Patient Name : Becca Rosanova, Date of study: Jun 26, 2024
3 images are provided for review
There are no previous radiographs for comparison.
Liver: The liver is subjectively normal in size.
Spleen: The spleen is normal in size with smooth margins and homogeneous soft tissue.
Kidneys: The kidneys are obscured without obvious enlargement or mineral.
Retroperitoneum: Retroperitoneal detail is adequate.
Urogenital: The urinary bladder is obscured without obvious enlargement or mineral.  
Peritoneum: Peritoneal detail is adequate.
Gastrointestinal tract: The stomach contains a moderate gas and mild soft tissue material.  Gastric rugal folds are minimally prominent in the ventrodorsal image.  Gas is suspected in the pylorus in the left lateral image.  The stomach is normal in size.
The small intestine contains minimal  heterogeneous soft tissue and mild gas with a subjectively uniform population for size. 
The colon contains mild heterogeneous soft tissue material and gas or is empty.  
Musculoskeletal: The included musculoskeletal structures are normal.
</t>
  </si>
  <si>
    <t xml:space="preserve">1. Non-specific gastrointestinal tract changes such as from gastritis, enteritis, colitis, or individual variation or normal.
- There is no evidence of small intestinal mechanical ileus.
- Non-specific enterocolitis may be due to dietary indiscretion toxin ingestion, primary infectious disease/parasitism, inflammatory bowel disease, diet/antibiotic responsive disease, or unlikely other.  
2. Mild gastric material from recent meal/delayed gastric emptying or unlikely other given lack of reported vomiting.
</t>
  </si>
  <si>
    <t xml:space="preserve"> Empirical therapy and supportive care in the interim as needed.  Consider GI panel, fecal analysis/deworming for further evaluation, especially if signs fail to improve, change or worsen in the face of empirical therapy.  Monitoring as directed, or sooner if clinical signs fail to improve or worsen.</t>
  </si>
  <si>
    <t>Study:_x000D_
Abdominal radiography: three images dated June 26, 2024_x000D_
_x000D_
Findings:_x000D_
The stomach contains a moderate amount of unstructured heterogeneous/granular soft tissue material. The pylorus is appropriately gas-filled on the left lateral image. The small intestines are normal in size, course and content. The colon contains gas and a small amount formed fecal material. The liver extends mildly beyond the costal arch with smooth margins. The spleen is normal in size and margin. Multiple indistinct punctate mineral foci are present in the left kidney. The kidneys are normal in size and contour. The urinary bladder is normal in size and opacity. There is no prostatomegaly. The included thorax is normal. The osseous structures are unremarkable.</t>
  </si>
  <si>
    <t>1. Gastric contents likely represent ingesta. Foreign material cannot be completely exceeded given the reported anorexia. There is no evidence of small intestinal mechanical obstruction. Repeat fasted radiography can be considered to ensure gastric emptying. Alternatively, sonography can be considered if clinical signs persist or worsen in spite of medical management._x000D_
2. The generalized hepatomegaly is nonspecific. Rule out metabolic/vacuolar hepatopathy, hyperplasia, hepatitis or infiltrative neoplasia. Correlate with any liver enzyme abnormalities. Sonography can be considered for further evaluation._x000D_
3. Left nephrolithiasis and/or nephrocalcinosis.</t>
  </si>
  <si>
    <t xml:space="preserve">
1.The spleen is normal in size and margin._x000D_
2.Abdominal detail is normal._x000D_
3.The liver extends moderately beyond the costal arch with a smooth margin._x000D_
4.The stomach contains a small volume of gas and is displaced caudally by the hepatomegaly._x000D_
5.The small intestines are normal in size, course and content._x000D_
6.The colon contains partially formed fecal material.</t>
  </si>
  <si>
    <t>Three radiographs of the abdomen are provided. There is no peritoneal or retroperitoneal effusion. Small volume soft tissue opaque ingesta in the stomach. Small bowel are minimally distended. Moderate volume of formed feces in the colon. Thin metal opaque wire 1.3 cm object in the cranioventral peritoneal space is incidental chronic migrated gastrointestinal foreign material. No other foreign material is appreciated. There is no radiopaque urolithiasis. No lumbar spinal abnormalities.</t>
  </si>
  <si>
    <t>Normal abdomen. A reason for discomfort is not identified.</t>
  </si>
  <si>
    <t>If abdominal discomfort persists, fasted ultrasound should be considered.</t>
  </si>
  <si>
    <t>Opposite lateral and VD views of the thorax and abdomen are provided. There are five images total._x000D_
_x000D_
The liver is markedly enlarged, with lobular margination. A thin metal opacity compatible with a segment of fine wire is identified superimposed over the liver just cranial to the stomach at the 10th intercostal space in the right lateral view. This cannot be localized in the VD view. The other abdominal organs are within normal size and shape limits. Abdominal serosal detail is normal._x000D_
_x000D_
The cardiovascular structures are within normal limits. There is mild to moderate mineralization involving airways and vessels in the lungs. No tracheal or laryngeal abnormalities are identified.</t>
  </si>
  <si>
    <t>There is significant hepatomegaly with irregular liver shape that is concerning for a liver mass. This can sometimes be seen secondary to vacuolar hepatopathy but neoplasia should still be ruled out. A segment of fine wire is visible in the cranial abdomen, which is most likely an incidental finding of limited significance. The rest of the abdomen is within normal limits._x000D_
_x000D_
No cardiovascular abnormalities are identified. The pulmonary mineralization is a finding that is often secondary to age related change, but hyperadrenocorticism can also be associated with pulmonary mineralization that could potentially be symptomatic. No other findings that would explain increased breathing effort are identified.</t>
  </si>
  <si>
    <t>Sampling of the abnormal appearing liver to rule neoplasia is recommended.</t>
  </si>
  <si>
    <t xml:space="preserve">
1.Splenic size is at the upper limits of normal to mildly enlarged. The splenic margin is smooth and no mass is identified in the region of the spleen._x000D_
2.Mild hepatomegaly._x000D_
3.The stomach contains ingesta and the small bowel is mildly gas- and fluid-filled._x000D_
4.Abdominal detail is normal to slightly reduced.</t>
  </si>
  <si>
    <t>A three view study of the abdomen is provided for interpretation._x000D_
_x000D_
No foreign bodies are identified in the GI tract. No dilation of the stomach or intestine is seen. Serosal detail in the abdomen is normal. The organs are within normal size and shape limits._x000D_
The disc spaces in the caudal thoracic spine from T10 to T13 and the disc spaces in the mid lumbar spine from L3 to L6 are moderately narrowed.</t>
  </si>
  <si>
    <t>No abdominal abnormalities are identified. There are no visible foreign bodies or obstructive pattern. Pancreatitis and gastroenteritis are primary differentials._x000D_
_x000D_
There are narrow disc spaces in the caudal thoracic and mid lumbar spine suggestive of disc degeneration.</t>
  </si>
  <si>
    <t>Six orthogonal radiographs of the abdomen dated 25th June 2024 are available for review. These are compared with previous radiographs dated 9th February 2024_x000D_
_x000D_
Intra-abdominal findings: Within the urinary bladder is still dependent irregular, smoothly marginated mineral material. The surrounding serosal detail is normal. The hepatic silhouette is normal in size with smooth borders. The spleen is normal in shape, size and position. The kidneys are partially obscured by gastrointestinal contents, but the visible aspect are normal. The stomach contains food material, with a normal axis. The small intestines are distributed evenly and are within normal limits for shape, size and contents. The ascending, transverse and descending colon have a normal position and contain gradually more formed faeces. _x000D_
_x000D_
Extra-abdominal findings: No significant abnormalities are detected._x000D_
_x000D_
Included thorax: Not included</t>
  </si>
  <si>
    <t>1. Continued cystolithiasis. The mineral opacities are small. In comparison with previous radiographs, they are slightly more organised and mildly enlarged.</t>
  </si>
  <si>
    <t>Continued or increased medical management is advised. Continued radiographic monitoring is advised.</t>
  </si>
  <si>
    <t xml:space="preserve">
1.On the lateral projection, the liver is mildly enlarged._x000D_
2.On the VD projection, a mild decrease in cranial abdominal detail is present. This is suspected to be secondary to caudal extension of the liver._x000D_
3.Splenic size, shape and margin are normal._x000D_
4.As mentioned above, cranial abdominal detail is mildly decreased. A global reduction in abdominal detail is NOT present._x000D_
5.No gastrointestinal abnormalities._x000D_
6.The ventral abdominal line is mildly pendulous.</t>
  </si>
  <si>
    <t>Three lateral, and one ventral dorsal radiograph of the abdomen are provided. There is no peritoneal or retroperitoneal effusion. Moderate volume formed feces fills the colon. Small volume gas and scant amorphous soft tissue density in the stomach. Small bowel are minimally distended. Normal-sized liver and kidneys. The spleen is not definitively seen. No radiopaque cystic calculi.</t>
  </si>
  <si>
    <t>Equivocal scant amorphous soft tissue density in the stomach is concerning for foreign material causing gastritis and pyloric outflow obstruction. Small volume residual ingesta or fluid/mucus could also cause this appearance. No other abdominal abnormalities.</t>
  </si>
  <si>
    <t>Recommend supportive care. If the patient does not improve, a positive contrast gastrogram should be considered to rule out gastric foreign material. If vomiting is severe or there is hematemesis, proceeding to gastroscopy would be appropriate.</t>
  </si>
  <si>
    <t xml:space="preserve">
1.There is gas and some fecal material within the colon._x000D_
2.The small intestine is both fluid and gas filled and mildly distended, but no obstructive lesion is identified._x000D_
3.The stomach is minimally distended with minimal heterogeneous material._x000D_
4.The liver and spleen are normal in size._x000D_
5.No abnormal AI findings reported._x000D_
6.No abnormal AI findings reported.</t>
  </si>
  <si>
    <t>Study:_x000D_
Thoracolumbar/lumbosacral radiography: two images (orthogonal views) dated June 26, 2024_x000D_
_x000D_
Findings:_x000D_
The patient has multiple, breed associated, congenitally anomalous thoracic and caudal vertebrae. The T 11-T 12 intervertebral disc space appears narrowed on the lateral projection in comparison to the adjacent to spaces. The L5-L6 through L7-S1 intervertebral disc spaces appear faintly mineralized. There is mild L7-S1 spondylosis deformans. On the left lateral view, there is a large ovoid incompletely imaged soft tissue opaque mass in the mid-ventral abdomen. This mass is localized to the right mid abdomen on the orthogonal view. The included thorax is unremarkable.</t>
  </si>
  <si>
    <t>1. Mid abdominal mass. A splenic mass is prioritized. Rule out neoplasia, hyperplasia or hematoma. Abdominal sonography and a three view thoracic met check is recommended._x000D_
2. Suspect T 11-T 12 intervertebral disc disease and L5-L6 through L7-S1 in situ degenerative disc disease. Neurology consultation and MRI can be considered for further evaluation if the reported lumbar pain persists or worsens in spite of activity restriction and pain management.</t>
  </si>
  <si>
    <t xml:space="preserve">
1.The spleen is enlarged with potential for a splenic mass._x000D_
2.Abdominal detail is diffusely decreased and the abdomen is pendulous._x000D_
3.Moderate volume gas fills the stomach._x000D_
4.Small intestines are mildly fluid-filled._x000D_
5.Segments of the colon have a rigid appearance._x000D_
6.The liver is moderately enlarged with potential for a hepatic mass.</t>
  </si>
  <si>
    <t xml:space="preserve">Patient Name : Rachel Hefner, Date of study: Jun 26, 2024
5 images are provided for review
There are no previous radiographs for comparison.  The ventrodorsal image is mis labeled with a R on the left-sided of the patient given the position of the spleen.
Pulmonary parenchyma: An interstitial to alveolar pattern is in the ventral aspect of the right middle lung lobe.  A minimal to mild diffuse bronchial pattern is present.  The lungs are hyperinflated with a flattened diaphragm and increased distance between the cardiac silhouette and diaphragm.  Soft tissue margin over the left caudal lung in the ventrodorsal image is most likely artifactual and not corroborated in the orthogonal images.
Pulmonary vasculature: The pulmonary vasculature is subjectively normal in size and tapers in the periphery of the lungs.
Cardiac silhouette: The cardiac silhouette is normal in size and shape.
Mediastinum: A rightward mediastinal shift is present in the ventrodorsal image.  The cranial mediastinum is normal.
Trachea: The trachea is normal.
Esophagus: The esophagus is not well-identified.
Pleural space: The pleural space is normal.
Musculoskeletal: The T13 is transitional with absent ribs bilaterally.  There are eight vertebrae without ribs. Bilateral mineral in the cranial aspect of the stifle joints are presumed benign meniscal ossicles.   The patient is obese.   The remaining included musculoskeletal structures are normal.
</t>
  </si>
  <si>
    <t>1. Right middle lung lobe interstitial to alveolar pulmonary pattern and rightward mediastinal shift..
- Differential diagnoses include persistent bronchopneumonia/aspiration pneumonia, versus atelectasis/bronchial plugging, or unlikely other.
- Differential diagnoses include bronchopneumonia/aspiration pneumonia, hemorrhage or unlikely other.
2. Minimal to mild diffuse bronchial pulmonary pattern such as from infectious/immune-mediated lower airway disease (feline asthma and/or mycoplasma spp., bordetella spp., parasitism such as lung worms, or less likely other) and/or inhaled allergen/irritant, or unlikely other.
3. Obesity.</t>
  </si>
  <si>
    <t>Consider therapy for possible bronchopneumonia and lower airway disease/asthma in the interim as needed.  Consider respiratory PCR panel, airway sampling, and fecal analysis/deworming for further evaluation.  Computed tomography of the thorax may be contributory, especially if these findings persist or worsen in the face of empirical therapy.  Monitoring with serial thoracic radiographs as directed or sooner if clinical signs acutely change, fail to improve or worsen.</t>
  </si>
  <si>
    <t xml:space="preserve">
1.The gastric rugae are prominent or the stomach contains soft tissue opaque material that has the appearance of prominent gastric rugae._x000D_
2.Several bowel loops through the mid-abdomen are distended with gas- and/or fluid. These distended loops also have a rigid appearance._x000D_
3.On the lateral projection, there is increased soft tissue opacity and a mild decrease in abdominal detail in the splenic region._x000D_
4.Hepatomegaly. Differential diagnoses include individual variation of normal, artifact and/or vacuolar hepatopathy (such as from hyperadrenocorticism or diabetes mellitus), nodular hyperplasia, hepatitis/cholangiohepatitis, or evolving neoplasia (metastatic versus primary)._x000D_
5.The ventral abdominal line is pendulous.</t>
  </si>
  <si>
    <t>Opposite lateral and VD views of the thorax and abdomen are provided._x000D_
_x000D_
There are a few small irregularly shaped opacities in the stomach that could represent a small quantity of foreign material. This is most prominent in the right lateral view. Rugal folds in the stomach are prominent. The stomach is not dilated or malpositioned._x000D_
There are several loops of intestine in the mid abdomen that appear thickened and corrugated. None appear pathologically distended. There is a fragmented gas pattern throughout the intestinal tract. The liver is at the upper end of normal range to slightly enlarged, with normal shape and smooth margins. The other abdominal organs are within normal size and shape limits._x000D_
_x000D_
The cardiopulmonary structures are within normal limits. No esophageal abnormalities are identified.</t>
  </si>
  <si>
    <t>The appearance of the GI tract is generally consistent with gastroenteritis._x000D_
There are a few unusual small shapes in the stomach, which could represent a small quantity of foreign material. However, food products could also appear similar._x000D_
Liver size is borderline. This is likely incidental._x000D_
_x000D_
No thoracic abnormalities are identified.</t>
  </si>
  <si>
    <t>Supportive care and symptomatic therapy for gastroenteritis/pancreatitis is recommended. Infectious causes and parasitism should be ruled out.</t>
  </si>
  <si>
    <t xml:space="preserve">
Virtual Radiologist Case Difficulty: MODERATE_x000D_
Virtual Radiologist Confidence: MODERATE_x000D_
As clinically warranted, empirical therapy for colitis, differential large vs. small bowel disease and rule out underlying causes.</t>
  </si>
  <si>
    <t>6 images of the thorax and abdomen dated 6/24, 6/25, and 6/26/2024 are presented for review.  The cardiovascular and pulmonary structures are normal.  The esophagus is gas dilated on all series.  The pleural and mediastinal structures are normal.  Abdominal serosal detail is adequate in all quadrants.  The stomach contains a small amount of ingesta initially that is resolved on later images.  The small intestines are normal in size.  Gas and feces are present in the colon.  The urinary bladder is moderately distended.  The remaining abdominal organs are normal.</t>
  </si>
  <si>
    <t>Radiographically normal abdomen.  Persistent esophageal dilation suggests esophagitis or motility disorder (megaesophagus).</t>
  </si>
  <si>
    <t>An esophagram could be considered to evaluate motility.</t>
  </si>
  <si>
    <t xml:space="preserve">
1.No abnormal AI findings reported._x000D_
2.Small intestines and the colon are minimally filled._x000D_
3.The stomach contains a small to moderate amount of amorphous soft tissue density._x000D_
4.There is no effusion._x000D_
5.The liver and spleen are normal.</t>
  </si>
  <si>
    <t xml:space="preserve">Patient Name : Nikka Mendez, Date of study: Jun 26, 2024
6 images are provided for review
There are no previous radiographs for comparison.
Liver: The liver is subjectively normal in size.
Spleen: The spleen is mildly enlarged and extends into the mid- to caudal and ventral abdomen in the lateral image.  The spleen is suspected to be delineated from the mid- and caudal abdominal organomegaly.  
Kidneys: The kidneys are normal in size and shape without obvious mineral.
Retroperitoneum: Retroperitoneal detail is adequate.
Urogenital: The urinary bladder is normal in size, homogeneous soft tissue, and smoothly marginated.
Peritoneum:  In the mid and caudal abdomen are large round, ovoid or tubular soft tissue structures.  These dominate the caudal and ventral abdomen.  These soft tissue structures are in the left abdomen and right caudal abdomen in the ventrodorsal image. Only in the ventrodorsal image, possible fluid opaque striations are over the left caudal abdomen and splenomegaly.
Gastrointestinal tract: The stomach contains a moderate volume of gas and fluid.  The stomach is normal in size. 
The small intestine contains fluid or is empty with a subjectively uniform population for size. 
The colon contains minimal soft tissue material and gas.
Musculoskeletal: T13-L1 spondylosis deformans is present.   Bilateral coxofemoral joint osteoarthrosis is present.  The remaining included musculoskeletal structures are normal.
</t>
  </si>
  <si>
    <t xml:space="preserve">1. Severe soft tissue enlargement and possible mass in the caudal/ventral abdomen is most suspicious for uterine enlargement, such as from evolving pyometra or less likely evolving neoplasia, or a combination of these.
2. Possible peritoneal fluid due to malignant effusion, hemorrhagic effusion, or unlikely other.  </t>
  </si>
  <si>
    <t>Consider abdominal ultrasonography or computed tomography for further evaluation of uterine enlargement/pyometra versus uterine or unlikely other abdominal mass.    Consider thoracic imaging if not recently performed.  Celiotomy for ovariohysterectomy versus mass excisional/incisional biopsy depending on results of additional imaging.  Alternatively, exploratory celiotomy and OVH if pyometra is confirmed. Empirical therapy and supportive care in the interim as needed.  Monitoring with as directed or sooner if clinical signs acutely change, fail to improve or worsen.</t>
  </si>
  <si>
    <t>3 views of the entire body are provided for review.  The trachea is dorsally deviated, indicating left ventricular enlargement.  A bulge is present in the region of the left atrium.  The cardiac silhouette is also widened with rounding of the right ventricular margin.  No pulmonary infiltrates are seen.  The pulmonary vasculature is normal in size.  The mediastinal and pleural structures are normal.  Abdominal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small.  The remaining abdominal organs are normal.</t>
  </si>
  <si>
    <t>Mild hepatomegaly=ZZ90= this is a nonspecific finding that may be seen with congestion, vacuolar hepatopathy, inflammation, neoplasia, etc.  Abdominal ultrasound may be helpful in further evaluation if biochemically indicated.  Generalized cardiomegaly without current evidence of cardiogenic pulmonary edema.  Echocardiography may be helpful in further evaluation.</t>
  </si>
  <si>
    <t>4 images of the thorax are provided for review.  There is straightening of the caudal cardiac waist in the region of the left atrium.  No pulmonary infiltrates are seen.  The pulmonary vasculature is normal in size.  The mediastinal and pleural structures are normal.  Cranial abdominal detail is adequate.</t>
  </si>
  <si>
    <t>Mild left atrial enlargement without current evidence of cardiogenic pulmonary edema.</t>
  </si>
  <si>
    <t>Eight radiographs are provided, with images of the thorax, abdomen, and stifles. Cardiac silhouette and pulmonary vessels size and shape. The lungs are clear. There is no pleural effusion. Normal proximal thoracic limbs and thoracic spine._x000D_
_x000D_
In the abdomen there is abundant peritoneal fat. Normal-sized liver, spleen, and kidneys. Moderate volume soft tissue opaque ingesta in the stomach. Small bowel are minimally filled. Formed feces in the distal colon. The cecum is gas dilated. No radiopaque cystic calculi. Small round soft tissue densities ventral to L6 are end-on deep circumflex iliac vessel. No osseous lysis or periosteal proliferation. Normal lumbar spine. The coxofemoral joints are congruent.</t>
  </si>
  <si>
    <t>Normal thorax, abdomen, stifles. A reason for discomfort is not identified. Soft tissue sprain/strain is most likely. A lateralized, non-mineralized intervertebral disc lesion is also possible.</t>
  </si>
  <si>
    <t>Recommend continue supportive care with anti-inflammatories. If lameness persists, advanced soft tissue imaging with MRI may be necessary.</t>
  </si>
  <si>
    <t>Study:_x000D_
Thoracic/abdominal radiography: orthogonal views (two images) dated June 26, 2024_x000D_
_x000D_
Findings:_x000D_
On the VD view, there is a prominent soft tissue opaque bulge in the region of the main pulmonary artery. The cardiac silhouette is overall normal in size (VHS approximately 10.25). The lobar vasculature is normal in size. The pulmonary parenchyma is unremarkable. The pleural space is normal. There is no intrathoracic lymphadenopathy. There is mild narrowing of the trachea lumen at the thoracic inlet. The abdominal serosal detail is adequate. The stomach contains a small volume of gas. The small intestines are normal in size, course and content. The colon contains formed fecal material. The liver and spleen are normal in size and margin. The kidneys are normal in size and contour. Multiple punctate mineral foci are present in the kidneys. The urinary bladder is normal in size and opacity. There is narrowing of the C5-C6 through C7-T1, L4-L5 and L5-L6 intervertebral disc spaces. On the lateral projection, the patella is superimposed with the femoral condyles bilaterally. There is mild bilateral stifle periarticular bone formation.</t>
  </si>
  <si>
    <t>1. The suspected main pulmonary arterial enlargement may be secondary to pulmonary hypertension, heartworm disease or pulmonic stenosis. Echocardiography and heartworm testing can be considered for further evaluation._x000D_
2. Chondromalacia and dynamic airway disease/tracheal collapse. Fluoroscopy can be considered for further evaluation._x000D_
3. Bilateral nephrolithiasis and/or nephrocalcinosis._x000D_
4. Multifocal cervical and lumbar intervertebral disease. Correlate with any spinal pain and/or proprioceptive deficits._x000D_
5. Bilateral (presumably medial) luxating patella and mild stifle osteoarthrosis.</t>
  </si>
  <si>
    <t xml:space="preserve">
1.No abnormal AI findings reported._x000D_
2.No abnormal AI findings reported._x000D_
3.The liver and spleen are within normal limits._x000D_
4.There is normal serosal detail.</t>
  </si>
  <si>
    <t xml:space="preserve">Patient Name : Henry Tucker, Date of study: Jun 26, 2024
2 images are provided for review
Canine Abdomen (2 Images) - 1 Lateral, 1 Vd
There are no previous radiographs for comparison.
Liver: The liver is subjectively normal in size.
Spleen: The spleen is normal in size with smooth margins and homogeneous soft tissue.
Kidneys: The right kidney is partially obscured.   The left kidney is normal.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and gas.  The stomach is within normal limits for size.
The small intestine contains fluid or is empty with a subjectively uniform population for size. 
The colon contains mild heterogeneous soft tissue material and gas. the colon is normal in size.
Musculoskeletal: The included musculoskeletal structures are normal.
</t>
  </si>
  <si>
    <t>1. Gastric material due to recent meal, delayed gastric emptying/gastritis, or occult pyloric outflow tract obstruction.
2. Non-specific small intestinal changes such as from enteritis or individual variation of normal.
- There is no current evidence of small intestinal mechanical ileus.  
- Enteritis may be due to dietary indiscretion, toxin ingestion, inflammatory bowel disease, infectious disease such as parasitism, pancreatitis, or occult systemic disease.
.</t>
  </si>
  <si>
    <t>Routine blood work and GI panel may be contributory for further evaluation if not recently performed.  Consider monitoring with repeat abdominal radiographs including a left lateral image after 8-12 hours of fasting to assess for passage of gastric material.  Empirical therapy and supportive care for gastritis/enteritis in the interim as needed.    Monitoring as directed or sooner if clinical signs acutely change, fail to improve or worsen.</t>
  </si>
  <si>
    <t xml:space="preserve">Patient Name : Skye Delos Santos, Date of study: Jun 26, 2024
2 images are provided for review
Canine Abdomen (2 Images) - 1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partially obscured without obvious enlargement or mineral.
Peritoneum: Peritoneal detail is adequate.
Gastrointestinal tract: The stomach contains a moderate volume of soft tissue material and gas.  the stomach is within normal limits for size.
The small intestine contains mild gas, fluid or is empty with a subjectively uniform population for size.   Some small intestinal segments contain mild granular mineral.  
The colon contains mild well-defined soft tissue material and gas.  Mineral is admixed with colonic contents.  
Musculoskeletal: The included musculoskeletal structures are normal.
</t>
  </si>
  <si>
    <t>1. Gastric material due to recent meal, versus gastritis/delayed gastric emptying or unlikely pyloric outflow tract obstruction given lack of vomiting in reported history.
2. Non-specific small intestinal and colon changes such as from normal variation versus enteritis such as from dietary indiscretion.
- There is no current evidence of gastrointestinal mechanical ileus.</t>
  </si>
  <si>
    <t>Consider routine blood work for further evaluation.  Monitoring with repeat radiographs for passage of gastric and intestinal material may be beneficial if clinically indicated. Consider abdominal ultrasonography for further evaluation of the liver if clinically indicated.  Empirical therapy and supportive care in the interim as needed.  Monitoring as directed or sooner if clinical signs acutely change, fail to improve or worsen.</t>
  </si>
  <si>
    <t xml:space="preserve">
1.The stomach is unremarkable._x000D_
2.The liver is normal in size with smooth serosal margins._x000D_
3.The spleen is smoothly margined and at the upper limits of normal for size to mildly enlarged on the lateral projection._x000D_
4.Serosal detail is normal._x000D_
5.The small intestines contain gas and fluid and are normal in diameter._x000D_
6.The colon is unremarkable.</t>
  </si>
  <si>
    <t>Consider repeat radiographs following strict fasting to determine if gastric contents persist.  Based on the chronicity of clinical signs, abdominal ultrasound may also be helpful in evaluation of the gastrointestinal wall layering and pancreas.</t>
  </si>
  <si>
    <t xml:space="preserve">
1.In the abdomen there is no effusion._x000D_
2.No abnormal AI findings reported._x000D_
3.No gastrointestinal abnormalities are appreciated. No signs of obstruction._x000D_
4.The liver and spleen are normal size with smooth margins.</t>
  </si>
  <si>
    <t>Study:_x000D_
Abdominal radiography: six images dated June 26, 2024_x000D_
_x000D_
Findings:_x000D_
The serosal detail is normal. The stomach contains a small volume of gas with the pylorus appropriately gas-filled on the left lateral images.. The small intestines are normal in size, course and content. The colon contains poorly formed fecal material. The liver and spleen are normal in size and margin. The kidneys are normal in size and contour. The urinary bladder is normal in size and opacity. The included thorax is normal. The osseous structures are unremarkable.</t>
  </si>
  <si>
    <t>Unremarkable abdomen. A cause of the reported vomiting and anorexia is not evident. There is no radiographic evidence of gastrointestinal foreign material or small intestinal mechanical obstruction. Abdominal sonography can be considered for further evaluation if clinical signs persist or worsen in spite of medical management.</t>
  </si>
  <si>
    <t xml:space="preserve">
1.The spleen is visible and within normal limits._x000D_
2.There is a mildly reduced cranial abdominal serosal detail._x000D_
3.The stomach has a normal axis, with subjectively thickened mucosal folding._x000D_
4.The small intestines are mildly dilated with a mixture of gas and fluid, and have a mild turgid appearance._x000D_
5.The ascending, transverse and descending colon contain gradually more formed faeces._x000D_
6.The liver is normal in shape, size and opacity.</t>
  </si>
  <si>
    <t>9 images of the thorax, abdomen, and skull/cervical region are presented for review.  The cardiovascular and pulmonary structures are normal.  The pleural and mediastinal structures are normal.  Abdominal serosal detail is adequate in all quadrants.  Liver volume is at the stomach contains a moderate amount of gas.  The small intestines are normal in size.  Gas and feces are present in the colon.  The urinary bladder is small.  The remaining abdominal organs are normal.  Open physes are present.  No fractures or aggressive osseous lesions are seen.  The nasal cavity is air filled with normal turbinates spinal alignment is normal.</t>
  </si>
  <si>
    <t>Abdomen:_x000D_
_x000D_
The stomach is empty. Later on the last lateral views contains the reported BIPS._x000D_
Small intestines are mildly gas and fluid filled, not overtly distended. No signs of mechanical ileus._x000D_
Unformed feces in the colon._x000D_
Serosal detail is preserved._x000D_
Liver and spleen are within normal limits of size and smoothly marginated._x000D_
Kidneys and urinary bladder WNL.</t>
  </si>
  <si>
    <t>1) Unformed feces in the colon. Rule out gastroenterocolitis of allergic/inflammatory/idiopathic origin vs  gastroenterocolitis secondary to dietary indiscretion/diet change vs  gastroenterocolitis of parasitic/infectious origin.</t>
  </si>
  <si>
    <t>Consider empirical treatment for gastroenterocolitis followed by abdominal US.</t>
  </si>
  <si>
    <t xml:space="preserve">
1.The liver is normal in size and margin._x000D_
2.The stomach is mildly gas and fluid filled with some soft tissue density material. The small bowel is gas and fluid-containing. No obvious obstruction._x000D_
3.Splenic size, shape and margin are normal._x000D_
4.Abdominal detail is normal.</t>
  </si>
  <si>
    <t>Orthogonal radiographs of the thorax, and three views of the abdomen are provided. There is equivocal prominence of the left atrium. Cardiac to thoracic ratio and pulmonary vessel size are normal. There are no abnormalities in the pulmonary parenchyma. The left mainstem bronchus is compressed. Redundant dorsal trachealis membrane causes severe narrowed cervical trachea on the lateral view._x000D_
_x000D_
In the abdomen there is no effusion or organomegaly. The gastrointestinal tract is minimally filled. No radiopaque cystic calculi. The L1-2 intervertebral disc space is mildly narrowed.</t>
  </si>
  <si>
    <t>1. The appearance of L1-2 is suggestive of a protruding/extruded intervertebral disc. Such a lesion at this site may be responsible for the discomfort._x000D_
2. Equivocal prominent left atrium suggestive of chronic degenerative mitral valve disease. This is of doubtful clinical significance. No other intrathoracic abnormalities._x000D_
3. Cervical tracheal collapse. There is also mainstem bronchial compression. In the absence of a cough, significance is doubtful._x000D_
4. Normal abdomen.</t>
  </si>
  <si>
    <t xml:space="preserve">
1.No abnormal AI findings reported._x000D_
2.No abnormal AI findings reported._x000D_
3.The liver, spleen and peritoneal serosal detail are normal._x000D_
4.A mild to moderate quantity of soft tissue material is present in the stomach._x000D_
5.Portions of the bowel, suspected large bowel, have a rigid appearance. No segmental small bowel dilation is noted.</t>
  </si>
  <si>
    <t>Gastric material. This may be due to recent meal, foreign material, or a combination of these. Non-specific large +/- small intestinal changes concerning for colitis +/- enteritis. No small intestinal obstruction noted. This finding should be correlated to clinical signs. If no GI signs are present, this could be secondary to aerophagia or a post-prandial GI tract.</t>
  </si>
  <si>
    <t xml:space="preserve">
Virtual Radiologist Case Difficulty: MODERATE_x000D_
Virtual Radiologist Confidence: MODERATE_x000D_
If GI signs are present, empirical therapy for enterocolitis, and repeat 3-view abdominal radiographs after 8-12 hours of fasting to monitor for progression/resolution of the gastric material._x000D_
Positive or double-contrast radiography versus ultrasonography if clinical signs persist or worsen and repeat survey abdominal radiographs are inconclusive._x000D_
CBC/serum biochemistry for further evaluation.</t>
  </si>
  <si>
    <t>Opposite lateral and ventrodorsal abdominal radiographs (3 images) dated June 26, 2024._x000D_
_x000D_
_x000D_
The liver and spleen are normal in size and shape. Both kidneys are subjectively and objectively enlarged for a small breed dog, measuring approximately 7-7.3 cm in length and 3.8 times the length of the L2 vertebral body (normal 2.5-3.5). The shapes of both kidneys are normal, and retroperitoneal detail appears adequate. The urinary bladder is mildly distended with homogeneous fluid opacity. The prostate is radiographically visible as an ovoid soft-tissue opacity pelvic inlet. No abnormalities identified in the os penis and visible plane of the urethra. The stomach contains a mild volume of gas and fluid. The small intestine is mostly empty/collapsed and is unremarkable in diameter and course. The colon contains a mild volume of formed stool and has a normal course. Retroperitoneal and peritoneal detail are normal. No regional lymphadenopathy is evident._x000D_
T11 and T12 have hypoplastic and small caudal articular processes.</t>
  </si>
  <si>
    <t>1. Mild bilateral renomegaly.  Rule out AKI (toxin, pyelonephritis, etc) vs. polycystic kidney disease without capsular deformation vs. round cell neoplasia vs. amyloidosis vs. less likely an incidental variation in normal anatomy. _x000D_
2. No abnormalities are identified in the lower urinary tract. The prostate is unremarkable for an intact male dog._x000D_
3. Caudal thoracic articular process hyperplasia is a common finding in this dog breed and has variable clinical relevance, ranging from no clinical signs to a compressive =ZZ92=pug=ZZ92= myelopathy.</t>
  </si>
  <si>
    <t>Abdominal ultrasound, CBC, Chem, UA via cysto or catheterization, 4Dx. Internal medicine consultation.</t>
  </si>
  <si>
    <t>Three orthogonal radiographs of the abdomen dated 26th June 2024 are available for review. There are no previous radiographs available for comparison. _x000D_
_x000D_
Intra-abdominal findings: There is moderate gas in the stomach with a normal axis. There is appropriate gas in the pylorus on the left lateral image. The small intestines are variably filled with gas, fluid and soft tissue opaque material. There have a mildly stacked appearance. The ascending and transverse colon contain gradually more formed faeces. The urinary bladder is normal. The serosal detail is normal.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</si>
  <si>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The overall impression is one of mild gastroenteritis  This may be due to dietary indiscretion, or infectious-inflammatory causes. There is no evidence of a mineral opaque foreign body, or complete mechanical obstruction.  A partial obstruction by non-mineral opaque foreign material cannot be excluded.  Pancreatitis cannot be excluded.</t>
  </si>
  <si>
    <t xml:space="preserve">
1.Liver size is normal to upper limits of normal. Liver margin is normal._x000D_
2.Cranial abdominal detail is decreased._x000D_
3.No dilation of the small intestine is seen._x000D_
4.The gastric rugae are prominent._x000D_
5.Splenic size, shape and margin are normal.</t>
  </si>
  <si>
    <t>Three radiographs of the thorax, and two views of the abdomen are provided. Images dated 4/15/24 are available for comparison. The cardiac silhouette and pulmonary vessels are normal size and shape. There are mild age-related changes in the lungs. No focal areas of increased opacity to suggest pneumonia. No pleural effusion. Normal tracheal diameter and cranial mediastinal width._x000D_
_x000D_
In the abdomen there is no effusion. The uterus is not definitively seen. Small volume gas and scant amorphous soft tissue density in the stomach. Small bowel are mildly filled with gas. There is moderate volume formed feces in the colon. No radiopaque foreign material. Normal-sized liver, spleen, kidneys. No radiopaque cystic calculi. Osseous structures are unremarkable.</t>
  </si>
  <si>
    <t>Normal thorax and abdomen. Scant soft tissue density in the stomach is most likely residual ingesta. Foreign material causing gastritis and intermittent pyloric outflow obstruction is not definitively ruled out but given lesser consideration.</t>
  </si>
  <si>
    <t>To further workup the vomiting, options include either a positive contrast gastrogram, or strictly fasted abdominal ultrasound.</t>
  </si>
  <si>
    <t>3 images of the abdomen are presented for review.  Serosal detail is adequate in all quadrants.  The stomach contains a moderate amount of gas and fluid.  The small intestines are normal in size.  Gas and feces are present in the colon.  The urinary bladder is small.  The remaining abdominal organs are normal.</t>
  </si>
  <si>
    <t>Moderate gastric distention.  Consider ileus versus outflow obstruction.</t>
  </si>
  <si>
    <t>A left lateral view may be helpful in evaluation of the pyloric region and duodenum.  Abdominal ultrasound could also be considered in evaluation of the pylorus and pancreas.</t>
  </si>
  <si>
    <t>4 images of the thorax and abdomen are provided for review.  The trachea is dorsally deviated, indicating left ventricular enlargement.  A bulge is present in the region of the left atrium.  Interstitial to alveolar opacity is present in the caudal lung lobes near the hilus.  The mediastinal and pleural structures are normal.  Two views of the abdomen are provided for review.  Serosal detail is adequate in all quadrants.  The liver margins are rounded and extend beyond the costal arch, causing caudal displacement of the gastric axis.  The stomach contains a small amount of gas.  The small intestines are normal in size.  Gas and feces are present in the colon.  The urinary bladder is small.  A distinct uterus is not identified.  The remaining abdominal organs are normal.</t>
  </si>
  <si>
    <t>Hepatomegaly=ZZ90= this is a nonspecific finding that may be seen with congestion, vacuolar hepatopathy, inflammation, neoplasia, etc. Distinct uterine enlargement is not visible.  Abdominal ultrasound may be helpful in further evaluation.  Left-sided cardiomegaly.  Interstitial to alveolar pulmonary pattern consistent with cardiogenic pulmonary edema.  Consider repeat radiographs following diuretic therapy.  BNP and echocardiography may be helpful in further evaluation.</t>
  </si>
  <si>
    <t xml:space="preserve">
1.Resource: https://platform.v2.vetology.net/doc/cushings_1_x000D_
2.Abdominal detail is decreased and there is a mild mass effect in the cranial abdominal region._x000D_
3.Resource: https://platform.v2.vetology.net/doc/pancreatitis_x000D_
4.The stomach contains soft tissue density material. No segmental small bowel dilation is noted._x000D_
5.On the lateral projection, the liver is enlarged with rounded margins. The ventral abdominal line is pendulous._x000D_
6.No abnormal AI findings reported.</t>
  </si>
  <si>
    <t>Hepatomegaly with pendulous abdomen.  This is a radiographic nonspecific finding, and has endocrine (diabetes, Cushings),
infectious-inflammatory (hepatitis), hemodynamic (right heart failure), and infiltrative neoplastic (i.e. lymphoma) as potential etiologies. Increased soft tissue, decreased detail and mild mass effect in the mid-abdomen. If the decreased detail is more focal to the cranial abdomen this may be related to pancreatitis, caudal extension of the liver, splenic nodule, or in a small subset of cases a prominent fluid distended pylorus on the lateral projection. If the decreased detail is diffuse, consider severe pancreatitis, right heart failure or abdominal fluid secondary to hemorrhage or neoplastic effusion.</t>
  </si>
  <si>
    <t xml:space="preserve">
Virtual Radiologist Case Difficulty: MODERATE_x000D_
Virtual Radiologist Confidence: MODERATE_x000D_
Correlation of above findings and below radiographs with blood work, pancreatic testing and abdominal ultrasound are recommended.</t>
  </si>
  <si>
    <t>A three view study of the thorax is provided for interpretation._x000D_
_x000D_
A mild alveolar pattern is identified involving the cranial subsegment of the left cranial lung lobe. The other lung fields have a mild to moderate bronchial pattern. The cardiovascular structures are within normal limits. No tracheal or esophageal abnormalities are identified._x000D_
_x000D_
There is a small quantity of granular mineral density in the stomach. The liver is at the small end of normal size range._x000D_
_x000D_
Multiple congenital vertebral deformities and moderate caudal thoracic kyphosis and spondylosis are present.</t>
  </si>
  <si>
    <t>Mild alveolar pattern involving the left cranial lung field, likely representative of early aspiration pneumonia._x000D_
_x000D_
The more diffuse bronchial pattern is probably a breed associated incidental bronchial pattern, although more diffuse bronchitis still cannot be excluded.</t>
  </si>
  <si>
    <t>Antibiotic therapy for aspiration pneumonia is recommended._x000D_
_x000D_
A recheck a three view radiographic study of the thorax is recommended in 10 to 14 days, or sooner if clinical signs are not improving.</t>
  </si>
  <si>
    <t>4 images of the thorax are provided for review.  The trachea is dorsally deviated, indicating left ventricular enlargement.  A bulge is present in the region of the left atrium.  No pulmonary infiltrates are seen.  The pulmonary vasculature is normal in size.  The mediastinal and pleural structures are normal.  Cranial abdominal detail is adequate.  The liver margin is rounded and extends beyond the costal arch.</t>
  </si>
  <si>
    <t>Left-sided cardiomegaly without current evidence of cardiogenic pulmonary edema.  Echocardiography may be helpful in further evaluation.  Hepatomegaly=ZZ90= this is a nonspecific finding that may be seen with congestion, vacuolar hepatopathy, inflammation, neoplasia, etc.  Abdominal ultrasound may be helpful in further evaluation if biochemically indicated.</t>
  </si>
  <si>
    <t>Study:_x000D_
Orthogonal views of the caudal thoracic/lumbosacral spine and pelvis (including the abdomen) dated June 25, 2024_x000D_
_x000D_
Findings:_x000D_
The imaged spine is unremarkable. There is no intervertebral disc space or foraminal narrowing. There is adequate coverage of the femoral head by the acetal bilaterally. The right femoral head and neck are mildly modeled/thickened in comparison to the contralateral limb. The pelvic limb musculature is bilaterally symmetric. The stomach and small intestines contain unstructured heterogeneous/granular soft tissue material presumed to be ingesta. The small intestines are normal in size and course. The colon contains formed fecal material. The liver and spleen are normal in size and margin. The renal silhouettes are normal in size and contour. The urinary bladder is normal in size and opacity. There is a lipomatous mass in the subcutaneous tissues of the left caudal thorax.</t>
  </si>
  <si>
    <t>1. Mild right coxofemoral osteoarthrosis._x000D_
2. The imaged spine is unremarkable. The lack of any apparent intervertebral disc space narrowing does not exclude the possibility of intervertebral disc disease.</t>
  </si>
  <si>
    <t>Advanced cross-sectional imaging of the spine can be considered to further evaluate for a cause of the lumbosacral pain if clinical signs persist or worsen in spite of activity restriction and pain management.</t>
  </si>
  <si>
    <t>Abdomen: There is no evidence of a gastrointestinal foreign body or obstruction.  The gastrointestinal tract is unremarkable.  The liver is considered on the lower limits of normal for size.  The spleen is unremarkable.  There are no abnormalities involving the visible portions of the urinary tract.  Serosal detail is normal.  On the visible portions of the thorax there is a mild to moderate amount of gas within the esophagus.</t>
  </si>
  <si>
    <t>Mild microhepatica most likely variation of normal.  Alternatively other pathology such as a portosystemic shunt or fibrosis/cirrhosis cannot be ruled out._x000D_
_x000D_
Gas-filled esophagus which may represent aerophagia or esophagitis.</t>
  </si>
  <si>
    <t>Patient Name: Koda Fajardo, Date of study: Jun 25, 2024
Abdomen: 4 images are provided for review (2 lateral, 2 VD). 
There are no previous radiographs for comparison.
Findings:
Gastrointestinal tract: There is a soft tissue opaque, ovoid structure in the stomach. This structure is best seen on the right lateral view where it is outlined by gas. The small intestine is diffusely within normal limits of diameter. The duodenum is well-visualized on the ventrodorsal view and is normal in size. The cecum and colon are normal in size and contain loosely formed feces and gas.
Liver: The liver is normal in size and margination.
Spleen: The spleen is normal in size, shape, and margination.
Urinary: The kidneys are normal in size and margination. The urinary bladder is mildly distended and normal in opacity.
Peritoneal space: There is adequate serosal detail.
Musculoskeletal: The skeletal and superficial soft tissue structures of the study are within normal limits.
Caudal thorax: The structures and the caudal thorax are within normal limits.</t>
  </si>
  <si>
    <t xml:space="preserve">1. Soft tissue opaque gastric foreign body. Concurrent gastroenteritis, colitis, and pancreatitis cannot be excluded. 
2. There is no evidence of small intestinal mechanical ileus.
</t>
  </si>
  <si>
    <t xml:space="preserve">Gastroscopy or gastrotomy are recommended to remove the gastric foreign body. Medical management and supportive care are recommended in the interim. </t>
  </si>
  <si>
    <t xml:space="preserve">
1.Abdominal detail is normal._x000D_
2.View GI resource: https://platform.v2.vetology.net/doc/GI_x000D_
3.The liver and spleen are normal for size._x000D_
4.No abnormal AI findings reported._x000D_
5.The stomach is mildly gas and fluid dilated._x000D_
6.There is gas and mild fluid dilation noted within the descending duodenum._x000D_
7.The small bowel contains gas and fluid but is largely normal in diameter throughout._x000D_
8.There is also gas and fluid distention of the cecum and the entire length of the colon.</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</si>
  <si>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moderately distended.  The remaining abdominal organs are normal.</t>
  </si>
  <si>
    <t>Three radiographs of the thorax and three views of the abdomen are provided. The cardiac silhouette is normal size and shape. There are faint bronchial markings and several pulmonary osteomas consistent with age. No soft tissue pulmonary nodules or pleural effusion. Normal tracheal diameter. Curved distal lateral aspect of the right ribs on the VD projection is a normal variant in this breed, and is increased in conspicuity due to rotation._x000D_
_x000D_
In the abdomen there is moderate volume formed feces in the colon. The stomach and small bowel are minimally filled. The cecum is gas filled. No radiopaque foreign material. Normal-sized liver, spleen, and kidneys. No radiopaque urolithiasis.</t>
  </si>
  <si>
    <t>Normal thorax and abdomen. A reason for weight loss is not identified.</t>
  </si>
  <si>
    <t xml:space="preserve">
1.Splenic size, shape and margin are normal._x000D_
2.Liver size, shape and margin are normal._x000D_
3.Abdominal detail is normal._x000D_
4.The stomach is mildly gas-filled._x000D_
5.The small bowel is gas- and fluid-filled with normal intestinal diameter._x000D_
6.The gastric wall is prominent but is uniform along the entire margin.</t>
  </si>
  <si>
    <t>Six radiographs of the abdomen are provided. A large portion of the thorax is included on two projections. The cardiac silhouette is lower normal size. No abnormalities in the pulmonary parenchyma or pleural space. Curved 1.1 cm soft tissue density overlying the lateral aspect of the right 5th intercostal space is superimposed nipple (left laterality marker located on the right side of the patient). Scant fluid in the caudal esophagus is transient and incidental. In the abdomen there is no peritoneal or retroperitoneal effusion. There is a moderate amount of soft tissue opaque ovoid gas-stippled contours within the stomach. These measure up to 2.1 cm. On the left lateral and 1st VD view, there is a suspect curved 3.4 cm soft tissue opacity within the stomach. This is not definitively seen on the right lateral views. Small bowel are minimally filled. Gas and formed feces in the colon. Normal-sized liver, spleen, left kidney. The right kidney is obscured. No radiopaque cystic calculi. The uterus is not definitively seen. Narrowed L1-2 intervertebral disc space, of doubtful significance today. The coxofemoral joints are congruent.</t>
  </si>
  <si>
    <t>1. Gastric contents appears to be normal ingesta. There is a single suspect contour which may be an avocado pit, and is of a size that is likely to large to pass successfully. This contour could be artifact caused by summating kibble. The abdomen is otherwise normal._x000D_
2. Normal thorax.</t>
  </si>
  <si>
    <t>If it is certain that the patient ingested the entire avocado, consider inducing emesis in an effort to retrieve the pit. Since these images were obtained approximately 20.5 hours earlier, recommend repeat abdominal radiographs to determine if the suspect contour remains within the stomach, or if it is located within the intestine.</t>
  </si>
  <si>
    <t>Four radiographs of the thorax/abdomen are provided. There is mild left atrial and ventricular enlargement. Pulmonary vessels are normal size. Perihilar vessels are adequately visible. The mainstem bronchi are deviated dorsally and compressed. No abnormalities in the pulmonary parenchyma or pleural space. Redundant dorsal trachealis membrane causes severe narrowed cervical trachea. In the abdomen the liver is mildly enlarged. Normal size spleen and kidneys. No radiopaque urolithiasis.</t>
  </si>
  <si>
    <t>1. Mild left-sided cardiomegaly consistent with acquired mitral valve disease. There is no pulmonary venous congestion or evidence of heart failure, however there is mainstem bronchial compression._x000D_
2. Cervical tracheal collapse._x000D_
3. Mild hepatomegaly, a nonspecific finding that may be venous congestion, steroid or other hepatopathy, acute inflammation, or neoplasia. This should be correlated with history and blood work. Otherwise normal abdomen.</t>
  </si>
  <si>
    <t>An echocardiogram is recommended to guide treatment and anesthetic protocol.</t>
  </si>
  <si>
    <t xml:space="preserve">
1.There is an increase in soft tissue opacity in the cranial abdomen with extension of a soft tissue opacity caudoventral to the stomach. This may represent caudal extension of an enlarged liver lobe or cranial position of the splenic tail silhouetting with the liver._x000D_
2.No abnormal AI findings reported._x000D_
3.Cranial abdominal detail is decreased. This may be secondary to a confluence of soft tissues and/or regional inflammation or abdominal fluid._x000D_
4.The gastric axis is caudally displaced making hepatomegaly most likely._x000D_
5.The small bowel is diffusely gas- and fluid-filled but without segmental small bowel dilation.</t>
  </si>
  <si>
    <t>Three orthogonal radiographs of the abdomen dated 25th June 2024 are available for review. There are no previous radiographs available for comparison. _x000D_
_x000D_
Intra-abdominal findings: There is a mild amount of gas in the stomach, with a mildly cranially positioned axis. The small intestines are homogenously filled with fluid/soft tissue opaque material and some gas. The ascending, transverse and descending colon are severely distended with gas and compacted faeces. The faeces extend within the pelvic canal to the rectum. No narrowing of the pelvic canal is present. The urinary bladder is filled. The serosal detail is normal._x000D_
_x000D_
Extra-abdominal findings: No significant abnormalities are detected._x000D_
_x000D_
Included thorax: No significant abnormalities are detected.</t>
  </si>
  <si>
    <t>Moderate to severe constipation. This may be due to new diet/inactivity, however  a peripheral neuropathy is possible.</t>
  </si>
  <si>
    <t>Empiric management of the constipation is advised. measurement is advised. consider a complete abdominal ultrasound and neurologic evaluation depending on recurrence.</t>
  </si>
  <si>
    <t>Three orthogonal thoracic radiographs dated 25th June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No significant abnormalities are detected.</t>
  </si>
  <si>
    <t>Normal thorax. An upper airway abnormality, or a phrenic nerve issue is possible.</t>
  </si>
  <si>
    <t>Observational management and an upper airway examination is advised.</t>
  </si>
  <si>
    <t xml:space="preserve">Patient Name : Bitzi Hunter, Date of study: Jun 25, 2024
3 images are provided for review
There are no previous radiographs for comparison.  N.B Patient age is listed as "15 days" but the patient is skeletally mature.  
Liver: The liver is subjectively normal in size.
Spleen: The spleen is normal in size with smooth margins and homogeneous soft tissue.
Kidneys: The left kidney is normal.  The right kidney is obscured without obvious renomegaly or mineral.  
Retroperitoneum: Retroperitoneal detail is adequate.
Urogenital: The urinary bladder is normal in size, homogeneous soft tissue, and smoothly marginated.
Peritoneum: Peritoneal detail is adequate.
Gastrointestinal tract: The stomach contains a mild to moderate gas and fluid or is empty.  Gas is in the pylorus in the left lateral image.  The stomach is within normal limits for size. 
The small intestine contains mild fluid and gas or is empty.  The small intestine is overall uniform in size.
The colon contains mild heterogeneous soft tissue material and gas. the colon is normal in size.  
Musculoskeletal: The included musculoskeletal structures are normal.
</t>
  </si>
  <si>
    <t>1. Non-specific gastrointestinal tract changes such as from enteritis, colitis, or less likely individual variation of normal given reported history.
- Differential diagnoses for enteritis/colitis include dietary indiscretion, toxin ingestion, diet/antibiotic responsive disease, inflammatory bowel disease, parasitism/primary infectious disease, pancreatitis or occult systemic disease.
- There is no current evidence of gastrointestinal mechanical ileus.</t>
  </si>
  <si>
    <t>Consider GI panel, fecal analysis/deworming, and abdominal ultrasonography for further evaluation.  Empirical therapy and supportive care in the interim as needed.  Monitoring as directed or sooner if clinical signs acutely change, fail to improve or worsen.</t>
  </si>
  <si>
    <t xml:space="preserve">
1.Small-to-moderate volume ingesta in the stomach._x000D_
2.Small intestines and colon are minimally filled without compelling evidence for obstruction._x000D_
3.Liver and spleen appear within normal limits._x000D_
4.Peritoneal detail is normal._x000D_
5.No abnormal AI findings reported.</t>
  </si>
  <si>
    <t xml:space="preserve">Patient Name : JAZZY MONTALBANO, Date of study: Jun 25, 2024
3 images are provided for review
There are no previous radiographs for comparison.
Pulmonary parenchyma: A mild diffuse bronchial and minimal to mild diffuse interstitial pattern is present.  The lungs are hypoinflated in the lateral image. 
Pulmonary vasculature: The pulmonary vasculature is subjectively normal in size and tapers in the periphery of the lungs.
Cardiac silhouette: The cardiac silhouette is tall and occupies over 2/3 the height of the thorax in the lateral image.  The caudodorsal margin of the cardiac silhouette is enlarged.    The cardiac silhouette is widened and occupies 3.5-4 intercostal spaces width.  
Mediastinum: The cranial mediastinum is normal.
Trachea: The trachea narrows and tapers towards the carina in the right lateral image.  
Esophagus: The esophagus is not well-identified.
Pleural space: The pleural space is normal.
Liver: The liver is mildly enlarged with a rounded caudoventral margin terminating at the level of the 13th ribs. The gastric axis is mildly caudally displaced.  
Spleen: The spleen is normal in size with smooth margins and homogeneous soft tissue.
Kidneys: Right-sided nephroliths as suspected in lateral and ventrodorsal images.  The renal margins are suspected to be mildly undulant, and the kidneys are normal in overall size.  
Retroperitoneum: Retroperitoneal detail is adequate.
Urogenital: The urinary bladder is normal in size, homogeneous soft tissue, and smoothly marginated.
Peritoneum: Peritoneal detail is adequate.
Gastrointestinal tract: The stomach contains a mild volume of gas and is normal in size.
The small intestine contains fluid and minimal gas, or is empty with a subjectively uniform population for size. 
The colon contains mild heterogeneous soft tissue material and gas.  The colon is normal in size.
Musculoskeletal: Lobular soft tissue nodule(s) arise from the cranioventral extra-abdominal soft tissues.  Multiple nipples are prominent.  The remaining included musculoskeletal structures are normal.
</t>
  </si>
  <si>
    <t xml:space="preserve">1. Moderate left-sided and suspected right-sided cardiomegaly such as from myxomatous mitral/tricuspid valvular disease with/without pulmonary hypertension/cor pulmonale, or unlikely other.
- No current evidence of left-sided congestive heart failure.
2. Mild diffuse bronchial and minimal-mild interstitial pulmonary patterns due to fibrosis from prior disease, age-related changes, atelectasis/hypoinflation, and/or  infectious/immune-mediated lower airway disease or unlikely other.
3. tracheal narrowing and possible dynamic airway disease versus variation from phase of the respiratory cycle.
4. Mild hepatomegaly due to vacuolar change, nodular hyperplasia, hepatitis/cholangiohepatitis, or evolving neoplasia.
5. Suspected right nephroliths and bilateral chronic renal disease.
</t>
  </si>
  <si>
    <t>Consider echocardiography, blood pressure, ECG, routine blood work and urinalysis for further evaluation. Abdominal ultrasonography for further evaluation of the liver and kidneys may be contributory.   Empirical therapy and supportive care in the interim as needed.  Monitoring as directed, or sooner if clinical signs acutely change, fail to improve or worsen.</t>
  </si>
  <si>
    <t xml:space="preserve">
1.The shape of the liver is normal, and the margins are smooth._x000D_
2.The liver is moderately enlarged._x000D_
3.No abnormal AI findings reported._x000D_
4.No abnormal AI findings reported._x000D_
5.There is a small quantity of soft tissue dense ingesta in the stomach._x000D_
6.The intestines are gas and fluid filled, without signs of dilation or obstruction.</t>
  </si>
  <si>
    <t>Seven radiographs are provided, with images of the thorax, abdomen, proximal pelvic limbs. The cardiac silhouette and pulmonary vessels are normal size and shape. The lungs are clear. There is no pleural effusion. Moderate narrowed cervical trachea, of uncertain significance today. In the abdomen the liver is upper normal size. Normal-sized spleen and kidneys. The gastrointestinal tract is minimally filled. No radiopaque cystic calculi. The coxofemoral joints are congruent. Pelvic limb musculature is symmetric. The left patella is medially displaced. There is moderate volume fluid in the cranial aspect of the left stifle joint. Equivocal scant right stifle fluid. No popliteal lymphadenomegaly.</t>
  </si>
  <si>
    <t>1. Moderate left stifle effusion most consistent with cranial cruciate ligament tear/rupture. This is the most likely cause for lameness. Concurrent medial patellar luxation on the left._x000D_
2. Suspect scant right stifle effusion suggestive of partial cranial cruciate ligament tear. In the absence of right-sided lameness, significance is doubtful._x000D_
3. Normal coxofemoral joints, abdomen, thorax.</t>
  </si>
  <si>
    <t xml:space="preserve">Patient Name : Gus Hemphill, Date of study: Jun 25, 2024
5 images are provided for review
There are no previous radiographs for comparison.
Liver: The liver is mildly enlarged with a rounded or curved caudoventral margin that extends just past the 13th ribs.  The gastric axis is mildly caudally displaced.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The stomach is within normal limits for size.  
The small intestine contains mild gas, fluid or is empty with a subjectively uniform population for size. 
The colon contains minimal soft tissue material and gas.
Musculoskeletal: The patient is obese.  The remaining included musculoskeletal structures are normal.
</t>
  </si>
  <si>
    <t>1. Mild hepatomegaly due to vacuolar change, nodular hyperplasia,evolving neoplasia or less likely hepatitis or unlikely other.
2. Non-specific gastrointestinal tract changes such as from enteritis/colitis versus individual variation of normal.
3. Obesity.</t>
  </si>
  <si>
    <t>Consider urine cortisol:creatinine ratio versus ACTH stimulation/LDDS testing for further evaluation of possible underlying endocrinopathy driving clinical signs.  Abdominal ultrasonography for further evaluation of the liver, adrenal glands and gastrointestinal tract.  Consider GI panel, fecal analysis and deworming if not recently performed.  Empirical therapy and supportive care in the interim as needed.  Monitoring with routine blood work and abdominal imaging as directed, or sooner if clinical signs acutely change, fail to improve or worsen.</t>
  </si>
  <si>
    <t>7 images of the thorax and abdomen are provided for review. The cardiovascular structures are normal. Alveolar opacity is present in the right cranial lung lobe. Increased bronchial markings are present in the remaining lung lobes. The pleural and mediastinal structures are normal. Abdominal serosal detail is adequate. The stomach contains a moderate amount of gas and the rugal folds are prominent. The small intestines are normal in size. Gas is present in the colon and cecum. The remaining abdominal organs are normal.</t>
  </si>
  <si>
    <t>Alveolar pulmonary pattern consistent with pneumonia. Airway sampling may be helpful. Prominent rugal folds suggestive of gastritis. This does not rule out underlying pancreatitis, dietary indiscretion, etc. If clinical signs persist with supportive therapy, abdominal ultrasound may be helpful in further evaluation.</t>
  </si>
  <si>
    <t xml:space="preserve">
1.Serosal detail is normal._x000D_
2.The gastric rugae are mildly prominent._x000D_
3.The small bowel contains fluid and gas and is normal in diameter._x000D_
4.A portion of the colon is gas filled and has a rigid appearance._x000D_
5.The liver is at the lower limits of normal for size to slightly small._x000D_
6.Splenic size, shape and margin are normal.</t>
  </si>
  <si>
    <t>Orthogonal views of the thorax and a right lateral thoracoabdominal view are provided._x000D_
_x000D_
There is a severe diaphragmatic hernia on the right side, displacement of most of the abdominal organs into the thoracic cavity. Intestines can be seen occupying the right hemithorax to the level of the first intercostal space. In the VD view there is a soft tissue shadow partially obscuring the left cranial lung field suggestive of a solid organ such as liver or spleen in this area. Only the kidneys and possibly a liver lobe or spleen remain in the cranial abdomen, the mid abdomen is devoid of organs except for descending colon. Serosal detail in the abdomen is normal. No pleural effusion is seen. The cardiac silhouette is partially obscured but appears to be within normal size and shape limits._x000D_
No rib fractures or soft tissue swelling are seen. No findings suggestive of musculoskeletal deformity are identified.</t>
  </si>
  <si>
    <t>There is a severe right-sided diaphragmatic hernia, with displacement of most of the abdominal viscera into the right hemithorax. No evidence of thoracic or abdominal effusion is seen._x000D_
_x000D_
The hernia may be due to congenital deformity or previous trauma._x000D_
_x000D_
No evidence of cardiac chamber dilation or heart failure is identified.</t>
  </si>
  <si>
    <t>Considering the patient is 11 years old and clinically not symptomatic for the hernia conservative management is recommended.</t>
  </si>
  <si>
    <t xml:space="preserve">
1.There is soft appearing fecal material within the colon._x000D_
2.Splenic size, shape and margin are normal._x000D_
3.Detail in the abdomen is adequate._x000D_
4.The small intestinal track is mostly fluid filled and mildly dilated._x000D_
5.The stomach is distended with gas, fluid and some granular luminal material._x000D_
6.The entire liver or a portion of the liver is at the lower limits of  normal for size to slightly small.</t>
  </si>
  <si>
    <t>Six radiographs are provided, including the proximal thoracic limbs, thorax, and abdomen. The cardiac silhouette is prominent on all views. Pulmonary vessels are normal size. There are no abnormalities in the pulmonary parenchyma. Normal tracheal diameter. No narrowed cervical intervertebral disc spaces. Scapular contour and opacity is normal. The shoulder and cubital joints are congruent. No soft tissue swelling is appreciated._x000D_
_x000D_
In the abdomen the liver and kidneys are normal size. The spleen is obscured. The gastrointestinal tract is mildly filled. The urinary bladder is mildly filled. There are several punctate mineral densities in the urinary bladder and extending into the proximal urethra. No narrowed lumbar intervertebral disc spaces.</t>
  </si>
  <si>
    <t>1. Equivocal mild cardiomegaly, concerning for underlying cardiac disease (congenital abnormality versus acquired valvular disease). In the absence of a murmur or arrhythmia, significance is uncertain._x000D_
2. Punctate cystic calculi, of a size that should be able to pass the urethra. Otherwise normal abdomen._x000D_
3. No spinal or thoracic limb abnormalities are identified to explain the lameness. Soft tissue sprain/strain is suspected. A non-mineralized intervertebral disc lesion.</t>
  </si>
  <si>
    <t>If lameness does not improve with supportive care, advance to soft tissue imaging of the spine and thoracic limbs with MRI should be considered.</t>
  </si>
  <si>
    <t>Orthogonal thoracoabdominal views and a lateral view of the thoracolumbar spine (three images total) are provided for interpretation._x000D_
_x000D_
There are multiple congenital vertebral deformities in the thoracic spine, consisting of hemi vertebrae wedge shape and butterfly shapes consistent with breed associated vertebral deformity. This is not associated with any kyphosis or significant scoliosis. No subluxation is seen._x000D_
There is moderate to severe narrowing of the T13-L1 intervertebral disc space, which is concerning because it does not appear to be associated with any vertebral deformity and would be compatible with possible disc extrusion. No fractures or soft tissue swelling are identified. No destructive endplate lesions are seen._x000D_
_x000D_
There is a mild bronchial pattern, probably breed associated._x000D_
No cardiovascular abnormalities are identified._x000D_
_x000D_
The spleen is mildly enlarged, with normal shape and smooth margins.</t>
  </si>
  <si>
    <t>1) There is significant disc space narrowing at T13-L1. Disc degeneration and disc extrusion/protrusion should be ruled out as a likely explanation for the clinical signs. More advanced imaging is indicated._x000D_
_x000D_
2) The spleen is mildly enlarged. If sedation was used for the radiographic exam this is likely secondary to sedation, if not additional rule outs would include reactive splenomegaly due to inflammatory disease, benign variation, and lymphoreticular neoplasia._x000D_
_x000D_
3) The thoracic vertebral congenital deformities are suspected to be incidental in this case. Associate soft tissue pathology including disc disease still cannot be excluded.</t>
  </si>
  <si>
    <t>Medical management for probable disc disease with spinal cord compression is recommended._x000D_
If surgery is an option, more advanced imaging such as MRI, myelography, or CT is recommended for surgical planning.</t>
  </si>
  <si>
    <t xml:space="preserve">
1.Liver size is at the lower limits of normal but retains a smooth margin._x000D_
2.Abdominal detail is normal._x000D_
3.The small intestinal tract contains normal volumes of fluid, gas and ingesta._x000D_
4.The stomach contains a small amount of air and either has prominent gastric rugae or contains a small amount of soft tissue material._x000D_
5.Splenic size, shape and margin are normal.</t>
  </si>
  <si>
    <t xml:space="preserve">Patient Name : Lacy Scheppner, Date of study: Jun 25, 2024
4 images are provided for review
There are no previous radiographs for comparison.
Pulmonary parenchyma: Interstitial to minimally alveolar soft tissue is in the caudal subsegment of the left cranial lung lobe in the ventrodorsal image.  Mild interstitial pattern is in the right caudal lung lobe in the ventrodorsal image.  A mild diffuse interstitial pattern is present.  The lungs are mildly hypoinflated.  
Pulmonary vasculature: The pulmonary vein is suspiciously enlarged in the right caudal lung in the ventrodorsal image.
Cardiac silhouette: The cardiac silhouette severely generally enlarged.  In one of the left lateral images, the cardiac silhouette is globoid.  In alternate images, the cardiac silhouette has a flat caudodorsal margin.  The cardiac silhouette is tall and occupies over 2/3 the height of the thorax, with dorsal tracheal displacement.  The cardiac silhouette is widened and occupies the width of 3.5-4 intercostal spaces.  
Mediastinum: The cranial mediastinum is normal.
Trachea: A soft tissue band partially superimposes over the dorsal portion of the caudal cervical trachea.
Esophagus: Mild gas is present in the esophagus in the lateral images.  
Pleural space: The pleural fissures between the left cranial/caudal and right middle/caudal lung lobes are widened.  The lung lobe margins are rounded in the diaphragmatic recesses.  
Liver: The liver is minimally to mildly enlarged with a rounded caudoventral margin that terminates at the level of the 13th ribs.  The gastric axis is caudally displaced, possibly exacerbated by obliquity.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suspiciously decreased in the left mid-abdomen in the ventrodorsal image.
Gastrointestinal tract: The stomach contains a moderate to large volume heterogeneous soft tissue material and gas. Minimal mineral is suspected in gastric contents.  The pylorus is not obviously identified in the left lateral image.
The small intestine contains mild to moderate gas, or mild fluid, or is empty.  One segment in the mid-ventral abdomen is suspected to contain a small ovoid mineral body.
The colon contains mild soft tissue material, minimal granular mineral and mild gas. The colon is normal in size.
Musculoskeletal:   In the lateral images, the inguinal soft tissues are ovoid and focally enlarged.  In the left lateral image, a tubular soft tissue structure is suspected in the enlarged inguinal tissues.  There is heterogeneous admixed fat and fluid opacity in the enlarged inguinal soft tissues.  L3-4 spondylosis deformans is present.   Mild right coxofemoral joint osteoarthrosis is present.  The remaining included musculoskeletal structures are normal.
</t>
  </si>
  <si>
    <t xml:space="preserve">1. Severe generalized cardiomegaly and possible small volume pericardial fluid.
- Differential diagnoses include myxomatous/tricuspid valvular disease with/without cor pulmonale/pulmonary hypertension, or occult heart base mass and pericardial fluid, or unlikely other.
2. Suspicious for pulmonary venous enlargement in the right caudal lung with mild-moderate multifocal interstitial to alveolar soft tissue such as from cardiogenic pulmonary edema, or unlikely evolving sepsis/hematogeneous spread of pneumonia or non-cardiogenic edema, or atypical evolving neoplasia.
3. Mild pleural fluid due to left and/or right-sided congestive heart failure, versus other.
4. Mild hepatomegaly due to right-sided congestive heart failure and/or vacuolar change, nodular hyperplasia, hepatitis, or evolving neoplasia.
5.. Suspicious for peritoneal effusion such as from right-sided heart failure versus other.
6. Inguinal soft tissue enlargement and heterogeneous opacity due to neoplasia (mammary carcinoma versus other), regional inflammation, or less likely inguinal hernia with herniated small intestinal segment.
7. Large volume of gastric material due to recent meal versus gastritis/delayed gastric emptying, or unlikely intermittent pyloric outflow tract obstruction.
8. Minimal granular gastric and colonic material due to dietary indiscretion is suspected.
9. Mild right coxofemoral joint osteoarthrosis.  </t>
  </si>
  <si>
    <t>Consider diuretic therapy and oxygen therapy with repeat thoracic radiographs (including a dorsoventral image) in 4-6 hours to monitor for progression or  resolution of the pulmonary patterns.   Ultrasonography of the abdomen and inguinal region to confirm or rule out inguinal hernia contributing to clinical signs, versus mass or regional inflammation.  If an inguinal hernia/incarcerated intestine are confirmed, surgical decompression once stable.  If this is a mass, consider computed tomography for pre-surgical planning of excisional biopsy and histopathology.  Additionally consider ultrasonography for abdominocentesis/thoracocentesis with fluid analysis/cytology.  Echocardiography, ECG and blood pressure for further evaluation as well as routine blood work and urinalysis once stable.  If pericardial fluid is confirmed, consider pericardiocentesis.   Monitoring as directed or sooner if clinical signs acutely change, fail to improve or worsen.</t>
  </si>
  <si>
    <t xml:space="preserve">
1.The liver is enlarged._x000D_
2.The spleen is mildly enlarged with a focal bulge in the splenic capsular margin._x000D_
3.There is a oval soft tissue opaque mass lesion noted within the mid abdomen._x000D_
4.Within the abdomen, there is reduced abdominal serosal detail._x000D_
5.The gastrointestinal tract is within normal limits.</t>
  </si>
  <si>
    <t>A three view study of the abdomen is provided._x000D_
_x000D_
A few segments of small intestine appear slightly fluid dilated. Most of the intestine appears empty and nondistended. No plication is seen. No foreign bodies are identified. Rugal folds in the stomach are prominent in the VD view. Serosal detail in the abdomen is normal. The organs are within normal size and shape limits.</t>
  </si>
  <si>
    <t>The appearance of the GI tract is compatible with gastroenteritis. No foreign bodies or obstructive pattern are identified.</t>
  </si>
  <si>
    <t xml:space="preserve">
1.The stomach has a normal axis._x000D_
2.The small intestines are homogenously fluid-filled, and mildly dilated._x000D_
3.The colon is gas-filled._x000D_
4.The descending colon contains mainly fluid opaque material._x000D_
5.The hepatic silhouette is normal._x000D_
6.The spleen is normal for size, shape and margin._x000D_
7.Abdominal detail is normal._x000D_
8.There is a moderate amount of fluid and gas within the stomach.</t>
  </si>
  <si>
    <t>Study:_x000D_
Abdominal radiography: three images dated June 25, 2024_x000D_
_x000D_
Findings:_x000D_
There is ill-defined heterogeneous soft tissue and mineral material in the pylorus on the left lateral view. Indistinct heterogeneous soft tissue material is present in a small intestinal segment in the cranial abdomen. A small amount of linear mineral is present in a small intestinal segment in the dorsal midabdomen. The small bowel appears bunched/plicated in the midabdomen with multiple dilated stacked small intestinal loops present dorsal to the tail the spleen on both lateral views. The colon contains a small volume of gas. The liver and spleen are normal in size and margin. The renal silhouettes are normal in size and contour. The urinary bladder is normal in size and opacity. There is no uterine dilation. The included thorax is normal. The osseous structures are unremarkable.</t>
  </si>
  <si>
    <t>Findings are likely indicate gastrointestinal foreign material/linear foreign body.</t>
  </si>
  <si>
    <t>Exploratory laparotomy should be considered. Given the length of time from the exam, repeat radiography or abdominal sonography should be considered prior to surgery to evaluate the repeatability of these findings.</t>
  </si>
  <si>
    <t xml:space="preserve">
1.No abnormal AI findings reported._x000D_
2.No abnormal AI findings reported._x000D_
3.The liver, spleen and abdominal serosal detail are all within normal limits._x000D_
4.The stomach contains gas and some heterogeneous, soft-tissue-opaque material._x000D_
5.The small intestines are a combination of gas-filled and fluid-filled/collapsed, and all are within normal limits for diameter.</t>
  </si>
  <si>
    <t>6 images of the abdomen are provided for review.  Serosal detail is adequate in all quadrants.  The stomach contains a small amount of gas and the rugal folds are prominent.  The small intestines are normal in size.  Gas is present in the colon.  The urinary bladder is small.  The remaining abdominal organs are normal._x000D_
_x000D_
15 additional images of an upper GI contrast series are also provided for review.  Initial images showed the stomach with persistent prominence of rugal folds.  Contrast passes normally through the small intestines.  Contrast has not entered the cecum and colon by the 5-hour images.  Contrast remains in the stomach at 5 hours.  No abnormal filling defects are seen.  Final images dated 6/26/2024 show all contrast in the cecum and colon.</t>
  </si>
  <si>
    <t>Prominent rugal folds suggestive of gastritis with delayed gastric emptying consistent with ileus.  This does not rule out underlying pancreatitis.  There is no evidence of complete obstruction.</t>
  </si>
  <si>
    <t>A three view study of the abdomen is provided for interpretation._x000D_
_x000D_
No foreign bodies are identified in the GI tract. The stomach appears empty and nondistended. There are multiple small intestinal loops that appear fluid filled, but none appear pathologically distended. The cecum is gas filled. The descending colon contains a small quantity of normal appearing fecal material. The liver is at the upper end of normal range. The other abdominal organs are unremarkable. Serosal detail is normal._x000D_
There are several hypoplastic vertebrae in the thoracic spine, generally a benign incidental associated finding.</t>
  </si>
  <si>
    <t>No foreign bodies or obstructive pattern are identified. Fluid filled bowel loops can be associated with enteritis and physiologic ileus, or sometimes seen incidentally.</t>
  </si>
  <si>
    <t>Supportive care and symptomatic therapy for gastroenteritis is recommended. Pancreatitis or other metabolic disease should also be ruled out with appropriate lab work.</t>
  </si>
  <si>
    <t xml:space="preserve">
1.The liver and spleen are normal._x000D_
2.Serosal detail the abdomen is normal._x000D_
3.Rugal folds in the stomach are prominent._x000D_
4.There is a minimal quantity of material in the stomach._x000D_
5.No pathologic distention of the intestine is identified._x000D_
6.Some of the intestinal loops in the caudal abdomen have a bunched appearance, but convincing evidence of intestinal plication is not seen._x000D_
7.The colon is gas filled and has a rigid appearance on the lateral projection._x000D_
8.No abnormal AI findings reported.</t>
  </si>
  <si>
    <t>The appearance of the stomach is suggestive of gastritis. Appearance to the colon is suggestive of colitis. No intestinal obstruction is identified. No evidence of intussusception or peritonitis is seen. Some of the bowel has a bunched appearance, but the overall appearance is equivocal.</t>
  </si>
  <si>
    <t xml:space="preserve">
Virtual Radiologist Case Difficulty: MODERATE_x000D_
Virtual Radiologist Confidence: MODERATE_x000D_
Supportive care medical management for gastritis and/or colitis as clinically warranted._x000D_
Infectious causes should be ruled out._x000D_
No evidence of an obstructive process is identified in the radiographs._x000D_
Follow-up imaging such as a barium study or ultrasound should still be considered.</t>
  </si>
  <si>
    <t>Three radiographs of the thorax are provided. No previous images are identified for a patient of this name. There is mild left atrial enlargement. The left mainstem bronchus is compressed on the 1st lateral view. Prominent cranial pulmonary vein on the left lateral projection. There is a moderate interstitial pattern in the left perihilar region on the VD view. A mild bronchial pattern is present in the remaining lungs. Redundant dorsal trachealis membrane causes moderate narrowed cervical trachea. Normal cranial abdomen.</t>
  </si>
  <si>
    <t>1. Mild left atrial enlargement consistent with acquired mitral valve disease. There is pulmonary venous congestion. Interstitial pattern in the perihilar region is significantly concerning for pulmonary edema secondary to left-sided heart failure. Dorsal recumbency and subsequent poor lung aeration can mimic pulmonary edema, therefore is not definitive._x000D_
2. Probable cervical tracheal collapse. This should be correlated with characteristic of the cough and tracheal palpation._x000D_
3. Mild bronchial pattern may be normal age change versus allergic bronchitis.</t>
  </si>
  <si>
    <t>If the patient has increased respiratory rate/effort, exercise intolerance, or abnormal lung auscultation, treatment for heart failure would be recommended. Recommend obtaining a dorsoventral projection (instead of a VD view) on all future studies of this patient. This will allow for maximum dorsal lung aeration to help rule in/out pulmonary edema. This patient may also benefit from utilization of a body harness in place of a neck lead.</t>
  </si>
  <si>
    <t>Four radiographs of the thorax are provided. Images dated 8/25/23 are available for comparison. The cardiac silhouette and pulmonary vessels are normal size and shape. There are no abnormalities in the pulmonary parenchyma. Small round increased opacities adjacent to the heart represent end-on pulmonary vessels. There is no pleural effusion or intrathoracic lymphadenomegaly. Normal tracheal diameter. On the VD projection there is a partially visible fairly well delineated ovoid 14.5 x 5.1 cm fat opaque mass in the left extrathoracic tissues. No adjacent rib lysis or proliferation. In the visible abdomen there is no effusion. The liver is upper normal size, with smooth margins. There is a metal opaque pushpin-like 1.1 x 0.4 cm contour overlying the proximal pelvic limbs on the edge of the lateral view. This was seen on the previous study and felt to represent superimposed debris, but is persistent therefore confirmed to be located within the patient. This is likely due to previous trauma and of doubtful clinical significance.</t>
  </si>
  <si>
    <t>Left extrathoracic lipomatous mass, with no adjacent osseous involvement. The thorax is otherwise normal.</t>
  </si>
  <si>
    <t xml:space="preserve">
1.The stomach is normal. The small bowel is diffusely gas- and fluid-filled without segmental small bowel dilation._x000D_
2.Splenic size, shape and margin are normal._x000D_
3.Abdominal detail is normal._x000D_
4.The liver is mildly enlarged, and retains a smooth margin.</t>
  </si>
  <si>
    <t>Study:_x000D_
Abdominal radiography: right lateral and VD views (two images) dated June 25, 2024_x000D_
_x000D_
Findings:_x000D_
The serosal detail is adequate.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included thorax is normal. The osseous structures are unremarkable. There is subcutaneous soft tissue swelling and emphysema along the dorsal thorax from the reported subcutaneous fluid administration.</t>
  </si>
  <si>
    <t>Unremarkable abdomen. A cause of the hyporexia and prior vomiting is not evident. There is no radiographic evidence of gastrointestinal foreign material or small intestinal mechanical obstruction.</t>
  </si>
  <si>
    <t>Study:_x000D_
Abdominal radiography: right lateral and orthogonal views (two images) dated June 25, 2024_x000D_
_x000D_
Findings:_x000D_
The serosal detail is normal.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There is no prostatomegaly. The included thorax is normal. No skeletal abnormalities present.</t>
  </si>
  <si>
    <t>Normal abdomen. There is no radiographic evidence of gastrointestinal foreign material or small intestinal mechanical obstruction.</t>
  </si>
  <si>
    <t>Study:_x000D_
Abdominal radiography: three images dated June 25, 2024_x000D_
_x000D_
Findings:_x000D_
The stomach contains a small amount of unstructured heterogeneous soft tissue material. On the left lateral projection, there is a faint tubular mineral opacity in the dorsal aspect of the gastric lumen. The small intestines contain gas and fluid. The luminal gas has a smoothly marginated fragmented appearance in some small intestinal segments. The small intestines are normal in size and course. The colon contains formed fecal material. The liver is small with associated cranial rotation of the gastric axis. The spleen is normal in size and margin. The renal silhouettes are normal in size and contour. The urinary bladder is normal in size and opacity. The included thorax is normal. No skeletal abnormalities are present.</t>
  </si>
  <si>
    <t>1. The unstructured heterogeneous soft tissue material in the stomach likely represents ingesta. Foreign material cannot be completely excluded. The mineral opacity is more concerning for foreign material could also be an incidental finding depending on the contents of the patient=ZZ91=s normal diet and treats._x000D_
2. The smoothly marginated fragmented gas pattern seen in the small intestinal can be an indicator of nonspecific enteritis. There is no evidence of small intestinal mechanical obstruction. Repeat fasted radiography can be considered to ensure gastric emptying. Alternatively, sonography can be considered if clinical signs persist or worsen in spite of medical management._x000D_
3. Microhepatia. Rule out normal variant, vascular anomaly or, less likely, chronic hepatitis/cirrhosis. Correlate with any liver enzyme abnormalities. Abdominal sonography and bile acid testing can be considered for further evaluation if clinically relevant.</t>
  </si>
  <si>
    <t xml:space="preserve">
1.Mild microhepatia is present on the VD projection, either due to the appearance or cropping of the cranial aspect of the liver on the VD projection. However, true microhepatia is not suspected based on the lateral projection._x000D_
2.Splenic size, shape and margin are normal._x000D_
3.The stomach is normal. The small bowel is diffusely gas- and fluid-filled without segmental small bowel dilation._x000D_
4.Abdominal detail is normal.</t>
  </si>
  <si>
    <t>Three radiographs of the thorax and five views of the abdomen are provided. The cardiac silhouette and pulmonary vessels are normal size and shape. There are no abnormalities in the pulmonary parenchyma or pleural space. Mild narrowed caudal cervical trachea, of uncertain significance today._x000D_
_x000D_
In the abdomen serosal detail is adequate. The gastrointestinal tract is minimally filled. The liver, spleen, and kidneys are normal size and shape. The urinary bladder is minimally distended. There is a smoothly contoured broad-based 4.0 x 1.8 cm swelling in the mid central extra-abdominal tissues. This swelling is predominantly fat opaque, however there is a curved 0.7 cm area of soft tissue density overlying the swelling on two of the lateral views. Due to rotation, this area is less visible on the other two views.</t>
  </si>
  <si>
    <t>1. Mid ventral extra-abdominal mass. This appears to be a small hernia involving fat and potentially a loop of small bowel. A lipoma with intralesional hemorrhage or abscess is given secondary consideration. Malignant neoplasia is felt to be least likely._x000D_
2. Normal thorax.</t>
  </si>
  <si>
    <t>If the lesion is not reducible, recommend ultrasound evaluation of the lesion. This would allow for identification of intestines versus abscess, hemorrhage, neoplasia, and help guide sampling.</t>
  </si>
  <si>
    <t xml:space="preserve">
1.The liver and spleen appear within normal limits for size and contour._x000D_
2.No abnormal AI findings reported._x000D_
3.Abdominal detail is adequate._x000D_
4.The stomach appears within normal limits._x000D_
5.Small intestines are diffusely mildly fluid-filled. No evidence to suggest obstruction.</t>
  </si>
  <si>
    <t xml:space="preserve">Patient Name : Layla Surette, Date of study: Jun 25, 2024
4 images are provided for review
Canine Thorax (4 Images) - 2 Lateral, 2 Vd
There are no previous radiographs for comparison.
Pulmonary parenchyma: A  mild diffuse bronchial pattern is present.  A minimal to mild interstitial pattern is present in the ventrodorsal image, where the lungs are moderately hypoinflated.  
Pulmonary vasculature: The pulmonary vasculature is subjectively normal in size and tapers in the periphery of the lungs.
Cardiac silhouette: The cardiac silhouette is tall and occupies 2/3 the height of the thoracic cavity.  The caudodorsal margin of the cardiac silhouette is flattened.  
Mediastinum: The cranial mediastinum is normal.
Trachea: A soft tissue band partially superimpose over the dorsal trachea in the right lateral image.
Esophagus: The esophagus is not well-identified.
Pleural space: The pleural space is normal.
Musculoskeletal: T3-4 and multifocal lumbar spondylosis deformans is present.  The remaining included musculoskeletal structures are normal.
</t>
  </si>
  <si>
    <t xml:space="preserve">1. Mild left-sided cardiomegaly.
- Differential diagnoses include myxomatous mitral valvular disease and insufficiency or less likely other.
- There is no evidence of left-sided congestive heart failure.  
2. Mild diffuse bronchial and minimal-mild interstitial pulmonary patterns.
- Differential diagnoses include infectious/immune-mediated lower airway disease such as from mycoplasma spp., bordetella spp., parasitism, or inhaled allergen/irritant, fibrosis from prior disease, age-related changes, and hypoinflation/atelectasis, or a combination of these.
3. Suspected redundant dorsal tracheal membrane versus superimposed normal structures with/without underlying dynamic airway disease.
</t>
  </si>
  <si>
    <t>Consider echocardiography, ECG and blood pressure for further evaluation of the heart.  Routine blood work, urinalysis and fecal analysis/empirical deworming may be contributory.  Empirical therapy and supportive care in the interim as needed.  Monitoring as directed or sooner if clinical signs acutely change, fail to improve or worsen.</t>
  </si>
  <si>
    <t>Pebbles Scallon. Date of study: 06/25/24. Abdominal radiography (2 view, 3 images. 1 VD, 2 Lateral). Prior radiographs dated 10/1/2023 containing the cranial abdomen are available for comparison. The ventral aspect of the abdomen is over-exposed on the lateral views and the cranial portion of the abdomen is incompletely imaged on the VD view, which hinders complete evaluation. 
Liver: The liver is normal in size and shape. The caudoventral margins are normal.
Spleen: The spleen is normal in size and shape with well-defined margins.
Kidneys: The kidneys partially obscured but the visible aspects are normal in size and shape. No mineral is identified.
Urinary bladder: The urinary bladder is small with smooth, well-defined margins and homogeneous soft tissue opacity. No mineral is identified.
Gastrointestinal: The stomach is mildly distended with gas with prominent rugal folds. On the left lateral projection, the pylorus is appropriately gas filled. The small intestine are fluid-filled or empty, and uniform in size. The colon contains fecal material, gas or is empty. 
Peritoneum: The serosal detail is decreased in the cranial to mid-abdomen.
Musculoskeletal: The musculoskeletal structures are unremarkable.</t>
  </si>
  <si>
    <t>1. 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_x000D_
2.  Decreased cranial to mid-abdominal serosal detail due to artifact/technique/individual variation, superimposed normal structures, or cranial abdominal peritonitis/steatitis such as a consequence of gastritis or pancreatitis or other.</t>
  </si>
  <si>
    <t>Continued supportive management including gastroprotectants and bland diet. Repeat fasted abdominal radiographs or abdominal ultrasound if patient fails medical management.</t>
  </si>
  <si>
    <t xml:space="preserve">
1.Small amount of irregular opacity at the stomach. Small intestines are mildly filled with fluid and gas without segmental small bowel dilation._x000D_
2.Abdominal detail is normal._x000D_
3.Liver size, shape and margin are normal._x000D_
4.Splenic size, shape and margin are normal.</t>
  </si>
  <si>
    <t>Three radiographs of the abdomen are provided. There is no peritoneal effusion. There is a thin column of gas within the retroperitoneal space, extending cranially to encircle the caudal thoracic aorta. There is small volume gas in the stomach and several loops of small bowel. Small volume of formed feces in the colon. On the left lateral view there is a round 2.7 cm soft tissue density stippled with gas overlying a loop of moderately dilated bowel immediately dorsal to the splenic tail. It is unknown if this is small or large intestine. Normal-sized liver, spleen, kidneys. No radiopaque cystic calculi. No osseous abnormalities._x000D_
_x000D_
Three radiographs of the thorax and a repeat lateral view of the abdomen were obtained. In the thorax the cardiac silhouette is reduced in size. There is small volume gas in the entire mediastinum, outlining the esophagus, trachea, and aorta. Scant pleural gas. No esophageal foreign material is appreciated. No pleural effusion. The lungs are clear. No pulmonary blebs/bullae are appreciated. Tracheal diameter is adequate. Soft tissue thickening with a few gas foci dorsal to the thoracic spine consistent with subcutaneous fluid administration. There is no peritracheal gas seen in the cervical region. On the repeat image of the abdomen, there is no change. There continues to be small volume retroperitoneal gas. Stippled soft tissue density in her loop of bowel in the cranial abdomen, otherwise no evidence of foreign material.</t>
  </si>
  <si>
    <t>1. Pneumomediastinum, pneumoretroperitoneum, and scant pleural gas. Small thoracic esophageal perforation is suspected based on the history. A medially located pulmonary bulla/bleb is given lesser consideration. Reduced cardiac silhouette size consistent with hypovolemia._x000D_
2. Stippled soft tissue density in a loop of bowel may represent normal feces in the proximal colon. Small intestinal foreign material with partial obstruction is not ruled out. There is no severe intestinal dilation to suggest complete obstruction.</t>
  </si>
  <si>
    <t>Options to further evaluate the esophagus include esophagoscopy or computed tomography. Ultrasound evaluation of the intestines should be considered, particularly if abdominal pain or vomiting persists.</t>
  </si>
  <si>
    <t xml:space="preserve">
1.No abnormal AI findings reported._x000D_
2.The liver and spleen are normal._x000D_
3.A portion of the colon is gas filled and has a rigid and/or corrugated appearance on the lateral projection._x000D_
4.The pyloroduodenal is widened and the proximal duodenum contains a mild amount of air._x000D_
5.The gastric rugae are mildly prominent on the VD projection._x000D_
6.There is a focal decrease of serosal detail in the cranial abdomen, caudal to the stomach, on the lateral projection._x000D_
7.The small intestine is of uniform population size and is diffusely of soft tissue opacity with minimal gas opacity._x000D_
8.No mechanical ileus is visualized.</t>
  </si>
  <si>
    <t>Study:_x000D_
Thoracic/abdominal radiography: orthogonal views (two images) dated June 24, 2024_x000D_
_x000D_
Findings:_x000D_
The aortic arch appears moderately enlarged on both projections. The cardiac silhouette and lobar vasculature are normal in size. The pulmonary parenchyma is unremarkable. The pleural space is normal. There is no intrathoracic lymphadenopathy. The trachea is normal in diameter. The stomach contains unstructured heterogeneous soft tissue material presumed to be ingesta. The small intestines are normal in size, course and content. The colon contains gas and formed fecal material with a normal diameter. The liver and spleen are normal in size and margin. The kidneys are normal in size and contour. The urinary bladder is not visualized and is likely small/empty. No skeletal abnormalities are present.</t>
  </si>
  <si>
    <t>1. Enlargement of the aortic arch is presumably from the reported patent ductus arteriosus._x000D_
2. The thorax is otherwise unremarkable. A cause of the respiratory signs is not evident. Consider upper airway disease. Lack of a definitive bronchial pulmonary pattern does not exclude the possibility of allergic/inflammatory, infectious, irritant or parasitic bronchitis. Normal diameter of the trachea does not exclude the possibility of dynamic airway disease._x000D_
3. Postprandial stomach=ZZ90= otherwise, unremarkable abdomen.</t>
  </si>
  <si>
    <t>Infectious respiratory disease PCR testing can be considered to further evaluate for possible infectious tracheobronchitis and/or upper respiratory infection.</t>
  </si>
  <si>
    <t xml:space="preserve">Patient Name : Juliana Perez, Date of study: Jun 24, 2024
5 images are provided for review
There are no previous radiographs for comparison.
Liver: The liver is mildly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soft tissue material and gas.  Gas is in the pylorus and descending duodenum in the left lateral image.  The stomach is within normal limits for size. 
The small intestine contains fluid, minimal gas, or is empty with a subjectively uniform population for size. 
The colon contains moderate heterogeneous soft tissue material and gas.  the colon is normal in size.  
Musculoskeletal: The included musculoskeletal structures are normal.
</t>
  </si>
  <si>
    <t>1. Gastric material due to recent meal, versus gastritis/delayed gastric emptying or unlikely pyloric outflow tract obstruction.
- Obvious gastric or small intestinal foreign material is not identified.
2. There is no evidence of small intestinal mechanical ileus in this examination.
3. Mild microhepatia versus artifact/individual variation of normal.
- If present, consider occult portosystemic shunt, microvascular dysplasia, or unlikely other.</t>
  </si>
  <si>
    <t xml:space="preserve"> Empirical therapy and supportive care in the interim as needed. Repeat abdominal radiographs after 8-12 hours of fasting to monitor for passage of gastric material may be contributory.   Bile acid testing and routine blood work may be contributory.  Monitoring as directed or sooner if clinical signs manifest in the interim.  </t>
  </si>
  <si>
    <t>Study:_x000D_
Thoracic/abdominal: six images dated June 24,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normal. The stomach contains unstructured heterogeneous soft tissue material. There is a small amount of granular mineral in the small intestines. The small intestines are normal in size and course. The colon contains formed fecal material. The liver and spleen are normal in size and margin. The renal silhouettes are normal in size and contour. The urinary bladder is normal in size and opacity. There is no uterine dilation. The T 13 vertebra is transitional.</t>
  </si>
  <si>
    <t>1. The unstructured heterogeneous soft tissue material in the stomach likely represents ingesta. Foreign material cannot be completely excluded. The small amount of granular mineral in the small intestines may indicate dietary indiscretion or may be an incidental finding depending on the contents of the patient=ZZ91=s normal diet and treats. There is no evidence of small intestinal mechanical obstruction._x000D_
2. Normal thorax.</t>
  </si>
  <si>
    <t>Repeat fasted radiography can be considered to ensure gastrointestinal emptying. Alternatively, abdominal sonography can be considered if the patient begins to exhibit any gastrointestinal signs.</t>
  </si>
  <si>
    <t xml:space="preserve">
1.Peritoneal detail is normal._x000D_
2.Small-to-moderate volume ingesta in the stomach._x000D_
3.Small intestines and colon are minimally filled without compelling evidence for obstruction._x000D_
4.No abnormal AI findings reported._x000D_
5.Liver and spleen appear within normal limits.</t>
  </si>
  <si>
    <t>Four orthogonal radiographs of the abdomen dated 24th June 2024 are available for review. There are no previous radiographs available for comparison. _x000D_
_x000D_
Intra-abdominal findings: The hepatic silhouette is enlarged with smooth borders. The spleen is enlarged.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Extra-abdominal findings: No significant abnormalities are detected._x000D_
_x000D_
Included thorax: Cranial and ventral to the cardiac silhouette there is a suspicion of a soft tissue mass.</t>
  </si>
  <si>
    <t>1. The combination of hepatomegaly and splenomegaly and history of soft tissue sarcoma raises suspicion of metastatic disease. Alternatively splenic differential diagnoses include passive congestion from sedation (if administered), splenitis, extramedullary hematopoiesis, lymphoid hyperplasia, or hepatic differentials include metabolic (fat deposition, diabetes mellitus), infectious-inflammatory (hepatitis-viral-parasitic), infiltrative origins (nodular hyperplasia-round cell infiltration/lymphoma-adenoma-adenocarcinoma) or less likely hemodynamic (right heart failure) origins._x000D_
2. Suspect pulmonary or cranial mediastinal mass</t>
  </si>
  <si>
    <t>A complete abdominal ultrasonographic examination is advised, with a view to FNA of abnormal organs, after complete blood work, and a normal coagulation panel._x000D_
A 3 view thoracic series is indicated.</t>
  </si>
  <si>
    <t xml:space="preserve">
1.There is a oval soft tissue opaque mass lesion noted within the mid abdomen._x000D_
2.The gastrointestinal tract is within normal limits._x000D_
3.Within the abdomen, there is reduced abdominal serosal detail._x000D_
4.The liver is enlarged._x000D_
5.The spleen is mildly enlarged with a focal bulge in the splenic capsular margin.</t>
  </si>
  <si>
    <t xml:space="preserve">Patient Name : Bogie Norcross, Date of study: Jun 24, 2024
2 images are provided for review
There are no previous radiographs for comparison.
Bones/Joints:  The T11-12 intervertebral disc space is narrowed.There is no evidence of mineral over the intervertebral foramina.  The L3-4 through L6-7 intervertebral disc spaces are possibly narrow in the lateral image, but this may be exacerbated by obliquity.
There is no evidence of medullary sclerosis, osteolysis, endosteal scalloping, or periosteal proliferation.
Soft tissues:  The included soft tissues are normal.
</t>
  </si>
  <si>
    <t>1. T11-12 intervertebral disc disease.
2. Possible multifocal lumbar intervertebral disc space narrowing versus artifact from positioning.  
3. No evidence of vertebral lysis or aggressive osseous lesion.</t>
  </si>
  <si>
    <t xml:space="preserve">Consider neurologist consultation and MRI for further evaluation.  Routine blood work if not recently performed, as well as thoracic imaging to screen for occult systemic disease.  Empirical therapy and supportive care in the interim as needed.  Monitoring as directed or sooner if clinical signs acutely change or worsen in the interim.  </t>
  </si>
  <si>
    <t xml:space="preserve">
1.No abnormal AI findings reported._x000D_
2.The stomach appears within normal limits. The small bowel contains a mild amount of gas. No obvious signs of obstruction._x000D_
3.The liver is mildly enlarged with normal shape and smooth margins._x000D_
4.Serosal detail is adequate.</t>
  </si>
  <si>
    <t>Orthogonal views of the thorax are provided:_x000D_
_x000D_
Thorax:_x000D_
_x000D_
There is moderate left atrium enlargement that dorsally displaces the carina, producing an overall severe cardiomegaly._x000D_
The pulmonary vessels are normal sized. _x000D_
There is a right caudal lung lobe ill defined opacity delineating a cranial lobar sign and an ill defined caudal rounded edge._x000D_
Normal mediastinum, diaphragm are WNL._x000D_
Several SC lipomas._x000D_
_x000D_
Included abdomen is unremarkable.</t>
  </si>
  <si>
    <t>1) Left atrial enlargement secondary to chronic mitral endocardiosis without signs of CHF. Rule out tricuspid endocardiosis with pulmonary hypertension._x000D_
2) Right caudal ill defined opacity compatible with an indistinct primary pulmonary neoplasia vs a lobar cariogenic pulmonary edema is not excluded but with the caudal rounded edge of the reported opacity and the 2 month history of coughing is less likely.</t>
  </si>
  <si>
    <t>Consider a cardiology consultation with ECG and echocardiogram evaluating if the dog could be with a concomitant LSCHF and evaluate the benefit of a CT of the thorax to better evaluate the suspected right caudal lobar mass.</t>
  </si>
  <si>
    <t xml:space="preserve">
1.Abdominal detail is normal._x000D_
2.Splenic size, shape and margin are normal._x000D_
3.Liver size is normal and retains a smooth margin._x000D_
4.A portion of the colon is gas filled and rigid._x000D_
5.The stomach contains a small amount of air and either has prominent gastric rugae or contains a small amount of soft tissue material._x000D_
6.The small intestinal tract contains normal volumes of fluid, gas and ingesta.</t>
  </si>
  <si>
    <t>A three view study of the abdomen is provided._x000D_
_x000D_
There is a small quantity of amorphous soft tissue dense ingesta in the stomach. No foreign bodies are seen in the GI tract. The stomach is not dilated or malpositioned. No dilation or plication the intestine is seen. The liver is at the small end of acceptable size range. The other abdominal organs are within normal limits.</t>
  </si>
  <si>
    <t>No significant anatomic abnormalities are seen in the radiographs. There is no visible foreign body or obstructive pattern.</t>
  </si>
  <si>
    <t>Symptomatic therapy and supportive care as needed for gastroenteritis/pancreatitis is recommended._x000D_
_x000D_
CBC and serum chemistry including pancreatic specific lipase is recommended.</t>
  </si>
  <si>
    <t xml:space="preserve">
1.Splenic size, shape and margin are normal._x000D_
2.The colon contains mild to moderate heterogeneous soft tissue material and gas._x000D_
3.Abdominal detail is normal._x000D_
4.Mild microhepatia is present with cranial positioning to the gastric axis._x000D_
5.The small bowel is diffusely gas- and fluid-filled without segmental small bowel dilation._x000D_
6.Resouce: https://platform.v2.vetology.net/doc/liver_disease_x000D_
7.The stomach contains a mild to moderate volume of gas and soft tissue material. The gastric axis is cranially positioned due to the microhepatia.</t>
  </si>
  <si>
    <t>Opposite lateral and VD views of the thorax that include the neck and cranial abdomen are provided._x000D_
_x000D_
Severe dynamic narrowing of the cervical trachea is identified. No laryngeal abnormalities are seen. There is mild heart enlargement with evidence of left atrial dilation. The pulmonary vessels and parenchyma are within normal limits. Liver size is borderline, at the upper end of normal range. Rugal folds in the stomach are prominent.</t>
  </si>
  <si>
    <t>There is severe cervical tracheal collapse which is likely responsible for the cough._x000D_
_x000D_
There is mild left sided cardiomegaly. There is no evidence of heart failure or significant pulmonary disease.</t>
  </si>
  <si>
    <t>Symptomatic therapy for the cough is recommended._x000D_
_x000D_
Consultation with an Internal Medicine specialist regarding potential tracheal stent treatment should be considered.</t>
  </si>
  <si>
    <t xml:space="preserve">
1.No intestinal abnormalities are appreciated._x000D_
2.The cecum is gas filled._x000D_
3.The abdomen is pendulous._x000D_
4.Moderate volume ingesta fills the stomach._x000D_
5.Splenic size, shape and margin are normal._x000D_
6.The liver is enlarged.</t>
  </si>
  <si>
    <t>Three radiographs of the thorax, and three views of the abdomen are provided. Images dated 9/2/22 were reviewed. The cardiac silhouette and pulmonary vessels are normal size and shape. The lungs are clear. There is no pleural effusion or intrathoracic lymphadenomegaly. Normal tracheal diameter and cranial mediastinal width. No thoracic spinal abnormalities._x000D_
_x000D_
In the abdomen there is no effusion. The gastrointestinal tract is mildly filled. Small volume mineral opaque debris in the stomach, likely incidental. There is gas in the cecum. The liver, spleen, kidneys are normal size and shape. The urinary bladder is mildly filled. The prostate is not definitively seen. No lumbar spinal abnormalities.</t>
  </si>
  <si>
    <t>Normal thorax and abdomen. A reason for trembling is not identified.</t>
  </si>
  <si>
    <t>Routine blood work is recommended.</t>
  </si>
  <si>
    <t xml:space="preserve">
1.Abdominal detail is normal._x000D_
2.The stomach contains gas and ingesta or prominent rugae, suggestive of gastritis. The small bowel is diffusely fluid filled but without segmental small bowel dilation._x000D_
3.Splenic size, shape and margin are normal._x000D_
4.Liver size, shape and margin are normal.</t>
  </si>
  <si>
    <t>Nineteen radiographs are provided, with images of the thorax, neck, abdomen, and pelvis. The cardiac silhouette and pulmonary vessels are normal size and shape. There are no abnormalities in the pulmonary parenchyma. No pleural effusion or enlarged intrathoracic lymph nodes. Round lucency overlying the mid heart on the left lateral view is end-on bronchiole. Normal tracheal diameter. No intrathoracic lymphadenomegaly. Undulating fat opaque subcutaneous thickenings along the ventrum consistent with lipomas, incidental. Cervical vertebral alignment is normal and no narrowed intervertebral disc spaces are appreciated. There is no endplate lysis._x000D_
_x000D_
In the abdomen the liver is upper normal size with smooth margins. Normal-sized spleen. Both kidneys measure within expected size parameters, although the right kidney is smaller than the left. No radiopaque urolithiasis. The plane of the urethra is unremarkable. The stomach and small bowel are minimally filled with gas. Small volume of formed feces in the colon. Punctate soft tissue densities ventral to L5-6 are end-on deep circumflex iliac vessels. There is ventral spondylosis deformans at L2-3, but no narrowed intervertebral disc spaces or foramina. The coxofemoral joints are congruent and without degenerative change. Pelvic limb musculature is adequate. Patellar location is normal.</t>
  </si>
  <si>
    <t>1. No definitive spinal abnormalities are identified to explain the clinical signs. An intervertebral disc protrusion/extrusion such as in the cervical spine is most likely._x000D_
2. Reduced right renal size suggestive of chronic renal disease. Otherwise normal abdomen._x000D_
3. Normal thorax and coxofemoral joints.</t>
  </si>
  <si>
    <t>Consultation with a neurologist and spinal imaging with MRI is recommended.</t>
  </si>
  <si>
    <t>A lateral radiograph of the abdomen, VD pelvis, and three lateral stifle views are provided. There is no abdominal effusion. The liver and spleen are normal size. Only one of the kidneys is visible and is normal size. The gastrointestinal tract and urinary bladder are mildly filled. No radiopaque urolithiasis. There is spondylosis deformans at L1-2, L2-3, partially superimposed over the intervertebral foramina. No other spinal abnormalities. The coxofemoral joints are congruent without degenerative change. Punctate mineral density craniolateral to the left coxofemoral joint is likely incidental. Pelvic limb musculature is adequate. Patella location is normal. There is small volume fluid in the cranial aspect of both stifle joints, worse on the right where there are enthesophytes on the femoral trochlear ridges and distal patella. No popliteal lymphadenomegaly.</t>
  </si>
  <si>
    <t>1. Bilateral mild stifle effusion, worse on the right. This is most consistent with cranial cruciate ligament tear/rupture. This is the most significant abnormality on this study._x000D_
2. Mild degenerative change in the cranial lumbar spine. This is most likely incidental, however intervertebral disc disease may be present and contributing to discomfort and mobility difficulties._x000D_
3. Normal abdomen.</t>
  </si>
  <si>
    <t>Recommend palpate for spinal and stifle discomfort, for stifle instability, and a neurologic examination.</t>
  </si>
  <si>
    <t xml:space="preserve">
1.No hepatomegaly is identified however a caudate liver lobe mass extending caudal to the stomach cannot be excluded._x000D_
2.There is a mildly defined rounded mass effect in the cranial ventral abdomen._x000D_
3.The mass may be an artifact caused by fluid in the stomach the appearance is more suggestive of a mass involving the spleen._x000D_
4.There is a slight reduction in serosal detail in the abdomen suggestive of a small volume of free fluid._x000D_
5.No abnormal AI findings reported.</t>
  </si>
  <si>
    <t>Six orthogonal radiographs of the abdomen dated 24th June 2024 are available for review. There are no previous radiographs available for comparison. _x000D_
_x000D_
Intra-abdominal findings: The stomach is empty, containing a little gas with a normal axis. There is appropriate gas in the pylorus on the left lateral image. There is loss of serosal detail in the cranial right aspect of the abdomen. The small intestines are distributed evenly and are within normal limits for shape, size and contents. The ascending, transverse and descending colon have a normal position and contain gradually more formed faeces. The hepatic silhouette is normal in size with smooth borders. The spleen is normal in shape, size and position. The kidneys are partially obscured by gastrointestinal contents, but the visible aspect are normal._x000D_
_x000D_
Extra-abdominal findings: The patient is overweight._x000D_
_x000D_
Included thorax: No significant abnormalities are detected.</t>
  </si>
  <si>
    <t>The findings are indicative of pancreatitis. A non-specific gastritis, gastroduodenitis should be considered. There is no evidence for a (partial) intestinal obstruction.</t>
  </si>
  <si>
    <t>Supportive management including rehydration, gastroprotectants,  full blood work, if clinically indicated is advised, if not already performed. Consider an abdominal ultrasound. If vomiting continues without development of diarrhea, an upper GI contrast study may also be considered.</t>
  </si>
  <si>
    <t xml:space="preserve">
1.The liver is at the upper normal limits for size._x000D_
2.The stomach is normal. The small bowel is diffusely gas- and fluid-filled without segmental small bowel dilation._x000D_
3.Splenic size, shape and margin are normal._x000D_
4.Abdominal detail is normal.</t>
  </si>
  <si>
    <t xml:space="preserve">Patient Name : Daisy Ramirez, Date of study: Jun 24, 2024
6 images are provided for review
There are no previous radiographs for comparison.
Pulmonary parenchyma: A minimal to mild diffuse bronchial pattern is present.  the lungs are mildly hypoinflated.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subjectively normal in size.
Spleen: Arising from the region of the dorsal extremity of the spleen is a round to ovoid soft tissue mass.  This is best identified in the left cranial to mid-abdomen, just caudal to the stomach, in the ventrodorsal image.  This mass appears to extend across mid-line at the level of t13 through L2 in the ventrodorsal image.  
Kidneys: The right kidney is mildly small.  The left kidney is normal.
Retroperitoneum: Retroperitoneal detail is adequate.
Urogenital: The urinary bladder is normal in size, homogeneous soft tissue, and smoothly marginated.
Peritoneum: Peritoneal detail is adequate.
Gastrointestinal tract: The stomach contains a mild volume of gas. The stomach is within normal limits for size.
The small intestine contains fluid and gas or is empty with a subjectively uniform population for size.   The small intestine and colon are caudally displaced due to the left cranial abdominal mass.
The colon contains mild heterogeneous  soft tissue material and gas. The colon is normal in size.
Musculoskeletal:  In the left dorsolateral  extra-thoracic soft tissues are the level of T9 through T12, is an ovoid soft tissue mass with partially ill-defined margins.  This mass focally enlarged and deforms the cutaneous margin at this site.  Ill-defined fluid opaque striations are in the subcutaneous fat adjacent to this mass, partially obscuring its margins.   Multifocal thoracolumbar spondylosis deformans is present.  The remaining included musculoskeletal structures are normal.
</t>
  </si>
  <si>
    <t xml:space="preserve">1. Left cranial abdominal soft tissue mass, most likely of splenic origin.
- Differential diagnoses include neoplasia such as primary hemangiosarcoma or soft tissue sarcoma, versus metastatic disease, or less likely hematoma/hemangioma, or unlikely other.
2. Left dorsolateral extra-thoracic soft tissue mass with subcutaneous fluid/edema or other.
  - Differential diagnoses include neoplasia such as primary soft tissue sarcoma or unlikely hemangiosarcoma versus metastatic disease from primary splenic/abdominal mass, or unlikely other.
3. Minimal to mild diffuse bronchial pulmonary pattern due to fibrosis from prior disease, age-related changes, or unlikely atypical metastatic neoplasia or infectious/immune-mediated lower airway disease or unlikely other.
4. No obvious pulmonary soft tissue nodules or intra-thoracic lymphadenomegaly.  
5. Mild small right  kidney and suspected chronic renal disease.
</t>
  </si>
  <si>
    <t>Consider routine blood work and coagulation testing if not recently performed.  Especially given patient size, consider computed tomography of the thorax/thoracic body wall and abdomen for further evaluation and pre-surgical planning of excisional/incisional biopsy of left thoracic body wall and presumed splenic masses.   Abdominal ultrasonography for further evaluation of the spleen and liver may also be contributory. Oncologist consultation depending on results.  Empirical therapy and supportive care in the interim as needed.  Monitoring with routine blood work and thoracic/abdominal imaging as directed, or sooner if clinical signs acutely change, fail to improve or worsen.</t>
  </si>
  <si>
    <t>A ventral dorsal and both lateral radiographs of the thorax are provided. The cardiac silhouette is normal size. Pulmonary vessels are poorly delineated but do not appear to be enlarged. There are numerous (too many to count) well-defined variably sized small round soft tissue opaque nodules throughout the lungs. These nodules measure up to 1.6 cm, and all lung lobes are severely affected. No pleural effusion. Several small mineral opaque fragments in the stomach, and narrowed T12-13 intervertebral disc space, likely incidental findings.</t>
  </si>
  <si>
    <t>Diffuse, severe pulmonary metastatic disease. A primary lesion is not identified.</t>
  </si>
  <si>
    <t>Prognosis is grave.</t>
  </si>
  <si>
    <t>A three view study of the abdomen is provided for interpretation._x000D_
_x000D_
No foreign bodies are identified in the GI tract. No dilation the stomach or intestine is seen. Serosal detail in the abdomen is normal. The other organs are within normal size and shape limits.</t>
  </si>
  <si>
    <t>No abdominal abnormalities are identified. There is no visible foreign body or obstructive pattern.</t>
  </si>
  <si>
    <t>Supportive care and symptomatic therapy for gastroenteritis is recommended. Pancreatitis or other metabolic disease should also be ruled out._x000D_
_x000D_
More advanced imaging to rule out a radiolucent foreign body causing proximal obstruction such as a barium upper GI study or ultrasound could be considered if clinical signs are not improving with medical management over the next 48 hours.</t>
  </si>
  <si>
    <t xml:space="preserve">
1.The liver and spleen are normal size._x000D_
2.No abnormal AI findings reported._x000D_
3.The right cranial quadrant has a hazy appearance on the VD projection otherwise serosal detail is adequate._x000D_
4.The colon contains gas and scant semiformed feces._x000D_
5.In the abdomen the stomach contains small volume gas, soft tissue and mildly prominent rugae._x000D_
6.Small intestines are minimally filled. No small intestinal segmental dilation is noted.</t>
  </si>
  <si>
    <t>A two view study of the abdomen is provided for interpretation._x000D_
_x000D_
No foreign objects are identified in the GI tract. There is a minimal quantity of amorphous soft tissue dense content in the stomach. No dilation of the stomach or intestine is seen. The large intestine is gas filled, the small intestine appears empty. There is a slight reduction in detail in the caudal abdomen in the lateral view. This is a subtle and equivocal finding. The other organs are within normal limits.</t>
  </si>
  <si>
    <t>No foreign bodies or obstructive pattern are identified. Gastroenteritis is most likely._x000D_
_x000D_
This could be the result of regional inflammation in this area, but the radiographic appearance is subtle enough as to potentially be artifactual.</t>
  </si>
  <si>
    <t>Supportive care and symptomatic therapy for probable gastroenteritis is recommended. Infectious causes should be ruled out._x000D_
Follow up imaging such as ultrasound should be considered if clinical signs are not responding adequately to medical management over the next few days.</t>
  </si>
  <si>
    <t xml:space="preserve">
1.The liver and spleen are normal for size._x000D_
2.No abnormal AI findings reported._x000D_
3.The stomach is mildly gas and fluid dilated._x000D_
4.There is gas and mild fluid dilation noted within the descending duodenum._x000D_
5.The small bowel contains gas and fluid but is largely normal in diameter throughout._x000D_
6.There is also gas and fluid distention of the cecum and the entire length of the colon._x000D_
7.View GI resource: https://platform.v2.vetology.net/doc/GI_x000D_
8.Abdominal detail is normal.</t>
  </si>
  <si>
    <t xml:space="preserve">Patient Name : Yogi Rujiwat, Date of study: Jun 24, 2024
4 images are provided for review
There are no previous radiographs for comparison.
Liver: The liver is subjectively small with cranial displacement of the gastric axis.  
Spleen: The spleen is normal in size with smooth margins and homogeneous soft tissue.
Kidneys: The right kidney is obscured without obvious renomegaly or mineral. The left kidney is normal.
Retroperitoneum: Retroperitoneal detail is adequate.
Urogenital: The urinary bladder is normal in size, homogeneous soft tissue, and smoothly marginated.
Peritoneum: Peritoneal detail is adequate.
Gastrointestinal tract: The stomach contains a mild gas. The stomach is normal in size.  Gastric rugal folds are minimally prominent in a right lateral image.
The small intestine contains minimal gas or is empty with a subjectively uniform population for size. 
The colon contains mild  soft tissue material and gas. The colon is normal in size.
Musculoskeletal: The included musculoskeletal structures are normal.
</t>
  </si>
  <si>
    <t xml:space="preserve">1. Non-specific gastrointestinal tract changes such as from gastritis, enteritis, or individual variation of normal.
- Differential diagnoses for enteritis/gastritis include occult ulceration, dietary indiscretion, toxin ingestion, diet/antibiotic responsive disease, inflammatory bowel disease, parasitism/primary infectious disease, or pancreatitis or occult systemic disease.
2. There is no evidence of gastrointestinal mechanical ileus.
3. Microhepatia versus artifact from positioning/technique and phase of respiration.
- If present, consider occult portosystemic shunting vessel or microvascular dysplasia.
</t>
  </si>
  <si>
    <t xml:space="preserve">Consider GI panel, fecal analysis/deworming, and routine blood work for further evaluation.  Bile acid testing may be contributory with possible computed tomography portography depending on results.  Empirical therapy and supportive care in the interim as needed. Consider ultrasonography, especially if signs fail to improve or worsen with empirical therapy.  </t>
  </si>
  <si>
    <t>Opposite lateral and VD views of the thorax and abdomen are provided for interpretation._x000D_
_x000D_
No pulmonary infiltrates or bronchial thickening are identified. The cardiovascular structures are within normal limits. No tracheal or esophageal abnormalities are seen._x000D_
The stomach and intestinal tract are unremarkable. The other abdominal organs are also within normal limits.</t>
  </si>
  <si>
    <t>No significant thoracic or abdominal abnormalities are identified in this study.</t>
  </si>
  <si>
    <t>The cause of cough is not apparent in the radiographs. Viral tracheobronchitis or allergic lung disease could still be present._x000D_
Symptomatic therapy is recommended.</t>
  </si>
  <si>
    <t xml:space="preserve">
1.Splenic size, shape and margin are normal._x000D_
2.Cranial abdominal detail is mildly decreased._x000D_
3.The stomach is mildly to moderately gas distended._x000D_
4.The small bowel is diffusely gas- and fluid-filled with intestinal distention approaching the upper limit of normal. In a small portion of cases, uterine horn distention could mimic small bowel dilation._x000D_
5.Liver size is at the lower limits of normal to slightly small with cranial displacement of the gastric axis._x000D_
6.Resource: https://platform.v2.vetology.net/doc/microhepatia_and_giulcers</t>
  </si>
  <si>
    <t>Three orthogonal thoracic radiographs and a single craniocaudal survey of the distal thoracic limbs dated 24th June 2024 are available for review. There are no previous radiographs available for comparison. _x000D_
_x000D_
Airway findings: A smoothly marginated soft tissue opacity is variably present overlying the dorsal aspect of the trachea at the thoracic inlet. This opacity reduces approximately 70% of the dorsoventral diameter of the trachea. The intrathoracic trachea is normal. There is a interstitial opacity superimposed on the entire thorax consistent with body habitus, however some more opacification is visible caudal dorsally._x000D_
_x000D_
Cardiovascular findings: There is a moderate sized smoothly marginated soft tissue opacity contiguous with the caudal dorsal border of the cardiac silhouette. A soft tissue opacity is suspected at the cranial margin of the cardiac base elevating the trachea. A soft tissue opacity is superimposed on the caudal cardiac silhouette in the dorsoventral image.  The pulmonary vessels as well as the mainstem vasculature are poorly visible._x000D_
_x000D_
Mediastinum and pleural space: There is increased cranial mediastinal and ventral pleural fat._x000D_
_x000D_
Musculoskeletal findings: The patient is morbidly obese. A skin wound is visible in the medial aspect of the right antebrachium. No bony abnormalities are present. No gas lucencies are present within or radiopacities._x000D_
_x000D_
Included abdomen: There is hepatomegaly with rounded borders.</t>
  </si>
  <si>
    <t>1. The dorsal attenuation of the trachea is consistent with tracheomalacia, and/or redundant trachealis membrane. The extent of attenuation would be expected to cause coughing._x000D_
2. Left and suspect right atrial dilation. This is most likely due to mixoid degeneration of the mitral and tricuspid valve. There is mild cardiomegaly. The evidence for cardiac insufficiency is equivocal. The caudal dorsal interstitial opacification may be due to hypoinflation however early cardiogenic pulmonary oedema is possible._x000D_
3. Uncomplicated skin wound.</t>
  </si>
  <si>
    <t>Consider evaluation for airway collapse (fluoroscopy vs. right lateral inspiratory and expiratory radiographs vs. CT with virtual bronchoscopy). Alternatively consider medical management. Consider surgical consultation depending on clinical progression._x000D_
Obesity predisposes for airway collapse, and reduction of thoracic volume (pickwickian syndrome), reducing pulmonary clearance, therefore weight management is indicated._x000D_
Radiography is insensitive for early cardiac insufficiency, therefore ECG, blood pressure measurements, and echocardiography may be considered for further evaluation, or baseline measurements.</t>
  </si>
  <si>
    <t>Ten orthogonal survey radiographs of the thorax, abdomen and appendicular skeleton dated 24th June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small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 _x000D_
_x000D_
Musculoskeletal findings: _x000D_
Thoracic limbs: There is minimal smooth osteophytic modelling of the caudal aspect of the humeral heads. Both elbow joints are normal. The extremities are normal._x000D_
Vertebral column and pelvic limbs: The cervical vertebral column is obliqued, however no abnormalities are noted. The thoracic vertebral column is normal. There is narrowing of the T12-T13 intervertebral disc space, with collapse ventrally, and smoothly marginated ventral spondylosis. There is mild kyphosis the 13th ribs are transitional. There is mild narrowing at T11-T12, also mainly ventrally, with smooth vertebral and plates. The lumbar vertebral column is normal. The iliosacral joints are symmetric. There is good coverage of the femoral heads by the acetabuli.  No degenerative modelling is noted at the acetabular rim and femoral heads and there is good articular congruency. The pelvic and caudal thigh musculature is symmetric. The patella are in an anatomical position.</t>
  </si>
  <si>
    <t>1. T11-T12 and T12-T13 intervertebral disc disease: This may cause some back pain. No mineralised disc extrusion is seen, however nonmineralised disc protrusion may be present and may cause some extradural compression._x000D_
2. Minimal symmetric shoulder osteoarthritis, unlikely of clinical significance.</t>
  </si>
  <si>
    <t>Abdomen: There is a smooth margined metallic opacity (consistent with history of earbud ingestion) within the gastric lumen.  The remainder of the stomach is distended with a heterogeneous soft tissue opacity.  There is no evidence of a small intestinal foreign body or obstruction.  The remainder of the abdomen is unremarkable.</t>
  </si>
  <si>
    <t>Metallic gastric foreign body._x000D_
_x000D_
The heterogeneous appearance associated with the remainder of the gastric lumen may represent normal ingesta or foreign material.</t>
  </si>
  <si>
    <t>Three radiographs of the abdomen are provided. Serosal detail is adequate. The stomach contains a moderate amount of soft tissue density that is stippled with gas. Small and large bowel are minimally distended. No severe intestinal distention or radiopaque foreign material. The liver, left kidney, and spleen are normal size. The right kidney is obscured by bowel loops. Normal caudal thorax and osseous structures.</t>
  </si>
  <si>
    <t>Normal postprandial abdomen. Gastric contents most likely normal ingesta. Foreign material is given lesser consideration in the absence of vomiting. Gastroenteritis secondary to dietary indiscretion is most likely. There is no convincing evidence of an obstructive process.</t>
  </si>
  <si>
    <t>Recommend supportive care. If the patient develops vomiting, repeat fasting radiographs of the abdomen would be recommended to rule out gastric foreign material.</t>
  </si>
  <si>
    <t xml:space="preserve">
1.The stomach contains a moderate amount of gas and a mild amount of soft tissue and mineral material. The gastric rugae are prominent. The small bowel is diffusely gas- and fluid-filled without segmental small bowel dilation._x000D_
2.Liver size, shape and margin are normal._x000D_
3.Splenic size, shape and margin are normal._x000D_
4.Abdominal detail is normal.</t>
  </si>
  <si>
    <t>Study:_x000D_
Abdominal radiography: three images dated June 24, 2024_x000D_
_x000D_
Findings:_x000D_
The abdominal serosal detail is normal. The stomach contains a small volume of gas with the pylorus appropriately gas-filled on the left lateral image. The small intestines are normal in size, course and content. The colon contains formed fecal material. The liver and spleen are normal in size and margin. The renal silhouettes are normal in size and contour. The urinary bladder is normal in size and opacity. There is no uterine dilation. The included thorax is normal. No skeletal are abnormalities present.</t>
  </si>
  <si>
    <t>Unremarkable abdomen. A cause of the reported vomiting and hyporexia is not evident. There is no radiographic evidence of gastrointestinal foreign material or small intestinal mechanical obstruction. Abdominal sonography can be considered for further evaluation if clinical signs persist or worsen in spite of medical management.</t>
  </si>
  <si>
    <t>Three radiographs of the thorax and three views of the abdomen are provided. Images dated 10/20/22 are available for comparison. In the thorax there is small volume pleural fluid. Mild generalized cardiac silhouette enlargement. There is severe interstitial pattern in the cranioventral right lungs. Bronchial pattern in the remaining lungs consistent with age. No soft tissue pulmonary nodules. Increased opacity extending from the cardiac apex to the diaphragm on the VD view is mediastinal fat deposition and pleural fluid._x000D_
_x000D_
In the abdomen the liver is moderately enlarged with rounded margins. Normal sized spleen and left kidney. The right kidney is incompletely visible. Ovoid 1.8 x 1.2 cm soft tissue density ventral to L5-6. No radiopaque urolithiasis. The gastrointestinal tract is mildly filled.</t>
  </si>
  <si>
    <t>1. Mild generalized cardiomegaly consistent with mitral and tricuspid valve regurgitation. Chronic valvular disease is most likely. Dilated cardiomyopathy is next on the differential list. Mild pleural effusion suggestive of right-sided cardiac decompensation. There is no definitive evidence of cardiogenic pulmonary edema to suggest left-sided heart failure. The ventral severe interstitial pattern on the right side is most consistent with aspiration pneumonia. Edema caused by heart failure is next on the differential list._x000D_
2. Moderate hepatomegaly, increased in size compared to the previous study. This may be due to venous congestion. Steroid hepatopathy or neoplasia are next on the differential list. This should be correlated with blood work._x000D_
3. Mild medial iliac lymphadenomegaly, likely reactive or metastatic and associated with the pelvic limb lesion.</t>
  </si>
  <si>
    <t>Treatment for heart failure and an echocardiogram are recommended. If the patient has elevated white blood cell count or is febrile, antibiotics would be recommended. Abdominal ultrasound should also be considered.</t>
  </si>
  <si>
    <t xml:space="preserve">
1.The gastrointestinal tract is within normal limits._x000D_
2.The liver is enlarged._x000D_
3.The spleen is mildly enlarged with a focal bulge in the splenic capsular margin._x000D_
4.Within the abdomen, there is reduced abdominal serosal detail._x000D_
5.There is a oval soft tissue opaque mass lesion noted within the mid abdomen.</t>
  </si>
  <si>
    <t>Three radiographs of the thorax and orthogonal views of the abdomen are provided. Images dated 10/16/23 were reviewed. There is moderate left-sided cardiomegaly. Subsequent dorsal deviation of the thoracic trachea and mainstem bronchi. This is more pronounced than on the previous study. There is soft tissue density with air bronchograms in the left perihilar region and caudal lung. Moderate interstitial pattern in the right perihilar region. Mild age-related changes in the remaining lungs. Scant gas in the caudal esophagus is transient and incidental. Moderate narrowed cervical trachea on the right lateral view._x000D_
_x000D_
In the abdomen the liver is mild to moderately enlarged, increased in size compared to the previous study. Hepatic margins remain smooth. The abdomen is pendulous. There is no effusion. Normal-sized spleen and kidneys. Large volume of formed feces in the colon. The stomach and small bowel are mildly filled. No radiopaque urolithiasis. Osseous structures are unremarkable.</t>
  </si>
  <si>
    <t>1. Moderate left-sided cardiomegaly consistent with acquired mitral valve disease. This is progressive, and there is pulmonary edema indicating left-sided heart failure today._x000D_
2. Probable dynamic cervical tracheal collapse. This could be contributing to the cough._x000D_
3. Mild to moderate hepatomegaly, a nonspecific finding that is most likely steroid or other hepatopathy. An inflammatory or neoplastic process are next on the differential list. No other abdominal abnormalities.</t>
  </si>
  <si>
    <t>Recommend treatment for heart failure and follow-up echocardiogram. Routine blood work is also recommended. Further investigation of the liver and adrenal glands with ultrasound could be considered.</t>
  </si>
  <si>
    <t xml:space="preserve">
1.There is loss of serosal detail._x000D_
2.The abdomen is pendulous._x000D_
3.A mass effect is present in the mid ventral abdomen on the lateral projection._x000D_
4.The liver appears to be enlarged._x000D_
5.The small bowel is displaced away from the mid ventral abdomen and portions of the small bowel have a rigid appearance suggestive of a functional ileus.</t>
  </si>
  <si>
    <t>Study:_x000D_
Thoracic and abdominal radiography: seven images dated June 24, 2024_x000D_
_x000D_
Findings:_x000D_
The cardiac silhouette and pulmonary vasculature are normal in size. The pulmonary parenchyma is unremarkable. The pleural space is normal. There is no intrathoracic lymphadenopathy. The trachea is normal in diameter and course. The abdominal serosal detail is adequate. There are two thin linear metallic opacities in the cranial abdomen=ZZ90= one adjacent to the pylorus and one superimposed with the right liver. The stomach contains a small volume of gas and a small amount of unstructured heterogeneous soft tissue material. The pylorus is appropriately gas-filled on the left lateral image. Similar material is present in some small intestinal segments. The small intestines are normal in size and course. The colon contains formed fecal material. The liver extends beyond the costal arch with a smooth and rounded caudoventral margin. The spleen is moderately enlarged with smooth margins. The renal silhouettes are normal in size and contour. The urinary bladder is normal in size and opacity. There is no prostatomegaly. There is mild L3-L4 spondylosis deformans.</t>
  </si>
  <si>
    <t>1. Gastrointestinal contents contents likely represent ingesta. Foreign material cannot be completely exceeded. There is no evidence of small intestinal mechanical obstruction. Repeat fasted radiography can be considered to ensure gastrointestinal emptying if clinically relevant based on recent dietary history. Alternatively, sonography can be considered if clinical signs persist or worsen in spite of medical management._x000D_
2. The generalized hepatomegaly is nonspecific. Rule out metabolic/vacuolar hepatopathy, hyperplasia, hepatitis or infiltrative neoplasia. Correlate with any liver enzyme abnormalities. Sonography can be considered for further evaluation._x000D_
3. The generalized splenomegaly is also nonspecific. Rule out extramedullary hematopoiesis, lymphoid hyperplasia, splenitis, or infiltrative neoplasia. Sonography can be considered for further evaluation._x000D_
4. At least one peritoneal wire foreign body is present. The other may be within the hepatic parenchyma or also free within the peritoneal cavity. In either case, these are relatively common incidental findings._x000D_
5. Normal thorax.</t>
  </si>
  <si>
    <t xml:space="preserve">
1.Abdominal detail is normal._x000D_
2.The stomach is normal. The small bowel is diffusely gas- and fluid-filled without segmental small bowel dilation._x000D_
3.Splenic size, shape and margin are normal._x000D_
4.The liver is mildy enlarged.</t>
  </si>
  <si>
    <t>A three view study of the abdomen and orthogonal thorax views are provided for interpretation._x000D_
_x000D_
The spleen is prominent, and felt to be mildly enlarged. The shape is normal, and the margins are smooth. The other abdominal organs are all within normal size and shape limits. No abnormalities are identified involving the GI tract. The stomach and small intestine appear empty and nondistended. There is a moderate volume of normal appearing fecal material in the colon._x000D_
_x000D_
The cardiovascular structures are within normal limits. No pulmonary infiltrates or pleural effusion are seen. No tracheal/pharyngeal or esophageal abnormalities are identified.</t>
  </si>
  <si>
    <t>The spleen is mildly enlarged. This is a nonspecific change but most likely associated with reactive change secondary to inflammatory disease or simply a benign variant. Lymphoreticular neoplasia is less likely but cannot be ruled out._x000D_
No thoracic abnormalities are identified.</t>
  </si>
  <si>
    <t>No findings that would explain the presenting complaint are identified._x000D_
Symptomatic therapy for possible esophagitis for gastritis is recommended._x000D_
_x000D_
CBC and serum chemistry should be considered to help rule out systemic inflammatory/infectious or metabolic disease.</t>
  </si>
  <si>
    <t>Three radiographs of the thorax, and three views of the abdomen are provided. The cardiac silhouette and pulmonary vessels are normal size and shape. The lungs are clear. There are no esophageal or tracheal abnormalities. Osseous structures are age-appropriate._x000D_
_x000D_
In the abdomen serosal detail is adequate for the young age of this patient. There is small volume of gas in the stomach on the lateral views. Possible amorphous soft tissue density in the fundus on the VD projection versus collapsed rugal folds. Small bowel are diffusely mildly fluid-filled. There is gas in the cecum and colon. No organomegaly. The uterus is not definitively seen. The coxofemoral joints are congruent.</t>
  </si>
  <si>
    <t>Equivocal soft tissue density in the stomach may be residual ingesta or collapsed rugal folds. Foreign material is given lesser consideration in the absence of vomiting. Otherwise normal abdomen. Gastroenteritis secondary to dietary indiscretion or infectious etiology is most likely. There is no evidence of small bowel obstruction. The thorax is normal.</t>
  </si>
  <si>
    <t>A CBC, blood chemistry profile, and supportive care are recommended. Based on patient response and lab work results, further investigation with abdominal ultrasound may be indicated.</t>
  </si>
  <si>
    <t>Patient Name : Buffy Repollo, Date of study: Jun 24, 2024
3 images are provided for review
Canine Thorax (3 Images) - 2 Lateral, 1 Vd
There are no previous radiographs for comparison.
Pulmonary parenchyma: A minimal to mild diffuse bronchial pattern is present.  A minimal interstitial pattern is in the right caudal lungs in the ventrodorsal image.  Ovoid soft tissue superimposes over the thorax and right middle lung at the level of the 6th intercostal space.  This may correspond to ill-defined ovoid soft tissue over the right lungs over the 5th rib in the ventrodorsal image.  The presumed right cranial lobar bronchi are not well-identified in the left lateral image.  
Pulmonary vasculature: The pulmonary vasculature is subjectively normal in size and tapers in the periphery of the lungs.
Cardiac silhouette: The cardiac silhouette is enlarged and tall, occupying greater than 2/3 the height of the thoracic cavity.  The caudodorsal margin of the cardiac silhouette is enlarged.  Moderate rounded increased soft tissue is in the region of the left atrium in the ventrodorsal image.
Mediastinum: The cranial mediastinum is normal.
Trachea: The a soft tissue band partially superimposes over the trachea.  In the left lateral image, the trachea has an undulant dorsal margin.
Esophagus: The esophagus is not well-identified.
Pleural space: The pleural space is normal.
Musculoskeletal: The included musculoskeletal structures are normal.</t>
  </si>
  <si>
    <t>1. Possible right middle lung lobe soft tissue nodule, versus superimposed external nodule, or less likely other.  
2. Moderate left-sided cardiomegaly such as from myxomatous mitral valvular disease and insufficiency, and possible evolving left-sided congestive heart failure.
3. Minimal-mild diffuse bronchial and minimal right caudal lung lobe interstitial pulmonary pattern due to evolving left-sided congestive heart failure and/or infectious/immune-mediated lower airway disease (mycoplasma spp., bordetella spp., parasitism such as lung worms, or less likely other), fibrosis from prior disease, or unlikely other.
4. Tracheal changes and suspected lobar bronchial narrowing from chondromalacia and dynamic airway disease.</t>
  </si>
  <si>
    <t>Echocardiography, ECG and blood pressure for further evaluation.  Diuretic therapy and repeat radiographs in 4-6 hours, including a dorsoventral image, to monitor for resolution/progression of the pulmonary pattern.    Routine blood work and urinalysis if not recently performed.  Consider respiratory PCR panel, fecal analysis/deworming, and empirical therapy for infectious/immune-mediated lower airway disease contributing to current clinical signs.  Tracheoscopy/bronchoscopy and internist consultation may be contributory.   Monitoring as directed or sooner if clinical signs acutely change, fail to improve or worsen.
(amended on 06/24/2024 09:58)
Consider computed tomography for further evaluation of the thorax, especially if right middle lung lobe nodule is persistent or progressive on serial thoracic imaging.</t>
  </si>
  <si>
    <t xml:space="preserve">
1.The liver is mildly enlarged with rounded margins._x000D_
2.Splenic size, shape and margin are normal._x000D_
3.Abdominal detail is normal._x000D_
4.The stomach is normal. The small bowel is diffusely gas- and fluid-filled without segmental small bowel dilation.</t>
  </si>
  <si>
    <t>Four orthogonal survey radiographs of the thorax and abdomen dated 24th June 2024 are available for review. There are no previous radiographs available for comparison. _x000D_
_x000D_
Thorax: _x000D_
Airway findings: The thorax is well inflated in the images. The trachea has a normal position, shape and size. The carina and tracheal bifurcation are normal. There is a mild diffuse bronchial pattern, with caudal dorsal emphasis. No nodules or masses are seen._x000D_
_x000D_
Cardiovascular findings: The cardiac silhouette is normal in shape, size and margination. The cranial and caudal pulmonary vasculature is normal. The caudal vena cava is normal. The aorta and mainstem pulmonary artery have a normal outline in the vd/dv l image. _x000D_
_x000D_
Mediastinum and pleural space: No significant abnormalities are detected._x000D_
_x000D_
Abdomen: The hepatic silhouette is normal in size with smooth borders. The spleen is normal in shape, size and position. The kidneys are partially obscured by gastrointestinal contents, but the visible aspect are normal. The stomach contains a moderate amount of kibble.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Musculoskeletal findings: A very large fat opaque mass is present at the left caudal thorax and cranial abdominal wall. The abdominal wall layering is intact.</t>
  </si>
  <si>
    <t>1.Diffuse mild bronchial pattern: Consideration should be given to normal ageing, allergic bronchitis, chronic bacterial /viral bronchitis +/- parasitic bronchitis. Less likely are heart worm, hyperardenocorticism, neoplasia (such a lymphoma) or idiopathic pulmonary fibrosis._x000D_
2. No nodular opacities are present in the pulmonary parenchyma. A diagnostic metastasis check require is a 3 view thoracic series._x000D_
3. Large body wall mass consistent with a very large lipoma. A liposarcoma is considered unlikely.</t>
  </si>
  <si>
    <t>No contraindications for surgical removal of the mass are seen. Consider a 3 view thoracic series for a complete metastasis check.</t>
  </si>
  <si>
    <t>Three radiographs of the thorax/abdomen are provided. The cardiac silhouette and pulmonary vessels are normal size and shape. There are no abnormalities in the pulmonary parenchyma or pleural space. The plane of the esophagus is unremarkable. Narrowed caudal cervical trachea on the left lateral view is of doubtful clinical significance today. In the abdomen serosal detail is adequate for the trim body condition. There is small volume gas and equivocal scant amorphous soft tissue density in the stomach. Small and large bowel are minimally filled. Normal-sized liver, spleen, kidneys. The urinary bladder is minimally distended.</t>
  </si>
  <si>
    <t>Equivocal scant amorphous soft tissue density in the stomach may represent residual ingesta. Foreign material causing gastritis and pyloric outflow obstruction is not ruled out. There is no evidence of small bowel obstruction. The thorax is normal.</t>
  </si>
  <si>
    <t>A CBC, blood chemistry profile, and strictly fasting abdominal ultrasound is recommended. If patient vomiting is severe/persistent, proceeding to gastroscopy would be appropriate.</t>
  </si>
  <si>
    <t>ABDOMEN (2 total radiographs for review).  A recent examination is available from 06/19/24._x000D_
_x000D_
- Peritoneal serosal detail is adequate_x000D_
- The stomach contains mild gas and gas-stippled soft-tissue opaque material_x000D_
- The small intestine is overall non-distended and contains mild multifocal gas and soft-tissue opaque material_x000D_
- The colon contains gas, soft-tissue/fluid and minimal formed fecal material._x000D_
- The liver, spleen, kidneys and urinary bladder are normal._x000D_
- The caudal thorax is normal_x000D_
- No musculoskeletal abnormalities are noted.</t>
  </si>
  <si>
    <t xml:space="preserve">
1.The liver and spleen are within normal limits._x000D_
2.Detail in the abdomen is adequate._x000D_
3.The stomach is partially distended with gas and some fluid._x000D_
4.The small intestinal tract is diffusely gas- and fluid-filled but without segmental bowel dilation._x000D_
5.The colon contains gas and has a rigid appearance._x000D_
6.No abnormal AI findings reported.</t>
  </si>
  <si>
    <t>5 images of the abdomen are provided for review.  Serosal detail is poor in all quadrants.  The liver margins extend beyond the costal arch, causing caudal displacement of the gastric axis.  The stomach contains a small amount of gas.  The small intestines are normal in size.  Gas and feces are present in the colon.  The urinary bladder is small.  The remaining abdominal organs are normal.</t>
  </si>
  <si>
    <t>Poor serosal detail consistent with free fluid.  Hepatomegaly=ZZ90= this is a nonspecific finding that may be seen with congestion, vacuolar hepatopathy, inflammation, neoplasia, etc.</t>
  </si>
  <si>
    <t xml:space="preserve">
1.The caudoventral hepatic serosal margins are somewhat poorly defined but appear to be rounded._x000D_
2.There is a marked reduction in serosal detail within the peritoneal space and the abdomen has a pendulous appearance._x000D_
3.The stomach is normal in position but the intestine is displaced._x000D_
4.The splenic serosal margins are also poorly defined._x000D_
5.There is a very large mass-effect within the cranial abdomen that is displacing colon and small intestines into the caudal abdomen. The gastrointestinal tract is considered within normal limits with the exception of being displaced by the mass-effect.</t>
  </si>
  <si>
    <t>8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moderately distended.  No mineral is seen associated urinary tract.  The remaining abdominal organs are normal.  There is ventral and lateral spondylosis deformans of the lumbosacral spine.  Coverage of the femoral heads by their adequate bilaterally.  An osteophyte is present at the cranial acetabular rim on the left.</t>
  </si>
  <si>
    <t>Radiographically normal abdomen.  Lack of specific changes does not rule out radiolucent calculi or neoplasia.  Abdominal ultrasound may be helpful.  Radiographically normal thorax for patient of this age.  Mild left coxofemoral DJD.  Degenerative changes of the lumbosacral spine.  CT or MRI could be considered in the evaluation of the spinal cord/nerve roots.</t>
  </si>
  <si>
    <t>3 views of the thorax and abdomen are provided for review.  The cardiac silhouette is widened with rounding of the left ventricular border.  Interstitial to alveolar opacities present in all lung lobes, slightly more pronounced caudodorsally.  Thin pleural fissure lines present.  The mediastinal structures are normal.  Abdominal serosal detail is adequate in all quadrants.  An accumulation of mineral foci is seen in the right ventral liver in the area of the gallbladder.  The stomach contains a small amount of gas.  The small intestines are normal in size.  A poorly defined soft tissue mass is seen in the mid abdomen.  Gas and feces are present in the colon.  The urinary bladder is small.  The remaining abdominal organs are normal.</t>
  </si>
  <si>
    <t>Cholelithiasis.  Poorly defined mid abdominal mass=ZZ90= consider intestinal lymph node origin.  Abdominal ultrasound could be considered.  Cardiomegaly.  Scant pleural effusion.  Interstitial to alveolar pulmonary pattern consistent with cardiogenic pulmonary edema.  Consider repeat radiographs following diuretic therapy.  Echocardiography, proBNP, and thyroid testing may be helpful in further evaluation.</t>
  </si>
  <si>
    <t>Moderate bronchial pulmonary pattern=ZZ90= consider viral or Bordetella type pneumonitis, bronchitis, response to inhaled irritants, response to circulating parasites, eosinophilic bronchopneumopathy.</t>
  </si>
  <si>
    <t xml:space="preserve">
1.The liver extends moderately beyond the costal arch with a smooth margin._x000D_
2.The small intestines are normal in size, course and content._x000D_
3.The colon contains partially formed fecal material._x000D_
4.The stomach contains a small volume of gas._x000D_
5.The spleen is normal in size and margin._x000D_
6.The abdomen is pendulous._x000D_
7.Abdominal detail is normal.</t>
  </si>
  <si>
    <t>4 images of the abdomen are provided for review.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small.  The prostate is generally enlarged.  The remaining abdominal organs are normal.  Spinal alignment is normal with no consistently narrowed intervertebral disc spaces.  The coxofemoral joints are congruent.  No fractures or aggressive osseous lesions are seen.</t>
  </si>
  <si>
    <t>Hepatomegaly=ZZ90= this is a nonspecific finding that may be seen with congestion, vacuolar hepatopathy, inflammation, neoplasia, etc.  Prostatomegaly.  Consider benign hyperplasia, prostatitis, paraprostatic cyst.</t>
  </si>
  <si>
    <t xml:space="preserve">
1.There is increased soft tissue opacity in the splenic region. DDx: secondary to caudal extension of the liver vs. loss of detail due to abdominal fluid vs. splenomegaly or a splenic mass._x000D_
2.There is poor detail identified in the abdomen. DDx: secondary to hepatomegaly causing crowding of the abdominal organs and/or abdominal fluid._x000D_
3.The abdomen is mildly pendulous._x000D_
4.The stomach contains fluid and some gas._x000D_
5.The small intestine is diffusely fluid filled._x000D_
6.The liver is enlarged with rounded borders.</t>
  </si>
  <si>
    <t>3 views of the abdomen are provided for review.  Serosal detail is reduced in all quadrants.  The liver margins are rounded and extend beyond the costal arch, causing caudal displacement of the gastric axis.  A rounded soft tissue mass is seen in the right ventral abdomen.  The right kidney is visible superimposed over this mass on the VD view.  No distinct cysts clinic communication is seen based on the VD view, but cannot be completely excluded.  The stomach contains a moderate amount of gas.  The small intestines are normal in size and caudally displaced.  Gas and feces are present in the colon.  The urinary bladder is small with gas in the lumen and wall.  The remaining abdominal organs are normal.</t>
  </si>
  <si>
    <t>Emphysematous cystitis consistent with bacterial infection such as E. coli or Clostridium.  Urine culture may be helpful.  Hepatomegaly=ZZ90= this is a nonspecific finding that may be seen with congestion, vacuolar hepatopathy, inflammation, neoplasia, etc. Reduced serosal detail may indicate mild free fluid or be secondary to mass effect.  The additional mass may represent a pedunculated liver, spleen, intestine, mesentery, lymph node.  Right renal origin cannot be completely excluded. _x000D_
 Abdominal ultrasound or CT may be helpful in further evaluation.  Consider 3 view thoracic radiographs for metastatic check.</t>
  </si>
  <si>
    <t>7 images of the thorax and pelvis/pelvic limbs are provided for review.  The trachea is dorsally deviated, indicating left ventricular enlargement.  A small bulge is present in the region of the left atrium.  No pulmonary infiltrates are seen.  The pulmonary vasculature is normal in size.  The trachea is mildly narrowed in the cervical region.  The mediastinal and pleural structures are normal.  Cranial abdominal detail is adequate.  The coxofemoral joints are congruent.  The patellae are medially located.  No fractures or aggressive osseous lesions are seen.  The joint surfaces are smooth and regular increased soft tissue is seen in the right stifle joint.  The left stifle cannot be evaluated for effusion due to obliquity on the lateral view.</t>
  </si>
  <si>
    <t>Tracheal narrowing suggestive of tracheal collapse.  Fluoroscopy bronchoscopy could be considered.  Mild left-sided cardiomegaly without current evidence of cardiogenic pulmonary edema.  Echocardiography may be helpful in further evaluation.  Bilateral medial patellar luxation.  Right stifle soft tissue may represent effusion (related to soft tissue injury) or fibrosis (related to patellar luxation).  Consider surgical consultation.  An additional lateral view of the left stifle with ideal positioning may be helpful to rule out bilateral effusion.</t>
  </si>
  <si>
    <t xml:space="preserve">
1.The stomach is normal. The small bowel contains gas and fluid but no segmental small bowel dilation is noted._x000D_
2.Abdominal detail is normal however the abdomen is mildly pendulous._x000D_
3.Splenic size, shape and margin are normal._x000D_
4.The liver is mildly enlarged but with smooth margins. No liver mass is noted.</t>
  </si>
  <si>
    <t>Study:_x000D_
Thoracic and abdominal radiography: nine images dated June 22,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There is a metallic round soft tissue opacity superimposed with the stomach on all projections. The small intestines are normal in size, course and content. The colon contains gas and poorly formed fecal material. The liver and spleen are normal in size and margin. The renal silhouettes are normal in size and contour. The urinary bladder is normal in size and opacity. The prostate is severely enlarged with smooth margins. There is no prostatic rectal mineralization. There is variable mild to severe multifocal thoracolumbar spondylosis deformans. There is moderate bilateral elbow periarticular bone formation. The coverage of the femoral head by the acetabulum is moderately poor bilaterally with mild to moderate remodeling/thickening of the femoral head and neck, worse on the left. There is mild to moderate right stifle periarticular new bone formation.</t>
  </si>
  <si>
    <t>1. Severe prostatomegaly. Rule out benign prostatic hyperplasia plus/minus prostatitis, prostatic abscess formation or para-prostatic cyst. Prostatic neoplasia is less likely in the absence of any parenchymal mineralization. Urinalysis, abdominal sonography plus/minus urine culture can be considered for further evaluation._x000D_
2. It is difficult to discern if the metallic round opacity within the gastric lumen, free within the mesentery or within the subcutaneous tissues of the ventral abdomen. Repeat radiography (if clinically relevant) can be considered to rule out a gastric location as the opacity would be expected to move if gastric in location._x000D_
3. Normal thorax. There is no radiographic evidence of cardiopulmonary disease or intrathoracic neoplasia._x000D_
4. Moderate bilateral osteoarthrosis._x000D_
5. Bilateral hip dysplasia and coxofemoral osteoarthrosis worse on the left._x000D_
6. The right stifle degenerative joint disease may indicate cranial cruciate and/or meniscal injury.</t>
  </si>
  <si>
    <t xml:space="preserve">Patient Name : Carolina Van Asveld, Date of study: May 23, 2024
3 images are provided for review
Canine Thorax (3 Images) - 1 Vd, 2 Lateral
There are no previous radiographs for comparison. Images are grainy/mottled.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No evidence of tracheal displacement in the ventrodorsal image.  The trachea is otherwise normal.
Esophagus: The esophagus is minimal soft tissue in the caudal thorax in the right lateral image.  The esophagus is otherwise not well-identified.
Pleural space: The pleural space is normal.
Musculoskeletal: The included musculoskeletal structures are normal.
Abdomen:  Peritoneal gas is suspected.  The liver is slightly small and is suspected ot only occupy two intercostal spaces.
</t>
  </si>
  <si>
    <t>1. No obvious evidence of cranial esophageal enlargement/tracheal displacement such as from vascular ring anomaly.
2.  Minimal-mild diffuse bronchial pulmonary pattern.
- Differential diagnoses include infectious/immune-mediated lower airway disease such as from mycoplasma spp., bordetella spp., parasitism, or inhaled allergen/irritant.
3. Suspected peritoneal gas versus artifact.
- If reported ovariohysterectomy was recent, this is likely due to normal post-operative status, other, consider septic peritonitis/ruptured hollow viscus, especially if worsening or severe clinical signs are present.  
4. Slight microhepatia versus individual variation of normal.
- If present, consider occult portosystemic shunt versus other.</t>
  </si>
  <si>
    <t>If signs of regurgitation are present, then further evaluate for vascular ring anomaly with esophagoscopy or contrast esophagography and possibly computed tomography of the thorax.  Without clinical signs, this is consider unlikely.  Consider routine blood work and bile acid testing.  Consider abdominal ultrasonography versus computed tomography for further evaluation of portosystemic shunt depending on results.  Empirical therapy and supportive care in the interim as needed.  Monitoring as directed or sooner if clinical signs acutely change, fail to improve or worsen.</t>
  </si>
  <si>
    <t xml:space="preserve">
1.No abnormal AI findings reported._x000D_
2.There is mild hepatomegaly with smooth margins._x000D_
3.The spleen is smoothly marginated and within normal limits for size._x000D_
4.The stomach contains a small volume of gas._x000D_
5.The small bowel contains gas and fluid. No evidence of obstruction.</t>
  </si>
  <si>
    <t>ABDOMEN (2 total radiographs for review). Multiple previous examinations are available for comparison, most recently from 2023._x000D_
_x000D_
- Peritoneal serosal detail is adequate_x000D_
- The stomach contains mild gas and gas-stippled soft-tissue opaque material. The gastric rugal folds are prominent._x000D_
- The small intestine is non-distended and contains mild multifocal gas and soft-tissue opaque material_x000D_
- The colon contains gas, soft-tissue/fluid and minimal formed fecal material._x000D_
- The liver is mildly enlarged, with rounded margins._x000D_
- The spleen, kidneys and urinary bladder are normal._x000D_
- The uterus is not seen._x000D_
- The caudal thorax is normal, however there is some fluid in the caudal portion of the thoracic esophagus._x000D_
- No musculoskeletal abnormalities are noted._x000D_
- The mammary glands are prominent, as expected.</t>
  </si>
  <si>
    <t>1. The appearance of the stomach, small intestine and colon can be compatible with a non-specific generalized functional ileus (e.g. gastroenterocolitis). There is no evidence of small intestinal foreign material or mechanical obstruction. If clinically indicated (such as if the patient does not improve or worsens despite medical management), abdominal ultrasonography might be considered._x000D_
_x000D_
2. Mild generalized hepatomegaly. Most likely representing vacuolar (metabolic) hepatopathy, however in the context of the history, hepatitis is possible. Hepatic congestion or neoplasia are possible, but less likely._x000D_
_x000D_
3. The uterus is not distinctly identified and not obviously enlarged, however radiographic sensitivity for subtle uteromegaly can be limited and that there is further clinical concern you may consider abdominal ultrasound for further assessment._x000D_
_x000D_
4. Mild caudal esophageal fluid can indicate esophagitis and/or esophageal reflux.</t>
  </si>
  <si>
    <t>WHOLE-BODY (4 radiographs for review). Multiple previous examinations are available for comparison, most recently from 11/2022. _x000D_
_x000D_
- There is mild to moderate left-sided cardiomegaly, which is characterized by a straightening of the caudal cardiac margin and dorsal displacement of the caudal aspect. The enlarged left heart is causing a compression and collapse of the carina/left principal bronchi._x000D_
- The pulmonary vasculature is normal._x000D_
- Trachea dynamic narrowing and opacification._x000D_
- Mild, diffuse bronchial pattern with peripheral airway mineralization._x000D_
- The liver is moderately large, with rounded margins._x000D_
- Peritoneal serosal detail is adequate_x000D_
- The stomach contains mild gas and gas-stippled soft-tissue opaque material_x000D_
- The small intestine contains mild multifocal gas and soft-tissue opaque material_x000D_
- The colon contains gas, soft-tissue/fluid and mild formed fecal material._x000D_
- The spleen, kidneys and urinary bladder are normal._x000D_
- Moderate multifocal cranial lumbar and theoretical lumbar intervertebral disk space narrowing with endplate sclerosis and spondylosis deformans._x000D_
- Smooth mineral opacity in the right cranial thoracic body wall region</t>
  </si>
  <si>
    <t>1. Mild-to-moderate left-sided cardiomegaly, without pulmonary vasculature congestion or congestive heart failure. Most likely compatible with degeneration of the mitral valve. Consider careful cardiac auscultation and echocardiography/ECG for further assessment._x000D_
_x000D_
2. The appearance of the trachea can be compatible with tracheal collapse, secondary to chondromalacia._x000D_
_x000D_
3. Mild diffuse bronchial pattern with few thickened pleural fissures. Most likely representing age-related lower airway changes, however a component of chronic bronchitis is possible, especially if there is a history of abnormal respiratory sounds, wheezing and/or coughing._x000D_
_x000D_
4. Mild generalized hepatomegaly. Most likely representing vacuolar (metabolic) hepatopathy. Hepatic congestion, hepatitis or neoplasia are possible, but less likely._x000D_
_x000D_
5. Otherwise unremarkable abdomen with mild aerophagia._x000D_
_x000D_
6. Multifocal lumbar and thoracolumbar intervertebral disc disease_x000D_
_x000D_
7. Right cranial thoracic body wall mineralized benign nodule or overlying debris/material.</t>
  </si>
  <si>
    <t xml:space="preserve">Patient Name : Zeus Campbell, Date of study: Jun 22, 2024
1 images are provided for review
Canine Abdomen (1 Images) - 1 Lateral
There are no previous radiographs for comparison.
Bones/Joints:
The L2-3 intervertebral disc space is narrowed relative to adjacent spaces.  No obvious mineral is over the L2-3 intervertebral foramina.  
The coxofemoral joints have no obvious osteoarthrosis on limited evaluation.
There is no evidence of medullary sclerosis, osteolysis, endosteal scalloping, or periosteal proliferation.
Soft tissues:  The patient is obese.  The remaining included soft tissues are normal.
</t>
  </si>
  <si>
    <t>1. L2-3 intervertebral disc disease.
2. No obvious coxofemoral joint osteoarthrosis on this examination.</t>
  </si>
  <si>
    <t>Consider neurologist consultation and MRI for further evaluation of the reported clinical signs.  Orthogonal radiographs of the limbs may be contributory.   Empirical therapy and supportive care in the interim as needed.  Monitoring as directed or sooner if clinical signs acutely change, fail to improve or worsen.</t>
  </si>
  <si>
    <t xml:space="preserve">Patient Name : Toy Martinez, Date of study: Jun 22, 2024
6 images are provided for review
There are no previous radiographs for comparison.
Pulmonary parenchyma: A  mild to moderate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Thins pleural fissures lines that do not widen in the periphery of the lungs are between the right cranial/middle lung lobes.  
Musculoskeletal: The included musculoskeletal structures are normal.
</t>
  </si>
  <si>
    <t xml:space="preserve">1.  No current evidence of cardiomegaly does not rule out underlying/evolving cardiac disease.
2. Mild-moderate diffuse bronchial pulmonary pattern.
- Differential diagnoses include infectious/immune-mediated lower airway disease such as from mycoplasma spp., bordetella spp., parasitism, or inhaled allergen/irritant and/or fibrosis from prior disease, age-related changes, or unlikely other.
3. Thin pleural fissure lines due to tangential beam artifact, pleural thickening/folding, or unlikely other.  </t>
  </si>
  <si>
    <t>Echocardiography, eCG and blood pressure given reported identified murmur.  Consider respiratory PCR panel, airway sampling, and fecal analysis for further evaluation if clinical signs such as cough are present.  Empirical therapy and supportive care in the interim as needed. Monitoring as directed or sooner if clinical signs acutely change, fail to improve or worsen.</t>
  </si>
  <si>
    <t>Three radiographs of the thorax, and six views of the abdomen are provided. The cardiac silhouette and pulmonary vessels are normal size and shape. There are no abnormalities in the pulmonary parenchyma. Small volume fluid in the caudal esophagus on the left lateral view it is not persistent and is incidental. Normal tracheal diameter and position._x000D_
_x000D_
In the abdomen there is moderate volume of soft tissue density stippled with gas in the stomach. Small bowel are mildly filled with fluid, gas, and scant stippled soft tissue density. Moderate volume semi-formed and formed feces in the colon. There is no radiopaque gastrointestinal foreign material or cystic calculi. The liver, spleen, and kidneys are normal size and shape. The uterus is not identified. Osseous structures are unremarkable.</t>
  </si>
  <si>
    <t>Normal thorax and postprandial abdomen. There may be small radiolucent foreign material in the stomach causing gastritis and pyloric outflow obstruction.</t>
  </si>
  <si>
    <t xml:space="preserve">Patient Name : Lola Esquivel, Date of study: Jun 22, 2024
2 images are provided for review
Canine Abdomen (2 Images) - 2 Lateral
Previous images dated [06/22/2024 Case#2693524] are available for comparison.  Electronic calipers over the cardiac silhouette limit evaluation in the lateral images.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Liver: The liver is slightly small with cranial displacement of the gastric axis.  
Spleen: The spleen is normal in size with smooth margins and homogeneous soft tissue.
Kidneys: The kidneys are normal in size and shape without obvious mineral.
Retroperitoneum: Retroperitoneal detail is adequate.
Urogenital: Fluid-filled tubular structures are present in the caudal abdomen.  These are over or between the colon and urinary bladder in the left lateral image, and in the left caudal abdomen in the ventrodorsal image.  The urinary bladder is normal in size, homogeneous soft tissue, and smoothly marginated.
Peritoneum: Peritoneal detail is adequate.
Gastrointestinal tract: The stomach contains a moderate volume of gas.   Gas is in the pylorus in the left lateral image.  The stomach is normal in size.
The small intestine contains fluid or is empty with a subjectively uniform population for size. 
The colon contains moderate gas.  The colon is normal in size.  
Musculoskeletal: Bilateral medial patella luxation is present.  The remaining included musculoskeletal structures are normal.
</t>
  </si>
  <si>
    <t>1. Suspected uterine horn enlargement such as from early/evolving pyometra, mucometra, or unlikely other.
2. Minimal-mild diffuse bronchial pulmonary pattern due to fibrosis from prior disease, age-related changes, infectious/immune-mediated lower airway disease, or less likely inhaled allergen/irritant), or unlikely other.
- There is no current evidence of left-sided congestive heart failure.  
3. Slight microhepatia versus artifact from positioning and phase of respiration.  
- If present, consider occult portosystemic shunting vessel or microvascular dysplasia.
4. Bilateral medial patella luxation.</t>
  </si>
  <si>
    <t>No evidence of cardiomegaly in this examination, but this does not rule out evolving disease.  Consider echocardiography, eCG and blood pressure for further evaluation.  Consider abdominal ultrasonography for further evaluation of the uterine horns and ovaries/fallopian tubes.  Surgical intervention and ovariohysterectomy if pyometra is confirmed.   Routine blood work may be contributor if not recently performed.  Empirical therapy and supportive care in the interim as needed.  Monitoring as directed or sooner if clinical signs acutely change, fail to improve or worsen.</t>
  </si>
  <si>
    <t>A three view thoracoabdominal study is provided for interpretation. This study is compared to the previous dated 5-25-24._x000D_
_x000D_
Severe alveolar infiltrates are identified involving the left cranial lobe and the cranial subsegment of the right cranial lobe. The caudal subsegment and the right middle lobe have moderate alveolar infiltrates. The caudal lung fields have a moderate bronchointerstitial pattern. The heart is at the upper end of normal size range with normal shape. No tracheal or esophageal abnormalities are seen._x000D_
No abdominal abnormalities are identified.</t>
  </si>
  <si>
    <t>The pulmonary pattern is consistent with bronchopneumonia, and has progressed significantly relative to the previous study._x000D_
The appearance is typical of bacterial infection. Atypical infections such as fungal or protozoal infectious should still be ruled out. Immune mediated disease is less likely based on the appearance but should also be considered._x000D_
Considering the lack of definitive diagnosis with previous lung sampling, functional lung pathology such as mucociliary dysfunction should also be ruled out.</t>
  </si>
  <si>
    <t>Supportive care and antibiotic therapy is recommended._x000D_
Ultrasound guided FNA of the affected lung for cytology and culture is recommended.</t>
  </si>
  <si>
    <t>3 views of the abdomen are presented for review.  Serosal detail is adequate in all quadrants.  The stomach contains a moderate amount of gas.  The small intestines are normal in size.  Gas and feces are present in the colon.  The urinary bladder is small.  The remaining abdominal organs are normal.  Gas is present in the subcutaneous tissues along the dorsal thorax, abdomen, and left inguinal region.  The abdominal wall appears intact.  There is hypoplasia of the right 13th rib fractures are seen.</t>
  </si>
  <si>
    <t>Radiographically normal abdomen.  Subcutaneous emphysema consistent with the reported bite wounds.</t>
  </si>
  <si>
    <t>Consider supportive therapy for bite wounds.</t>
  </si>
  <si>
    <t xml:space="preserve">
1.There is a mildly reduced cranial abdominal serosal detail._x000D_
2.The stomach has a normal axis, with subjectively thickened mucosal folding._x000D_
3.The ascending, transverse and descending colon contain gradually more formed faeces._x000D_
4.The small intestines are mildly dilated with a mixture of gas and fluid, and have a mild turgid appearance._x000D_
5.The liver is normal in shape, size and opacity._x000D_
6.The spleen is visible and within normal limits.</t>
  </si>
  <si>
    <t>3 views of the abdomen are provided for review.  Serosal detail is adequate in all quadrants.  The stomach contains a moderate amount of mottled soft tissue material with a small amount of mineral.  The small intestines are normal in size.  Gas and feces are present in the colon.  The urinary bladder is small.  The remaining abdominal organs are normal.</t>
  </si>
  <si>
    <t>Gastric contents and a reportedly fasted patient suggest foreign material.</t>
  </si>
  <si>
    <t>Consider repeat radiographs following this further strict fasting and supportive therapy to determine if gastric contents persist versus abdominal exploratory/endoscopy.</t>
  </si>
  <si>
    <t>Three orthogonal radiographs of the abdomen dated 22nd June 2024 are available for review. There are no previous radiographs available for comparison. _x000D_
_x000D_
Intra-abdominal findings: The stomach is mainly empty, containing some gas. The pylorus is filled with gas and fluid in the ventral dorsal image. The small intestines are variably filled with gas, fluid, soft tissue opaque material and within upper lobe limits for size. The descending colon contains formed faeces. The hepatic silhouette is normal. The spleen is mildly enlarged with smooth borders. The kidneys are partially obscured by gastrointestinal contents, but the visible aspect are normal. The urinary bladder is filled. The serosal detail is normal._x000D_
_x000D_
Extra-abdominal findings: The patient is overweight._x000D_
_x000D_
Included thorax: No significant abnormalities are detected.</t>
  </si>
  <si>
    <t>1. Relatively unremarkable abdomen. The mild duodenal and small intestinal distension may be secondary to dietary indiscretion gastroenteritis. There is no evidence for a colitis. A foreign body is not seen. Pancreatitis is possible._x000D_
2.  Mild splenomegaly: differential diagnoses include passive congestion from sedation (if administered), splenitis, extramedullary hematopoiesis, lymphoid hyperplasia, or neoplasia.</t>
  </si>
  <si>
    <t>Full blood work including CPL testing is advised. depending on clinical progression, consider post fasting abdominal ultrasound.</t>
  </si>
  <si>
    <t>Study:_x000D_
Abdominal radiography: three images dated June 21, 2024_x000D_
_x000D_
Findings:_x000D_
The stomach contains a small volume of gas and heterogeneous soft tissue material. There is an ill-defined soft tissue material in the pylorus on the left lateral view. On the lateral projections, there is heterogeneous soft tissue material in a small intestinal segment in the mid abdomen ventral to the descending colon. This material appears structure in nature. Some small intestinal loops are gas filled but not overly dilated (less than 1.5X the height of L5). The colon contains formed fecal material. The liver and spleen are normal in size and margin. The renal silhouettes are normal in size and contour. The urinary bladder is normal in size and opacity. There is no uterine dilation. The included thorax is normal. The osseous structures are unremarkable.</t>
  </si>
  <si>
    <t>There is concern for enteric foreign material. The gastric contents may represent food and/or foreign material. As stated above, there is no objective small intestinal dilation to suggest mechanical obstruction.</t>
  </si>
  <si>
    <t>Consider supportive care with repeat radiography to monitor for persistence or resolution of these findings. Alternatively, abdominal sonography can be considered for further evaluation.</t>
  </si>
  <si>
    <t>Abdomen: There is a mild amount of heterogeneous soft tissue opacity within the gastric lumen.  There is no evidence of a small intestinal foreign body or obstruction.  The liver is considered on the lower limits of normal for size.  The spleen is unremarkable.  There are no abnormalities involving the visible portions of the urinary tract.</t>
  </si>
  <si>
    <t>The appearance of the gastric lumen may represent normal ingesta or foreign material._x000D_
_x000D_
Mild microhepatica most likely variation of normal.  Alternatively other etiologies such as a portosystemic shunt or fibrosis/cirrhosis cannot be ruled out.</t>
  </si>
  <si>
    <t>Three orthogonal radiographs of the abdomen dated 24th June 2024 are available for review. These are compared with previous radiographs dated 12th June 2024._x000D_
_x000D_
Intra-abdominal findings: The stomach contains some gas and soft tissue opaque material. The rugal folds are subjectively prominent. The small intestines are distributed evenly and are within normal limits for shape, size and contents. The ascending, transverse and descending colon have a normal position and contain gradually more formed faeces. The urinary bladder is normal. The hepatic silhouette is normal in size with smooth borders. The spleen is normal in shape, size and position. The kidneys are partially obscured by gastrointestinal contents, but the visible aspect are normal._x000D_
_x000D_
Extra-abdominal findings: There is severe hip dysplasia and coxofemoral osteoarthritis._x000D_
_x000D_
Included thorax: No significant abnormalities are detected.</t>
  </si>
  <si>
    <t>Still relatively unremarkable post-prandial abdomen. There is no evidence of a mineral opaque foreign body, or complete mechanical obstruction. A gastritis or pancreatitis is possible.</t>
  </si>
  <si>
    <t>Considering chronicity, an abdominal ultrasound is advised.</t>
  </si>
  <si>
    <t xml:space="preserve">
1.The spleen is visible and within normal limits._x000D_
2.The small intestines are mildly dilated with a mixture of gas and fluid, and have a mild turgid appearance._x000D_
3.The ascending, transverse and descending colon contain gradually more formed faeces._x000D_
4.There is a mildly reduced cranial abdominal serosal detail._x000D_
5.The stomach has a normal axis, with subjectively thickened mucosal folding._x000D_
6.The liver is normal in shape, size and opacity.</t>
  </si>
  <si>
    <t>ABDOMEN (4 radiographs for review). Compared to 06/14/24._x000D_
_x000D_
- Peritoneal serosal detail remains normal._x000D_
- The stomach is again moderately distended with soft-tissue opaque material, gas and curvilinear mineral opaque material._x000D_
- The small intestine is mostly non-distended/empty and contains a small amount of gas._x000D_
- The colon contains gas and minimal formed fecal material. _x000D_
- The liver, spleen, kidneys and urinary bladder are normal._x000D_
- The caudal thorax and included musculoskeletal structures are normal.</t>
  </si>
  <si>
    <t>1. Similar to the previous examination, there is moderate gastric distention with mixed soft-tissue, gas and mineral opaque material. This may be foreign material, food or a combination of both. You may consider fasted recheck radiographs for the abdomen to re-assess this material and its persistence vs. passage over time. Alternatively, abdominal ultrasonography may be of utility.</t>
  </si>
  <si>
    <t xml:space="preserve">
1.Abdominal detail is diffusely decreased and the abdomen is pendulous._x000D_
2.Moderate volume gas fills the stomach._x000D_
3.Small intestines are mildly fluid-filled._x000D_
4.Segments of the colon have a rigid appearance._x000D_
5.The spleen is enlarged with potential for a splenic mass._x000D_
6.The liver is moderately enlarged with potential for a hepatic mass.</t>
  </si>
  <si>
    <t>WHOLE-BODY (4 radiographs for review). No previous for comparison._x000D_
_x000D_
- Multiple maxillary premolar teeth appear to be absent (limited assessment)._x000D_
- There are multiple regions of lucency in the alveolar bone surrounding the roots of the remaining mandibular premolar and molar teeth. _x000D_
- The nasal cavity, paranasal sinuses, intracranial structures and cervical structures are normal._x000D_
- The cardiac silhouette, pulmonary parenchyma, vasculature, trachea, pleural space and remaining included intrathoracic structures normal._x000D_
- The stomach contains mild gas-stippled soft-tissue opaque material. _x000D_
- The small intestine, colon, liver, spleen, kidneys, urinary bladder and remaining abdominal structures are normal.</t>
  </si>
  <si>
    <t>1. Multifocal absent dentition and mandibular molar/premolar periodontal disease. Further assessment of the dental structures could be achieved with dental radiography or CT, if clinically indicated._x000D_
_x000D_
2. Normal thorax._x000D_
_x000D_
3. Unremarkable abdomen.</t>
  </si>
  <si>
    <t>Three radiographs of the thorax, and three views of the abdomen are provided. Abdominal images dated 12/7/21 are available for comparison. The cardiac silhouette and pulmonary vessels are normal size and shape. There are numerous incidental pulmonary osteomas and a mild bronchial pattern consistent with age. On the right lateral projection there is a well-defined curved 0.9 cm soft tissue to mineral opacity overlying the cranial thorax, immediately ventral to the trachea and adjacent to the distal aspect of one of the 1st ribs. No other similar contours are noted on this or the other two views. There is fat deposition in the cranial mediastinum. Tracheal diameter is adequate. Small volume fluid in the esophagus is transient and incidental._x000D_
_x000D_
In the abdomen the liver is mild to moderately enlarged with smooth margins, increased in size compared to the previous study. There is no peritoneal effusion. The abdomen is pendulous. Normal-sized spleen and kidneys. The gastrointestinal tract is moderately filled. No radiopaque cystic calculi. Spondylosis deformans at multiple sites, and coxofemoral osteoarthrosis as before, of doubtful clinical significance today.</t>
  </si>
  <si>
    <t>1. Mild to moderate hepatomegaly, increased in size compared to the previous study. Steroid or other hepatopathy should be considered. Acute hepatic inflammation or hepatic neoplasia are next on the differential list._x000D_
2. Nodular contour overlying the cranial thorax may represent a superimposed superficial extrathoracic nodule or rib variation. A solitary pulmonary nodule is next on the differential list. No other thoracic abnormalities.</t>
  </si>
  <si>
    <t>Recommend a CBC and blood chemistry profile. Ultrasound evaluation of the liver and adrenal glands could be considered. To further workup the nodular contour, consider palpating for rib abnormalities, painting any extrathoracic nodules with small-volume barium paste, and repeating the right lateral and VD views.</t>
  </si>
  <si>
    <t xml:space="preserve">
1.Slight decrease in abdominal detail._x000D_
2.The stomach contains small volume gas and scant soft tissue density._x000D_
3.Small intestines are mildly fluid filled. No signs of obstruction._x000D_
4.No abnormal AI findings reported._x000D_
5.Mild splenic enlargement.</t>
  </si>
  <si>
    <t>Abdomen: There is no evidence of a gastrointestinal foreign body or obstruction.  There is a moderate amount of gas throughout the colon and a mild amount of gas throughout the gastrointestinal tract.  The liver and spleen are unremarkable.  The urinary tract is unremarkable.  Serosal detail is normal.  The prostate is enlarged.</t>
  </si>
  <si>
    <t>The appearance of the gastrointestinal tract and colon may represent gastroenteritis/colitis._x000D_
_x000D_
In light of patient=ZZ91=s age and intact status, the size of the prostate most likely represents benign prostatic hypertrophy.</t>
  </si>
  <si>
    <t>A three-view thoracoabdominal study is provided for interpretation._x000D_
_x000D_
There is an irregular mineral opacity in the range of approximately 1 cm superimposed over the caudal aspect of the bladder just cranial to the pelvic inlet. The appearance is consistent with a calculus but positioned more caudally than expected for a calculus in the body of the bladder. In the right lateral view three smaller mineral opacities are seen just cranial to this which cannot be corroborated in the left lateral view. The kidneys cannot be clearly visualized due to superposition of gastrointestinal structures. The other organs are within normal limits._x000D_
_x000D_
There is a triangular soft-tissue opacity associated with the pleural fissure line in the right mid thorax. The appearance is most likely representative of atelectasis involving the right middle lung lobe.</t>
  </si>
  <si>
    <t>There is a mineralized structure in the area of the bladder neck and prostate. The overall appearance is typical of a calculus, but the position is unusual and mineralization involving the prostate should be ruled out as a cause of this appearance. Follow-up imaging is indicated._x000D_
Rule outs for this patient include cystic calculus as well as neoplasia involving the bladder or prostate.</t>
  </si>
  <si>
    <t>Ultrasound or CT is recommended for more definitive evaluation.</t>
  </si>
  <si>
    <t xml:space="preserve">
1.No abnormal AI findings reported._x000D_
2.The liver is mildly enlarged but retains a smooth margin._x000D_
3.The spleen and abdominal detail are normal._x000D_
4.The small intestine is predominantly mildly gas-filled and normal in size. No signs of obstruction._x000D_
5.The stomach contains a moderate volume of heterogeneous soft tissue material mixed with gas</t>
  </si>
  <si>
    <t>Mild hepatomegaly with a smooth margin. This is a non-specific finding and can be secondary to fat deposition or early steroid hepatopathy, The appearance of the stomach is likely related to normal ingesta in the absence of GI symptoms. However, if GI symptoms are present, gastroenteritis secondary to dietary indiscretion or infectious etiology could be considered.</t>
  </si>
  <si>
    <t xml:space="preserve">
Virtual Radiologist Case Difficulty: MODERATE_x000D_
Virtual Radiologist Confidence: MODERATE_x000D_
If GI signs are present, supportive and symptomatic therapy for gastroenteritis can be considered. In the absence of improvement, repeat radiographs to assess for passage of gastric contents or obstruction, and abdominal ultrasound could be performed for further evaluation._x000D_
Hepatomegaly may be evaluated with blood work, and an abdominal ultrasound.</t>
  </si>
  <si>
    <t>Five orthogonal radiographs of the abdomen dated 21st June 2024 are available for review. There are no previous radiographs available for comparison. _x000D_
_x000D_
Intra-abdominal findings: The stomach contains a moderate amount of heterogenous soft tissue opaque material. Some of this material is present in a ball in the centre of the fundus surrounded by gas. Some swirling gas lucencies are present within the soft tissue opaque material. The small intestines are variably filled with gas and fluid. The caecum is moderately to severely gas dilated. The transverse and descending colon contain gas and formed faeces.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</si>
  <si>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1. The soft tissue opaque material within the stomach may be indicative of a recent meal. In light of the pattern of the soft tissue material, dietary indiscretion, soft tissue foreign material may be present. This needs to be correlated with time of feeding. _x000D_
2. The caecal and colonic gas is suspicious for a colitis/enterocolitis secondary to dietary indiscretion or infectious-inflammatory origin. No radiopaque foreign material or segmental obstruction is seen, however soft tissue opaque foreign material may be present..</t>
  </si>
  <si>
    <t>Supportive management including rehydration, gastroprotectants,  full blood work, faecal analysis if clinically indicated is advised, if not already performed. Repeat 3-view post fasting radiographs depending on clinical progression or consider an abdominal ultrasound. An upper GI contrast study may also be considered.</t>
  </si>
  <si>
    <t>Patient Name: Bear Khouri, Date of study: Jun 21, 2024
3 images are provided for review
Canine Abdomen (3 Images) - 2 Lateral, 1 VD
There are no previous radiographs for comparison.
Abdomen:
The stomach contains a mild quantity of gas and the gastric rugae are prominent. On the lateral projection, several gas and fluid distended bowel segments are present in the cranial abdomen. The small bowel in the caudoventral abdomen, on the left lateral projection is empty and appears plicated. Abdominal detail in this region is decreased. Abdominal detail overlying the retroperitoneal space is also mildly decreased. 
Cranioventrally in the abdomen on the right lateral projection is a linear mineral opacity concerning for a foreign body approximately 6 cm in length. 
Mild microhepatia is present along with a mildly irregular liver margin. The spleen is mildly enlarged but retains a smooth margin on the lateral projection. On the VD projection, the axial splenic margin is convex. 
An oval gas opacity overlies the cranioventral aspect of the liver on the right lateral projection. 
The CVC is small indicative of dehydration or hypovolemia.</t>
  </si>
  <si>
    <t xml:space="preserve">1) Linear foreign body appearance to the small bowel. Potential intra-abdominal foreign body in the cranioventral abdomen.
2) Abdominal fluid. Rule out septic vs. non-septic peritonitis.
3) Gas opacity overlying the liver. DDx: intrahepatic gas vs. free abdominal air. 
4) Dehydration vs. hypovolemia.
5) Mild microhepatia. Rule out chronic liver disease. Mild splenomegaly. Rule out lymphoid hyperplasia secondary to abdominal inflammation.
</t>
  </si>
  <si>
    <t xml:space="preserve">Abdominal ultrasound ASAP to assess for a linear foreign body prior to exploratory surgery. Full bloodwork, urinalysis and fluid therapy prior to surgery. Abdominal fluid collection at the time of abdominal ultrasound or at the time of surgery. </t>
  </si>
  <si>
    <t>Orthogonal views of the thorax and abdomen that include the spine are provided for interpretation._x000D_
_x000D_
The heart is at the upper end of normal size range to slightly enlarged, with mildly rounded shape. The pulmonary vessels and parenchyma are within normal limits._x000D_
_x000D_
The liver is at the small end of normal size range. The bladder is mildly distended. There is a focal mineral opacity in the body of the bladder consistent with a cystic calculus. The other abdominal organs are within normal limits. No mass lesions are seen in the abdomen. Serosal detail is normal._x000D_
_x000D_
No disc space narrowing or spinal subluxation is identified. No destructive or productive bone lesions are seen. Both hip joints are unremarkable.</t>
  </si>
  <si>
    <t>No spinal or paralumbar abnormalities are identified. The cause of the clinical signs is not apparent in the radiographs. Soft tissue pathology affecting the spinal cord not visible in the radiographs should be ruled out with more advanced imaging._x000D_
_x000D_
Heart size is borderline. Clinical relevance should be correlated with a heart murmur or other auscultable abnormality if present._x000D_
_x000D_
There is a cystic calculus. This is not expected to be relevant to the current clinical signs. The rest of the abdomen is within normal limits.</t>
  </si>
  <si>
    <t>More advanced imaging of the spine such as MRI is recommended.</t>
  </si>
  <si>
    <t xml:space="preserve">Patient Name: Piper Abel, Date of study: Jun 21, 2024
3 images are provided for review
Canine Abdomen (3 Images) - 2 Lateral, 1 VD
There are no previous radiographs for comparison.
Abdomen:
Liver: The liver is minimally enlarged with a smooth margin on the lateral projection with the exception of the caudal margin which has a slight convex appearance. 
Spleen: The spleen is minimally enlarged on the lateral projection resulting in dorsal displacement to the small bowel over this region. 
Kidneys and urinary bladder: The kidneys are partially obscured by overlying bowel but the visible portion of the kidneys are normal. On the right lateral projection, faint mineral opacities overlie the cranioventral aspect of the urinary bladder silhouette. Caudal to the urinary bladder is a bilobed soft tissue opacity that cannot be definitively localized to within vs. outside the abdomen. The more dorsally positioned opacity overlies the colonic region but the empty colon can be identified superimposed over this structure.
GI: The stomach is gas distended. The gastric wall has a thickened appearance however this can be artifactual secondary to adhered mucus. The gastric rugae are prominent. A mixture of soft tissue and mineral dense material overlies the stomach on the right lateral projection with a questionable curved soft tissue opacity residing in the pyloric region on the left lateral projection. The descending duodenal diameter is increased to the level of the ascending duodenum. The gas filled, rigid but not dilated small bowel is displaced caudally away from the cranial abdomen and positioned in the mid- and caudal abdomen on the lateral projection. On the VD projection, the small bowel and colon are displaced into the lateral aspects of the abdomen. Portions of the colon have a rigid appearance. 
Abdominal detail: Cranial abdominal detail is decreased. A mass effect is present in the cranial abdomen. Several gas opacities are present in the craniodorsal abdomen on the lateral projection that cannot be definitively localized to within the GI tract. 
Caudal thorax: The cardiac silhouette is rounded caudally and the CVC is minimally distended. No pleural fluid is noted. The caudal pulmonary vasculature is distended on the right lateral projection. 
Msk: On the VD projection, both femoral necks appear thinned but smooth. Mild periarticular osteophyte formation affects the acetabula. The femoral alignment is also suggestive of coxa valga on the VD projection. A chronic right 11th rib fracture is present proximally on the VD projection. Another fracture appears to affect the proximal aspect of the 10th rib on the lateral projection. </t>
  </si>
  <si>
    <t xml:space="preserve">For the vomiting and anorexia:
1) Appearance to the stomach and duodenum are most consistent with gastritis and duodenitis. Gastric foreign material may be the cause vs. secondary to functional ileus. 
2) Decreased cranial abdominal detail compatible with regional inflammation. Free abdominal air may be present. DDx: secondary to primary gastroduodenitis vs. secondary to pancreatitis. 
3) Rounded appearance to the cardiac silhouette and CVC distention. DDx: fluid therapy vs. secondary to sedation vs. less likely but possible, DCM given the concurrent pulmonary vessel enlargement. 
4) Mild hepatomegaly. DDx: secondary to right heart disease vs. secondary to fat deposition vs. hepatitis associated with GI disease.
5) Soft tissue opacity cranial to the pelvic canal. Superimposed muscle creating an atypical appearance suspected.
6) Bilateral hip arthritis. </t>
  </si>
  <si>
    <t>Abdominal ultrasound +/- FNAs based on ultrasound findings. 
Thoracic radiographs and/or cardiac ultrasound.
(amended on 06/22/2024 18:40)
As there is potential for free abdominal air and/or septic peritonitis, abdominal ultrasound ASAP is recommended for abdominal fluid collection, to evaluate for free abdominal air and determine if gastroscopy or laparotomy is required to remove the suspected GI foreign material.</t>
  </si>
  <si>
    <t>A three-view thoracoabdominal study is provided for interpretation._x000D_
_x000D_
There is a large lobular soft-tissue mass in the cranial ventral abdomen. The mass is believed to be involving the liver. The other abdominal organs are within normal limits. Serosal detail the abdomen is normal. No significant thoracic abnormalities are identified.</t>
  </si>
  <si>
    <t>There is a large lobular cranial abdominal mass effect which is most consistent with infiltrative disease such as neoplasia involving the liver. This would be the most likely explanation for the weight loss and reduced appetite.</t>
  </si>
  <si>
    <t>Follow-up imaging such as CT or ultrasound is recommended to better define the extent of disease, and rule out a resectable mass versus more diffuse or extensive infiltration of the liver.</t>
  </si>
  <si>
    <t>Abdomen: There is no evidence of a gastrointestinal foreign body or obstruction.  The liver is diffusely enlarged.  The spleen is unremarkable.  The visible portions of the urinary tract are unremarkable.  Serosal detail is normal.  There are no abnormalities involving the visible portions of the thorax.</t>
  </si>
  <si>
    <t>Diffuse hepatomegaly.  Differential considerations are numerous however may include a hepatopathy, hepatitis, or less likely diffuse neoplasia.</t>
  </si>
  <si>
    <t xml:space="preserve">
1.The stomach contains fluid and some gas._x000D_
2.There is poor detail identified in the abdomen. DDx: secondary to hepatomegaly causing crowding of the abdominal organs and/or abdominal fluid._x000D_
3.The abdomen is mildly pendulous._x000D_
4.The liver is enlarged with rounded borders._x000D_
5.There is increased soft tissue opacity in the splenic region. DDx: secondary to caudal extension of the liver vs. loss of detail due to abdominal fluid vs. splenomegaly or a splenic mass._x000D_
6.The small intestine is diffusely fluid filled.</t>
  </si>
  <si>
    <t>A three view thoracoabdominal study is provided for interpretation._x000D_
_x000D_
The cardiovascular structures are within normal limits. No pulmonary infiltrates or pleural effusion are identified. No tracheal or esophageal abnormalities are seen._x000D_
There is a moderate quantity of amorphous soft tissue dense ingesta in the stomach. The appearance is compatible with normal food. The volume of gas in the small intestine is mild increase. No dilation or plication the intestine is identified. Serosal detail in the abdomen is normal. The other organs are within normal size and shape limits._x000D_
No musculoskeletal abnormalities are identified.</t>
  </si>
  <si>
    <t>Mild increase in intestinal gas can be seen with enteritis but is likely a transient incidental finding in the absence of relevant clinical signs. The rest of the abdomen is unremarkable._x000D_
No thoracic abnormalities are identified.</t>
  </si>
  <si>
    <t>No contraindication to the planned anesthesia is identified.</t>
  </si>
  <si>
    <t>Four radiographs of the thorax/abdomen are provided. There is no abdominal effusion. The stomach contains a moderate amount of fluid. There is a focal accumulation of mineral and metal opaque debris in the pylorus. Small intestines are diffusely mildly filled with a mixture of fluid and gas. The colon is minimally distended. Normal-sized liver, spleen, left kidney. The right kidney is incompletely visible. In the thorax there is moderate generalized cardiomegaly. Pulmonary vessels are normal size. A mild bronchial pattern is present. There is no pleural effusion.</t>
  </si>
  <si>
    <t>1. Fluid-filled stomach with foreign material in the pylorus. Pyloric outflow obstruction is the most likely diagnosis. No evidence of small bowel obstruction._x000D_
2. Moderate cardiomegaly consistent with acquired mitral and tricuspid valve disease. There is no evidence of heart failure. Increased vagal tone may be responsible for the collapse episode.</t>
  </si>
  <si>
    <t>If the patient can be safely anesthetized, gastroscopy would be recommended. If gastroscopy is not available, exploratory surgery should be considered. Follow-up echocardiogram is recommended to help guide treatment.</t>
  </si>
  <si>
    <t xml:space="preserve">
1.The stomach contains gas and soft tissue opaque maetrial. No segmental dilation of the small intestine is identified._x000D_
2.The liver is moderately, symmetrically enlarged, with normal shape and smooth margins._x000D_
3.Splenic size, shape and margin are normal._x000D_
4.Cranial abdominal detail is mildly decreased. This may be due to superimposition of the hepatomegaly or regional inflammation.</t>
  </si>
  <si>
    <t>Three radiographs of the abdomen are provided. Peritoneal and retroperitoneal detail is adequate. There is small volume gas in the stomach. Normal rugal folds are visible. Small intestines are diffusely mildly fluid filled. Scant formed feces in the colon. No radiopaque foreign material. Normal-sized liver, kidney, spleen. No radiopaque urolithiasis. Normal caudal thorax. Breed-related congenital vertebral malformations are likely incidental.</t>
  </si>
  <si>
    <t>Normal abdomen. The reason for vomiting/regurgitation is not identified. Gastroenteritis is suspected. Small radiolucent gastric foreign material is not definitively ruled out. There is no evidence of small bowel obstruction.</t>
  </si>
  <si>
    <t>If GI signs persist despite supportive care and treatment for potential gastroesophageal reflux, gastroscopy should be considered.</t>
  </si>
  <si>
    <t>A three view thoracoabdominal study is provided for interpretation._x000D_
_x000D_
Serosal detail in the abdomen is slightly reduced. This is suspected to be due in large part to the thin body condition of the patient and reduced intra-abdominal fat. There is a small to moderate quantity of soft tissue dense content within the stomach. Some of this gastric content consists of unusual shadows that shapes including a mildly defined fusiform lucency with a thin opaque wall that measures in the range of 12 mm width and 5 cm length. There is also a reticulated pattern of mottled lucency in the fundic region suspicious for fibrosis/textile foreign material._x000D_
There is one unusual ring shaped shadow in the left caudal abdomen in the VD view that is associated with gas filled intestine. Based on the lateral views, this is suspected to be an artifact caused by folding of gas filled colon in this area. No pathologic dilation or plication of the small intestine is seen. The other abdominal organs are within normal limits._x000D_
The heart is at the upper end of normal size range, with normal shape. No pulmonary or pleural abnormalities are identified.</t>
  </si>
  <si>
    <t>There is suspicion of amorphous gastric foreign material. This could be mostly grass or something similar, but could also include more significant abnormal content including textile foreign material or thin flexible plastic._x000D_
No obstructive pattern is seen._x000D_
The slightly reduced serosal detail is equivocal.</t>
  </si>
  <si>
    <t>Symptomatic therapy and supportive care is recommended at this time._x000D_
Fasting overnight with follow up radiographs in the morning to reassess potential gastric content is recommended. A contrast gastrogram may be indicated depending on findings and clinical suspicion at that time._x000D_
Surgery does not appear to be indicated at this time.</t>
  </si>
  <si>
    <t>Patient Name : Brownie Sephos, Date of study: Jun 21, 2024
3 images are provided for review
There are no previous radiographs for comparison.
Bones/Joints.  In situ intervertebral disc mineralization is at T13-L1 and L1-2.  The T13-L1 and L1-2 intervertebral disc spaces are mildly narrowed subjectivey.  No obvious mineral over the T13-L1 or L1-2 intervertebral foramina.  The remaining included osseous structures are normal.
Soft tissues: The included soft tissues are normal.</t>
  </si>
  <si>
    <t>1. T13-L1 and L1-2 intervertebral disc disease.
- There is no obvious mineral over the T13-L1 or L1-2 intervertebral foramina to suggest herniated material at this time.</t>
  </si>
  <si>
    <t>Consider neurologist consultation and MRI for further evaluation of the reported clinical signs.  routine blood work and thoracic/abdominal imaging to screen for systemic dieses prior to advanced imaging/referral.    Empirical therapy and supportive care in the interim as needed.  Monitoring as directed or sooner if clinical signs acutely change, fail to improve or worsen.</t>
  </si>
  <si>
    <t xml:space="preserve">
1.On the lateral projection, there is increased soft tissue opacity in the region of the spleen._x000D_
2.On the lateral projection, abdominal detail, particularly caudal to the stomach, is mildly decreased._x000D_
3.On the lateral projection, mild hepatomegaly with a smooth margin is present._x000D_
4.On the lateral projection, the small bowel is diffusely gas- and/or fluid-filled. No segmental small bowel dilation is noted._x000D_
5.On the lateral projection, a portion of the cecum and/or colon is gas-filled and has a rigid appearance.</t>
  </si>
  <si>
    <t>4 images of the entire body and and skull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with an angular mineral structure.  The small intestines are normal in size.  Gas and feces are present in the colon.  The urinary bladder is small.  The remaining abdominal organs are normal.  The nasal cavity is air filled with normal turbinates.  No fractures or aggressive osseous lesions are seen.</t>
  </si>
  <si>
    <t>Gastric rock foreign body, likely incidental.  Radiographically normal thorax for patient of this age.  Unremarkable skull on the view provided.</t>
  </si>
  <si>
    <t>MRI could be considered if clinically indicated.</t>
  </si>
  <si>
    <t>5 images of the thorax and abdomen are presented for review.  The cardiovascular structures are normal.  Alveolar opacity is present in the right cranial lung lobe.  Mild to moderate bronchial markings are present in all lung lobes.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  Hemivertebrae are present in the thoracic and sacrocaudal spine.</t>
  </si>
  <si>
    <t>Diffuse mixed pulmonary pattern concerning for bronchopneumonia.  Underlying viral or Bordetella type pneumonitis could be considered.  Radiographically normal abdomen.</t>
  </si>
  <si>
    <t>Airway sampling could be considered.</t>
  </si>
  <si>
    <t>Three radiographs of the abdomen are provided. There is no effusion. Small volume gas and equivocal scant amorphous soft tissue density in the stomach. Small bowel is minimally filled. There is gas in the cecum and colon. No radiopaque foreign material. Normal-sized liver, spleen, left kidney. The right kidney is obscured. Normal caudal thorax.</t>
  </si>
  <si>
    <t>Equivocal scant soft tissue density in the stomach may be residual ingesta and fluid/mucus. Foreign material causing gastritis and pyloric outflow obstruction is not definitively ruled out. There is no small bowel obstruction. The abdomen is otherwise normal.</t>
  </si>
  <si>
    <t>If the patient does not improve with supportive care, additional imaging such as a positive contrast gastrogram or strictly fasted abdominal ultrasound should be considered.</t>
  </si>
  <si>
    <t xml:space="preserve">
1.The stomach is mildly gas and fluid dilated._x000D_
2.There is gas and mild fluid dilation noted within the descending duodenum._x000D_
3.The small bowel contains gas and fluid but is largely normal in diameter throughout._x000D_
4.There is also gas and fluid distention of the cecum and the entire length of the colon._x000D_
5.View GI resource: https://platform.v2.vetology.net/doc/GI_x000D_
6.The liver and spleen are normal for size._x000D_
7.Abdominal detail is normal._x000D_
8.No abnormal AI findings reported.</t>
  </si>
  <si>
    <t xml:space="preserve">Patient Name : Elly Carlyon, Date of study: Jun 21, 2024
6 images are provided for review
There are no previous radiographs for comparison.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thoracic confirmation is narrowed in a dorsoventral dimension, which complicates the appearance of the cardiac silhouette and lungs.  The laryngeal lumen is subjectively narrowed in a dorsoventral dimension with less gas opacity than expected in the lateral images.  The T12-13 intervertebral disc space is narrowed. L1-2 spondylosis deformans is present.  The   remaining included musculoskeletal structures are normal.
</t>
  </si>
  <si>
    <t>1. Minimal-mild diffuse bronchial pulmonary pattern such as from infectious/immune-mediated lower airway disease (mycoplasma spp., bordetella spp., parasitism, or other), inhaled allergen/irritant, fibrosis from prior disease, age-related changes, or less likely other.
2. Suspected laryngeal collapse/narrowing versus artifact/phase of respiration. 
- Concurrent brachycephalic airway syndrome is considered.
3. T12-13 intervertebral disc disease.</t>
  </si>
  <si>
    <t>Consider respiratory PCR panel, airway sampling, and fecal analysis/deworming for further evaluation.  Sedated laryngeal examination and tracheoscopy/bronchoscopy may be contributory.   Empirical therapy and supportive care in the interim as needed.  Monitoring as directed or sooner if clinical signs acutely change, fail to improve or worsen.</t>
  </si>
  <si>
    <t>3 views of the abdomen are provided for review.  Serosal detail is adequate in all quadrants.  The stomach contains a small amount of gas and the rugal folds are prominent.  The small intestines are normal in size.  Gas is present in the colon.  The urinary bladder is small.  The remaining abdominal organs are normal.  There is spondylosis deformans of the lumbosacral space.</t>
  </si>
  <si>
    <t xml:space="preserve">Patient Name : Milo Goncalves, Date of study: Jun 21, 2024
5 images are provided for review
There are no previous radiographs for comparison.
Bones/Joints:  The L1-2, T12-13 and T13-L1 intervertebral disc spaces are subjectively mildly narrow.  Suspected in situ intervertebral disc mineral at L3-4, L4-5 and L5-6.
There is no evidence of intervertebral disc space narrowing, or mineral over the intervertebral foramina.  
Spondylosis deformans is ventral to T11-12 and T12-13.  Multiple caudal vertebrae are shortened or wedge-shaped, consistent with breed of this patient (screw tail anomaly). 
There is no evidence of medullary sclerosis, osteolysis, endosteal scalloping, or periosteal proliferation.
Soft tissues:  The included soft tissues are normal.
</t>
  </si>
  <si>
    <t xml:space="preserve">1. Suspected intervertebral disc disease at L1-2, T12-13 and T13-L1.
2. Breed-specific caudal vertebral anomalies.  </t>
  </si>
  <si>
    <t>Consider neurologist consultation and MRI for further evaluation.   Routine blood work and thoracic imaging prior to referral if not recently performed to screen for occult systemic disease.   Empirical therapy and supportive care in the interim as needed.  Monitoring as directed, or sooner if clinical signs acutely change, fail to improve or worsen.</t>
  </si>
  <si>
    <t xml:space="preserve">Patient Name : Aston Winfield, Date of study: Jun 21, 2024
3 images are provided for review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gas or is empty.  Gas is in the pylorus in the left lateral image.
The small intestine contains mild to moderate gas with a subjectively uniform population for size. 
The colon contains mild gas and minimal soft tissue material.  The colon is normal in size.  No evidence of narrowing/compression of the distal descending colon or rectum.
Musculoskeletal: Ill-defined mineral superimposes over the soft tissues ventral to the rectum in the lateral image. The remaining included musculoskeletal structures are normal.
</t>
  </si>
  <si>
    <t xml:space="preserve">1. Mineral ventral to the rectal-anal soft tissue is suspicious for dystrophic mineralization given reported history of neoplasia in this region.
2. Non-specific gastrointestinal tract changes such as from enteritis, colitis, or individual variation of normal.
- Differential diagnoses for enteritis/colitis include dietary indiscretion, toxin ingestion, diet/antibiotic responsive disease, inflammatory bowel disease, parasitism/primary infectious disease, pancreatitis or occult systemic disease.
- There is no current evidence of gastrointestinal mechanical ileus.
</t>
  </si>
  <si>
    <t>Consider routine blood work and thoracic imaging to screen for occult systemic disease if not recently performed.  Consider MRI or computed tomography of the pelvic canal for further evaluation of possible extension of reported neoplasia and stricture/compression of the distal rectum leading to reported clinical signs. Oncologist consultation depending on results.  No obvious evidence of prostatomegaly complicating this presentation in this examination. Empirical therapy and supportive care in the interim as needed.  Monitoring as directed or sooner if clinical signs acutely change, fail to improve or worsen.</t>
  </si>
  <si>
    <t>A three view study of the abdomen is provided for interpretation._x000D_
_x000D_
The gastric mucosa has a corrugated appearance. There is one ovoid soft tissue opacity visible in the pyloric region in the range of approximately 1.5 cm. The appearance would be compatible with a food products such as a large kibble or treat, but a small foreign body is also possible. No dilation of the stomach is seen._x000D_
There are a few loops of small intestine that are slightly fluid dilated. Serosal detail in the abdomen is normal. The other organs are within normal limits.</t>
  </si>
  <si>
    <t>The appearance of the GI tract is compatible with gastroenteritis._x000D_
_x000D_
There is one small structure in the stomach that could possibly represent a small foreign body, but a food product could appear similar. No evidence of obstruction is seen.</t>
  </si>
  <si>
    <t>Supportive care and symptomatic therapy for gastroenteritis is recommended._x000D_
_x000D_
If vomiting worsens or clinical signs are not improving over the next few days, follow up imaging such as a gastrogram or barium upper GI could be considered.</t>
  </si>
  <si>
    <t>Three radiographs of the thorax, and three views of the abdomen are provided. The cardiac silhouette and pulmonary vessels are normal size and shape. There is a mild bronchial pattern throughout the lungs. The cranial lobar bronchus does not taper as expected on the left lateral view. Fat deposition separates the heart from the sternum. There is no pleural effusion. Several incidental pulmonary osteomas. Tracheal diameter is adequate._x000D_
_x000D_
In the abdomen, the bladder is distended and soft tissue opaque. Small volume gas in the stomach and throughout the small bowel. Small volume formed feces in the distal colon. Round gas lucency in the mid right abdomen on the VD projection is normal cecum. No radiopaque foreign material. Normal-sized kidneys, liver, spleen.</t>
  </si>
  <si>
    <t>1. Mild bronchial pattern with mild bronchiectasis, most consistent with chronic airway inflammation such as allergic bronchitis. This is the most likely cause for the cough. No other thoracic abnormalities._x000D_
2. Normal abdomen. There is no evidence of radiopaque urolithiasis or gastrointestinal abnormalities.</t>
  </si>
  <si>
    <t>If gastrointestinal signs persist despite supportive care, abdominal ultrasound would be recommended. For the cough, consider treatment for allergic airway disease.</t>
  </si>
  <si>
    <t xml:space="preserve">Patient Name : Toby Cowell, Date of study: Jun 21, 2024
4 images are provided for review
There are no previous radiographs for comparison.
Pulmonary parenchyma: A minimal to mild diffuse bronchial pattern is present.  The presumed left cranial lobar bronchus fails to taper as expected in the lung periphery.  Suspected ovoid lucent foci over the right middle lung in the left lateral image.  The lungs are hypoinflated.  
Pulmonary vasculature: The pulmonary vasculature is subjectively normal in size and tapers in the periphery of the lungs.
Cardiac silhouette: The cardiac silhouette is normal in size and shape.
Mediastinum: The cranial mediastinum is normal.
Trachea: The cervical segment of the trachea is enlarged in the right lateral image, and the thoracic segment has an undulant margin.  The trachea is narrowed with an undulant margin in the left lateral image.  
Esophagus: The esophagus is not well-identified.
Pleural space: The pleural space is normal.
Liver: The liver is mildly enlarged with a rounded cauveotrnal margin, and slight caudal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soft tissue material and gas. the stomach is within normal limits for size. Gastric rugal folds are mildly prominent.
The small intestine contains fluid, minimal gas, or is empty with a subjectively uniform population for size. 
The colon contains mild gas or is empty.  The colon wall is minimally or mildly spastic.
Musculoskeletal: The included musculoskeletal structures are normal.
</t>
  </si>
  <si>
    <t>1. Minimal-mild diffuse bronchial pattern such as from infectious/immune-mediated lower airway disease, fibrosis from prior disease, or other.
2. Suspicious for left cranial lobar columnar bronchiectasis and possible right middle lobar saccular bronchiectasis versus bulla or artifact.
3. Tracheal changes most likely due to chondromalacia and dynamic airway disease.
4. Mild hepatomegaly due to vacuolar change, nodular hyperplasia, hepatitis, or evolving neoplasia.
5. Prominent gastric rugal folds such as from non-specific gastritis versus normal variation.
6. Normal variation/recent bowel movement versus non-specific small intestinal and colon changes such as from enteritis/colitis due to dietary indiscretion, toxin ingestion, inflammatory bowel disease, or less likely other.</t>
  </si>
  <si>
    <t>Internist consultation, tracheoscopy/bronchoscopy, airway sampling, and respiratory PCR panel may be contributory.  Consider computed tomography for further evaluation of suspected bronchiectasis versus pulmonary bulla, and further evaluation of the trachea.  Abdominal ultrasonography for further evaluation of the liver and gastrointestinal tract may be beneficial.  Routine blood work may be contributory if not recently performed.   Empirical therapy and supportive care in the interim as needed.  Monitoring as directed or sooner if clinical signs acutely change, fail to improve or worsen.</t>
  </si>
  <si>
    <t>Three radiographs of the abdomen, VD pelvis, and lateral view of each stifle are provided. There is prominence of the liver on the right lateral view. Hepatic margins are smooth. Normal-sized spleen and kidneys. The gastrointestinal tract is mildly filled. No radiopaque urolithiasis. Narrowed L3-4 intervertebral disc space, of doubtful significance today. The coxofemoral joints are congruent. The left patella is medially displaced. Pelvic limb musculature is symmetric. No definitive stifle joint effusion, although joint space evaluation is limited by rotation.</t>
  </si>
  <si>
    <t>1. Medial patellar luxation of the left. This is the only abnormality identified that could explain the lameness. With the palpable left stifle instability, cranial cruciate ligament tear/rupture is most likely. The coxofemoral joints are normal._x000D_
2. Prominent liver, a nonspecific finding that may be normal variant, steroid or other hepatopathy, acute inflammation.</t>
  </si>
  <si>
    <t>If lameness does not improve with supportive care, surgical stabilization of the left stifle will likely be necessary.</t>
  </si>
  <si>
    <t xml:space="preserve">
1.Formed feces in the distal colon._x000D_
2.The stomach and small bowel are minimally filled._x000D_
3.On the lateral projection, the liver is mildly enlarged with rounded margins. The ventral abdominal line is pendulous._x000D_
4.No abnormal AI findings reported._x000D_
5.On the VD projection, a mild asymmetric increase in soft tissue opacity is noted in the cranial abdomen. DDx: superimposition of the hepatomegaly and GI tract vs. far less likely, caudal extension of a hepatic mass._x000D_
6.Splenic size, shape and margin are normal.</t>
  </si>
  <si>
    <t xml:space="preserve">Patient Name : Pancake Hernandez, Date of study: Jun 21, 2024
3 images are provided for review
Canine Abdomen (3 Images) - 2 Lateral, 1 Vd
Previous images dated [06/20/2024 Case#2691744] are available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gas.  Ga is in the pylorus in the left lateral image.  
The small intestine contains fluid or is empty with a subjectively uniform population for size. 
The colon contains mild fluid or is empty.
Musculoskeletal: The included musculoskeletal structures are normal.
</t>
  </si>
  <si>
    <t xml:space="preserve">1. Absence of previously identified gastric material.
2. No obvious evidence of gastrointestinal mechanical ileus.
</t>
  </si>
  <si>
    <t>Depending on clinical signs, consider abdominal ultrasonography, GI panel, fecal analysis/deworming, and routine blood work for further evaluation.  Empirical therapy and supportive care in the interim as needed.  Monitoring as directed or sooner if clinical signs acutely change, fail to improve or worsen.</t>
  </si>
  <si>
    <t xml:space="preserve">
1.On the lateral projection, the liver size is at the lower limits of normal to slightly small or a portion of the liver has been cut-off from the image._x000D_
2.The spleen is normal._x000D_
3.There is a focal loss of serosal detail in the cranial abdomen on the lateral projection._x000D_
4.The gastric rugae are prominent._x000D_
5.The colon is gas filled and has a rigid appearance._x000D_
6.The small intestine is of uniform population size and is diffusely of soft tissue and gas opacity with a rigid appearance to several loops._x000D_
7.No mechanical ileus is visualized.</t>
  </si>
  <si>
    <t>Patient Name: Poppy Duggin, Date of Study: Jun 21, 2024
6 images are provided for review.
Previous images dated [06/20/2024 Case#2692595] are available for comparison.
Liver: The liver is subjectively normal in size.
Spleen: The spleen is normal in size with smooth margins and homogeneous soft tissue.
Kidneys: The kidneys are normal in size and shape without obvious mineralization.
Retroperitoneum: Retroperitoneal detail is adequate.
Urogenital: The urinary bladder has homogeneous soft tissue, and smoothly marginated.
Peritoneum: Peritoneal detail is adequate.
Gastrointestinal tract: The stomach contains a moderate volume of gas and is within normal limits for size.  The previously present soft tissue material is prior images is not identified.  Gas is in the pylorus in the left lateral image.  Gastric rugal folds are prominent.  
Multiple segments of small intestine in the mid-abdomen are moderately enlarged and contain gas.  Some segments in the caudal abdomen contain mild to moderate fluid or gas.  Some small intestinal segments contain minimal heterogeneous gas and fluid. No obvious plication is identified.  In the right lateral images, the small intestine is subjectively more uniformly filled with fluid and gas, with an overall single population for size.
The colon contains mild gas or fluid or is empty.
Musculoskeletal: The included musculoskeletal structures are normal.</t>
  </si>
  <si>
    <t xml:space="preserve">1. Evolving small intestinal mechanical ileus versus functional ileus/non-specific enteritis.
2. Passage of prior soft tissue gastric material.
3. Prominent gastric rugal folds such as from no-specific gastritis or variation of normal.
</t>
  </si>
  <si>
    <t>Given reported blood work changes and suspicion of mechanical ileus, consider additional imaging of the abdomen with ultrasonography or computed tomography to rule out mechanical ileus and further evaluate the liver/kidneys. Contrast enterography or a compression radiograph (lateral) over the mid-abdominal area may also be beneficial. If mechanical ileus is confirmed, consider surgical intervention after supportive care. Empirical therapy and supportive care in the interim as needed. Monitor as directed, or sooner if clinical signs acutely change, fail to improve or worsen.</t>
  </si>
  <si>
    <t>Three radiographs of the thorax, and orthogonal views of the abdomen are provided. Images dated 6/10/23 and earlier are available for comparison. There is prominence of the left atrium and auricle compared to the previous study. Pulmonary vessels are normal size. There are mild age-related changes in the lungs. Thin flat increased opacity overlying the cranial dorsal thorax on both of the lateral views, and overlying the mid heart on the right lateral projection is incidental platelike atelectasis. There is no pleural effusion. Normal cranial mediastinal width and tracheal diameter._x000D_
_x000D_
In the abdomen peritoneal and retroperitoneal detail is adequate. Normal-sized liver, spleen, kidneys. The gastrointestinal tract is mildly filled. Small volume mineral opaque debris in the stomach is likely incidental. Fragmented metal opaque wire in the cranioventral peritoneal space as before, incidental. No radiopaque urolithiasis. Osseous structures are unremarkable.</t>
  </si>
  <si>
    <t>Prominent left atrium and auricle consistent with mitral valve regurgitation. This is a new development. Dilated cardiomyopathy is most likely. Chronic valvular disease is given secondary consideration. There is no evidence of pulmonary venous congestion or heart failure. The thorax and abdomen are otherwise normal.</t>
  </si>
  <si>
    <t>An echocardiogram should be considered to obtain baseline measurements and help guide treatment.</t>
  </si>
  <si>
    <t>Patient Name: Blanche Feinberg, Date of study: Jun 21, 2024
5 images are provided for review (3 lateral, 2 VD). 
There are no previous radiographs for comparison.
Findings:
Gastrointestinal tract: The stomach is normal in position and contains a small volume of gas. The pylorus and duodenum are well visualized/normal. The small intestines are diffusely within normal limits of diameter and distribution containing primarily gas. The colon is empty.
Liver: The liver is normal in size and margination.
Spleen: The spleen is normal in size with smooth margins.
Urinary: The kidneys are normal in size, shape, and margination. The urinary bladder is small in size and normal in opacity.
Peritoneal space: There is adequate serosal detail.
Musculoskeletal: There is several metal sutures superimposed with the ventral mid to caudal abdominal wall. The included skeletal and superficial soft tissue structures of the study are normal.
Caudal thorax: The included cardiopulmonary structures are normal.</t>
  </si>
  <si>
    <t xml:space="preserve">Unremarkable gastrointestinal tract. There is no evidence of a small intestinal mechanical obstruction or mineral/metal opaque foreign body. Gastroenteritis and pancreatitis are prioritized as causes of clinical signs.
</t>
  </si>
  <si>
    <t>Consider routine blood work and cPL for further evaluation if not recently performed.  Empirical therapy and supportive care in the interim as needed. Monitoring as directed or sooner if clinical signs acutely change, fail to improve or worsen.</t>
  </si>
  <si>
    <t xml:space="preserve">
1.Small intestines are minimally distended. No evidence of obstruction._x000D_
2.The stomach contains small volume gas and equivocal scant soft tissue density._x000D_
3.Abdominal detail is normal._x000D_
4.The liver and spleen are normal size and shape._x000D_
5.No abnormal AI findings reported.</t>
  </si>
  <si>
    <t>Thorax: On the lateral views there is a soft tissue opacity (1.85 cm diameter) within the caudal dorsal thorax near the level of the diaphragm.  There is a possible second nodule (1.00 cm in diameter) located dorsal to the tracheal bifurcation.  These are not identified on the ventrodorsal views.  There is generalized cardiomegaly.  There is no evidence of congestive heart failure.  The pulmonary vasculature is unremarkable.  There is no evidence of pleural effusion or lymphadenopathy.  There are no abnormalities involving the mainstem bronchi.  On the lateral views there is a mild increase in soft tissue associate with the dorsal aspect of the extrathoracic trachea._x000D_
_x000D_
Abdomen: There is an irregular mineral opacity superimposed over the urinary bladder.  The prostate is enlarged.  There is a mineral opacity (calculus) associated with the urethra just proximal to the base of the os penis.  There is mild diffuse hepatomegaly.  The remainder of the abdomen is unremarkable.</t>
  </si>
  <si>
    <t>The soft tissue opacities associated with the thorax are concerning for pulmonary nodules (neoplasia).  Alternatively the 1 identified dorsal to the tracheal bifurcation may represent a summation artifact and the one within the caudal dorsal thorax may represent a sliding hiatal hernia however these differentials are considered less likely._x000D_
_x000D_
Generalized cardiomegaly without evidence of decompensation._x000D_
_x000D_
Urinary bladder calculi._x000D_
_x000D_
Urethral calculus._x000D_
_x000D_
Diffuse hepatomegaly._x000D_
_x000D_
In light of provided history of intact male, the size of the prostate most likely represents benign prostatic hypertrophy however neoplasia cannot be ruled out._x000D_
_x000D_
The soft tissue opacity associated with the dorsal aspect of the the extrathoracic trachea most likely represents a combination of a redundant dorsal tracheal membrane and rotational obliquity.</t>
  </si>
  <si>
    <t xml:space="preserve">
1.The small intestines contain an increased amount of gas for a feline patient._x000D_
2.The transverse colon is moderately gas dilated._x000D_
3.The descending colon contained some poorly formed faeces and gas._x000D_
4.The hepatic silhouette is mildly enlarged, with smooth margins._x000D_
5.The spleen is positioned along the left body wall._x000D_
6.The peritoneal serosal detail is normal._x000D_
7.The stomach is contains a mild amount of food material, and has a mildly caudally displaced axis.</t>
  </si>
  <si>
    <t xml:space="preserve">Patient Name : Little Girl Shield, Date of study: Jun 20, 2024
3 images are provided for review
Canine Thorax (3 Images) - 2 Lateral, 1 Vd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moderately enlarged and tall, occupying greater than 2./3 the height of the thorax.  The trachea id dorsally displaced.  The caudodorsal margin of the cardiac silhouette is enlarged and rounded.  Rounded increased soft tissue is in the area of the left atrium in the ventrodorsal image. The cardiac silhouette occupies the width of 3.5-4 intercostal spaces.  The cardiac silhouette is rounded in the region of the left auricular appendage.
Mediastinum: The cranial mediastinum is normal.
Trachea: A soft tissue band partially superimposes over the cervical trachea.  
Esophagus: The esophagus is not well-identified.
Pleural space: Thin pleural fissure lines that do not widen in the periphery of the lungs are present between the right cranial/middle and left cranial/caudal lung lobes in the ventrodorsal image.  
Musculoskeletal: Multifocal thoracolumbar spondylosis deformans is present.  The remaining included musculoskeletal structures are normal.
</t>
  </si>
  <si>
    <t xml:space="preserve">1. Moderate left-sided cardiomegaly and suspected right-sided cardiomegaly such as from myxomatous mitral/tricuspid valvular disease and/or cor pulmonale/pulmonary hypertension, or unlikely other.
- There is no current evidence of left-sided congestive heart failure.  
2. Mild diffuse bronchial pulmonary pattern due to fibrosis from prior disease, age-related changes, or unlikely  infectious/immune-mediated lower airway disease, or other.
3. Thin pleural fissure lines such as from tangential beam artifact, pleural thickening/folding, or scant pleural effusion.
4. Dorsal redundant tracheal membrane with/without dynamic airway disease versus superimposed normal structures.  </t>
  </si>
  <si>
    <t xml:space="preserve">Echocardiography, blood pressure, and ECG for further evaluation of the heart.  Routine blood work and urinalysis if not recently performed.  Consider respiratory PCR panel, airway sampling, and fecal analysis/deworming for further evaluation of the lower airway if clinically indicated.  Empirical therapy and supportive care in the interim as needed.  Monitoring with routine thoracic radiographs and echocardiography as directed or sooner if clinical signs acutely change, fail to improve or worsen.  If  dyspnea manifests, diuretic and oxygen therapy with repeat thoracic radiographs for monitoring response to therapy.  </t>
  </si>
  <si>
    <t>Right stifle: There is medial luxation of the patella.  There are no other abnormalities identified.  On the visible portions of the right tarsus there appears to be thickening of the common calcaneal tendon at the level of the tuber calcaneus._x000D_
_x000D_
Left stifle: There is medial luxation of the patella.  On the visible portions of the tarsus there is mild thickening of the common calcaneal tendon at the level of the tuber calcaneus._x000D_
_x000D_
Pelvis: There are no abnormalities identified._x000D_
_x000D_
Abdomen: There is possible gas within the proximal retroperitoneal space._x000D_
_x000D_
Thorax: There is mild gas dilation of the esophagus most likely secondary to anesthesia.</t>
  </si>
  <si>
    <t>Bilateral medial luxating patella=ZZ91=s._x000D_
_x000D_
Bilateral common calcaneal tendon thickening.  This may represent variation of normal or possible secondary to previous trauma._x000D_
_x000D_
Possible mild retroperitoneal effusion.</t>
  </si>
  <si>
    <t>7 views of the thorax, abdomen, pelvis, and distal pelvic limbs are submitted for review._x000D_
In the thorax, the cardiac silhouette and pulmonary vasculature are within normal limits.  An irregular but essentially ovoid shaped, smoothly marginated soft tissue opacity mass is noted in the left cranioventral thorax.  Mild bronchial markings are noted throughout the remainder of the lung fields.  No pleural effusion is noted._x000D_
In the abdomen, the spleen is generally prominent in size with smooth, slightly rounded serosal margins.  The liver is subjectively normal in size and shape.  The unobscured margins of the renal silhouettes are within normal limits.  The urinary bladder appears moderately distended.  The stomach contains a mild amount of gas and fluid.  The small bowel is subjectively, mildly fluid-filled without being overtly dilated.  A mild amount of stool is noted in the colon.  Serosal detail in the abdomen is normal._x000D_
No abnormalities are noted in the visible cervical, thoracic, or lumbar spine.  The bilateral front feet are within normal limits.  The coxofemoral joints are congruent with no degenerative change.  The sacroiliac joints are normal.  No abnormalities are seen in the very limited views of the stifles.</t>
  </si>
  <si>
    <t>Large cranioventral thoracic mass.  This is thought to be most likely represent a mass in the cranioventral mediastinum, as with lymphoma, thymoma, or ectopic thyroid neoplasia.  Secondary consideration is given to mass in the cranial subsegment of the left cranial lung lobe as with primary pulmonary carcinoma or adenocarcinoma.  Granulomatous inflammation, abscess, or other fluid-filled viscus is not excluded._x000D_
The mild prominence of the spleen could be consistent with diffuse round cell neoplasia as with lymphoma or other round cell tumor, diffuse inflammation, lymphoid hyperplasia, or venous congestion.  The appearance of the small bowel is very equivocal but could be consistent with mild functional ileus as with gastroenteritis from any cause.</t>
  </si>
  <si>
    <t>An abdominal ultrasound and ultrasound of the cranioventral thorax is recommended for further evaluation.</t>
  </si>
  <si>
    <t xml:space="preserve">
1.The liver is mildy enlarged._x000D_
2.The stomach is normal. The small bowel is diffusely gas- and fluid-filled without segmental small bowel dilation._x000D_
3.Splenic size, shape and margin are normal._x000D_
4.Abdominal detail is normal.</t>
  </si>
  <si>
    <t>Orthogonal views of the abdomen are provided:_x000D_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_x000D_
Bilateral hip dysplasia with moderate periarticular osteophytosis.</t>
  </si>
  <si>
    <t>Consider abdominal US to further evaluate the liver and the reported GI signs.</t>
  </si>
  <si>
    <t>Three radiographs of the abdomen are provided. There is moderate volume soft tissue opacity within the stomach. Small bowel are mildly filled with stippled soft tissue density and gas. The colon is minimally filled. There is gas in the cecum. No radiopaque foreign material or urolithiasis. Normal-sized liver, spleen, and kidneys. Narrowed T13-L1 intervertebral disc space and foramen. No other spinal abnormalities. The coxofemoral joints are normal. The caudal thorax is unremarkable.</t>
  </si>
  <si>
    <t>1. The appearance of T13-L1 is highly suggestive of intervertebral disc protrusion/extrusion. Such a lesion at this or another site is the most likely cause for the neurologic deficits._x000D_
2. Normal postprandial abdomen.</t>
  </si>
  <si>
    <t>Consultation with a neurologist and advanced spinal imaging with CT/MRI is recommended.</t>
  </si>
  <si>
    <t xml:space="preserve">
1.The liver is mildly enlarged but retains a smooth margin._x000D_
2.Abdominal detail is normal._x000D_
3.The ascending, transverse and descending colon are in a normal position and contain gradually more formed faeces._x000D_
4.The stomach is normal._x000D_
5.Splenic size, shape and margin are normal._x000D_
6.The small intestinal tract is diffusely gas- and fluid-filled. No segmental small bowel dilation is noted.</t>
  </si>
  <si>
    <t>Hepatomegaly. DDx: fat deposition/vacuolar change vs. hepatitis suspected. The overall impression is one of a normal post-prandial GI tract. However, in a vomiting patient, enteritis +/- gastritis should be ruled out. There is no evidence of a complete mechanical obstruction.</t>
  </si>
  <si>
    <t xml:space="preserve">
Virtual Radiologist Case Difficulty: MODERATE_x000D_
Virtual Radiologist Confidence: MODERATE_x000D_
Empirical management with fluids, antiemetics, antacids, prophylactic deworming, and gastroprotectants as clinically indicated and repeat radiographs may be considered._x000D_
If GI signs persist, an upper GI contrast study or abdominal ultrasound may be considered._x000D_
Further evaluation of the liver via blood work +/- abdominal ultrasound.</t>
  </si>
  <si>
    <t>Five radiographs of the thorax are provided. The cardiac silhouette is normal size with no chamber enlargement. Pulmonary vessels are normal size. Mild bronchial markings in the dorsal lungs. No pleural effusion. Mild dorsal position of the cranial thoracic trachea is incidental. Redundant dorsal trachealis membrane causes mild narrowed cervical trachea. No esophageal dilation. Normal cranial abdomen.</t>
  </si>
  <si>
    <t>1. Probable dynamic cervical tracheal collapse, the most likely cause for coughing._x000D_
2. Mild bronchial markings may be normal for age change versus chronic airway inflammation such as bronchitis. This may be due to inhaled irritants/allergens. There is no evidence of cardiovascular disease. Small valvular regurgitant jet can result in a relatively loud murmur.</t>
  </si>
  <si>
    <t>Recommend utilization of a body harness in place of a neck lead. This patient may benefit from treatment for allergic airway disease.</t>
  </si>
  <si>
    <t xml:space="preserve">
1.Serosal detail is adequate._x000D_
2.The stomach appears within normal limits. The small bowel contains a mild amount of gas. No obvious signs of obstruction._x000D_
3.No abnormal AI findings reported._x000D_
4.The liver is mildly enlarged with normal shape and smooth margins.</t>
  </si>
  <si>
    <t>Orthogonal radiographs of the abdomen dated June 21, 2024 are provided, and compared to three images obtained on June 20, 2024. On the June 20 images, serosal detail is adequate. There is small volume fluid and gas in the stomach. There are several loops of small bowel that are moderately dilated with gas and stippled soft tissue density. A few loops of mildly filled small bowel are also present. Punctate metal density in a loop of bowel in the midabdomen. Normal-sized kidneys, liver, spleen. The caudal thorax is normal. On the June 21 images, small volume gas is present in the stomach. Normal rugal folds are visible. Small intestines are diffusely minimally distended with fluid and gas. There is small volume gas in the cecum and proximal colon, small volume of formed feces and the punctate metal density in the distal colon. Serosal detail remains adequate.</t>
  </si>
  <si>
    <t>Probable partial small intestinal obstruction on June 20, 2024. The abdomen is normal on the morning of June 21, 2024.</t>
  </si>
  <si>
    <t>Recommend continued support as needed. If the patient does not continue to improve clinically, fasting abdominal ultrasound would be recommended.</t>
  </si>
  <si>
    <t xml:space="preserve">
1.Splenic size, shape and margin are normal._x000D_
2.There is a focal loss of serosal detail in the cranial abdomen._x000D_
3.The liver is mildly enlarged._x000D_
4.The gastric lumen contains a mild amount of soft tissue and gas opacity._x000D_
5.The gastric rugae are prominent._x000D_
6.No mechanical ileus is visualized._x000D_
7.Loops of bowel are gas filled and have a rigid appearance.</t>
  </si>
  <si>
    <t>Appearance of the GI tract is suggestive of gastroenterocolitis. Decreased cranial abdominal detail. This finding is consistent with cranial abdominal inflammation (i.e - pancreatitis, gastritis, duodenitis). Mild hepatomegaly. DDx: fat deposition vs. hepatitis. Infiltrative neoplasia is considered less likely but still a consideration in an older dog.</t>
  </si>
  <si>
    <t>Orthogonal views of the thorax and abdomen are provided (and compared to the previous study on the 09/19/23):_x000D_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The left side SC lipoma has grown in size._x000D_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
(amended on 06/21/2024 06:46)
The cardiac silhouette has not increased in size when compared to the previous exam.</t>
  </si>
  <si>
    <t>1) Unremarkable thorax without signs of cardiomegaly (this does not exclude a cardiac disease), pulmonary metastases nor signs of thoracic lymphadenopathy. _x000D_
2) Increased in size left SC lipoma._x000D_
3) Unremarkable abdomen.</t>
  </si>
  <si>
    <t>Given the lack of cardiomegaly but audible murmur, consider a cardiology consultation with ECG and echocardiogram.</t>
  </si>
  <si>
    <t xml:space="preserve">
1.Abdominal detail is normal._x000D_
2.The GI tract is normal. No signs of obstruction._x000D_
3.The liver is mildly enlarged but retains a smooth margin._x000D_
4.Splenic size, shape and margin are normal.</t>
  </si>
  <si>
    <t>9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extends mildly beyond the costal arch.  The stomach contains a moderate amount of gas.  The small intestines are normal in size.  Gas and feces are present in the colon.  The urinary bladder is moderately distended.  The remaining abdominal organs are normal.  There is spondylosis deformans of the thoracolumbar spine.</t>
  </si>
  <si>
    <t>Mild hepatomegaly=ZZ90= this is a nonspecific finding that may be seen with congestion, vacuolar hepatopathy, inflammation, neoplasia, etc.  Abdominal ultrasound may be helpful in further evaluation if biochemically indicated.  Degenerative changes of the thoracolumbar spine.  Radiographically normal thorax for patient of this age.</t>
  </si>
  <si>
    <t xml:space="preserve">Patient Name : ANNABELLE Kraft, Date of study: Jun 20, 2024
6 images are provided for review
There are no previous radiographs for comparison.
Bones/Joints:
The right elbow is normal.  The left elbow is normal.  
The shoulders are normal.  
The included portion of the carpus and manus is normal.  
There is no evidence of medullary sclerosis, osteolysis, endosteal scalloping, or periosteal proliferation.
Soft tissues:  The right brachial and antebrachial soft tissues are slightly smaller compared to the left.  The remaining included soft tissues are normal.
</t>
  </si>
  <si>
    <t>1. Normal right elbow.
2. Normal left elbow.  
3. Slightly small right brachial and antebrachial soft tissues such as from disuse atrophy or other, versus artifact.</t>
  </si>
  <si>
    <t>This examination does not rule out occult soft tissue strain/sprain injury or occult myelopathy such as from intervertebral disc disease contributing to reported signs.  Consider neurologic examination with/without  MRI may be for further evaluation.  Empirical therapy and supportive care in the interim as needed.  Monitoring as directed or sooner if clinical signs acutely change, fail to improve or worsen.</t>
  </si>
  <si>
    <t>3 views of the abdomen are provided for review.  Serosal detail is adequate in all quadrants.  The stomach contains a moderate amount of mottled soft tissue material.  The small intestines are normal in size.  Gas is present in the colon and cecum.  The urinary bladder is small.  The remaining abdominal organs are normal.  There is lumbarization of the 13th ribs bilaterally.  Lumbosacral transitional vertebra is present.</t>
  </si>
  <si>
    <t xml:space="preserve">Patient Name : Mulberry Aguirre, Date of study: Jun 20, 2024
3 images are provided for review
Canine Thorax (3 Images) - 1 Vd, 2 Lateral
There are no previous radiographs for comparison.
Pulmonary parenchyma: A minimal to mild diffuse bronchial pattern is present.  A minimal diffuse interstitial pattern is present.  The lungs are minimally or mildly hypoinflated.
Pulmonary vasculature: The pulmonary vasculature is subjectively normal in size and tapers in the periphery of the lungs.
Cardiac silhouette: The cardiac silhouette is normal in size and shape.
Mediastinum: The cranial mediastinum is normal.
Trachea: A slight soft tissue band is over the dorsal trachea in the left lateral image.  
Esophagus: The esophagus is not well-identified.
Pleural space: The pleural space is normal.
Musculoskeletal: The patient is obese.  The remaining included musculoskeletal structures are normal.
</t>
  </si>
  <si>
    <t>1. Minimal-mild diffuse bronchial and interstitial pulmonary patterns.
- Differential diagnoses include fibrosis from prior disease, age-related changes, artifact from underinflation/body condition, or less likely infectious/immune-mediated lower airway disease or unlikely other.
2. Minimal dorsal redundant tracheal membrane versus superimposed normal structures.
3. Obesity.</t>
  </si>
  <si>
    <t>Etiology of reported signs is not definitively identified.  Consider routine blood work and abdominal imaging to screen for occult systemic disease.  Weight loss may be contributory.  Empirical therapy and supportive care in the interim as needed.  Monitoring as directed or sooner if clinical signs acutely change, fail to improve or worsen.</t>
  </si>
  <si>
    <t xml:space="preserve">
1.There is reduced abdominal serosal detail._x000D_
2.The liver is enlarged with suspicion of asymmetric hepatomegaly or a liver mass._x000D_
3.The gastrointestinal tract is within normal limits except in a small number of cases where severe gastric distention mimics the finding of hepatomegaly or a liver mass._x000D_
4.The spleen is mildly enlarged with a focal bulge in the splenic capsular margin.</t>
  </si>
  <si>
    <t>Orthogonal radiographs of the abdomen/pelvis, and a lateral view of the left stifle are provided. Vertebral alignment is normal. The L2-3 intervertebral foramen is slightly smaller than those on either side. There is no endplate lysis. No intra-abdominal abnormalities. The coxofemoral joints are congruent. Two smoothly marginated punctate mineral densities medial to the left femoral lesser trochanter. Pelvic limb musculature is symmetric. Patella location is normal. No stifle joint effusion. No popliteal lymphadenomegaly.</t>
  </si>
  <si>
    <t>1. The appearance at L2-3 is suggestive of a protruding/extruded intervertebral disc. Such a lesion at this or another site is the most likely cause for the clinical signs._x000D_
2. Punctate mineral densities adjacent to the left femoral lesser trochanter are typically due to chronic insult such as to the iliopsoas attachment. Since these fragments are rounded, this is most likely a chronic process. Acute exacerbation of prior injury could cause recent discomfort. No other pelvic limb abnormalities.</t>
  </si>
  <si>
    <t>Recommend supportive care with anti-inflammatories and rest.</t>
  </si>
  <si>
    <t>Orthogonal radiographs of the abdomen are provided. Peritoneal and retroperitoneal detail is adequate. There is moderate volume soft tissue density stippled with gas filling the stomach. Small bowel are mildly filled with gas and scant fluid. Formed feces fills the distal colon. No radiopaque foreign material. Normal-sized liver, spleen, left kidney. The right kidney is obscured by bowel loops. No radiopaque cystic calculi. Normal caudal thorax.</t>
  </si>
  <si>
    <t>Normal postprandial abdomen. There is no evidence of radiopaque foreign material or an obstructive process.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</si>
  <si>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prominent.  The small intestines are normal in size.  Gas and feces are present in the colon.  The urinary bladder contains multiple rounded mineral structures.  The remaining abdominal organs are normal.</t>
  </si>
  <si>
    <t>Prominent rugal folds suggestive of gastritis.  This does not rule out underlying pancreatitis, dietary indiscretion, inflammatory bowel disease, etc.  If clinical signs persist with supportive therapy, abdominal ultrasound could be considered in further evaluation.  Cystic calculi.  Radiographically normal thorax for patient of this age.</t>
  </si>
  <si>
    <t xml:space="preserve">
1.Liver size, shape and margin are normal._x000D_
2.Splenic size, shape and margin are normal._x000D_
3.Abdominal detail is normal._x000D_
4.The stomach contains small volume gas and scant amorphous soft tissue density. Diffuse, mild to moderate gas dilation of the small bowel without evidence of segmental dilation/mechanical obstruction.</t>
  </si>
  <si>
    <t>The AI result for this case is most compelling for: Gastroenteritis. There is no suggestion of a bowel obstruction.</t>
  </si>
  <si>
    <t xml:space="preserve">
Based on lab work results and patient response to supportive care, additional imaging such as abdominal ultrasound may be recommended._x000D_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</si>
  <si>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Opposite lateral and VD views of the thorax and abdomen are provided._x000D_
_x000D_
The heart is at the upper end of normal size range. The heart is within normal size and shape limits. The appearance is similar to the previous study dated 7-29-23. The pulmonary vessels and parenchyma are within normal limits for patient age. No pleural effusion is seen. There is a subcutaneous lipoma on the ventral thorax._x000D_
_x000D_
The spleen is small and partially mineralized. The other abdominal organs are within normal size and shape limits. No abnormalities are identified involving the gastrointestinal tract. No mass lesions or loss of detail are seen in the abdomen._x000D_
_x000D_
There is severe narrowing and moderate spondylosis involving the T13-L1 intervertebral disc space. The disc spaces from T11 to T13 are also moderately narrowed. These changes have progressed relative to the previous study. No destructive bone lesions are seen.</t>
  </si>
  <si>
    <t>No abnormalities involving the GI tract that would explain the soft dark stool are identified._x000D_
No anatomic abnormalities that would explain the anemia or the lethargy and anorexia are identified._x000D_
_x000D_
The small end mineralized appearance of the spleen would most likely be residual change secondary to a previous infarct or episode of inflammation involving the spleen. This is presumed to be a chronic remodeling change that is probably incidental at this time._x000D_
_x000D_
The thorax is within normal limits for patient age. There is no evidence of significant cardiac chamber dilation or heart failure._x000D_
_x000D_
There is disc space narrowing consistent with disc degeneration in the thoracolumbar spine.</t>
  </si>
  <si>
    <t>The cause of the presenting clinical complaints is not apparent in the radiographs._x000D_
Supportive care and symptomatic therapy is recommended._x000D_
_x000D_
Follow up imaging such as ultrasound or endoscopy could be considered if clinical signs are not improving.</t>
  </si>
  <si>
    <t>13 images of the thorax, abdomen, pelvis, and pelvic limbs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The right femoral head is displaced cranially from its acetabulum with pseudoarthrosis present due to remodeling of the right ilial body.  Osteophytes present on the right femoral neck.  The remaining joint surfaces are smooth and regular.  No stifle effusion is seen.  No fractures or lytic lesions are seen.  Spinal alignment is normal with no consistently narrowed intervertebral disc spaces.</t>
  </si>
  <si>
    <t>Radiographically normal abdomen.  Radiographically normal thorax for patient of this age.  Chronic right coxofemoral luxation with pseudoarthrosis.</t>
  </si>
  <si>
    <t>3 views of the abdomen are provided for review.  Serosal detail is adequate in all quadrants.  The stomach contains a moderate amount of mottled soft tissue material.  No intestinal segment in the right cranial abdomen is distended with gas and soft tissue material=ZZ90= is uncertain if this represents duodenum or ascending colon.  The remaining small intestines are normal in size.  Gas and feces are present in the colon.  The urinary bladder is small.  The remaining abdominal organs are normal.</t>
  </si>
  <si>
    <t>Material within the stomach may represent residual ingesta or foreign material.  Consider repeat radiographs following strict fasting to determine if gastric contents persist.  A pneumocolon could also be considered to determine if the segment in the right cranial abdomen is duodenum or colon.</t>
  </si>
  <si>
    <t>Three radiographs of the thorax, three views of the abdomen, and a lateral view of the distal pelvic limbs is provided. The cardiac silhouette is lower normal size. Pulmonary vessels are normal size. There are several (at least 12) well-defined variably sized round soft tissue opaque nodules throughout the lungs, as well as a mass that measures 3.1 cm. Multiple lung lobes are affected. There is no effusion or intrathoracic lymphadenomegaly. Normal tracheal diameter._x000D_
_x000D_
In the abdomen there is no effusion. Normal sized kidneys, liver, spleen. The gastrointestinal tract is minimally filled. Spondylosis deformans in the caudal thoracic/cranial lumbar spine is likely incidental. In the distal pelvic limbs, there is moderate soft tissue thickening proximal to the left tuber calcaneus, with a smoothly marginated curved 0.9 x 0.3 cm osseous fragment. No other abnormalities.</t>
  </si>
  <si>
    <t>1. Pulmonary nodules and mass consistent with malignant neoplasia. Whether this is primary pulmonary neoplasia or metastatic disease from a distant site is unknown._x000D_
2. Small osseous fragment and thickening adjacent to the left tuber calcaneus is most consistent with chronic insult._x000D_
3. Normal abdomen. The splenic lesion reportedly seen on ultrasound is not appreciated. Splenic neoplasia such as hemangiosarcoma is of concern.</t>
  </si>
  <si>
    <t>Recommend supportive care. With the multiple lung lesions, complete surgical resection is not possible.</t>
  </si>
  <si>
    <t xml:space="preserve">
1.There is a reduction in serosal detail in the abdomen.Abdominal detail is normal._x000D_
2.There is a subtle region of focally increased opacity with mass effect in the cranial abdomen. The small bowel is diffusely gas- and fluid-filled without segmental small bowel dilation._x000D_
3.No abnormal AI findings reported._x000D_
4.No abnormal AI findings reported.</t>
  </si>
  <si>
    <t xml:space="preserve">Patient Name : Lola Cameron, Date of study: Jun 20, 2024
4 images are provided for review
There are no previous radiographs for comparison.
Pulmonary parenchyma: A minimal diffuse bronchial pattern is present.  A minimal diffuse interstitial pattern is present.  A mild interstitial pattern is in the cranial subsegment of the left cranial lung in the ventrodorsal image.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contains mild gas or is empty.  
Pleural space: The pleural space is normal.
Musculoskeletal: Gas is present in the dorsal cervical soft tissues at the level of C3-4, and in the dorsal subcutaneous cervical soft tissues from C4 through C7-T1.  Moderate soft tissue swelling is ventral to the larynx, hyoid and caudal mandible in the left lateral image.  The remaining included musculoskeletal structures are normal.
</t>
  </si>
  <si>
    <t>1. Focal soft tissue swelling, caudal head /cranioventral cervical region.
- This is most likely due to reported recent trauma. 
- No obvious local gas such as from perforation of the larynx/trachea is suspected at this site.
2. Dorsal cervical soft tissue and subcutaneous gas, presumed deepest dorsal to C3-4.
- No obvious vertebral fracture is identified.
3. Mild left cranial lung lobe interstitial pattern due to trauma/contusion/hemorrhage, versus atelectasis or less likely artifact or other.
4. Minimal diffuse bronchial and interstitial pulmonary patterns.
- Differential diagnoses include fibrosis from prior disease, age-related changes, or unlikely  infectious/immune-mediated lower airway disease or other.</t>
  </si>
  <si>
    <t xml:space="preserve">Consider computed tomography or MRI of the head/neck and thorax for further evaluation, especially if neurologic signs manifest.  Wound explore/debridement and lavage as needed.  Therapy for possible left lung contusion if clinically indicated in the interim.  Monitoring as directed, or sooner if signs acutely change or worsen.  </t>
  </si>
  <si>
    <t>A three view study of the abdomen is provided for interpretation._x000D_
_x000D_
The liver is mildly enlarged, with normal shape and smooth margins. There is a small quantity of granular mineral dense material in the stomach. No dilation the stomach or intestine is seen. The tail the spleen has a rounded appearance in all views. The other abdominal organs are within normal size and shape limits. Serosal detail is normal._x000D_
No significant musculoskeletal abnormalities are identified.</t>
  </si>
  <si>
    <t>There is mild hepatomegaly. Clinical significance in the absence of associated hepatic enzyme abnormalities is usually limited, but hepatic lymphoma would still be a consideration._x000D_
_x000D_
The small quantity of granular mineral density in the stomach is minimal, and probably an incidental finding of limited significance._x000D_
_x000D_
The tail the spleen appears rounded, but a convincing mass effect is not identified. This is likely to be incidental.</t>
  </si>
  <si>
    <t>No findings that would specifically explain the hyporexia are identified._x000D_
Symptomatic therapy and supportive care is recommended.</t>
  </si>
  <si>
    <t xml:space="preserve">
1.The overall peritoneal serosal detail is mildly reduced._x000D_
2.The abdomen is pendulous._x000D_
3.The small bowel is diffusely gas- and fluid-filled without segmental small bowel dilation._x000D_
4.The stomach contains granular food material, with a moderately caudally displaced axis._x000D_
5.The caudoventral margin of the liver is enlarged and rounded._x000D_
6.The spleen has a slightly rounded, well-defined margin, and is normal in overall size.</t>
  </si>
  <si>
    <t xml:space="preserve">Patient Name : GUNNER Guenther, Date of study: Jun 20, 2024
4 images are provided for review
There are no previous radiographs for comparison.  The lateral images are not labeled but a presumed the right limb based on provided history.
Bones/Joints:   L1-2 is slightly narrowed compared to T13-L1.  No obvious mineral superimposed over L1-2 intervertebral foramina.  The right femoral trochlear ridges are subjectively shallow.  No obvious patella luxation in the craniocaudal image.  
The left stifle has no evidence of osteoarthrosis.  The infrapatellar fat pad is well-defined.
The right stifle has no evidence of osteoarthrosis.  The infrapatellar fat pad is well-defined.
The coxofemoral joints have no obvious osteoarthrosis.  There is adequate coverage of the femoral heads by the acetabulums.
There is no evidence of medullary sclerosis, osteolysis, endosteal scalloping, or periosteal proliferation.
Soft tissues:  The included soft tissues are normal.
</t>
  </si>
  <si>
    <t>1. L!-2 intervertebral disc narrowing versus artifact.
2. Right femoral trochlear ridge hypoplasia without current patella luxation.  
3. No obvious left or right stifle osteoarthrosis.
4. Normal coxofemoral joints.</t>
  </si>
  <si>
    <t xml:space="preserve">Consider routine blood work, thoracic imaging and neurologist consultation with/without MRI for further evaluation.  Empirical therapy and supportive care in the interim as needed.  Monitoring as directed or sooner if signs acutely change or worsen.  </t>
  </si>
  <si>
    <t>Patient Name : Wade Gonsalves, Date of study: Jun 20, 2024
3 images are provided for review (2 lateral, 1 VD).
There are no previous radiographs for comparison.
Findings:
Gastrointestinal tract: The stomach is normal in size and position. The stomach contains a small volume of heterogeneous ingesta admixed with gas. The small intestines are diffusely within normal limits of size and distribution containing gas and fluid. The colon is unremarkable.
Liver: The liver is normal in size, shape, and margination.
Spleen: The spleen is normal in size with smooth margins.
Urinary: The visible margins of the kidneys are normal. The urinary bladder is small in size.
Prostate: The prostate is within normal limits of size. There is no evidence of mineralization.
Peritoneal space: There is adequate serosal detail.
Musculoskeletal: The musculoskeletal and superficial soft tissue structures of the study are within normal limits.
Caudal thorax: The cardiopulmonary structures and the caudal thorax are normal.</t>
  </si>
  <si>
    <t xml:space="preserve">1. Unremarkable gastrointestinal tract with a normal post-prandial appearance. No radiopaque foreign material or evidence of mechanical obstruction is identified.
Differentials include gastroenteritis and pancreatitis. </t>
  </si>
  <si>
    <t>Empirical therapy and supportive care for gastroenteritis/pancreatitis is recommended.  CBC, biochemistry, and cPL could be considered if not already performed. If clinical signs persist despite treatment, an abdominal ultrasound would be recommended.</t>
  </si>
  <si>
    <t>Study:_x000D_
Thoracic radiography: three images dated June 20, 2024_x000D_
_x000D_
Findings:_x000D_
The cardiac silhouette is normal in size and shape. The pulmonary vasculature is normal in size. There is a large (approximately 6.2 cm x 5 cm) lobulated soft tissue opaque mass in the region of the right cranial lung lobe. The mass has a broad-based against the thoracic wall. The adjacent ribs are normal. The pleural space is unremarkable. There is no apparent intrathoracic lymphadenopathy. The trachea is normal in diameter. The stomach and some small intestinal segments contain unstructured heterogeneous/granular soft tissue material presumed to be ingesta. The included abdomen is otherwise unremarkable. There is narrowing of the T 12-T 13 through L2-L3 intervertebral disc spaces with mild spondylosis deformans.</t>
  </si>
  <si>
    <t>1. The mass in the right cranial thorax likely represents a right cranial lung lobe pulmonary mass. Primary pulmonary carcinoma is prioritized. An extrapleural rib mass is considered rest likely. Consider thoracic sonography and tissue sampling for further evaluation._x000D_
2. There is no radiographic evidence of heart disease. Consider echocardiography for further evaluation of the reported heart murmur._x000D_
3. Multifocal thoracolumbar intervertebral disc disease.</t>
  </si>
  <si>
    <t>Study:_x000D_
Thoracic and abdominal radiography: six images dated June 20, 2024_x000D_
_x000D_
Findings:_x000D_
The aortic arch appears enlarged on all three projections. The cardiac silhouette is overall normal in size. There is a diffuse bronchointerstitial pulmonary pattern. No pulmonary nodules or masses are present. The pleural space is normal. There is no intrathoracic lymphadenopathy. There is a broad-based soft tissue opaque band superimposed with the dorsal aspect of the cervical trachea lumen representing other redundant dorsal tracheal membrane or superimposition of the esophagus. The tracheal diameter is normal. The stomach contains a small volume of gas. The small intestines are gas and fluid-filled and normal in size and course. The colon contains gas and poorly formed fecal material. The liver is severely enlarged with smooth and rounded margins. The spleen is normal in size and margin. The renal silhouettes are normal in size and contour. The urinary bladder is normal in size and opacity. There is no prostatomegaly. Mild periarticular bone formation is present at the caudodistal aspect of the right humeral head. There is severe bilateral elbow periarticular bone formation. There is mild L4-L5 and moderate L7-S1 spondylosis deformans. There is bilateral hip dysplasia, remodeling/thickening of the femoral head and neck and acetabular periarticular bone formation, worse on the left. There is moderate bilateral stifle periarticular bone formation. The patient is of overweight body condition.</t>
  </si>
  <si>
    <t>1. The diffuse bronchointerstitial pulmonary pattern is a nonspecific finding. This could be a benign age-related change or may indicate allergic, inflammatory, infectious, inhaled irritant or parasitic bronchitis. Airway sampling plus/minus heartworm testing and Baermann fecal flotation can be exceeded to further evaluate for lower disease. Normal diameter of the trachea does not exclude the possibility of dynamic airway disease/tracheal collapse as a possible cause of the coughing._x000D_
2. There is no evidence of pulmonary metastatic disease._x000D_
3. Enlargement of the aortic arch can indicate systemic hypertension. Consider blood pressure testing for further evaluation._x000D_
4. The severe hepatomegaly is nonspecific. Rule out metabolic/vacuolar hepatopathy, hyperplasia, hepatitis or neoplasia. Sonography can be considered for further evaluation._x000D_
5. The remainder the abdomen is unremarkable. Abdominal sonography should be considered for further evaluation of the reported anal gland mass._x000D_
6. Mild right shoulder and severe bilateral elbow osteoarthrosis._x000D_
7. Bilateral hip dysplasia and coxofemoral osteoarthrosis, worse on the right._x000D_
8. Moderate bilateral stifle osteoarthrosis. Consider underlying cranial cruciate and/or meniscal injury.</t>
  </si>
  <si>
    <t xml:space="preserve">
1.The liver is mild to moderately enlarged with smooth margins._x000D_
2.The splenic head is normal size with an irregularity at the ventral abdomen that likely represents summating intestinal loops and splenic tail._x000D_
3.Serosal detail is adequate._x000D_
4.Moderate volume ingesta fills the stomach._x000D_
5.Gas is present within the cecum and colon._x000D_
6.No radiopaque gastrointestinal foreign material is present.</t>
  </si>
  <si>
    <t>5 images of the thorax and abdomen are provided for review. The cardiovascular and pulmonary structures are normal. No pleural or mediastinal abnormalities are seen. Abdominal serosal detail is adequate. The stomach contains a moderate amount of soft tissue material. The small intestines are normal in size. Gas and feces are present in the colon. The remaining abdominal organs are normal.</t>
  </si>
  <si>
    <t>Radiographically normal thorax on the view provided. Gastric contents may represent normal ingesta or foreign material.</t>
  </si>
  <si>
    <t xml:space="preserve">
1.Abdominal detail is normal._x000D_
2.The gastric rugae are prominent. The small bowel is diffusely gas- and fluid filled without segmental small bowel dilation._x000D_
3.Liver size, shape and margin are normal._x000D_
4.Splenic size, shape and margin are normal.</t>
  </si>
  <si>
    <t>Opposite lateral and ventrodorsal abdominal radiographs (5 images) dated June 20, 2024._x000D_
_x000D_
_x000D_
The liver and spleen are unremarkable in size and shape. The stomach is dilated with a large amount of homogeneous soft-tissue/fluid content and a small amount of gas. This gastric distention is creating a mass effect resulting in caudal and rightward displacement of the intestines. A small amount of mineral sediment is also sitting dependently in the stomach. The small bowel is diffusely and mildly distended with gas, and to a lesser extent, fluid. The colon contains unremarkable appearing stool. The left kidney is normal in size and shape. The right kidney is obscured from visualization due to superimposed viscera. The urinary bladder is small and fluid opaque. Retroperitoneal and peritoneal detail are adequate. No regional lymphadenopathy is evident. The included osseous structures and caudal thorax are unremarkable.</t>
  </si>
  <si>
    <t>1. Gastric dilatation with homogeneous soft-tissue/fluid. This can represent a functional gastric stasis (such as from gastritis) vs. incidental fluid buildup from drinking and eating recently._x000D_
2. No abnormalities are identified in the liver or spleen.</t>
  </si>
  <si>
    <t>If the patient is clinically doing well (eating and drinking, no GI signs) then simple clinical monitoring._x000D_
If there is anorexia, vomiting, abdominal discomfort, etc, abdominal ultrasound and CBC, Chem, UA, thyroid, fecal, BP +/- spec cPL._x000D_
ultrasound to further evaluate the cause of liver value elevations. Tissue sampling (biopsy =ZZ93= FNA) may be needed for a diagnosis.</t>
  </si>
  <si>
    <t xml:space="preserve">
1.Small-volume gas is present within the stomach and throughout the small bowel._x000D_
2.Small volume formed feces is present in the colon._x000D_
3.On the VD projection, the liver is asymmetrically enlarged. This finding is less pronounced on the lateral projection._x000D_
4.There is increased soft tissue opacity in the region of the spleen on the VD projection._x000D_
5.Abdominal detail caudal to the stomach is mildly decreased on the lateral projection.</t>
  </si>
  <si>
    <t>Asymmetric mild hepatomegaly, a nonspecific finding that may be due to acute inflammation, steroid hepatopathy, or infiltrative disease. Increased soft tissue opacity in the splenic region on the VD projection. DDx: superimposition of the spleen and left kidney vs. splenomegaly vs. splenic mass. Decreased abdominal detail caudal to the stomach on the lateral projection. DDx: caudal extension of the liver vs. superimposition of the spleen and bowel in this region vs. lymph node enlargement.</t>
  </si>
  <si>
    <t xml:space="preserve">
Virtual Radiologist Case Difficulty: MODERATE_x000D_
Virtual Radiologist Confidence: MODERATE_x000D_
A CBC, blood chemistry profile, and abdominal ultrasound are recommended.</t>
  </si>
  <si>
    <t>Twelve radiographs are provided, with images of the thoracic limbs, abdomen, and pelvis. Images dated July 14, 2023 are available for comparison. The C6-7 intervertebral disc space is narrowed on the VD views. This was present previously and may be due to neck curvature. There is a smoothly marginated curved 2.1 x 0.8 cm osseous body craniomedial to the right bicipital groove on the same projection, also present on the previous study. The 1.0 cm round increased opacity overlying the right 4th intercostal space is most likely superimposed rib. There is moderate periarticular enthesophyte formation surrounding the left cubital joint. At least two punctate mineral densities medial to the medial coronoid process of the left ulna. No osseous lysis or soft tissue swelling is appreciated. Mild enthesophyte formation on the medial epicondyle of the right humerus._x000D_
_x000D_
In the abdomen there is no effusion or organomegaly. Possible irregular left renal margins on the VD view versus kidney obscured by intestinal loop. The gastrointestinal tract is mildly filled. The urinary bladder is distended and soft tissue opaque. The prostate is not enlarged. Spondylosis deformans at the thoracolumbar junction is likely incidental. The coxofemoral joints are congruent.</t>
  </si>
  <si>
    <t>1. Bilateral cubital osteoarthrosis, worse on the left side. This, coupled with soft tissue sprain/strain is the most likely cause for lameness. The mineral foci medial to the left cubital joint is most likely chronic degenerative change. Medial coronoid process fragmentation is given lesser consideration._x000D_
2. Narrowed C6-7 intervertebral disc space as before, consider artifact caused by normal neck curvature versus intervertebral disc disease. A lateralized intervertebral disc lesion could be responsible for lameness._x000D_
3. Suspect irregular left renal margins may be due to infarcts, parenchymal cysts/abscesses, neoplasia. This could be artifact caused by superimposed small bowel. No other abdominal abnormalities._x000D_
4. Normal coxofemoral joints.</t>
  </si>
  <si>
    <t>Recommend palpate for spinal discomfort and a neurologic examination. If lameness progresses despite supportive care and further evaluation of the left elbow is desired, computed tomography should be considered.</t>
  </si>
  <si>
    <t>Patient Name : ROSIE WILSON, Date of study: Jun 20, 2024
13 images are provided for review. Forelimbs (2 laterals, 2 CC), hindlimbs/pelvis (4 laterals, 2 VD), and spine (1 lateral, 2 VD).
There are no previous radiographs for comparison.
Findings:
Spine: The vertebral bodies and endplates are intact. There are no repeatable sites of intervertebral disc space narrowing. The articular process joints are within normal limits. There is moderate spondylosis deformans of the cranial lumbar spine from L1-2 to L4-5.
Forelimbs: There is mild soft tissue swelling at the distal aspects of the left triceps musculature. The underlying osseous structures are normal. The anconeal process is smoothly marginated. The medial coronoid process is well-demarcated and smooth. There are no para-articular osteophytes or subchondral sclerosis. There is no evidence of joint effusion/swelling. The right elbow is within normal limits. There is a spherical cutaneous nodule (1.7 cm) on the dorsal aspect of the left manus. The right manus is normal. The right and left shoulders are normal.
Hindlimbs/pelvis: The coxofemoral joints are congruent with no evidence of osteoarthritis. The sacroiliac joints and remaining osseous structures of the pelvis are normal. There is a mild increase of soft tissue opacity within the left stifle joint. There is no evidence of osteoarthritis. The right stifle is normal. There is a small cutaneous nodule dorsal to the left tarsus. The tarsi are otherwise within normal limits.</t>
  </si>
  <si>
    <t xml:space="preserve">1. Left triceps soft tissue swelling without underlying osseous abnormalities.
- Differential diagnoses include myositis/myopathy and cellulitis/edema.
2. Mild left stifle effusion due to cranial cruciate ligament injury and/or partial tear versus meniscal injury.
3. Left manus cutaneous nodule such as from cutaneous neoplasm or cyst.
4. Unremarkable cervical spine. A cause for pain is not identified. Infectious/inflammatory disease is prioritized. Intervertebral disc disease cannot be excluded. 
5. Degenerative changes of the lumbar spine as described. </t>
  </si>
  <si>
    <t>CBC, biochemistry, and 4DX are recommended to screen for systemic disease contributing to clinical signs. A full neurologic examination is warranted. Consultation with a neurologist or internist may be of benefit.
Orthopedic evaluation of the left stifle under heavy sedation or general anesthesia is recommended to screen for stifle instability (cranial drawer). If instability is identified, consultation with an orthopedic surgeon would be recommended.
Fine-needle aspirates of the nodule in the left manus is recommended for cytologic diagnosis and to guide treatment recommendations.</t>
  </si>
  <si>
    <t xml:space="preserve">
1.The liver and spleen are normal._x000D_
2.No abnormal AI findings reported._x000D_
3.There is no effusion._x000D_
4.Small intestines and the colon are minimally filled._x000D_
5.The stomach contains a small to moderate amount of amorphous soft tissue density.</t>
  </si>
  <si>
    <t>Patient Name: Shaymus Belen, Date of study: Jun 20, 2024
Canine Abdomen (3 Images) - 2 Lateral, 1 VD
There are no previous radiographs for comparison.
Findings:
Gastrointestinal tract: The rectum and caudal aspect of the descending colon contain a small volume of desiccated feces. The remainder of the colon is filled with loosely formed feces. The small intestines are normal in size and opacity. The stomach is primarily gas-filled and normal in position. A small soft tissue opaque structure is in the pylorus on the VD view, likely intended ingesta/treat given the absence of vomiting. 
Liver: The liver is normal in size and margination.
Spleen: The spleen is normal in size and has smooth margins.
Urinary: The kidneys are normal in size, shape, and margination. The urinary bladder is small in size and normal in opacity.
Peritoneal space: There is adequate serosal detail.
Musculoskeletal: The included skeletal and superficial soft tissue structures of the study are normal.
Caudal thorax: The cardiopulmonary structures and the caudal thorax are normal.</t>
  </si>
  <si>
    <t>1. Mild constipation versus individual variation of normal. There is no evidence of foreign material or a mechanical obstruction.
2. The abdomen is otherwise unremarkable.</t>
  </si>
  <si>
    <t>Medical management for constipation is recommended (i.e. enema and stool softeners). CBC, biochemistry, urinalysis could be considered to screen for systemic disease which may be contributing to clinical signs.</t>
  </si>
  <si>
    <t xml:space="preserve">
1.The small bowel is diffusely gas- and fluid-filled without segmental small bowel dilation._x000D_
2.Mild microhepatia is present with cranial positioning to the gastric axis._x000D_
3.Resouce: https://platform.v2.vetology.net/doc/liver_disease_x000D_
4.Splenic size, shape and margin are normal._x000D_
5.Abdominal detail is normal._x000D_
6.The stomach contains a mild to moderate volume of gas and soft tissue material. The gastric axis is cranially positioned due to the microhepatia._x000D_
7.The colon contains mild to moderate heterogeneous soft tissue material and gas.</t>
  </si>
  <si>
    <t>Patient Name : BOOMER MCCORMAC, Date of study: May 28, 2024
3 images are provided for review
Previous images dated [05/28/2024 Case#2677064] are available for comparison.
Findings: 
The examination reveals no evidence of hyperinflation. There is minimal pulmonary hypoinflation observed. The location of the pulmonary nodule is in the left cranial region. Multiple pulmonary masses are present, confirming a positive result for numerous masses.</t>
  </si>
  <si>
    <t>1. Multiple pulmonary masses consistent with metastatic neoplasia.
2. No evidence of hyperinflation or pulmonary hypoinflation.</t>
  </si>
  <si>
    <t>Consider abdominal ultrasound for further evaluation of the primary neoplasm.</t>
  </si>
  <si>
    <t>Ankush Chaudhari</t>
  </si>
  <si>
    <t xml:space="preserve">
1.A mid-abdominal mass is identified._x000D_
2.On the lateral views, the mass is in the splenic region._x000D_
3.Abdominal detail is diffusely decreased._x000D_
4.The abdomen is pendulous._x000D_
5.Gas filled and somewhat rigid Intestines are deviated by the mass._x000D_
6.The liver is partially obscured but appears mildly enlarged.</t>
  </si>
  <si>
    <t>This is the longest and hardest report I am writing here as Dr. Wallack is watching. I have to make sure that issue gets replicated.</t>
  </si>
  <si>
    <t>Aziz Beguliev</t>
  </si>
  <si>
    <t>Four orthogonal radiographs of the abdomen dated 19th June 2024 are available for review. There are no previous radiographs available for comparison. _x000D_
_x000D_
Intra-abdominal findings: There is wispy opacification of the abdomen, causing partial border effacement. The hepatic silhouette is enlarged, with a rounded margin in the left lateral image. The head of the spleen is visible. The tail is not. The kidneys are partially obscured by gastrointestinal contents, but the visible aspect are normal. The stomach contains some kibble, and is caudally displaced axis. The small intestines are distributed evenly and are within normal limits for shape, size and contents. The ascending, transverse and descending colon have a normal position and contain gradually more formed faeces. The urinary bladder is small._x000D_
_x000D_
Extra-abdominal findings: No significant abnormalities are detected._x000D_
_x000D_
Included thorax: There is a mild diffuse bronchial pattern.</t>
  </si>
  <si>
    <t>1. Hepatomegaly with loss of serosal detail is suggestive of hepatic neoplasia with a paraneoplastic or inflammatory transudate, potentially haemorrhage. Metabolic (fat deposition, diabetes mellitus), infectious-inflammatory (hepatitis-viral-parasitic), infiltrative origins (nodular hyperplasia-round cell infiltration/lymphoma) or less likely hemodynamic (right heart failure) origins are possible. A splenic tail mass may be superimposed on the caudal liver.</t>
  </si>
  <si>
    <t>A complete abdominal ultrasonographic examination is advised, with a view to FNA of abnormal organs, and abdominocentesis of any effusion, after complete blood work, and a normal coagulation panel.</t>
  </si>
  <si>
    <t xml:space="preserve">
1.The stomach is normal. The small bowel is diffusely gas- and fluid-filled without segmental small bowel dilation._x000D_
2.Splenic size, shape and margin are normal._x000D_
3.Abdominal detail is normal._x000D_
4.The liver is mildly enlarged with rounded margins.</t>
  </si>
  <si>
    <t>Study:_x000D_
Thoracic/abdominal radiography: three images dated June 19, 2024_x000D_
_x000D_
Findings:_x000D_
The cardiac silhouette and pulmonary vasculature are normal in size. The pulmonary parenchyma is unremarkable. The pleural space is normal. There is no intrathoracic lymphadenopathy. There is a broad-based soft tissue opaque band superimposed with the trachea lumen at the thoracic inlet work representing other redundant dorsal tracheal membrane or superimposition of the esophagus. The trachea is normal in diameter and course. The abdominal serosal detail is normal with no evidence of peritoneal effusion or free peritoneal gas. The stomach contains heterogeneous soft tissue material presumed to be ingesta. The small intestines are normal in size, course and content. The colon contains formed fecal material. The liver is small with associated cranial rotation of the gastric axis. The spleen is normal in size and margin. The renal silhouettes are normal in size and contour. The urinary bladder is normal in size and opacity. There are fractures of the left 12th and 13th ribs. There is soft tissue swelling and subcutaneous emphysema along the dorsum and left flank. There is narrowing of the T 12-T 13 and L7-S1 intervertebral disc spaces. There is mild to moderate L7-S1 spondylosis deformans.</t>
  </si>
  <si>
    <t>1. Left 12th and 13th rib fractures._x000D_
2. Left flank and lumbar subcutaneous emphysema and swelling presumably from recent trauma. Recommend empiric wound management._x000D_
3. Microhepatia. Rule out normal variant, vascular anomaly or chronic hepatitis/cirrhosis. Correlate with any liver enzyme abnormalities. Abdominal sonography and bile acid testing can be considered for further evaluation if clinically relevant._x000D_
3. The abdomen is otherwise unremarkable. There is no radiographic evidence of penetrating abdominal injuries/pneumoperitoneum._x000D_
4. The cardiopulmonary structures are normal._x000D_
5. T 12-T 13 and L7-S1 intervertebral disease.</t>
  </si>
  <si>
    <t>Study:_x000D_
Thoracic radiography: four images dated June 19, 2024_x000D_
_x000D_
Findings:_x000D_
The cardiac silhouette and pulmonary vasculature are normal in size. The pulmonary parenchyma is unremarkable. The pleural space is normal. There is no intrathoracic lymphadenopathy. There is a broad-based soft tissue opaque band superimposed with the dorsal aspect of the cervical trachea lumen on the right lateral view timestamped 5:28 PM and the left lateral projection, likely representing a redundant dorsal tracheal membrane. The trachea is normal in diameter and course. The stomach contains heterogeneous soft tissue material presumed to be ingesta. The osseous structures are unremarkable.</t>
  </si>
  <si>
    <t>1. Redundant dorsal tracheal membrane. Normal diameter of the trachea does not exclude the possibility of concomitant tracheal collapse. Fluoroscopy can be considered to further evaluate for possible dynamic airway disease._x000D_
2. Normal thorax. There is no radiographic evidence of cardiopulmonary disease. The lack of a bronchial pulmonary pattern does not exclude the possibility of allergic, inflammatory, infectious, inhaled irritant or parasitic bronchitis. Airway sampling plus/minus heartworm testing and Baermann fecal flotation can be considered to evaluate for lower disease.</t>
  </si>
  <si>
    <t>Study:_x000D_
Abdominal radiography: three images dated June 19, 2024_x000D_
_x000D_
Findings:_x000D_
The stomach contains a small volume of gas. The small intestines are normal in size, course and content. The colon contains gas, formed fecal materia and few interspersed punctate mineral foci l. The liver extends mildly beyond the costal arch with smooth and rounded margins. The spleen is normal in size and margin. The renal silhouettes are normal in size and contour. The urinary bladder is normal in size and opacity. The uterus is not visualized. There is variable mild to severe multifocal thoracolumbar spondylosis deformans. There is severe bilateral hip dysplasia, remodeling/thickening/osteophytosis of the femoral head and neck and acetabular periarticular new bone formation. Both coxofemoral joints are dorsally subluxated on the lateral projections. The patient is of overweight body condition.</t>
  </si>
  <si>
    <t>1. There is no radiographic evidence of uterine dilation. This does not exclude the possibility of open pyometra, metritis or mucometra. Sonography can be considered for further evaluation if the vulvar discharge persist or worsens._x000D_
2. The generalized hepatomegaly is nonspecific. Rule out metabolic/vacuolar hepatopathy, hyperplasia, hepatitis or infiltrative neoplasia. Sonography can be considered for further evaluation._x000D_
3. Severe bilateral hip dysplasia and coxofemoral osteoarthrosis.</t>
  </si>
  <si>
    <t xml:space="preserve">
1.No abnormal AI findings reported._x000D_
2.Small-volume non-formed feces is present in the distal colon._x000D_
3.No severe or segmental intestinal distention is present._x000D_
4.The liver and spleen are normal size._x000D_
5.Peritoneal detail is mildly decreased in the cranial to midabdomen._x000D_
6.Small-volume gas is present within the stomach._x000D_
7.Small intestines are diffusely filled with gas and fluid.</t>
  </si>
  <si>
    <t>Decreased abdominal detail may be due to scant effusion versus inflammation. Low grade gastroenteritis and/or pancreatitis is suspected. There is no convincing evidence of an obstructive process.</t>
  </si>
  <si>
    <t xml:space="preserve">
Virtual Radiologist Case Difficulty: MODERATE_x000D_
Virtual Radiologist Confidence: MODERATE_x000D_
Abdominal ultrasound and pancreatic testing, along with a minimum database are recommended.</t>
  </si>
  <si>
    <t>Study:_x000D_
Pelvic and pelvic limb radiography: five images dated June 19, 2024_x000D_
_x000D_
Findings:_x000D_
There is mild L3-L4 spondylosis deformans. There is adequate coverage of the femoral head by the acetabulum bilaterally. The patella is in the correct anatomic location bilaterally. There is increased soft tissue opacity within the cranial aspect of the right stifle joint space in comparison to the left stifle. No degenerative change is present in either stifle. The bones of the tarsus and pes are unremarkable. There is a mild decrease and right pelvic limb muscle mass in comparison to the contralateral limb. The included thorax and abdomen are unremarkable._x000D_
_x000D_
Human digits are present just outside the primary beam on both right lateral projections in the left lateral view timestamped 4:56 PM.</t>
  </si>
  <si>
    <t>Mild right stifle joint effusion/capsular thickening is suspected. Given the reported joint instability on physical exam, greater cruciate ligament injury is suspected. Concurrent meniscal injury is possible.</t>
  </si>
  <si>
    <t>Orthopedic consultation plus/minus stifle surgical stabilization can be considered for the lameness persists in spite of activity restriction and pain management.</t>
  </si>
  <si>
    <t>A two view study of the thoracolumbar spine is provided for interpretation. Images are compared to the previous study dated 5-13-24._x000D_
_x000D_
The area of lucency previously described involving the left ventral aspect of the cranial endplate of L1 is still present but less conspicuous than what was seen in the previous study. There is severe narrowing of the disc space similar to the previous radiographs. There is slight narrowing of other disc spaces in the lumbar spine, also similar to the previous study. No new abnormalities are identified.</t>
  </si>
  <si>
    <t>The suspicious area of lucency involving the cranial endplate of L1 is less conspicuous and probably improved relative to the previous study._x000D_
Resolving discospondylitis is suspected. However, since the lesion was subtle in the initial radiographs the presence of discospondylitis is still not definitively confirmed.</t>
  </si>
  <si>
    <t>More advanced imaging such as MRI, CT, or nuclear scintigraphy should be considered to verify the suspicion of an active bone lesion._x000D_
CBC is also recommended.</t>
  </si>
  <si>
    <t>6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mild amount of gas.  The small bowel is normal in uniform diameter.  No dilated or plicated loops of bowel are noted.  The colon is mildly gas-filled.  The liver and spleen are normal in size, shape, and margination.  The bilateral renal silhouettes are within normal limits.  The urinary bladder is unremarkable.  Serosal detail is normal._x000D_
No osseous abnormalities are seen.</t>
  </si>
  <si>
    <t>Radiographically normal thorax and abdomen.  The mild gas filling of the colon is consistent with a history of diarrhea but nonspecific for etiology.  Acute gastroenteritis, pancreatitis, and or dietary indiscretion could be considered.</t>
  </si>
  <si>
    <t>Study:_x000D_
Thoracic/abdominal radiography: three images dated June 19, 2024_x000D_
_x000D_
Compared to prior study dated September 12, 2023_x000D_
_x000D_
Findings:_x000D_
The cardiac silhouette and pulmonary vasculature are normal in there is a mild generalized bronchial pulmonary pattern. No pulmonary nodules or masses are present. The pleural space is normal. There is no intrathoracic lymphadenopathy. The trachea is normal in diameter and course. The stomach contains a small volume of gas. The thickness of the gastric wall and rugae is within normal limits for the degree of gastric distention. Some small intestinal segments contain granular soft tissue material presumed to be ingesta. The small intestines are normal in size and course. The colon contains formed fecal material. The liver is on the lower limits of normal for size but unchanged in comparison to the prior examination. On the right lateral view, there is a slight round soft tissue opaque bulge from the cranioventral margin of the tail the spleen. The kidneys are normal in size and contour. The urinary bladder is normal in size and opacity. The osseous structures are unremarkable.</t>
  </si>
  <si>
    <t>1. The mild generalized bronchial pulmonary pattern may indicate allergic, inflammatory, infectious, parasitic or irritant bronchitis. Airway sampling, heartworm testing and Baermann fecal flotation can be considered for further evaluation._x000D_
2. There is no radiographic evidence of intrathoracic multicentric/metastatic mast cell disease._x000D_
3. Static equivocal microhepatia. Rule out normal variant, vascular anomaly or chronic hepatitis/cirrhosis. Abdominal sonography and bile acid testing can be considered for further evaluation if clinically relevant._x000D_
4. Suspect splenic nodule. Rule out extramedullary hematopoiesis, lymphoid hyperplasia or neoplasia. Sonography should be considered for further evaluation.</t>
  </si>
  <si>
    <t xml:space="preserve">
1.The spleen appears within normal limits._x000D_
2.The serosal detail is adequate._x000D_
3.The stomach contains a mild amount of gas._x000D_
4.The liver is mildly enlarged with smooth margins._x000D_
5.The small bowel is gas and fluid-containing. No obvious obstruction.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</si>
  <si>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soft tissue material.  The small intestines are normal in size.  Gas and feces are present in the colon.  The urinary bladder is small.  The remaining abdominal organs are normal.  Narrowing of the intervertebral disc space at T12-13 persists from images dated 6/3/2024.</t>
  </si>
  <si>
    <t>Material within the stomach may represent residual ingesta or foreign material.  Consider repeat radiographs following strict fasting to determine if gastric contents persist.  Radiographically normal thorax for patient of this age.  Persistent intervertebral disc space narrowing suggestive of intervertebral disc herniation.</t>
  </si>
  <si>
    <t xml:space="preserve">
1.Liver size is at the upper limits of normal to mildly enlarged. No liver mass has been detected._x000D_
2.Splenic size, shape and margin are normal._x000D_
3.Abdominal detail is normal._x000D_
4.The stomach is normal. The small bowel is diffusely gas- and fluid-filled without segmental small bowel dilation.</t>
  </si>
  <si>
    <t>Liver size at the upper limits of normal to mildly enlarged. DDx: fat deposition/vacuolar change vs. less suspected, hepatitis or infiltrative neoplasia. No discrete liver mass identified.</t>
  </si>
  <si>
    <t xml:space="preserve">
Blood work and further evaluation of the liver as biochemically indicated. Also consider pre- and post-prandial bile acids along with abdominal ultrasound if liver values are elevated._x000D_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</si>
  <si>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 xml:space="preserve">Patient Name : Rebe Clavel, Date of study: Jun 19, 2024
3 images are provided for review
Canine Thorax (3 Images) - 1 Vd, 2 Lateral
There are no previous radiographs for comparison.
Pulmonary parenchyma: A mild to moderate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T6-7 through T9-10 intervertebral disc spaces are narrowed in the right lateral image.  The remaining included musculoskeletal structures are normal.
</t>
  </si>
  <si>
    <t xml:space="preserve">1. Mild-moderate diffuse bronchial pulmonary pattern.
- Differential diagnoses include infectious/immune-mediated lower airway diseases such as those from Mycoplasma spp., Bordetella spp., parasitism, or inhaled allergens/irritants, versus fibrosis from prior disease, age-related changes, or unlikely others such as atypical metastatic neoplasia.
2. There is no evidence of intra-thoracic lymphadenopathy or pulmonary nodules.
3. Suspected T6-7 through T9-10 intervertebral disc disease versus artifact.  </t>
  </si>
  <si>
    <t>Consider computed tomography of the thorax for a more sensitive evaluation of occult pulmonary nodules.  Computed tomography of the abdomen/body wall for pre-surgical planning of reported mammary mass removal may be contributory.  Empirical therapy and supportive care in the interim as needed. Monitoring as directed or sooner if clinical signs acutely change, fail to improve or worsen.</t>
  </si>
  <si>
    <t xml:space="preserve">Patient Name : Peyton Webster, Date of study: Jun 19, 2024
3 images are provided for review
Canine Thorax (3 Images) - 1 Vd, 2 Lateral
There are no previous radiographs for comparison.
Pulmonary parenchyma: A mild diffuse bronchial pattern is present.
Pulmonary vasculature: The pulmonary vasculature is subjectively normal in size and tapers in the periphery of the lungs.
Cardiac silhouette: The cardiac silhouette is normal in size and shape.
Mediastinum: The cranial mediastinum is normal.
Trachea: A soft tissue band superimposes over the caudal cervical tracheal segment.
Esophagus: The esophagus is contains mild fluid in the caudal thorax in the left lateral image.
Pleural space: The pleural space is normal.
Musculoskeletal: The included musculoskeletal structures are normal.
</t>
  </si>
  <si>
    <t xml:space="preserve">1. Mild diffuse bronchial pulmonary pattern.
- Differential diagnoses include fibrosis from prior disease, age-related changes, or infectious/immune-mediated lower airway disease such as from bordetella spp., mycoplasma spp., parasitism, or inhaled allergen/irritant, or unlikely other.
2. Normal esophagus with/without mild fluid, or unlikely esophagitis or other.
3. Suspected redundant dorsal tracheal membrane with/without underlying dynamic airway disease, versus superimposed normal structures.
4. No obvious pulmonary nodules or intra-thoracic lymphadenomegaly.  </t>
  </si>
  <si>
    <t>Consider respiratory PCR panel, airway sampling, and fecal analysis for further evaluation.  Empirical therapy and supportive care in the interim as needed. Monitoring as directed or sooner if clinical signs acutely change, fail to improve or worsen.</t>
  </si>
  <si>
    <t>Study:_x000D_
Spinal radiography (including the thorax and abdomen): seven images (from three studies) dated June 19, 2024_x000D_
_x000D_
Findings:_x000D_
The dens is intact and well defined. The atlantoaxial joint space is normal. There is narrowing of the C6-C7 intervertebral disc space with sclerotic endplates. The L1-L2, L2-L3 and L4-L5 intervertebral disc spaces are also narrowed with mild to moderate spondylosis deformans. The L4-L5 and plates are sclerotic. There is moderate bilateral hip dysplasia and remodeling/thickening of the femoral head and neck. The cardiac silhouette and pulmonary vasculature are normal in size. The pulmonary parenchyma is unremarkable. The pleural space is normal. There is no intrathoracic lymphadenopathy. The trachea is normal in diameter and course. The stomach contains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The patient is of obese body condition.</t>
  </si>
  <si>
    <t>1. C6-C7, L1-L2, L2-L3 and L4-L5 intervertebral disease. Neurology consultation and MRI should be considered for further evaluation._x000D_
2. Moderate bilateral hip dysplasia and coxofemoral osteoarthrosis._x000D_
3. Normal thorax._x000D_
4. Unremarkable abdomen.</t>
  </si>
  <si>
    <t xml:space="preserve">
1.On the lateral projection, the liver is mildly enlarged, extending beyond the costal arch and has rounded serosal margins._x000D_
2.Splenic size, shape and margin are normal._x000D_
3.The abdomen is mildly pendulous but abdominal detail is normal._x000D_
4.The stomach contains a mild amount of gas and amorphous, food material._x000D_
5.The colon contains gas and formed feces._x000D_
6.No dilated loops of small bowel are noted.</t>
  </si>
  <si>
    <t>Differentials for the hepatomegaly include fat deposition (considered most likely), vacuolar hepatopathy, venous congestion, inflammation, or less likely neoplasia. Hepatomegaly. Differential diagnoses include individual variation of normal, artifact and/or vacuolar hepatopathy (such as from hyperadrenocorticism or diabetes mellitus), nodular hyperplasia, hepatitis/cholangiohepatitis, or evolving neoplasia (metastatic versus primary).</t>
  </si>
  <si>
    <t>Orthogonal thoracoabdominal views and a VD view of the abdomen and pelvis are provided._x000D_
_x000D_
There is a mild overall increase in small intestinal gas. Some of the bowel loops have a mildly thickened appearance. The stomach contains normal appearing ingesta. No foreign bodies are seen in the GI tract. The colon is mostly empty. A small quantity of fecal material is suspected in the rectum. The rectum appears to be slightly displaced dorsally, but this is a subtle and equivocal change that could easily be due to positional artifact. The abdominal organs are within normal size and shape limits. No spinal abnormalities are identified. The pelvis and hips are within normal limits.</t>
  </si>
  <si>
    <t>The appearance of the intestinal tract would be compatible with enteritis. However, this appearance can also be seen incidentally as a transient finding. Intestinal thickening is not a reliable finding in survey radiographs._x000D_
_x000D_
Pathology not visible in the radiograph such as a rectal polyp or rectal mucosal inflammation should still be ruled out.</t>
  </si>
  <si>
    <t>Medical management for possible enteritis is suggested._x000D_
Cross sectional imaging such as MRI or CT would be ideal for ruling out a mass lesion in the pelvic canal.</t>
  </si>
  <si>
    <t>A three view thoracoabdominal study, a VD pelvis view, and lateral views of both hind limbs are provided for comparison to the previous study dated 1-19-23._x000D_
_x000D_
The heart is within normal size and shape limits. The pulmonary vessels and parenchyma are unremarkable._x000D_
_x000D_
The cholelith previous identified in the gallbladder is still present and has a similar size and shape. The liver is moderately enlarged in the current study, whereas this was not seen in the previous radiographs. The other abdominal organs are within normal size and shape limits._x000D_
_x000D_
There is marked narrowing of intervertebral disc spaces in the caudal thoracic spine from T11 to L1, similar to the previous study. No new spinal abnormalities are identified. The pelvis and hips are within normal limits._x000D_
Both stifle joints and both tarsal joints are unremarkable.</t>
  </si>
  <si>
    <t>1) There is a new finding of hepatomegaly consistent with diffuse liver disease of unknown etiology. Primary rule outs in the absence of clinical signs would include metabolic or endocrine associated hepatopathies. In a sick patient, hepatitis or hepatic lymphoma should also be ruled out._x000D_
_x000D_
2) No cardiopulmonary abnormalities are identified._x000D_
_x000D_
3) Disc degeneration in the caudal thoracic/thoracolumbar region of the spine is likely. Symptomatic therapy is recommended as needed.</t>
  </si>
  <si>
    <t>CBC and serum chemistry is recommended to assess significance of the hepatomegaly._x000D_
Ultrasound evaluation of the liver and gallbladder should also be considered.</t>
  </si>
  <si>
    <t>Thoracic/lumbar vertebral column: There are thoracic hemivertebra at T5, T7, T10, T11, and T12.  There is narrowing/collapse of intervertebral disc space at T11-12 and T12-13.  There are no abnormalities involving the visible portions of the thorax or abdomen.</t>
  </si>
  <si>
    <t>Numerous thoracic hemivertebra with regions of narrowed/collapsed intervertebral disc spaces.</t>
  </si>
  <si>
    <t>Study:_x000D_
Spinal and pelvic radiography: six images dated June 19, 2024_x000D_
_x000D_
Findings:_x000D_
There is narrowing of the T 13-L1, L4-L5 and L5-L6 intervertebral disc spaces in comparison to the adjacent to spaces. There is no evidence of discospondylitis. There are no vertebral fractures or luxations. There is adequate coverage of the femoral head by the acetabulum bilaterally. There is mild remodeling/thickening of the right femoral head and neck in comparison to the contralateral limb. The patella is in the correct anatomic location bilaterally. No degenerative change is present in either stifle. The pelvic limb musculature is bilaterally symmetric. The stomach and small intestines contain unstructured heterogeneous/granular soft tissue material presumed to be ingesta. The included abdomen is otherwise unremarkable.</t>
  </si>
  <si>
    <t>1. Suspect T 13-L1, L4-L5 and L5-L6 intervertebral disc disease. Neurology consultation and MRI can be considered for further evaluation if the reported spinal pain persists or worsens in spite of strict activity restriction and pain management._x000D_
2. Mild right coxofemoral osteoarthrosis.</t>
  </si>
  <si>
    <t xml:space="preserve">Patient Name : Ruby Starling Stanford, Date of study: Jun 19, 2024
3 images are provided for review
There are no previous radiographs for comparison.
Pulmonary parenchyma: The lungs are moderately hypoinflated, most severe in the left lateral images.  The thoracic limbs superimposes over the cranial thorax in the lateral images.  A moderate to severe interstitial pattern is present in the lungs in the left lateral image, with the most severe hypoinflation and other artifacts.  This is less severe in the right lateral image.  The interstitial patterns are corroborated in the ventrodorsal image, with moderate right-sided and mild to moderate left-sided interstitial pattern in the caudal lungs.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contains a moderate to large volume of gas in the caudal thorax in the right lateral image.   In the left lateral image, the caudal esophagus focally contains moderate gas. The region of the lower esophageal sphincter is suspected to be cranially positioned into the caudal thorax in the left lateral image.  
Pleural space: The pleural space is normal.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Best identified in the right lateral image, in the caudal abdomen is an ovoid to tubular soft tissue structure.  This is caudal to the spleen and cranial to the urinary bladder.  This results in cranial and rightward displacement of the small intestine.  Peritoneal detail is adequate.
Gastrointestinal tract: The stomach contains a moderate to large volume of gas. Gas is in the pylorus in the left lateral image.
The small intestine contains gas or is empty with a subjectively uniform population for size. 
The colon contains minimal gas.
Musculoskeletal: The thoracic vertebrae are diffusely shortened in a craniocaudal dimension and/or wedge- or butterfly shaped.   The caudal and sacral vertebrae are shortened.  The remaining included musculoskeletal structures are normal.
</t>
  </si>
  <si>
    <t xml:space="preserve">1. Suspected caudal abdominal organomegaly such as from the uterus/uterine horn, versus enlarged small intestinal segment such as from mechanical ileus, or unlikely other.
- If this represents the uterus, consider early pregnancy versus evolving pyometra.  
- If this is a segment of small intestine, consider mechanical ileus/occult foreign material.
2. Moderate esophageal gas due to aerophagia and/or non-specific esophagitis, and suspicion of esophageal/gastroesophageal hernia.
3. Mild-moderate diffuse interstitial pulmonary pattern.
- Differential diagnoses include non-cardiogenic pulmonary edema (such as from systemic infection/inflammation or unlikely other), artifact due to patient thorax confirmation and hypoinflation, or a combination of these, with/without underlying fibrosis from prior disease, age-related changes, or unlikely other.  
4. Thoracic and sacral/caudal vertebral congenital anomalies, consistent with breed.  </t>
  </si>
  <si>
    <t xml:space="preserve">Consider abdominal ultrasonography for further evaluation of the caudal abdomen/suspected enlarged uterus and gastrointestinal tract. Consider repeat thoracic radiographs focused on the thorax, and including a dorsoventral image for further evaluation of the lungs. Routine blood work may be contributory if not recently performed. Consider endoscopy/gastroscopy for further evaluation of a possible gastroesophageal hernia, which may be exacerbated by brachycephalic airway syndrome. Empirical therapy and supportive care in the interim as needed. Monitor as directed or sooner if clinical signs acutely change, fail to improve or worsen.
</t>
  </si>
  <si>
    <t xml:space="preserve">
1.The liver appears within normal limits._x000D_
2.Suggestion of splenic enlargement._x000D_
3.No abnormal AI findings reported._x000D_
4.The stomach is moderately distended with gas and ingesta, with a normal axis.</t>
  </si>
  <si>
    <t>Mild splenomegaly. This can be a normal variant or related to sedation, with a differential that includes lymphoid hyperplasia vs. extramedullary hematopoiesis vs. infiltrative neoplasia in an older patient. The appearance of the stomach is likely related to normal ingesta in the absence of GI symptoms. However, if GI symptoms are present, gastroenteritis/pancreatitis secondary to dietary indiscretion or infectious etiology could be considered.</t>
  </si>
  <si>
    <t xml:space="preserve">
Virtual Radiologist Case Difficulty: MODERATE_x000D_
Virtual Radiologist Confidence: MODERATE_x000D_
If GI signs are present, supportive and symptomatic therapy for gastroenteritis/pancreatitis can be considered. In the absence of improvement, repeat radiographs to assess for passage of gastric contents or obstruction. Abdominal ultrasound could be performed for further evaluation of the spleen.</t>
  </si>
  <si>
    <t>Opposite lateral and VD abdomen views are provided._x000D_
_x000D_
No foreign bodies are identified in the GI tract. Rugal folds in the gastric fundus appear swollen. The stomach is not dilated or malpositioned. No abnormalities are seen involving the intestinal tract. Abdominal serosal detail is normal. The organs are within normal size and shape limits.</t>
  </si>
  <si>
    <t>The appearance of the stomach is compatible with gastritis. No foreign bodies or obstructive pattern are identified.</t>
  </si>
  <si>
    <t>Symptomatic therapy is recommended.</t>
  </si>
  <si>
    <t>Study:_x000D_
Abdominal radiography: three images dated June 19, 2024_x000D_
_x000D_
Findings:_x000D_
The stomach contains a small volume of gas with the pylorus appropriately gas-filled on the left lateral projection. The thickness of the gastric wall on rugae is within normal limits for the degree of gastric distention. Some small intestinal segments contain smoothly marginated fragmented gas. There is no small intestinal dilation. The colon contains gas and a small amount of poorly formed fecal material. The liver and spleen are normal in size and margin. The renal silhouettes are normal in size and contour. The urinary bladder is normal in size and opacity. There is no prostatomegaly. The included thorax is normal. The osseous structures are unremarkable.</t>
  </si>
  <si>
    <t>The smoothly marginated fragmented gas pattern seen in some small intestinal segments can be an indicator of nonspecific enteritis. There is no radiographic evidence of gastrointestinal foreign material or small intestinal mechanical obstruction. Abdominal sonography can be considered for further evaluation if clinical signs persist or worsen in spite of medical management. Parvovirus testing should also be considered.</t>
  </si>
  <si>
    <t xml:space="preserve">
1.The colon contains a mild amount of gas caudally and ill-formed heterogenous fecal material cranially._x000D_
2.The pyloroduodenal is widened and the proximal duodenum contains a mild amount of air._x000D_
3.The gastric lumen contains a mild amount of soft tissue and gas opacity._x000D_
4.The gastric rugae are prominent._x000D_
5.The small intestine is of uniform population size and is diffusely of soft tissue opacity with minimal gas opacity._x000D_
6.No mechanical ileus is visualized._x000D_
7.No abnormal AI findings reported._x000D_
8.The liver and spleen are normal._x000D_
9.There is a focal loss of serosal detail in the cranial abdomen on the VD projection.</t>
  </si>
  <si>
    <t>Four radiographs of the thorax/abdomen are provided. There is slight prominence of the left atrium. Cardiac to thoracic ratio and pulmonary vessel size is normal. There are no abnormalities in the pulmonary parenchyma or pleural space. Small round soft tissue densities overlying the cranioventral thorax on the left lateral view are end-on pulmonary vessels. Redundant dorsal trachealis membrane causes moderate to severe narrowed cervical trachea. The C5-6 and C6-7 intervertebral disc spaces are narrowed. The caudal skull and proximal thoracic limbs are normal. In the abdomen the liver is upper normal size with smooth margins. The stomach contains small volume amorphous soft tissue density and gas. There is a round approximately 2.1 cm area of faint stippled mineral densities overlying the lateral right liver on the VD projection, overlying the dorsal stomach on the last two lateral views. Small intestines are mildly filled with fluid and gas. Small-volume semi-formed feces in the colon. The cecum is gas dilated. Normal spleen and kidneys. Small renal diverticular mineralizations are of doubtful clinical significance. No radiopaque cystic calculi. No definitive narrowed thoracolumbar intervertebral disc spaces or foramina. The coxofemoral joints are congruent.</t>
  </si>
  <si>
    <t>1. The appearance of C5-6 and C6-7 is concerning for intervertebral disc protrusion/extrusion. This could be artifact due to normal sloping/curvature of the neck, however such a lesion in the cervical spine is the most likely cause for the clinical signs._x000D_
2. Mineral density overlying the liver is further lateral than expected for stomach on the VD projection, however there is obliquity on this view. This is most likely gastric contents. Mineralized hepatic lesion is given secondary consideration. No other abdominal abnormalities._x000D_
3. Prominent left atrium consistent with acquired mitral valve disease. There is no pulmonary venous congestion or pulmonary edema. This is of doubtful clinical significance today. Otherwise normal thorax.</t>
  </si>
  <si>
    <t>Consultation with a neurologist and advanced spinal imaging with MRI should be considered. Repeat fasting abdominal radiographs or abdominal ultrasound would help determine if the mineral density seen is within the stomach or liver.</t>
  </si>
  <si>
    <t xml:space="preserve">
1.The stomach is mildly gas and fluid filled with some soft tissue density material. The small bowel is gas and fluid-containing. No findings to indicate obstruction._x000D_
2.The liver is mildly enlarged._x000D_
3.Splenic size, shape and margin are normal._x000D_
4.Abdominal detail is within normal limits.</t>
  </si>
  <si>
    <t>3 images of the abdomen are provided for review.  Serosal detail is adequate in all quadrants.  The stomach contains a moderate amount of mottled soft tissue material.  The pyloric region is fluid-filled, causing a masslike appearance silhouetting of the liver on the lateral view.  The liver itself is smoothly margined and normal in size.  The small intestines are normal in size.  Gas and feces are present in the colon.  The urinary bladder is small.  The remaining abdominal organs are normal.</t>
  </si>
  <si>
    <t xml:space="preserve">
1.The stomach has a normal axis, with subjectively thickened mucosal folding._x000D_
2.The small intestines are mildly dilated with a mixture of gas and fluid, and have a mild turgid appearance._x000D_
3.The ascending, transverse and descending colon contain gradually more formed faeces._x000D_
4.The spleen is visible and within normal limits._x000D_
5.The liver is normal in shape, size and opacity._x000D_
6.There is a mildly reduced cranial abdominal serosal detail.</t>
  </si>
  <si>
    <t>Study:_x000D_
Thoracic/abdominal radiography: three images dated June 19, 2024_x000D_
_x000D_
Findings:_x000D_
There is moderate is normal in size. The pulmonary parenchyma is unremarkable. The pleural space is normal. There is no intrathoracic lymphadenopathy. The trachea is normal in diameter. The stomach and some small intestinal segments contain unstructured heterogeneous/granular soft tissue material presumed to be ingesta. The small intestines are normal in size and course. The colon contains poorly formed fecal material. The liver extends mildly beyond the costal arch with smooth and sharp margins. The spleen is normal in size and margin. The renal silhouettes are normal in size and contour. The urinary bladder is normal in size and opacity. The T 13 vertebra is transitional with no appreciable rib on the right.</t>
  </si>
  <si>
    <t>1. Moderate left-sided cardiomegaly, indicative of mitral valve disease, without evidence of decompensation. Echocardiography should be considered for further evaluation._x000D_
2. The generalized hepatomegaly is nonspecific. Rule out metabolic/vacuolar hepatopathy, hyperplasia, hepatitis or infiltrative neoplasia. Sonography and adrenal axis testing can be considered for further evaluation.</t>
  </si>
  <si>
    <t>4 images of the abdomen are provided for review.  Serosal detail is adequate in all quadrants.  The stomach contains a moderate amount of gas and the rugal folds are prominent.  The small intestines are normal in size.  Gas and feces are present in the colon.  The urinary bladder is small.  The remaining abdominal organs are normal.</t>
  </si>
  <si>
    <t>Opposite lateral and ventrodorsal abdominal radiographs (3 images) dated June 19, 2024._x000D_
_x000D_
The liver and spleen are normal in size and shape. The left kidney is normal in size and shape. The right kidney is partially visible with no abnormalities detected. The urinary bladder is small and poorly visualized. The stomach contains a small volume of gas and has prominent rugal folds. The small intestine is unremarkable in diameter with most segments containing a small amount of gas and fluid, and multiple segments have broad ropelike turns in their course to give them a subjectively turgid appearance. The cecum is distended with a large amount of gas. The colon contains gas mixed with poorly formed stool. Retroperitoneal and peritoneal detail are adequate. No regional lymphadenopathy is evident._x000D_
No aggressive or clinically significant osseous pathology is identified.</t>
  </si>
  <si>
    <t>Opposite lateral and ventrodorsal abdominal radiographs (3 images) dated June 19, 2024._x000D_
_x000D_
_x000D_
The liver and spleen are normal in size and shape. The left kidney is normal in size and shape. The right kidney is only partially visible with no abnormalities appreciated. The urinary bladder is small and fluid opaque. The stomach contains a moderate volume of gas and a smaller amount of mobile homogeneous amorphous soft-tissue/fluid content. The pyloric antrum is gas-filled on the left lateral and VD projections. The duodenum is gas-filled and is unremarkable in diameter and course. The remaining small intestine has a mild variation in diameter with most segments containing fluid, and the course of the small bowel is unremarkable. The colon contains gas and heterogeneous poorly formed stool. Retroperitoneal and peritoneal detail are normal. No regional lymphadenopathy is evident._x000D_
Both hips have mild joint laxity. No aggressive osseous lesions are identified. Partial in situ disc mineralization is affecting the middle lumbar discs without disc space narrowing.</t>
  </si>
  <si>
    <t>Non-obstructive gastroenteritis +/- colitis.  Rule out dietary indiscretion or toxin vs. food allergy/intolerance vs. flareup of a chronic enteropathy (ex: IBD) vs. GI infectious vs. systemic/extra GI causes (liver or kidney injury/disease, endocrine disorder, systemic infection).</t>
  </si>
  <si>
    <t>Supportive care with fluid rehydration, antiemetics, gastroprotectants/omeprazole, antidiarrheal with probiotic, and bland diet.  General health profile (CBC, chemistry, UA, fecal) to screen for underlying causes. Abdominal ultrasound if the patient fails medical management.</t>
  </si>
  <si>
    <t xml:space="preserve">
1.There is no evidence of a gastrointestinal obstruction._x000D_
2.No abnormal AI findings reported._x000D_
3.The liver and spleen are normal in size with smooth margins._x000D_
4.Serosal detail is adequate._x000D_
5.The stomach is mildly gas and fluid filled with dense material. The small bowel is gas and fluid-containing.</t>
  </si>
  <si>
    <t>Three orthogonal thoracic radiographs dated 19th June 2024 are available for review. These are compared with previous radiographs dated 27th March 2023 and 3rd November 2022._x000D_
_x000D_
 Thorax:_x000D_
Airway findings: The trachea is right ward displaced and the tracheal bifurcation is elevated within the thorax. There is narrowing of the mainstem bronchi. There is widening of the tracheal bifurcation. Throughout the lung parenchyma there is a mild interstitial opacification, most prominent in the perihilar region. In the right caudal dorsal lung field, there is a mild alveolar pattern. No nodules or masses are seen._x000D_
_x000D_
Cardiovascular findings: There is a large smoothly marginated soft tissue opacity contiguous with the caudal dorsal border of the cardiac silhouette. A smoothly marginated soft tissue opacity is superimposed on the caudal cardiac silhouette in the dorsoventral image. The overall cardiac silhouette is enlarged.  The cardiac silhouette occupies over 80% of the width of the thoracic volume. There is increased cardiac sternal contact. The cranial and caudal pulmonary vasculature are within normal limits. The caudal vena cava is normal._x000D_
_x000D_
Mediastinum and pleural space: No significant abnormalities are detected._x000D_
_x000D_
Musculoskeletal findings: There is a large bridging that marginated mass effect at the neck, ventrally displacing the trachea._x000D_
_x000D_
Included abdomen: No significant abnormalities are detected.</t>
  </si>
  <si>
    <t>1.Generalised cardiomegaly and cardiogenic pulmonary edema consistent with left sided congestive heart failure. Ddx: myxomatous degeneration of the mitral and tricuspid valves with post-capillary pulmonary hypertension vs systolic dysfunction (DCM). The normal pulmonary vessels is most likely due to ongoing medication._x000D_
2. The interstitial opacification is most likely due to cardiogenic pulmonary oedema. Lower airway infectious/inflammatory disease is less likely._x000D_
3. Large cervical mass: Differentials include thyroid neoplasia, lymphoid neoplasia, other soft tissue neoplasia.</t>
  </si>
  <si>
    <t>Complete bloodwork if not already performed. Management for left sided congestive heart failure including diuretic therapy with oxygen support as needed. ECG and systemic blood pressure monitoring. Recommend repeat thoracic radiographs after 24-48 hours of therapy, sooner if clinically indicated. Continued monitoring of renal values and urinalysis._x000D_
Once stabilized, an echocardiogram is recommended._x000D_
Repeat potential ultrasound-guided FNA or biopsy of the neck mass is advised.</t>
  </si>
  <si>
    <t xml:space="preserve">
1.Cranial abdominal detail is mildly decreased on the VD projection._x000D_
2.The stomach is displaced caudally by the hepatomegaly. The small bowel is diffusely gas- and fluid-filled without segmental bowel dilation._x000D_
3.On the VD projection, the axial margin of the spleen appears to be confluent with a convex soft tissue opacity that is displacing the small bowel towards midline. Also, the liver appears asymmetrically enlarged._x000D_
4.These findings are less conspicuous on the lateral projection.</t>
  </si>
  <si>
    <t>On the VD projection, questionable soft tissue mass arising from the axial splenic margin vs. superimposition of the spleen and left kidney. Asymmetric hepatomegaly. A hepatic mass cannot be ruled out. Decreased cranial abdominal detail on the VD projection. DDx: secondary to organ crowding due to the hepatomegaly vs. less suspected, regional inflammation.</t>
  </si>
  <si>
    <t xml:space="preserve">
Virtual Radiologist Case Difficulty: MODERATE_x000D_
Virtual Radiologist Confidence: MODERATE_x000D_
AFAST, abdominal ultrasound, abdominal CT or repeat abdominal radiographs to reassess the spleen and liver for a mass.</t>
  </si>
  <si>
    <t>6 images of the abdomen are provided for review.  Serosal detail is adequate in all quadrants.  The stomach contains a moderate amount of mottled soft tissue material on initial images.  This material is resolved on later images and the rugal folds are mildly prominent.  The small intestines are normal in size.  Gas and feces are present in the colon.  The urinary bladder is small.  The remaining abdominal organs are normal.</t>
  </si>
  <si>
    <t>Gastric contents with subsequent resolution consistent with passage of normal ingesta.  Prominent rugal folds consistent with gastritis.  This does not rule out underlying dietary indiscretion, inflammatory bowel disease, etc.</t>
  </si>
  <si>
    <t xml:space="preserve">
1.The cranial peritoneal serosal detail is mildly reduced._x000D_
2.The stomach has a normal axis._x000D_
3.The liver and spleen are normal for size, shape and contour._x000D_
4.The small intestinal tract contains normal volumes of fluid, gas and ingesta._x000D_
5.The ascending, transverse and descending colon are in a normal position and contain gradually more formed feces._x000D_
6.No abnormal AI findings reported.</t>
  </si>
  <si>
    <t>Opposite lateral and ventrodorsal whole body radiographs (3 images) dated June 16,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normal in size and shape. The kidneys are only partially visible with no abnormalities appreciated. The urinary bladder is small, fluid opaque, and partially intrapelvic. The stomach is moderately distended with a mixture of gas and fairly homogeneous soft-tissue content that is mobile between views=ZZ90= the pyloric antrum is gas-filled on the left lateral view. The small intestine has a mild and unremarkable variation in diameter, almost diffusely contains gas, and has an unremarkable course. The colon contains a mild amount of formed stool in the distal descending portion and contains a mild volume of gas further proximally. Retroperitoneal and peritoneal detail are adequate. No regional lymphadenopathy is evident._x000D_
_x000D_
No aggressive or clinically significant osseous pathology is identified.</t>
  </si>
  <si>
    <t>1. Non-obstructive gastroenteritis.  Rule out dietary indiscretion or toxin vs. food allergy/intolerance vs. flareup of a chronic enteropathy (ex: IBD) vs. GI infectious vs. systemic/extra GI causes (liver or kidney injury/disease, pancreatitis, endocrine disorder, systemic infection, non-GI neoplasia)._x000D_
2. Normal thorax.</t>
  </si>
  <si>
    <t>Supportive care with fluid rehydration, antiemetics, gastroprotectants/omeprazole, and bland diet.  General health profile (CBC, chemistry, UA, fecal) +/- spec cPL and baseline cortisol to screen for underlying causes. Abdominal ultrasound could be considered if the patient fails medical management.</t>
  </si>
  <si>
    <t xml:space="preserve">
1.The stomach is unremarkable._x000D_
2.The small intestines contain gas and fluid and are normal in diameter._x000D_
3.The colon is unremarkable._x000D_
4.The liver is normal in size with smooth serosal margins._x000D_
5.The spleen is smoothly margined and at the upper limits of normal for size to mildly enlarged on the lateral projection._x000D_
6.Serosal detail is normal.</t>
  </si>
  <si>
    <t>Opposite lateral and ventrodorsal abdominal radiographs (3 images) dated June 19, 2024 and compared to June 18, 2024._x000D_
_x000D_
_x000D_
_x000D_
The liver is enlarged with a rounded ventral lobe margin. The spleen is unremarkable. Both kidneys are normal in size and shape and have numerous radiating and pinpoint mineral foci in the renal diverticula. The urinary bladder is small in size and has multiple small cystoliths that measure as large as 0.18 cm. No radiopaque stones are identified along the plane of the urethra. Initially the stomach contains a large amount of heterogeneous soft-tissue content. In the most current study, the stomach is empty aside from a small amount of gas. The small intestine is unremarkable in diameter and course with most segments empty and a minority containing fluid and gas. The cecum contains gas, and initially most of the colon contains gas. In the most current study, the colon contains formed stool and has a normal course. Retroperitoneal and peritoneal detail are normal. No regional lymphadenopathy is evident._x000D_
No aggressive or clinically significant osseous pathology is identified.</t>
  </si>
  <si>
    <t>1. No evidence of a gastrointestinal mechanical obstruction, and the colon now contains formed stool. Rule out gastroenteritis +/- colitis due to dietary indiscretion or toxin vs. food allergy/intolerance vs. flareup of a chronic enteropathy (ex: IBD) vs. GI infectious vs. systemic/extra GI causes (liver or kidney injury/disease, pancreatitis, endocrine disorder, systemic infection, non-GI neoplasia)._x000D_
2. Hepatomegaly. Rule out a benign metabolic/vacuolar hepatopathy vs. less likely inflammatory and infiltrative neoplastic conditions._x000D_
3. Small nonobstructive cystoliths and bilateral nephrolithiasis/diverticular mineralization. Rule out calcium oxalate vs. struvite vs. mixed or another stone type.</t>
  </si>
  <si>
    <t>Supportive care with fluid rehydration, antiemetics, gastroprotectants/omeprazole, and bland diet.  General health profile (CBC, chemistry, UA, fecal) +/- baseline cortisol to screen for underlying causes.  Repeat fasted abdominal radiographs or ultrasound if the patient fails medical management._x000D_
_x000D_
Hepatic lab work and ultrasound to further assess the liver. Tissue sampling may be needed for definitive diagnosis._x000D_
_x000D_
Attempted medical dissolution vs. surgical cystotomy and submission for stone analysis.</t>
  </si>
  <si>
    <t xml:space="preserve">
1.No abnormal AI findings reported._x000D_
2.The liver and spleen appear within normal limits for size._x000D_
3.Serosal detail is normal._x000D_
4.There is small-volume gas and soft tissue density present within the stomach._x000D_
5.Small intestines are diffusely mildly filled with gas and fluid._x000D_
6.Formed feces is present in the descending colon.</t>
  </si>
  <si>
    <t>Thoracic and abdominal radiographs (6 images) dated June 19, 2024._x000D_
_x000D_
_x000D_
The cardiac silhouette, pulmonary vasculature, and aorta are within normal limits. The caudal vena cava is prominent in diameter on the right lateral view only.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borderline enlarged with a rounded ventral lobe margin. The spleen is unremarkable in size and shape. The urinary bladder is small and contains numerous small irregular shaped stones clustered centrally and measure under 3 mm in diameter. No radiopaque stones are appreciated along the included plane of the urethra. The stomach is fairly distended with gas and has a small amount of heterogeneous soft-tissue content. The soft-tissue content resides in the gastric body and pyloric antrum on both views. The descending duodenum contains a small amount of gas with an irregular linear coalescing gas pattern. The remaining small bowel is diffusely and mildly gas-filled and has broad ropelike turns in its course to give it a subjectively turgid appearance. The cecum contains gas. The colon contains formed stool mixed with some gas. Retroperitoneal and peritoneal detail are normal. No regional lymphadenopathy is evident._x000D_
_x000D_
The left stifle has metal implants consistent with historical TPLO surgery. Chronic disc space collapse with endplate sclerosis and spondylosis is affecting T11 through L4. Both elbows have periarticular bony remodeling affecting them. No aggressive osseous lesions are identified.</t>
  </si>
  <si>
    <t>1. The appearance of the gastrointestinal tract is most compatible gastroenteritis, and there is no evidence of a small intestinal mechanical obstruction. The soft-tissue content in the stomach may represent residual ingesta vs. a mixture of ingesta and foreign material. A pyloric outflow obstruction is not appreciated._x000D_
2. Mild hepatomegaly. Rule out a benign metabolic/vacuolar hepatopathy vs. less likely inflammatory and infiltrative neoplastic conditions._x000D_
3. Nonobstructive small bladder stones._x000D_
4. Unremarkable thorax._x000D_
5. Chronic regional T11-L4 intervertebral disc disease. Correlation with renal blood work and urinalysis is needed to determine significance._x000D_
6. Historical left stifle TPLO and bilateral elbow osteoarthritis.</t>
  </si>
  <si>
    <t>Supportive care with fluid rehydration, antiemetics, gastroprotectants/omeprazole, and bland diet.  General health profile (CBC, chemistry, UA, fecal) +/- spec cPL to screen for underlying causes. Abdominal ultrasound could be considered to further scrutinize the gastric content, as well as assess the liver, adrenal glands, and pancreas._x000D_
If ALT =ZZ93= ALKP elevations are present, consider hospitalized treatment for acute hepatitis with testing for leptospirosis._x000D_
Urinalysis and urine culture via cystocentesis.</t>
  </si>
  <si>
    <t xml:space="preserve">
1.Abdominal detail is normal._x000D_
2.The pylorus is caudally displaced by the mild hepatomegaly. The GI tract is otherwise unremarkable._x000D_
3.On the lateral projection, the liver is mildly enlarged but retains smooth margins._x000D_
4.The spleen is normal size.</t>
  </si>
  <si>
    <t>Three radiographs of the thorax, and three views of the abdomen are provided. The cardiac silhouette and pulmonary vessels are normal size and shape. There are mild age-related changes in the lungs. Small area of increased opacity overlying the ventral heart on the right lateral view is not definitively seen on the VD projection. No esophageal dilation._x000D_
_x000D_
In the abdomen the liver is mildly enlarged with rounded margins. Normal-sized spleen and kidneys. The stomach contains moderate volume gas and small volume amorphous soft tissue density. Small intestines are diffusely moderately filled with fluid and small volume gas. There is a smoothly irregular 2.9 x 1.8 cm mineral density in a loop of bowel in the mid right abdomen, and a few smaller mineral fragments in other loops of bowel. The colon is minimally filled. Serosal detail is adequate.</t>
  </si>
  <si>
    <t>1. Bone intestinal foreign material with intestinal ileus comprised of moderate to severe dilation. Gastroenteritis is most likely. With the degree of intestinal distention, partial obstruction is not ruled out._x000D_
2. Mild hepatomegaly, a nonspecific finding that may be steroid or other hepatopathy, acute inflammation, or less likely neoplasia. This should be correlated with history and blood work._x000D_
3. The appearance of the ventral left lung is most likely incidental fat deposition. Focal aspiration pneumonia is not definitively ruled out.</t>
  </si>
  <si>
    <t>Recommend supportive care and repeat abdominal imaging (radiographs versus ultrasound) to monitor appearance of the intestines. If the foreign material does not progress aborally and intestinal dilation is progressive, surgery would be recommended. If the patient is coughing, febrile, has elevated white blood cell count, antibiotics would be recommended.</t>
  </si>
  <si>
    <t xml:space="preserve">
1.The liver is enlarged with rounded borders._x000D_
2.There is decreased detail in the cranial abdomen._x000D_
3.The small intestinal track is mostly fluid filled uniform in diameter._x000D_
4.The colon is gas filled in corrugated._x000D_
5.The spleen is within normal limits._x000D_
6.The stomach is partially distended with food material and fluid.</t>
  </si>
  <si>
    <t>Three radiographs of the abdomen of an intact male canine are provided. There is no effusion. The urinary bladder is distended and soft tissue opaque. The prostate is moderately enlarged, consistent with intact reproductive status. There is gas and small volume fluid in the colon. Small intestines are mildly fluid filled. No radiopaque gastrointestinal foreign material. The stomach contains small volume gas and equivocal scant amorphous soft tissue density. Normal-sized liver, spleen, and kidneys. Faint renal diverticular mineralizations are of doubtful clinical significance today. Both patellas are medially displaced. In the visible caudal thorax, the left atrium is prominent. No pulmonary parenchymal abnormalities.</t>
  </si>
  <si>
    <t>1. Diarrhea. Gastroenteritis/pancreatitis is most likely. There is no evidence of intestinal obstruction. There is equivocal scant amorphous soft tissue density in the stomach which may be residual ingesta, rugal folds, or least likely foreign material. There is no evidence of small bowel obstruction._x000D_
2. Bilateral medial patellar luxation._x000D_
3. Prominent left atrium suggestive of mitral valve disease. This is of doubtful clinical significance today.</t>
  </si>
  <si>
    <t xml:space="preserve">
1.The spleen is within normal limits._x000D_
2.There is decreased detail in the cranial abdomen._x000D_
3.The stomach is partially distended with food material and fluid._x000D_
4.The small intestinal track is mostly fluid filled uniform in diameter._x000D_
5.The colon is gas filled in corrugated._x000D_
6.The liver is enlarged with rounded borders.</t>
  </si>
  <si>
    <t>Three orthogonal radiographs of the abdomen dated 19th June 2024 are available for review. There are no previous radiographs available for comparison. _x000D_
_x000D_
Intra-abdominal findings: There is a significant amount of granular food material in the fundus of the stomach. There is some gas in the pyloric region on the left lateral image, however at the gaseous outline is irregular. The duodenum is not distended. The small intestines are variably filled with fluid/soft tissue opaque material and gas. The descending colon contains gas and gradually formed faeces. The urinary bladder is small.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</si>
  <si>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1. The moderate amount of granular food material within the stomach may be indicative of a recent meal. Alternatively, dietary indiscretion, soft tissue foreign material may be present. This needs to be correlated with time of feeding and last emesis. No significant abnormalities are detected. Partial pyloric outflow obstruction by non-radiopaque foreign material should be considered. A non-specific enterocolitis secondary to dietary indiscretion should also be considered.</t>
  </si>
  <si>
    <t xml:space="preserve">
1.The stomach is mildly gas and fluid filled with some soft tissue density material. The small bowel is gas and fluid-containing. No obvious obstruction._x000D_
2.Splenic size, shape and margin are normal._x000D_
3.Abdominal detail is normal._x000D_
4.Liver size, shape and margin are normal.</t>
  </si>
  <si>
    <t>Four radiographs of the abdomen, and a lateral view of each stifle are provided. The abdomen is pendulous. Serosal detail is adequate. The liver is mild to moderately enlarged with smooth margins. Normal-sized spleen and kidney. Moderate volume soft tissue opaque ingesta in the stomach. Small bowel are minimally filled. The cecum is gas dilated. Formed feces in the distal colon. Small volume mineral opaque debris throughout the gastrointestinal tract is likely incidental. Narrowed T13-L1 intervertebral disc space. Normal coxofemoral joints. Patellar location is normal. No definitive stifle joint effusion is appreciated. There is no stifle degenerative change. Tarsi are unremarkable.</t>
  </si>
  <si>
    <t>1. Mild to moderate hepatomegaly, most likely steroid hepatopathy. Acute inflammation or neoplasia are given much lesser consideration. Otherwise normal postprandial abdomen._x000D_
2. The appearance of T13-L1 is suggestive of intervertebral disc disease. This is the most likely cause for the clinical signs._x000D_
3. No proximal pelvic limb abnormalities are appreciated.</t>
  </si>
  <si>
    <t>If the patient does not continue to improve, consultation with a neurologist and advanced spinal imaging with CT/MRI would be recommended.</t>
  </si>
  <si>
    <t xml:space="preserve">
1.Formed feces is present in the colon._x000D_
2.Small volume ingesta is present within the stomach._x000D_
3.Small intestines are displaced into the mid and caudal abdomen but the bowel diameter is normal._x000D_
4.A soft tissue mass effect is present in the mid-abdomen causing bowel displacement from this region._x000D_
5.Pendulous abdomen secondary to organomegaly._x000D_
6.Abdominal detail is diffusely decreased diffusely but with the most severe decrease in abdominal detail caudal to the stomach._x000D_
7.The liver is upper limits of normal for size to mildly enlarged but retains smooth margins.</t>
  </si>
  <si>
    <t>Six radiographs of the abdomen and proximal pelvic limbs are provided. Images dated August 3, 2022 are available for comparison. There is mild to moderate hepatomegaly as before. Normal-sized spleen. The kidneys are incompletely visible. Large volume of formed feces filling the descending colon. The distal fecal column occupies the majority of the pelvic canal and measures up to 3.3 cm diameter. There is gas in the small bowel. Moderate volume soft tissue opaque ingesta in the stomach. No radiopaque urolithiasis. Mineral density overlies the L3-4, L4-5 intervertebral foramina. Mineralized intervertebral disc material in situ L6-7, incidental. The coxofemoral joints are congruent. The patellar location is normal. There is soft tissue density in the cranial aspect of the cranially positioned stifle on both of the lateral views, and both tibias are mildly cranially positioned with respect to the femoral condyles. No tarsal abnormalities. In the caudal thorax, no cardiovascular or pulmonary parenchymal abnormalities are appreciated.</t>
  </si>
  <si>
    <t>1. The appearance of L3-4 and L4-5 is suggestive of intervertebral disc disease. Such a lesion at this or another site is the most likely cause for the neurologic deficits._x000D_
2. Bilateral radiographic drawer sign, with effusion in one of the stifles (laterality uncertain). This is most consistent with cranial cruciate ligament tear/rupture._x000D_
3. Hepatomegaly as before, a nonspecific finding that may be steroid or other hepatopathy. Acute inflammation or neoplasia are given lesser consideration with the chronicity._x000D_
4. Probable constipation.</t>
  </si>
  <si>
    <t>Recommend palpation for stifle discomfort and instability, and consultation with a neurologist. Advanced spinal imaging with CT/MRI may be necessary.</t>
  </si>
  <si>
    <t xml:space="preserve">
1.Serosal detail is poor._x000D_
2.The gastric axis is deviated caudally indicating an enlarged liver._x000D_
3.Small-volume gas is present within the stomach._x000D_
4.The spleen is also questionably enlarged but poorly visible._x000D_
5.The colon is minimally filled.</t>
  </si>
  <si>
    <t>Three radiographs of the thorax/abdomen are provided. There is mild left atrial enlargement. Pulmonary vessels are normal size. A mild bronchial pattern is normal for the age of this patient. There is no soft tissue pulmonary nodules or pleural effusion. Rounded increased opacity overlying the right 11th intercostal space on the VD projection is superimposed nipple. Normal tracheal diameter. In the abdomen the liver is mildly enlarged with smooth margins. Normal size kidneys and spleen. The gastrointestinal tract is mildly filled. No radiopaque urolithiasis. Osseous structures are unremarkable.</t>
  </si>
  <si>
    <t>1. Mild hepatomegaly, a nonspecific finding and may be steroid or other hepatopathy. Acute inflammation or neoplasia are next on the differential list. Otherwise normal abdomen._x000D_
2. Mild left atrial enlargement consistent with acquired mitral valve disease. There is no pulmonary venous congestion or pulmonary edema. This is of doubtful clinical significance today. No other thoracic abnormalities.</t>
  </si>
  <si>
    <t>Current diagnostics are appropriate. There is no contraindication for general anesthesia based on this study. Further investigation of the liver and adrenal glands with ultrasound could be considered.</t>
  </si>
  <si>
    <t>Three radiographs of the thorax are provided. There is equivocal visibility of the left atrium on the VD projection, with no enlargement on the lateral views. The cardiac to thoracic ratio and pulmonary vessel size is normal. There are no abnormalities in the pulmonary parenchyma. No pleural effusion. Normal tracheal diameter and position. Small volume fluid in the caudal esophagus is transient and incidental. On the edge of the right lateral view, there is a smoothly marginated round 0.4 cm mineral density overlying the urinary bladder, and the prostate is enlarged, consistent with the reproductive status of this patient. Thin flat 0.5 cm mineral density in a loop of bowel is of doubtful significance.</t>
  </si>
  <si>
    <t>1. Normal thorax. No cardiovascular abnormalities are appreciated. Small valvular regurgitant jet can result in a relatively loud murmur._x000D_
2. Possible cystic calculus versus superimposed intestinal debris. If this is a cystic calculus, it is of a size that may be able to pass successfully.</t>
  </si>
  <si>
    <t>A lateral radiograph of the abdomen, orthogonal views of the lumbar spine, and two views of the proximal pelvic limbs are provided. Peritoneal and retroperitoneal detail is adequate. Normal-sized liver, spleen, kidneys. Thin mineral densities overlying the liver, likely choledocholiths that are of doubtful clinical significance. The stomach and small bowel are minimally filled. Round soft tissue contour in the cranioventral abdomen is fluid in the pylorus. The additional soft tissue density seen on the edge of the 11/18/22 thoracic study is not present and was likely normal anatomy. No radiopaque urolithiasis. Narrowed T12-13, L3-4, L4-5 intervertebral disc spaces, with spondylosis deformans throughout the spine. No endplate lysis. The coxofemoral joints are congruent. Pelvic limb musculature is adequate and symmetric. There is a punctate mineral density overlying the cranial aspect of the cranially positioned stifle on the lateral views.</t>
  </si>
  <si>
    <t>1. Spinal changes suggestive of intervertebral disc disease. This is the most likely cause for the clinical signs._x000D_
2. Punctate mineral density overlying one of the stifles may represent superimposed debris/nipple. An intra-articular osseous fragment such as can be seen with cranial cruciate ligament insult is not ruled out. Normal coxofemoral joints._x000D_
3. Normal abdomen.</t>
  </si>
  <si>
    <t>Recommend palpate for spinal and stifle discomfort, and a neurologic examination.</t>
  </si>
  <si>
    <t xml:space="preserve">
1.Mineral dense material and distended viscus are present in the region of the uterine horns._x000D_
2.In cases of pregnancy, fetal mineralization indicates fetal age of &gt;45 days._x000D_
3.IMPORTANT: This AI evaluation currently DOES NOT assess for the presence of fetal mummification and/or abnormal gas within or around the fetus (fetal viability) and/or fetal number._x000D_
4.Splenic size, shape and margin are normal._x000D_
5.Abdominal detail is normal however the abdomen is mildly pendulous._x000D_
6.The stomach is normal. The small bowel contains gas and fluid but no segmental small bowel dilation is noted._x000D_
7.The liver is mildly enlarged but with smooth margins. No liver mass is noted.</t>
  </si>
  <si>
    <t>Two ventral dorsal radiographs of the thorax, and four views of the abdomen are provided. The cardiac silhouette is normal size and shape. Pulmonary vessels are normal size. There are no abnormalities in the pulmonary parenchyma. No pleural effusion. Small round soft tissue density to the left of the heart on the VD projection and overlying the dorsal heart on the edge of the lateral view is end-on pulmonary artery._x000D_
_x000D_
In the abdomen serosal detail is poor in the peritoneal space. Normal-sized liver and kidney. The spleen is obscured. The gastrointestinal tract is mildly filled. No radiopaque foreign material or urolithiasis. Osseous structures are unremarkable.</t>
  </si>
  <si>
    <t>1. Mild to moderate peritoneal effusion. With the history, hemorrhagic effusion due to coagulopathy or neoplasia such as hemangiosarcoma is of concern._x000D_
2. Normal thorax.</t>
  </si>
  <si>
    <t>Abdominal ultrasound and peritoneal fluid evaluation are recommended.</t>
  </si>
  <si>
    <t xml:space="preserve">
1.Mild hepatomegaly._x000D_
2.No abnormal AI findings reported._x000D_
3.The stomach contains a small amount of gas._x000D_
4.There is possible loss of abdominal serosal detail._x000D_
5.The small intestines are a combination of gas-filled and fluid-filled/collapsed, and all are within normal limits for diameter._x000D_
6.The colon contains a combination of gas and granular fecal material.</t>
  </si>
  <si>
    <t>Opposite lateral views from the neck and thorax and orthogonal from the abdomen are provided:_x000D_
_x000D_
Neck/Thorax:_x000D_
No abnormalities are seen in the trachea, cervical spine or pharynx/larynx._x000D_
A small volume of foam is seen caudal to the upper esophageal sphincter._x000D_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t>
  </si>
  <si>
    <t>1) Unremarkable neck, thorax and abdomen. Unremarkable lungs do not exclude a pharyngitis/pharyngeal or retropharyngeal FB/tonsilitis vs bronchitis of inflammatory/infectious or parasitic origin.</t>
  </si>
  <si>
    <t>Consider abdominal US prior to an empirical treatment for pharyngitis/tonsilitis/bronchitis (after a negative oral and pharyngeal/laryngeal exam under sedation) evaluating response to treatment.</t>
  </si>
  <si>
    <t>A three view study of the abdomen is provided for interpretation._x000D_
_x000D_
There are some irregular short linear and curvilinear mineral opacity superimposed over the urinary bladder, presumed to represent mineral dense content within the bladder lumen. The appearance is not typical of calculi, but could still represent remnants of calculi or incompletely developed calculi. No abnormal opacities are seen associated with the kidneys. The kidneys are at the smaller end of normal range. A very small quantity of fragmented mineral density is present within the small intestine. The other abdominal organs are unremarkable.</t>
  </si>
  <si>
    <t>There is some a small quantity of irregular mineral dense content within the bladder. No other significant abdominal abnormalities are identified.</t>
  </si>
  <si>
    <t>Urinalysis is recommended to verify appropriateness of the current urinary diet.</t>
  </si>
  <si>
    <t>5 images of the thorax and abdomen are presented for review.  A small bulge is present in the region of the left atrium.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remaining abdominal organs are normal.</t>
  </si>
  <si>
    <t>Radiographically normal abdomen.  Lack of specific changes does not rule out pancreatitis or infiltrative neoplasia.  Abdominal ultrasound could be considered if clinically indicated.  Mild left-sided cardiomegaly without current evidence of cardiogenic pulmonary edema.  Echocardiography may be helpful in further evaluation.</t>
  </si>
  <si>
    <t>Three radiographs of the abdomen are provided. There is no peritoneal or retroperitoneal effusion. Normal-sized liver, spleen, kidneys. Round soft tissue contour in the cranial left quadrant is normal stomach. The stomach and small bowel are mildly gas-filled. There is formed feces in the distal colon. No radiopaque gastrointestinal foreign material or urolithiasis. In the caudal thorax there is a well-defined smoothly marginated round 2.8 cm soft tissue opaque mass in the dorsal aspect of the right caudal lung lobe. This mass is in close proximity to the lateral thoracic wall. No pleural effusion.</t>
  </si>
  <si>
    <t>1. Pulmonary mass in the right caudal lung lobe. Primary pulmonary neoplasia is most likely. Metastatic disease from distant site is next on the differential list._x000D_
2. Normal abdomen.</t>
  </si>
  <si>
    <t>Recommend three projection radiographic study of the thorax to determine if there are additional thoracic lesions. Abdominal ultrasound could be considered, and the right caudal thorax could be evaluated at the same time, as the mass may be visible with ultrasound for guided sampling purposes.</t>
  </si>
  <si>
    <t xml:space="preserve">
1.Serosal detail is normal._x000D_
2.Small-volume gas is present within the stomach._x000D_
3.Small intestines are diffusely moderately fluid and gas filled._x000D_
4.Formed feces is present in the distal colon._x000D_
5.The spleen and visualized kidneys are normal size._x000D_
6.The liver is moderately enlarged with smooth margins.</t>
  </si>
  <si>
    <t>Study:_x000D_
Thoracic/abdominal radiography: four images dated June 18,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On the right lateral view, there is a broad-based soft tissue opaque band superimposed with the cervical trachea lumen representing other redundant dorsal tracheal membrane or superimposition of the esophagus. The stomach contains a small volume of gas with the pylorus appropriately gas-filled on the left lateral image. The small intestines are normal in size, course and content. The colon contains formed poorly fecal material. The liver and spleen are normal in size and margin. The kidneys are normal in size and contour. There are multiple indistinct punctate mineral foci in the central aspect of the left kidney The urinary bladder is normal in size and opacity. There is no prostatomegaly. There is mild right stifle periarticular new bone formation. The coxofemoral joints are unremarkable with good coverage of the femoral head by the acetabulum bilaterally. The reported ventral thoracic subcutaneous mass is are not appreciated radiographically.</t>
  </si>
  <si>
    <t>1. Left nephrolithiasis versus nephrocalcinosis._x000D_
2. The abdomen is otherwise unremarkable. A cause of the reported soft stool/diarrhea is not evident. Abdominal sonography can be considered for further evaluation if clinical signs persist or worsen in spite of medical management._x000D_
3. Normal thorax. There is no radiographic evidence of cardiopulmonary disease for intrathoracic neoplasia._x000D_
4. Mild right stifle osteoarthrosis. Consider underlying cranial cruciate and/or meniscal injury._x000D_
5. As stated above, the ventral thoracic subcutaneous mass is not appreciated radiographically.</t>
  </si>
  <si>
    <t xml:space="preserve">
1.No abnormal AI findings reported._x000D_
2.No abnormal AI findings reported._x000D_
3.There is gas and some fecal material within the colon._x000D_
4.The liver and spleen are normal in size._x000D_
5.The stomach is minimally distended with minimal heterogeneous material._x000D_
6.The small intestine is both fluid and gas filled and mildly distended, but no obstructive lesion is identified.</t>
  </si>
  <si>
    <t>Three orthogonal radiographs of the abdomen dated 18th June 2024 are available for review. There are no previous radiographs available for comparison. _x000D_
_x000D_
Intra-abdominal findings: There is a mild amount of gas in the stomach, with a normal axis. The duodenum is mildly gas and fluid dilated in the ventrodorsal image. The small intestines are variably dilated with gas and fluid/soft tissue opaque material. The caecum and descending colon are distended with gas and fluid.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 There is lumbosacral spondylosis deformans._x000D_
_x000D_
Included thorax: No significant abnormalities are detected.</t>
  </si>
  <si>
    <t xml:space="preserve">
1.Liver size, shape and margin are normal._x000D_
2.The stomach contains gas and soft tissue dense material. There is diffuse gas dilation of the small bowel without evidence of obstruction._x000D_
3.Splenic size, shape and margin are normal._x000D_
4.Abdominal detail is normal.</t>
  </si>
  <si>
    <t>6 images of the spine are provided for review.  No fractures, luxations, or aggressive osseous lesions are seen.  There is spondylosis deformans of the lumbosacral spine.  There is consistent narrowing of the intervertebral disc space at C6-7.  The soft tissue structures included are normal.</t>
  </si>
  <si>
    <t>Degenerative changes of the lumbosacral spine.  Narrowed intervertebral disc space suggestive of intervertebral disc herniation.  This does not rule out intervertebral disc herniation at another site or other causes of spinal cord compression.</t>
  </si>
  <si>
    <t>Study:_x000D_
Six images that include the a portion of the thorax, the abdomen, pelvis and pelvic limbs dated June 18, 2024_x000D_
_x000D_
Findings:_x000D_
The left heart appears moderately enlarged on all lateral projections. This finding may be overestimated by patient obliquity The included lung fields are unremarkable. The stomach contains a large amount of recently ingested food. The small intestines are normal in size, course and content. The colon contains formed fecal material. The liver is moderately enlarged with smooth margins. The spleen is normal in size and margin. The renal silhouettes are poorly visualized due to visceral crowding. There is no overt renomegaly. The urinary bladder is normal in size and opacity. There is no prostatomegaly. The spine is unremarkable with no intervertebral disc space or foraminal narrowing. The coxofemoral joints are normal with good coverage of the femoral head by the acetabulum bilaterally. The trochlear groove is shallow bilaterally. The patella is medially luxated bilaterally on the VD view. On the lateral projection timestamped 4:24 PM, there is increased opacity within the cranial and caudal aspect of the right stifle joint space in comparison to the left stifle. There is mild right stifle periarticular bone formation. The tarsus and pes are unremarkable bilaterally. The pelvic limb musculature is bilaterally symmetric.</t>
  </si>
  <si>
    <t>1. Bilateral medial luxating patella. Surgical correction can be considered._x000D_
2. The mild right stifle joint effusion/capsular thickening and osteoarthrosis may indicate concurrent cranial cruciate and/or meniscal injury. Orthopedic consultation plus/minus surgical stabilization of the stifle can be considered._x000D_
3. The generalized hepatomegaly is nonspecific. Rule out metabolic/vacuolar hepatopathy, hyperplasia, hepatitis or infiltrative neoplasia. Sonography can be moderate left-sided cardiomegaly, indicative of mitral valve disease, without evidence of decompensation. Echocardiography should be considered for further evaluation._x000D_
4. Moderate left-sided cardiomegaly, suggestive of mitral valve disease, without evidence of decompensation. Correlate with any heart murmur. Echocardiography should be considered for further evaluation.</t>
  </si>
  <si>
    <t>Opposite lateral and VD views of the abdomen and pelvic/perineal region are provided._x000D_
_x000D_
There is mild to moderate prostatic enlargement. The shape of the prostate is normal. The bladder small and appears empty. No mass effect is seen in the pelvic canal. The other abdominal organs are within normal limits. No abnormalities identified involving the GI tract. The swelling reported in the history is not visible in the radiographs._x000D_
There is mild narrowing of the T13-L1 intervertebral disc space.</t>
  </si>
  <si>
    <t>The prostate is enlarged. Benign prostatic hyperplasia is most likely. Prostatitis or neoplasia should also be ruled out if relevant clinical signs are present._x000D_
_x000D_
No findings that would specifically account for the primary clinical complaint of perineal swelling are identified. A  perineal hernia still cannot be entirely excluded on the basis of the radiographic appearance.</t>
  </si>
  <si>
    <t>Cross-sectional imaging such as MRI would be ideal for more definitive evaluation.</t>
  </si>
  <si>
    <t>Patient Name: Ducky Bedolla, Date of study: Jun 18, 2024
3 images are provided for review (2 lateral, 1 VD). 
Compared to June 8, 2024 (case id: 2681452).
Findings:
Gastrointestinal tract: There is a small volume of heterogeneous ingesta within the fundus of the stomach. The previously identified mineral opaque structures are no longer within the pylorus. The small intestine is diffusely within normal limits of diameter and distribution being primarily gas-filled. There is formed feces and gas within the colon and cecum, respectively.
Liver: The liver is unchanged and normal in size and shape.
Spleen: The spleen remains within normal limits.
Urinary: The visible margins of the kidneys are unremarkable. The urinary bladder is small in size.
Peritoneal space: Serosal detail remains adequate.
Musculoskeletal: Unchanged from previous, there is mild spondylosis deformans of L7-S1.</t>
  </si>
  <si>
    <t>Normal abdomen with a unremarkable gastrointestinal tract and no evidence of a mechanical obstruction or mineral opaque foreign material within the pylorus.</t>
  </si>
  <si>
    <t>If gastrointestinal signs recur, recheck fasted abdominal radiographs or an abdominal ultrasound would be recommended.</t>
  </si>
  <si>
    <t>5 images of the abdomen are presented for review.  Serosal detail is adequate in all quadrants.  The stomach contains a moderate amount of ingesta.  The small intestines are normal in size.  Gas and feces are present in the colon.  The urinary bladder is small.  The uterus is not visible.  The remaining abdominal organs are normal.</t>
  </si>
  <si>
    <t>Radiographically normal abdomen.  Consider metritis versus abnormal estrus.</t>
  </si>
  <si>
    <t>Cytology could be considered.</t>
  </si>
  <si>
    <t>Six radiographs of the thorax/abdomen are provided. The cardiac silhouette is normal size and shape with no chamber enlargement. Pulmonary vessels are normal size. There are no abnormalities in the pulmonary parenchyma or pleural space. Mild narrowed caudal cervical trachea is likely due to neck extension. Normal proximal thoracic limbs. In the abdomen there is no effusion. The prostate is mildly enlarged consistent with intact reproductive status. The gastrointestinal tract is minimally filled. Normal-sized liver, spleen, kidneys. Punctate nephroliths are likely incidental. The splenic tail is rounded on the left lateral view. Narrowed T12-13 and L4-5 intervertebral disc space, with mild ventral spondylosis deformans at L4-5. Normal coxofemoral joints.</t>
  </si>
  <si>
    <t>1. The appearance of T12-13 and L4-5 are both suggestive of intervertebral disc disease. This is the most likely cause for the clinical signs._x000D_
2. Rounded splenic tail may represent incidental positional variant. A splenic mass lesion is not ruled out. Otherwise normal abdomen and thorax.</t>
  </si>
  <si>
    <t>Recommend palpate for spinal discomfort and a neurologic examination. Ultrasound evaluation of the spleen should be considered.</t>
  </si>
  <si>
    <t>Three radiographs of the abdomen are provided. Images dated June 3, 2024 are available for comparison. There is no effusion. The liver is normal size. Round 4.6 cm soft tissue opacity overlying the ventral liver on the lateral views is likely distended gallbladder. Normal-sized spleen. The stomach contains small volume gas and fluid. The gastric wall appears thickened. Small intestines are mildly fluid-filled. Small-volume semi-formed feces in the distal colon. No radiopaque foreign material. Normal-sized kidneys. No urinary bladder abnormalities. Bronchial pattern in the thorax as before.</t>
  </si>
  <si>
    <t>1. Probable distended gallbladder was not present on the previous study and may be due to anorexia versus biliary obstruction._x000D_
2. Thickened gastric wall may be due to gastritis or minimal distention and fluid-gas interface.</t>
  </si>
  <si>
    <t xml:space="preserve">
1.The gastric axis is displaced caudally by the hepatomegaly. No intestinal abnormalities are present._x000D_
2.In the abdomen the liver is mildly enlarged with smooth margins._x000D_
3.The spleen is normal._x000D_
4.Abdominal detail is normal however the abdomen is mildly pendulous.</t>
  </si>
  <si>
    <t>Three radiographs of the thorax and of the abdomen are provided. Images dated 12/15/21 are available for comparison. The cardiac silhouette and pulmonary vessels are normal size and shape. There is no cardiac chamber enlargement. Pulmonary vessels are normal size. There are no abnormalities in the pulmonary parenchyma or pleural space. No intrathoracic lymphadenomegaly. Mild degenerative change in the shoulders._x000D_
_x000D_
In the abdomen serosal detail is adequate. The stomach contains a moderate amount of fluid, gas, and a punctate mineral density. There is curved 1.4-2.0 cm soft tissue contour along the mid aspect of the greater curvature on the VD projections. Small intestines are mildly fluid filled. Small-volume semi-formed feces in the colon. Normal-sized liver, spleen. The kidneys are partially visible, with no size/contour abnormalities appreciated. There are mineral opaque nephroliths bilaterally, measuring up to 0.7 cm on the left and 0.8 cm on the right. There are approximately six smoothly marginated mineral opaque calculi in the urinary bladder measuring up to 1.2 cm. No osseous abnormalities.</t>
  </si>
  <si>
    <t>1. The appearance of the gastric greater curvature is most likely normal gastric wall. A gastric wall lesion is not definitively ruled out. Punctate mineral density in the stomach may be administered medication, component of normal ingesta, or foreign material which could cause gastritis. No other gastrointestinal abnormalities._x000D_
2. Cystic calculi and renoliths, essentially unchanged. The cystoliths are of a size that is too large to pass successfully._x000D_
3. Normal thorax. There is no evidence of cardiovascular disease on this study. A small valvular regurgitant jet can result in a relatively loud murmur.</t>
  </si>
  <si>
    <t>Consider strictly fasted abdominal ultrasound to evaluate the gastrointestinal tract.</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</si>
  <si>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There is narrowing of the intervertebral disc spaces and spondylosis deformans at L1-3.</t>
  </si>
  <si>
    <t>Radiographically normal abdomen.  Radiographically normal thorax for patient of this age.  Lumbar changes consistent with chronic intervertebral disc herniations.</t>
  </si>
  <si>
    <t>CT or MRI could be considered.</t>
  </si>
  <si>
    <t>Prominent rugal folds suggestive of gastritis.  This does not rule out underlying pancreatitis, infiltrative neoplasia, etc.</t>
  </si>
  <si>
    <t xml:space="preserve">
1.No abnormal AI findings reported._x000D_
2.No abnormal AI findings reported._x000D_
3.The liver, spleen, and kidneys appear within normal limits._x000D_
4.The stomach contains a moderate amount of gas._x000D_
5.Small intestines are moderately fluid filled. No obvious signs of obstruction.</t>
  </si>
  <si>
    <t>The AI result for this case is most compelling for: Normal liver, spleen, GI tract and abdominal detail. There is no severe intestinal dilation to suggest complete obstruction.</t>
  </si>
  <si>
    <t>5 images of the thorax are presented for review.  The trachea is narrowed in the cervical region.  The cardiovascular structures are normal.  There is a diffuse interstitial pulmonary pattern that is considered appropriate for the age of the patient.  A rounded soft tissue mass is present in the right middle lung lobe.  No additional pulmonary nodules or enlarged intrathoracic lymph nodes are seen.  The pleural and mediastinal structures are normal.  Cranial abdominal detail is adequate.</t>
  </si>
  <si>
    <t>Right middle lung lobe mass concerning for primary pulmonary neoplasia.  CT could be considered in surgical planning if desired.  Ultrasound-guided aspirate could be considered for diagnosis.  Tracheal narrowing suggestive of tracheal collapse.  Consider antitussive therapy.</t>
  </si>
  <si>
    <t>Abdomen: There is a mild amount of heterogeneous soft tissue opacity within the gastric lumen.  There is no evidence of overt distention of the stomach.  There is no evidence of a small intestinal foreign body or obstruction.  The liver is considered small.  The spleen is unremarkable.  There are no abnormalities involving the urinary tract.  Serosal detail is normal.  There are no abnormalities involving the visible portions of the thorax.</t>
  </si>
  <si>
    <t>Mild amount of heterogeneous soft tissue opacity within the gastric lumen which may represent normal ingesta or possible foreign material._x000D_
_x000D_
Microhepatica.  This is most likely variation of normal however other etiologies such as a portosystemic shunt cannot be ruled out.</t>
  </si>
  <si>
    <t xml:space="preserve">
1.The small bowel is diffusely gas- and fluid-filled with intestinal distention approaching the upper limit of normal. In a small portion of cases, uterine horn distention could mimic small bowel dilation._x000D_
2.Resource: https://platform.v2.vetology.net/doc/microhepatia_and_giulcers_x000D_
3.Splenic size, shape and margin are normal._x000D_
4.Cranial abdominal detail is mildly decreased._x000D_
5.The stomach is mildly to moderately gas distended._x000D_
6.Liver size is at the lower limits of normal to slightly small with cranial displacement of the gastric axis.</t>
  </si>
  <si>
    <t>Study:_x000D_
Abdominal radiography: three images dated June 18, 2024_x000D_
_x000D_
Findings:_x000D_
The serosal detail is adequate. The stomach contains a small volume of gas with the pylorus appropriately gas-filled on the left lateral image.. The small intestines are normal in size, course and content. The colon contains gas and poorly formed fecal material. The liver and spleen are normal in size and margin. The renal silhouettes are normal in size and contour. The urinary bladder is normal in size and opacity. The included thorax is unremarkable. No skeletal abnormalities are present. There is a round lipoma swelling the subcutaneous tissues of the mid-ventral abdomen.</t>
  </si>
  <si>
    <t>1. Unremarkable abdomen. A cause of the gastrointestinal signs is not evident. There is no radiographic evidence of gastrointestinal foreign material or small intestinal mechanical obstruction. Abdominal sonography can be considered for further evaluation if clinical signs persist or worsen in spite of medical management._x000D_
2. Umbilical hernia versus lipoma.</t>
  </si>
  <si>
    <t xml:space="preserve">
1.Adequate serosal detail is noted in the peritoneal space._x000D_
2.The stomach contains a moderate amount of food-like material and a mild amount of gas._x000D_
3.Several small bowel loops also are mildly gas filled._x000D_
4.No overtly dilated loops of bowel are noted._x000D_
5.The colon appears to contain a small amount of formed stool and a mild but variable amount of gas._x000D_
6.The spleen and liver appear within normal limits._x000D_
7.No abnormal AI findings reported.</t>
  </si>
  <si>
    <t>7 images of the thorax are provided for review.  The cardiovascular structures are normal.  Alveolar opacity is present in the right cranial, right middle, and caudal subsegment of the left cranial lung lobes.  The mediastinal and pleural structures are normal.  Cranial abdominal detail is adequate.  Hemivertebrae are present in the thoracic spine.</t>
  </si>
  <si>
    <t>Alveolar pulmonary pattern concerning for aspiration type pneumonia.</t>
  </si>
  <si>
    <t>3 views of the abdomen are provided for review.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small.  No mineral is seen associated with the urinary tract.  The remaining abdominal organs are normal.</t>
  </si>
  <si>
    <t xml:space="preserve">
1.Mid-abdominal detail is decreased on the lateral projection._x000D_
2.The liver is mildly enlarged. This enlargement is asymmetric on the VD projection._x000D_
3.Increased soft tissue opacity and a mild mass effect is noted in the splenic region._x000D_
4.The stomach contains a mild quantity of soft tissue opaque material and gas._x000D_
5.The small bowel is diffusely gas- and fluid filled however no segmental small bowel dilation is noted.</t>
  </si>
  <si>
    <t>Diffusely fluid filled small bowel. This could be normal for a post-prandial patient however if GI signs are present, enteritis is the primary consideration. No evidence of a small intestinal obstruction. Mild hepatomegaly. No hepatic mass noted. DDx: fat deposition vs. hepatitis vs. hepatic venous congestion. Metabolic hepatopathy or infiltrative neoplasia are considered less likely. Pendulous abdomen. This can be associated with abdominal discomfort. Decreased mid-abdominal detail. DDx: secondary to confluence of soft tissues due to the hepatomegaly vs. regional inflammation secondary to enteritis and/or pancreatitis vs. small volume abdominal fluid.</t>
  </si>
  <si>
    <t xml:space="preserve">
Virtual Radiologist Case Difficulty: MODERATE_x000D_
Virtual Radiologist Confidence: MODERATE_x000D_
Based on clinical signs and blood work, further evaluation of the liver and/or GI tract via abdominal ultrasound and/or IM consultation may be warranted._x000D_
Assess for abdominal pain.</t>
  </si>
  <si>
    <t>Orthogonal views of the thorax are provided:_x000D_
_x000D_
Thorax:_x000D_
_x000D_
There is moderate left atrium enlargement that dorsally displaces the carina, producing an overall severe cardiomegaly._x000D_
The pulmonary veins are enlarged when crossing the 4th ribs._x000D_
There is a peri-hilar and generalized moderate alveolo-interstitial pulmonary pattern throughout the entire lung field, more severe on the right caudal lung lobe._x000D_
Normal mediastinum, diaphragm and thoracic wall._x000D_
_x000D_
Unremarkable abdomen.</t>
  </si>
  <si>
    <t>1) Cardiomegaly (left sided), enlarged pulmonary veins with and generalized moderate alveolo-interstitial pulmonary pattern throughout the entire lung field, more severe on the right caudal lung lobe. Findings consistent with left sided congestive heart failure secondary to chronic mitral endocardiosis. Rule out cord tendinae rupture as well as tricuspid endocardiosis with post-capillary pulmonary hypertension.</t>
  </si>
  <si>
    <t>Consider oxygen supplementation, pro bnp, BP and lasix trial (prior evaluation of the renal function) with recheck radiographs in 12 hours (or sooner if clinically indicated) to re-evaluate and to monitor the response to treatment. Consider a cardiology consultation with ECG and echocardiogram once the patient is stable.</t>
  </si>
  <si>
    <t>3 views of the entire body are presented for review.  The cardiovascular and pulmonary structures are normal.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</si>
  <si>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Radiographically normal thorax and abdomen.  Lack of specific changes does not rule out dietary indiscretion or gastroenteritis.</t>
  </si>
  <si>
    <t>If clinical signs persist with supportive therapy, repeat radiographs or abdominal ultrasound may be helpful.</t>
  </si>
  <si>
    <t>Opposite lateral and ventrodorsal abdominal radiographs (3 images) dated June 18, 2024._x000D_
_x000D_
The liver measures at the upper limits of normal size and is normal in shape. A small convex soft-tissue opaque mass measuring approximately 3.8 x 4.7 cm is arising from the caudal aspect of the splenic tail. The kidneys are unremarkable in size and shape. The urinary bladder is mildly fluid-filled. The stomach is distended with a moderate amount of heterogeneous soft-tissue content. This material occupies all 3 major chambers of the stomach on all views. There is a moderate variation in small intestinal diameter with most segments mildly distended with gas, and a minority moderately distended with slightly heterogeneous soft-tissue content and gas. However, no segmental bowel dilation is identified. The cecum is gas distended in the right central abdomen. The colon contains gas and a small amount of somewhat poorly formed stool. Retroperitoneal and peritoneal detail are normal. No regional lymphadenopathy is evident._x000D_
There is multifocal spondylosis deformans without evidence of disc space narrowing. The left stifle has advanced periarticular bony remodeling affecting it. No aggressive osseous lesions are identified. The included caudal thorax is unremarkable.</t>
  </si>
  <si>
    <t>1. Splenic mass. This can represent malignant neoplasia or potentially a benign mass._x000D_
2. The appearance of the small intestine and colon is compatible enteritis or enterocolitis. A partial small intestinal mechanical obstruction is considered unlikely._x000D_
3. The heterogeneous soft-tissue content in the stomach is of unknown clinical relevance and could represent residual/normal ingesta vs. a mixture of normal ingesta with foreign material. _x000D_
4. Left stifle osteoarthritis and multifocal spondylosis deformans.</t>
  </si>
  <si>
    <t>Abdominal ultrasound is recommended to further assess the spleen and evaluate the gastric content._x000D_
Three-view thoracic radiographs for metastatic screening._x000D_
CBC, chemistry, UA, thyroid, blood pressure, 4Dx.</t>
  </si>
  <si>
    <t>20 images of the thorax, abdomen, pelvis, pelvic limbs, and thoracic limbs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  Coverage of the femoral heads by the acetabular rims is reduced bilaterally.  Osteophytes present on the femoral necks and acetabular rims, worse on the left.  Periarticular osteophyte formation is seen at the right tarsometatarsal joints.  The joint surfaces are smooth and regular.  No stifle effusion is seen.  There is spondylosis deformans of the cervical, thoracic, and lumbosacral spine.  Osteophytes are present in the proximal radii and anconeal processes bilaterally.  Osteophytes are also seen at the caudal aspects of humeral heads.</t>
  </si>
  <si>
    <t>Radiographically normal abdomen.  Radiographically normal thorax for patient of this age.  Moderate left and mild right coxofemoral DJD with bilateral subluxation.  Left tarsal DJD.  Mild bilateral elbow and moderate bilateral shoulder DJD.  Degenerative changes of the spine.</t>
  </si>
  <si>
    <t>Four radiographs of the thorax, and a lateral view of the abdomen are provided. Images dated 6/12/24 are available for comparison. The cardiac silhouette and pulmonary vessels are normal size and shape. There is a small area of increased opacity overlying the cardiac apex on the left lateral view on June 12. This area is persistent, with small, faint air bronchograms on June 17. A mild mixed bronchointerstitial pattern is present throughout the remaining lungs. No pleural effusion. Tracheal diameter and position are normal. No laryngeal abnormalities. The esophagus is transiently dilated on the June 17 study, incidental. In the abdomen there is no effusion or organomegaly. The gastrointestinal tract is mildly filled. No radiopaque urolithiasis or foreign material.</t>
  </si>
  <si>
    <t>Persistent focal alveolar pattern in the right middle lung lobe, most consistent with aspiration pneumonia. Infectious etiology is also possible, in light of the mixed bronchointerstitial pattern. Otherwise normal thorax and abdomen.</t>
  </si>
  <si>
    <t>Consider switching antibiotics.</t>
  </si>
  <si>
    <t xml:space="preserve">
1.Gas containing stomach with segmental gas distension involving bowel loops._x000D_
2.Splenic size, shape and margin are normal._x000D_
3.Liver size, shape and margin are normal._x000D_
4.Abdominal detail is normal.</t>
  </si>
  <si>
    <t>Three radiographs of the thorax/abdomen are provided. There is moderate generalized cardiac silhouette enlargement. Subsequent dorsal deviation of the thoracic trachea and mainstem bronchi. The mainstem bronchi are compressed. The cranial pulmonary vein is slightly larger than the artery. There is a severe interstitial to alveolar pattern in the perihilar region. No pleural effusion. Possible redundant dorsal trachealis membrane in cervical region, of uncertain significance today. In the abdomen the liver is mild to moderately enlarged with smooth margins. No effusion. Normal sized spleen and kidneys. The gastrointestinal tract is mildly filled. No radiopaque cystic calculi. Degenerative change in the left coxofemoral joint.</t>
  </si>
  <si>
    <t>1. Moderate generalized cardiomegaly, most consistent with chronic degenerative mitral and tricuspid valve disease. There is pulmonary edema indicating left-sided heart failure. Mainstem bronchial compression could be contributing to respiratory signs._x000D_
2. Mild to moderate hepatomegaly, most likely due to venous congestion. Steroid or other hepatopathy is next on the differential list. Otherwise normal abdomen.</t>
  </si>
  <si>
    <t>Diuretic administration, CBC, blood chemistry profile, and echocardiogram are recommended.</t>
  </si>
  <si>
    <t xml:space="preserve">
1.The abdomen is pendulous._x000D_
2.The gastrointestinal tract is displaced caudally by the changes in the cranial abdomen. The small bowel is diffusely gas and fluid filled. On the lateral projection, a portion of the small bowel has a rigid appearance._x000D_
3.No abnormal AI findings reported._x000D_
4.On the VD projection, there is asymmetric liver enlargement, caudal displacement of the stomach and increased soft tissue opacity caudal to the stomach in the splenic region._x000D_
5.Abdominal detail is decreased through the mid-abdomen.</t>
  </si>
  <si>
    <t>Thorax: There is mild generalized cardiomegaly.  On all views there is pulmonary underinflation.  There is moderate amount of fat within the cranial mediastinum.  There is no evidence of pleural effusion._x000D_
_x000D_
Abdomen: There is a spherical mineral opacity within the cranial dorsal left abdomen near midline and at the level of the cranial pole of the left kidney.  There is moderate diffuse hepatomegaly.  There is suboptimal peritoneal as well as suboptimal retroperitoneal detail.  There is moderate prostatomegaly.  There are segments of jejunum that appear to have diffuse wall thickening.</t>
  </si>
  <si>
    <t>Mild generalized cardiomegaly without evidence of decompensation._x000D_
_x000D_
Moderate diffuse hepatomegaly.  Differential considerations are numerous however may include a hepatopathy, hepatitis, congestion, or neoplasia._x000D_
_x000D_
The mineral opacity within the left cranial abdomen is suspicious for mineralization of the left adrenal gland.  Neoplasia should be considered._x000D_
_x000D_
Suboptimal peritoneal and retroperitoneal detail which may represent effusion._x000D_
_x000D_
Prostatomegaly.  This may represent residual hypertrophy if patient was castrated at an older age, prostatitis, or possible neoplasia._x000D_
_x000D_
Possible jejunal wall thickening.  This is not a definitive finding on survey radiography.  Differential considerations may include artifactual, variation of normal, enteritis, or IBD.</t>
  </si>
  <si>
    <t>Abdominal ultrasound would be beneficial for further evaluation.</t>
  </si>
  <si>
    <t xml:space="preserve">
1.The stomach contains fluid and some gas._x000D_
2.The small intestine is diffusely fluid filled._x000D_
3.There is poor detail identified in the abdomen. DDx: secondary to hepatomegaly causing crowding of the abdominal organs and/or abdominal fluid._x000D_
4.The abdomen is mildly pendulous._x000D_
5.The liver is enlarged with rounded borders._x000D_
6.There is increased soft tissue opacity in the splenic region. DDx: secondary to caudal extension of the liver vs. loss of detail due to abdominal fluid vs. splenomegaly or a splenic mass.</t>
  </si>
  <si>
    <t>7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A lobulated soft tissue mass is seen in the left dorsal abdomen in the area of the left kidney.  The right kidney is smoothly margined and normal in size.  The remaining abdominal organs are normal.</t>
  </si>
  <si>
    <t>Radiographically normal thorax for patient of this age.  Left renal mass concerning for neoplasia.  Polycystic disease cannot be completely excluded.</t>
  </si>
  <si>
    <t>Abdominal ultrasound or CT may be helpful in surgical planning.</t>
  </si>
  <si>
    <t>Study:_x000D_
Thoracic and abdominal radiography: six images dated June 18, 2024_x000D_
_x000D_
Findings:_x000D_
The cardiac silhouette and pulmonary vasculature are normal in size. The pulmonary parenchyma is unremarkable. The pleural space is normal. There is no intrathoracic lymphadenopathy. The trachea is normal in diameter and course. There is no esophageal dilation. The stomach contains a small amount of heterogeneous soft tissue material. The small intestines are normal in size, course and content. The colon contains formed fecal material. The liver and spleen are normal in size and margin. The kidneys are normal in size and contour. The urinary bladder is normal in size and opacity. No skeletal abnormalities are present.</t>
  </si>
  <si>
    <t>1. Gastric contents likely represent ingesta. Foreign material cannot be completely excluded. There is no evidence of small intestinal mechanical obstruction. Abdominal sonography can be considered for further evaluation if clinical signs persist or worsen in spite of medical management._x000D_
2. Normal thorax.</t>
  </si>
  <si>
    <t>8 radiographs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liver is moderately enlarged with smooth serosal margins.  The visible margins of the spleen, renal silhouettes, and urinary bladder appear within normal limits.  A few punctate mineral opacity structures are seen superimposed with the urinary bladder on the lateral views.  A moderate amount of amorphous soft tissue opacity material is noted in the stomach.  The small bowel is generally normal and uniform in diameter and also contains a mild amount of ingesta.  A moderate amount of formed stool is noted in the colon and the initial views which has been evacuated in the last 2 images.  Serosal detail is adequate.  Chronic intervertebral disc disease is noted in the caudal thoracic and cranial lumbar spine.  No aggressive bony changes are noted.</t>
  </si>
  <si>
    <t>The material in stomach is nonspecific and could be associated with radiolucent foreign material, food, or admixture of both.  No evidence of mechanical obstruction of the small bowel is seen._x000D_
Moderate hepatomegaly.  This is most consistent with vacuolar hepatopathy._x000D_
Suspect multiple very small cystic calculi._x000D_
Chronic intervertebral disc disease in the thoracolumbar spine of unknown clinical significance.</t>
  </si>
  <si>
    <t>Symptomatic/supportive medical management appears appropriate in the short-term.  Repeat abdominal radiographs after a 12 to 24-hour fast could be considered to monitor for gastric emptying.  An abdominal ultrasound could also be considered.  A urinalysis also appears indicated.</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</si>
  <si>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pneumonia nor signs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t>
  </si>
  <si>
    <t>Consider abdominal US to further evaluate potential causes of vomition prior to an empirical treatment for chronic bronchitis evaluating response to treatment. If clinical signs persist, consider a bronchoscopy with BAL, culture, cytology, Baermann test and deworming.</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</si>
  <si>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Bilateral chronic osteophytoses in the elbows from elbow dysplasia._x000D_
_x000D_
Abdomen:_x000D_
_x000D_
The stomach is distended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 with a questionable nodular image or mass superimposed with its ventral extremity vs folded ventral extremity._x000D_
Kidneys and urinary bladder WNL._x000D_
_x000D_
Multifocal signs of chronic IVDD.</t>
  </si>
  <si>
    <t>1) Unremarkable thorax without signs of pulmonary metastases nor signs of thoracic lymphadenopathy._x000D_
2) Hepatomegaly: Metabolic vs Vacuolar infiltration vs Hepatic nodular hyperplasia vs Inflammatory vs Toxic vs Neoplastic or a combination of these differentials._x000D_
3) Rule out splenic nodule or mass vs folded spleen.</t>
  </si>
  <si>
    <t>Consider abdominal US to further evaluate the liver and the spleen.</t>
  </si>
  <si>
    <t xml:space="preserve">
1.The spleen is normal in size and margin._x000D_
2.Resource: https://platform.v2.vetology.net/doc/liver_disease_x000D_
3.Abdominal detail is normal._x000D_
4.The liver extends moderately beyond the costal arch with a smooth margin._x000D_
5.The stomach contains a small volume of gas._x000D_
6.The colon contains partially formed fecal material._x000D_
7.The abdomen is pendulous._x000D_
8.The small intestines are normal in size, course and content.</t>
  </si>
  <si>
    <t>A single lateral view of the abdomen is provided._x000D_
_x000D_
There are irregular mineral opacity superimposed over the right kidney which are suspected to represent renal calculi. These were also present in previous radiographs._x000D_
There is a small round opacity in the range of 3 mm superimposed over the cranial ventral aspect of the bladder. It cannot be definitively determined whether this represents a faintly visible low-density calculus in the bladder or whether it might be a superimposition artifact. Size and shape of the bladder is normal. The other abdominal organs are within normal size and shape limits. Small intestinal gas is moderately increased, and a few small bowel loops appear slightly dilated.</t>
  </si>
  <si>
    <t>There is one unusual small round shadow seen superimposed over the bladder. It is unclear whether this is an artifactual finding or whether it might actually represent a small calculus within the bladder._x000D_
_x000D_
Calculi are suspected in the right kidney._x000D_
_x000D_
There is increased intestinal gas. The appearance is suggestive of or physiologic ileus of other causes, but this is likely an incidental finding in the absence of related GI clinical signs.</t>
  </si>
  <si>
    <t>Compression radiography or ultrasound could be used to verify whether the small round shadow seen is actually within the bladder or superimposed.</t>
  </si>
  <si>
    <t xml:space="preserve">
1.Splenic size, shape and margin are normal._x000D_
2.Abdominal detail is normal._x000D_
3.Liver size, shape and margin are normal._x000D_
4.Small small-volume amorphous soft tissue opacity is present within the stomach. 
The small intestines are mildly filled with gas and fluid. No signs of obstruction.</t>
  </si>
  <si>
    <t>A two view study of the abdomen is provided for interpretation._x000D_
_x000D_
The liver is moderately enlarged. This was also present in previous radiographs dated 5-9-23. The other organs are within normal size and shape limits. No mass lesions are seen. Gas in the GI tract is mildly increased overall. No dilation of the stomach or intestine is seen. Rugal folds in the stomach are prominent. Some of the intestinal loops have a thickened appearance. Serosal detail is normal.</t>
  </si>
  <si>
    <t>The liver is enlarged. This was also present previously and may not be relevant to the current presentation. Metabolic or endocrine associated hepatopathies would most likely be responsible for the hepatomegaly. Hepatitis or hepatic lymphoma should still be ruled out._x000D_
_x000D_
The appearance of the GI tract is compatible with gastroenteritis. Pancreatitis could also still be present. Infiltrative GI disease such as intestinal lymphoma cannot be excluded.</t>
  </si>
  <si>
    <t>Symptomatic therapy and supportive care for gastroenteritis/pancreatitis is recommended._x000D_
_x000D_
Abdomen ultrasound should be considered if clinical signs are not improving with medical management over the next few days.</t>
  </si>
  <si>
    <t xml:space="preserve">
1.On the lateral projection, there is increased soft tissue opacity and a mild decrease in abdominal detail in the splenic region._x000D_
2.Hepatomegaly. Differential diagnoses include individual variation of normal, artifact and/or vacuolar hepatopathy (such as from hyperadrenocorticism or diabetes mellitus), nodular hyperplasia, hepatitis/cholangiohepatitis, or evolving neoplasia (metastatic versus primary)._x000D_
3.The ventral abdominal line is pendulous._x000D_
4.The gastric rugae are prominent or the stomach contains soft tissue opaque material that has the appearance of prominent gastric rugae._x000D_
5.Several bowel loops through the mid-abdomen are distended with gas- and/or fluid. These distended loops also have a rigid appearance.</t>
  </si>
  <si>
    <t>A three view study of the thorax including the neck and orthogonal abdomen views are provided._x000D_
_x000D_
No laryngeal or tracheal abnormalities are identified. The esophagus is not visualized, which is considered normal. The cardiopulmonary structures are within normal limits. No pleural abnormalities are seen._x000D_
The GI tract is unremarkable. The other abdominal organs are also within normal limits.</t>
  </si>
  <si>
    <t>No significant anatomic abnormalities are identified in the radiographs.</t>
  </si>
  <si>
    <t>The cause of the clinical signs is not apparent in the radiographs. Symptomatic therapy and observation only is recommended at this time, follow up radiographs or endoscopy if clinical signs persist.</t>
  </si>
  <si>
    <t xml:space="preserve">
1.The cranial right quadrant has a hazy appearance on the VD projection otherwise serosal detail is adequate._x000D_
2.No abnormal AI findings reported._x000D_
3.The liver and spleen are normal size._x000D_
4.View pancreatitis resource: https://platform.v2.vetology.net/doc/pancreatitis_x000D_
5.In the abdomen the stomach contains small volume gas, soft tissue and mildly prominent rugae._x000D_
6.Small intestines are minimally filled._x000D_
7.The colon contains gas and scant semiformed feces.</t>
  </si>
  <si>
    <t>Study:_x000D_
Thoracic and abdominal radiography: five images dated June 17, 2024_x000D_
_x000D_
Findings:_x000D_
The cardiac silhouette and pulmonary vasculature are normal in size. The pulmonary parenchyma is unremarkable. The pleural space is normal. There is no intrathoracic lymphadenopathy. The trachea is normal in diameter and course. There is no esophageal dilation. The abdominal serosal detail is normal. The stomach contains a small volume of gas. There is heterogeneous soft tissue material and small intestinal segments in the mid-in caudal abdomen. The small intestines are normal in diameter. The colon contains formed fecal material. The liver and spleen are normal in size and margin. The kidneys are normal in size and contour. The urinary bladder is normal in size and opacity. TPLO implants are present in the proximal tibia bilaterally. There is mild bilateral stifle periarticular bone formation. There is mild L3-L4 spondylosis deformans. There is moderate to severe right hip dysplasia and remodeling/thickening of the femoral head and neck. The left femoral head and neck also appear mildly thickened. Mild periarticular bone formation present at the craniolateral margin of the acetabulum bilaterally.</t>
  </si>
  <si>
    <t>1. The heterogeneous soft tissue material seen in the small intestinal segments in the mid and caudal abdomen may represent food and/or foreign material. There is no small intestinal dilation to suggest mechanical obstruction. Repeat fasted radiography can be considered to ensure intestinal emptying. Alternatively, sonography can be considered if clinical signs persist or worsen in spite of medical management._x000D_
2. Normal thorax. There is no esophageal foreign body._x000D_
3. Mild bilateral stifle osteoarthrosis._x000D_
4. Moderate to severe right hip dysplasia and coxofemoral osteoarthrosis. There is also mild left coxofemoral osteoarthrosis.</t>
  </si>
  <si>
    <t>Abdomen: There is a shallow like mineral opacity involving the cranial ventral right abdomen at the normal anatomical location as that of the gallbladder.  The liver is diffusely enlarged.  The spleen is unremarkable.  There are no abnormalities involving the visible portions of the urinary or gastrointestinal tract.  Serosal detail is normal.  There is moderate prostatomegaly._x000D_
_x000D_
Thorax: There is mild pleural effusion with a faint pleural fissure line located between the right cranial and right middle lung lobes.  The cardiac silhouette and pulmonary vasculature are unremarkable.</t>
  </si>
  <si>
    <t>The mineral opacity involving the right cranial abdomen may represent a gallbladder calculus, dystrophic mineralization of the gallbladder wall, or possible focal dystrophic mineralization within the liver._x000D_
_x000D_
Diffuse hepatomegaly.  Differential considerations are numerous however may include a hepatopathy, hepatitis, congestion, or neoplasia._x000D_
_x000D_
Suspect benign prostatic hypertrophy._x000D_
_x000D_
Mild right-sided pleural effusion.</t>
  </si>
  <si>
    <t xml:space="preserve">
1.Serosal detail is adequate._x000D_
2.There is a heterogeneous soft tissue opacity associated with the gastric lumen._x000D_
3.The small intestines have a diffuse fragmented gas pattern. No segmental small bowel dilation is identified._x000D_
4.Liver size, shape and margin are normal._x000D_
5.Splenic size, shape and margin are normal.</t>
  </si>
  <si>
    <t>Three orthogonal radiographs of the abdomen dated 17th June 2024 are available for review. There are no previous radiographs available for comparison. _x000D_
_x000D_
Intra-abdominal findings: There is a mild amount of gas in the stomach with a normal axis. There is appropriate gas in the pylorus and duodenum in the right lateral image. The small intestines are diffusely mildly distended with gas and fluid and have a mildly turgid appearance. The caecum and transverse colon and are gas dilated. The descending colon contains fluid and gas.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</si>
  <si>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The overall impression is one of gastroenteritis/colitis.  This may be due to dietary indiscretion, or infectious-inflammatory causes. There is no evidence of a mineral opaque foreign body, or complete mechanical obstruction.  Hemorrhagic gastroenteritis is possible.</t>
  </si>
  <si>
    <t>Supportive management including rehydration, gastroprotectants,  full blood work, faecal analysis if clinically indicated is advised, if not already performed. Consider an abdominal ultrasound.</t>
  </si>
  <si>
    <t>Study:_x000D_
Thoracic/abdominal radiography: right lateral and orthogonal views dated June 17, 2024_x000D_
_x000D_
Findings:_x000D_
The cardiac silhouette and pulmonary vasculature are normal in size. The pulmonary parenchyma is unremarkable. The pleural space is normal. There is no intrathoracic lymphadenopathy. The trachea is normal in diameter and course. The stomach and some small intestinal segments contain unstructured heterogeneous/granular soft tissue material presumed to be ingesta. The small intestines are normal in size and course. The colon contains gas and formed fecal material. The liver appear small on the lateral projection with cranial rotation of the gastric axis. The spleen is normal in size and margin. The left kidney is normal in size and contour. The right kidney is not clearly visualized due to visceral crowding. The urinary bladder is also not visualized and is likely small/empty. There are no apparent calculi in the region of the bladder or urethra. There is no uterine dilation. The osseous structures are unremarkable.</t>
  </si>
  <si>
    <t>1. While the urinary bladder is not visualized and likely small/empty, there is no evidence of urocystolithiasis. Urine culture and abdominal sonography can be considered for further evaluation of the persistent urinary tract infection._x000D_
2.Microhepatia. Rule out normal variant, vascular anomaly or chronic hepatitis/cirrhosis. Correlate with any liver enzyme abnormalities. Abdominal sonography and bile acid testing can be considered for further evaluation if clinically relevant._x000D_
3. Normal thorax.</t>
  </si>
  <si>
    <t>Study:_x000D_
Thoracic/abdominal radiography: eight images dated June 17, 2024_x000D_
_x000D_
Findings:_x000D_
The cardiac silhouette and pulmonary vasculature are normal in size. On both lateral projections, there is a round 1.2 cm soft tissue opacity cranial ventral to the border of the cardiac silhouette. This finding is not seen on the orthogonal view. The pleural space is normal. There is no intrathoracic lymphadenopathy. The trachea is normal in diameter and course. The stomach contains a small volume of gas. The small intestines are gas and fluid-filled and normal in size and course. The small intestinal gas is a smoothly marginated fragmented appearance in some small intestinal segments. The colon contains formed fecal material with a normal diameter. The liver extends mildly beyond the costal arch with smooth margins. The spleen is normal in size and margin. The renal silhouettes are normal in size and contour. The urinary bladder is normal in size and opacity. There is variable mild to severe multifocal thoracolumbar spondylosis deformans.</t>
  </si>
  <si>
    <t>1. The smoothly marginated fragmented gas pattern seen in some small intestinal segments can be an indicator of nonspecific enteritis. There is no radiographic evidence of gastrointestinal foreign material or small intestinal mechanical obstruction. Abdominal sonography can be considered for further evaluation if clinical signs persist or worsen in spite of medical management._x000D_
2. The generalized hepatomegaly is nonspecific. Rule out metabolic/vacuolar hepatopathy, hyperplasia, hepatitis or infiltrative neoplasia. Sonography can be considered for further evaluation._x000D_
3. Suspect pulmonary nodule (neoplasia or granuloma). As the lesion is not seen on the VD view of the thorax, superimposition of a subcutaneous or cutaneous nodule cannot be completely excluded. Computed tomography of the thorax can be considered for further evaluation.</t>
  </si>
  <si>
    <t>Opposite lateral and VD thoracoabdominal views are provided._x000D_
_x000D_
The patient has thin body condition. There is mild narrowing of the T12-T13 intervertebral disc space._x000D_
Moderate alveolar infiltrates are identified in the lungs, primarily involving the right middle lung field and the left cranial lobe. The associated bronchi also appear thickened. The other lung fields have mild bronchial mineralization that more likely represent age related change. The caudal vena cava appears markedly diminished in all the lateral views. The heart is within normal size and shape limits._x000D_
The abdominal organs are within normal size and shape limits. The cecum and transverse colon are gas filled. There are a few gas filled small bowel loops, but none appear pathologically distended. No foreign bodies are identified in the GI tract. The rectum is mildly distended with fecal material. Abdominal serosal detail is normal considering the thin body condition of the patient.</t>
  </si>
  <si>
    <t>The pulmonary changes are consistent with pneumonia. Aspiration should be considered as a possible explanation given the history of vomiting._x000D_
_x000D_
The small appearance of the caudal vena cava is consistent with hypovolemia. The appearance is more dramatic than what would typically be expected given the clinical finding of mild dehydration. Hypoadrenocorticism should be ruled out._x000D_
_x000D_
The gassy appearance of the intestine is relatively mild and not indicative of specific pathology. Pancreatitis or enteritis would be primary differentials. Infectious causes of enteritis should be ruled out.</t>
  </si>
  <si>
    <t>Supportive care and symptomatic therapy for gastroenteritis/pancreatitis is recommended._x000D_
_x000D_
Antibiotic therapy for pneumonia is also recommended. Recheck radiographs are recommended in 5 to 7 days, or sooner if clinical signs are not improving.</t>
  </si>
  <si>
    <t xml:space="preserve">Patient Name : Violet Edwards, Date of study: Jun 17, 2024
4 images are provided for review
There are no previous radiographs for comparison.
Bones/Joints:   The L1-2 intervertebral disc space is severely narrow.  The endplates are smooth, well-defined, and sclerotic.  Ventral and lateralized spondylosis deformans is present.  A small mineral focus with smooth, well-defined margins superimposes over the L1-2 intervertebral foramina.  The T12-13 intervertebral disc space is mildly narrow.    Minimal mineral superimposes over the L5-6 and L6-7 intervertebral foramina.  The mineral over L5-6 is just dorsal to the intervertebral disc space, smoothly marginated and well-defined.  The mineral over L6-7 is pin-point over the central of the foramina.  
Soft tissues:  The patient is thin with undulant soft tissue between some spinous processes. </t>
  </si>
  <si>
    <t xml:space="preserve">1. L1-2 intervertebral disc space narrowing and sclerosis versus superimposed spondylosis, and possible extruded mineral material.
2. T12-13 intervertebral disc disease.
3. Suspected dural mineralization or herniated mineralized disc material, L5-6 
4. Possible extruded intervertebral mineral versus artifact or other, L6-7.
5. Thin body condition.  </t>
  </si>
  <si>
    <t>Consider neurologist consultation and MRI for further evaluation.  Routine blood work and thoracic imaging to screen for occult systemic disease prior to referral.  Empirical therapy and supportive care in the interim as needed.  Monitoring as directed, or sooner if clinical signs acutely change, fail to improve or worsen.</t>
  </si>
  <si>
    <t xml:space="preserve">
1.The small intestinal tract contains normal volumes of fluid, gas and ingesta._x000D_
2.The ascending, transverse and descending colon are in a normal position and contain gradually more formed faeces._x000D_
3.Resource: https://platform.v2.vetology.net/doc/gi_x000D_
4.Abdominal detail is normal._x000D_
5.The stomach contains a small amount of air and either has prominent gastric rugae or contains a small amount of soft tissue material._x000D_
6.Liver size is at the lower limits of normal but retains a smooth margin._x000D_
7.Splenic size, shape and margin are normal.</t>
  </si>
  <si>
    <t>Six orthogonal survey radiographs of the thorax and abdomen dated 17th June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 There is no evidence for free air within the pleural space._x000D_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There is a mild diffuse loss of serosal detail, predominantly in the centre of the abdomen._x000D_
_x000D_
Musculoskeletal findings: There is moderate to severe swelling of the cervical and dorsal thoracic soft tissues, with irregular and linear gas lucencies extending down the shoulder and axillary region.</t>
  </si>
  <si>
    <t>1. The findings are consistent with lacerations most likely due to bite wounds with secondary emphysema and cellulitis. There is no evidence for pulmonary contusion, haemorrhage. The loss of serosal detail is suspicious of an inflammatory transudate, potentially due to contusion. There is no evidence for intestinal perforation.</t>
  </si>
  <si>
    <t>Supportive management for multiple lacerations as advised. Monitor for onset of respiratory difficulty, or digestive tract findings, and repeat radiographs as clinically indicated.</t>
  </si>
  <si>
    <t xml:space="preserve">
1.The stomach is partially distended with gas, some fluid and some soft tissue opaque debris._x000D_
2.The small intestine is normal in diameter. No obvious signs of obstruction._x000D_
3.The liver and spleen are within normal limits for size, with smooth margins._x000D_
4.No abnormal AI findings reported._x000D_
5.No abnormal AI findings reported.</t>
  </si>
  <si>
    <t>Study:_x000D_
Abdominal radiography: right lateral and orthogonal images dated June 17, 2024_x000D_
_x000D_
Findings:_x000D_
The stomach contains heterogeneous soft tissue material. There is a thin linear metallic opacity in the mesentery adjacent to the pylorus. The small intestines are normal in size, course and content. The colon contains gas and poorly formed fecal material. The liver and spleen are normal in size and margin. The renal silhouettes are normal in size and contour. The urinary bladder is normal in size and opacity. There is severe enlargement of the prostate causing cranial displacement of the urinary bladder. The included thorax is normal. No skeletal abnormalities are present.</t>
  </si>
  <si>
    <t>1. Gastric contents likely represent ingesta. Foreign material cannot be completely excluded. There is no evidence of small intestinal mechanical obstruction. Repeat fasted radiography can be considered to ensure gastric emptying if clinically relevant based on recent dietary history. Alternatively, sonography can be considered if clinical signs persist or worsen in spite of medical management._x000D_
2. Peritoneal linear metallic foreign body, possibly wire. This is a relatively common incidental finding._x000D_
3. Severe prostatomegaly. Rule out benign prostatic hyperplasia plus/minus para-prostatic cyst or prostatic abscess formation. Prostatic neoplasia is less likely in the absence of any parenchymal mineralization. Sonography can be considered for further evaluation of this finding.</t>
  </si>
  <si>
    <t xml:space="preserve">
1.Splenic size, shape and margin are normal._x000D_
2.Abdominal detail is normal._x000D_
3.Liver size, shape and margin are normal._x000D_
4.The stomach contains small volume gas and scant amorphous soft tissue density material. The small bowel is normal.</t>
  </si>
  <si>
    <t>Study:_x000D_
Abdominal radiography: three images dated June 17, 2024_x000D_
_x000D_
Findings:_x000D_
The stomach contains a small volume of gas. The thickness of the gastric wall and rugae is considered within normal limits for the degree of gastric distention. The small intestines are normal in size, course and content. The colon contains formed fecal material. The liver and spleen are normal in size and margin. The kidneys are normal in size and contour. The urinary bladder is normal in size and opacity. No mineral opaque calculi are present in the bladder or region of the urethra. The included thorax is normal. There is mild L5-L6 spondylosis deformans.</t>
  </si>
  <si>
    <t>Urinalysis, urine culture and abdominal sonography should be considered for further evaluation.</t>
  </si>
  <si>
    <t>Patient Name: Chloe Sullivan, Date of study: June 17, 2024.
Canine Thorax (2 Images) - 1 Lateral, 1 VD
There are no previous radiographs for comparison.
Findings:
Cardiac silhouette: There is a focal convex soft tissue bulge in the cranial aspect of the cardiac silhouette, consistent with incidental herniation of the right auricle. The cardiac silhouette is otherwise normal in size and shape.
Pulmonary vessels: The pulmonary arteries and veins are normal in size and are symmetrical.
Pulmonary parenchyma: The pulmonary parenchyma is normal with no evidence of consolidation, soft tissue opaque pulmonary nodules, or masses.
Pleural space: The pleural space is within normal limits.
Mediastinum: The mediastinum is normal in width and opacity.
Trachea: The trachea is within normal limits of diameter and course.
Esophagus: The region of the esophagus is unremarkable.
Musculoskeletal: The musculoskeletal and superficial soft tissue structures of the study are within normal limits.</t>
  </si>
  <si>
    <t>Unremarkable thorax.
- There is no evidence of pneumonia, congestive heart failure, or pulmonary metastatic disease. Referred pain from the reported cat altercation may explain elevated respiratory rate. 
-Incidentally, there is evidence of right auricular herniation.
-Chronic bronchitis cannot be excluded as a cause of an occasional cough. Differentials for chronic bronchitis include allergic, infectious/inflammatory, and irritant etiologies.</t>
  </si>
  <si>
    <t>-CBC, biochemistry, and urinalysis are recommended to screen for systemic disease which may be contributing to clinical signs.
-If chronic bronchitis is clinically suspected, airway sampling (respiratory PCR, lavage, wash) would be recommended.</t>
  </si>
  <si>
    <t xml:space="preserve">
1.Splenic size, shape and margin are normal._x000D_
2.Abdominal detail is mildly decreased on the lateral projection but normal on the VD projection._x000D_
3.The stomach is normal. The small bowel is diffusely gas- and fluid-filled but without segmental bowel dilation._x000D_
4.The liver is small with cranial displacement of the gastric axis, slightly more asymmetric on the ventrodorsal image.</t>
  </si>
  <si>
    <t>Study:_x000D_
Abdominal radiography: three images dated June 17, 2024_x000D_
_x000D_
Findings:_x000D_
The stomach contains gas with the pylorus appropriately gas-filled on the left lateral image. The small intestines are gas and fluid-filled and normal in size and course. The colon contains a small volume of gas with a normal diameter. The liver and spleen are normal in size and margin. The renal silhouettes are normal in size and contour. The urinary bladder is normal in size and opacity. There is no uterine dilation. The included thorax is normal. The right patella is medially luxated. There is mild right stifle periarticular bone formation. The patient is of overweight body condition.</t>
  </si>
  <si>
    <t>1. Unremarkable abdomen. A cause of the gastrointestinal signs is not evident. There is no radiographic evidence of gastrointestinal foreign material or small intestinal mechanical obstruction. Abdominal sonography can be considered for further evaluation if clinical signs persist or worsen in spite of medical management._x000D_
2. Right medial luxating patella and mild stifle osteoarthrosis.</t>
  </si>
  <si>
    <t xml:space="preserve">
1.Mid abdominal detail is mildly decreased._x000D_
2.The stomach is empty, and has a normal axis._x000D_
3.The small intestines are distributed evenly and are within normal limits for shape, size and contents._x000D_
4.The ascending, transverse and descending colon have a normal position and gas and some poorly formed faeces._x000D_
5.The hepatic silhouette is mildly enlarged, with smooth borders._x000D_
6.The visible spleen is within normal limits.</t>
  </si>
  <si>
    <t>Study:_x000D_
Thoracic/abdominal radiography: three images dated June 17,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There is no uterine dilation. The osseous structures are unremarkable. The patient is of obese body condition.</t>
  </si>
  <si>
    <t>1. Normal thorax. There is no radiographic evidence of cardiopulmonary disease. A cause of the respiratory signs is not evident. Lack of a definitive bronchial pulmonary pattern does not exclude the possibility of allergic/inflammatory, infectious, irritant or parasitic bronchitis. Normal diameter of the trachea does not exclude the possibility of dynamic airway disease. Sedated laryngeal exam, airway sampling, fluoroscopy plus/minus heartworm testing and Baermann fecal flotation can be considered for further evaluation of the reported coughing._x000D_
2. Unremarkable abdomen.</t>
  </si>
  <si>
    <t>3 views of the abdomen are presented for review.  Serosal detail is reduced in all quadrants.  The stomach contains a moderate amount of gas.  The small intestines are normal in size.  Gas and feces are present in the colon.  The urinary bladder is small.  The remaining abdominal organs are normal on the portions visible.  There is spondylosis deformans of the lumbosacral spine.</t>
  </si>
  <si>
    <t>Poor serosal detail consistent with free fluid.  Underlying pancreatitis, hypoproteinemia, or infiltrative neoplasia could be considered.</t>
  </si>
  <si>
    <t xml:space="preserve">
1.The spleen is also questionably enlarged but poorly visible._x000D_
2.Serosal detail is poor._x000D_
3.Small-volume gas is present within the stomach._x000D_
4.The colon is minimally filled._x000D_
5.The gastric axis is deviated caudally indicating an enlarged liver.</t>
  </si>
  <si>
    <t>Three radiographs of the thorax/abdomen are provided. The cardiac silhouette and pulmonary vessels are normal size and shape. There is a mild bronchial pattern. No pleural effusion. Severe collapse of the caudal cervical and entire thoracic trachea, as well as the mainstem bronchi. Incidental laryngeal mineralization. In the abdomen the liver is moderately enlarged. There is round 4.5 cm soft tissue opaque contour extending ventral to the liver. The gastrointestinal tract is mildly filled. No radiopaque urolithiasis. Normal-sized spleen. The kidneys are obscured. Narrowed intervertebral disc spaces with spondylosis deformans in the cranial lumbar spine, of doubtful clinical significance. Both patellas are medially displaced.</t>
  </si>
  <si>
    <t>1. Severe tracheal collapse and mainstem bronchial collapse, most likely cause for coughing._x000D_
2. Hepatomegaly, a nonspecific finding and may be steroid or other hepatopathy. Acute inflammation or neoplasia are next on the differential list. Rounded contour along the ventral liver may be distended gallbladder._x000D_
3. Bilateral medial patellar luxation.</t>
  </si>
  <si>
    <t>Recommend utilization of a body harness in place of a neck lead and symptomatic treatment for the cough.</t>
  </si>
  <si>
    <t xml:space="preserve">
1.The gastric axis is caudally displaced making hepatomegaly most likely._x000D_
2.The small bowel is diffusely gas- and fluid-filled but without segmental small bowel dilation._x000D_
3.Cranial abdominal detail is decreased. This may be secondary to a confluence of soft tissues and/or regional inflammation or abdominal fluid._x000D_
4.No abnormal AI findings reported._x000D_
5.There is an increase in soft tissue opacity in the cranial abdomen with extension of a soft tissue opacity caudoventral to the stomach. This may represent caudal extension of an enlarged liver lobe or cranial position of the splenic tail silhouetting with the liver.</t>
  </si>
  <si>
    <t>3 views of the thorax are provided for review.  The cardiovascular structures are normal.  There is a mild bronchial pattern in all lung lobes.  The mediastinal and pleural structures are normal.  Cranial abdominal detail is adequate.  Multiple hemivertebrae are present in the thoracic spine.</t>
  </si>
  <si>
    <t xml:space="preserve">
1.The stomach is normal. The small bowel is diffusely gas- and fluid-filled without segmental small bowel dilation._x000D_
2.Abdominal detail is normal._x000D_
3.Splenic size, shape and margin are normal._x000D_
4.The liver is mildy enlarged.</t>
  </si>
  <si>
    <t>Three radiographs of the thorax, and two lateral views of the abdomen are provided. The cardiac silhouette is mildly reduced in size. Pulmonary vessels are normal size. There is soft tissue opacity with air bronchograms in the ventral cranial and mid lungs on both lateral views. The right middle lung lobe is most significantly affected. A mixed bronchointerstitial pattern is present in the remaining lungs. No pleural effusion. Normal tracheal diameter. Small volume including the caudal esophagus is transient and incidental._x000D_
_x000D_
In the abdomen there is adequate serosal detail. The stomach contains small volume gas and scant soft tissue density. Small bowel are minimally filled. Small volume formed feces in the colon. Normal-sized liver, spleen, kidneys. No radiopaque urolithiasis. Mild degenerative change in the cranial lumbar spine is of doubtful clinical significance today.</t>
  </si>
  <si>
    <t>1. Bilateral ventral alveolar pattern consistent with aspiration pneumonia. Mixed bronchointerstitial pattern in the remaining lungs is most likely normal age change. Chronic airway inflammation such as allergic bronchitis could be contributing to this appearance._x000D_
2. No definitive abdominal abnormalities.</t>
  </si>
  <si>
    <t>Antibiotics are recommended, with follow-up thoracic radiographs (same three views) upon completion to ensure resolution of pneumonia.</t>
  </si>
  <si>
    <t>Study:_x000D_
Abdominal radiography: four images dated June 17, 2024_x000D_
_x000D_
Findings:_x000D_
The stomach contains a small volume of gas. The small intestines are normal in size, course and content. The colon contains gas and a small amount of poorly formed fecal material. The liver and spleen are normal in size and margin. The kidneys are normal in size and contour. The urinary bladder is unremarkable. There is severe uterine dilation seen as large tubular structures, larger in diameter than the adjacent small intestinal loops, on either side of the mid to caudal abdomen. The included thorax is unremarkable. There is mild T 12-T 13 spondylosis deformans. There is severe bilateral hip dysplasia and remodeling/thickening/osteophytosis of the femoral head and neck. There is moderate bilateral acetabular periarticular new bone formation.</t>
  </si>
  <si>
    <t>1. The severe uterine dilation likely indicates a pyometra. Mucometra, hydrometra, uterine neoplasia or early pregnancy cannot be completely excluded. An inflammatory leukogram on CBC with further support pyometra. Ovariohysterectomy should be considered._x000D_
2. Severe bilateral hip dysplasia and coxofemoral osteoarthrosis.</t>
  </si>
  <si>
    <t xml:space="preserve">
1.The liver is mildly enlarged._x000D_
2.The spleen is normal._x000D_
3.Resource: https://platform.v2.vetology.net/doc/pancreatitis_x000D_
4.The colon contains gas and fluid._x000D_
5.Resource: https://platform.v2.vetology.net/doc/gi_protectants_1_x000D_
6.Cranial abdominal detail is mildly decreased._x000D_
7.The stomach contains a moderate amount of mixed gas and fluid._x000D_
8.Small intestinal bowel loops are normal in size and distribution and have mainly a soft tissue pattern.</t>
  </si>
  <si>
    <t>Three radiographs of the thorax/abdomen are provided. Images dated 1/17/23 are available for comparison. There is mild left-sided cardiomegaly, smaller than on the previous study. Pulmonary vessels and caudal vena cava are normal size. A mild bronchial pattern is present throughout the lungs. There is no pleural effusion. Adequate tracheal diameter. In the abdomen there is no effusion or organomegaly. The gastrointestinal tract is mildly filled. No radiopaque urolithiasis.</t>
  </si>
  <si>
    <t>1. Mild bronchial pattern suggestive of chronic airway inflammation such as allergic bronchitis. This is the most likely cause for coughing._x000D_
2. Mild left-sided cardiomegaly, smaller than on the previous study and consistent with acquired mitral valve disease. There is no evidence of pulmonary venous congestion or heart failure. This is not the cause for coughing._x000D_
3. Normal abdomen.</t>
  </si>
  <si>
    <t>Patient Name: Negri Molina, Date of study: June 17, 2024.
4 images are provided for review (3 lateral, 1 VD). 
There are no previous radiographs for comparison.
Findings:
Musculoskeletal: There is a convex mass associated with the caudal mammary glands (reported right-sided). The included skeletal and superficial soft tissue structures of the study are otherwise unremarkable.
Gastrointestinal tract: The stomach is empty and normal in position. The small intestines are within normal limits. The descending colon is filled with formed feces and gas.
Liver: The liver is normal in size and shape.
Spleen: The spleen is normal in size and has smooth margins.
Urinary: The kidneys are normal in size, shape, and margination. The urinary bladder is small in size and normal in opacity.
Peritoneal space: There is adequate serosal detail.
Thorax: The cardiopulmonary structures are within normal limits. There is no evidence of pulmonary metastasis.</t>
  </si>
  <si>
    <t>1. Caudal mammary gland mass.
2. No radiographic evidence of metastatic disease.</t>
  </si>
  <si>
    <t>An abdominal ultrasound could be considered to further evaluate the liver, spleen, and regional lymph nodes.</t>
  </si>
  <si>
    <t xml:space="preserve">
1.Abdominal detail is normal._x000D_
2.The stomach contains small volume gas and equivocal scant soft tissue density._x000D_
3.Small intestines are minimally distended. No evidence of obstruction._x000D_
4.The liver and spleen are normal size and shape._x000D_
5.No abnormal AI findings reported.</t>
  </si>
  <si>
    <t>Three radiographs of the thorax, and four views of the abdomen are provided. The cardiac silhouette and pulmonary vessels are normal size and shape. The lungs are clear. There is no pleural effusion. Redundant dorsal trachealis membrane causes severe narrowed caudal cervical trachea._x000D_
_x000D_
In the abdomen there are fluid dilated tubular structures on either side of the caudal abdomen on the VD projection, possibly seen cranial to the urinary bladder on the lateral views. Normal sized spleen, liver, kidneys. Punctate nephroliths are of doubtful significance. No radiopaque cystic calculi. Osseous structures are unremarkable.</t>
  </si>
  <si>
    <t>1. The appearance of the caudal ventral abdomen is most likely due to uterine distention caused by pyometra. Enteritis is given much lesser consideration. No other abdominal abnormalities._x000D_
2. Cervical tracheal collapse. No intrathoracic abnormalities.</t>
  </si>
  <si>
    <t>Consider ultrasound evaluation to confirm pyometra versus proceeding to ovarohysterectomy.</t>
  </si>
  <si>
    <t xml:space="preserve">
1.The spleen is normal._x000D_
2.There is a focal loss of serosal detail in the cranial abdomen on the lateral projection._x000D_
3.The gastric rugae are prominent._x000D_
4.The small intestine is of uniform population size and is diffusely of soft tissue and gas opacity with a rigid appearance to several loops._x000D_
5.No mechanical ileus is visualized._x000D_
6.The colon is gas filled and has a rigid appearance._x000D_
7.On the lateral projection, the liver size is at the lower limits of normal to slightly small or a portion of the liver has been cut-off from the image.</t>
  </si>
  <si>
    <t>Opposite lateral and VD thoracoabdominal views are provided for interpretation._x000D_
There are five images for comparison to the previous study dated 6-12-20._x000D_
_x000D_
Severe heart enlargement is identified. The shape of the heart is consistent with left atrial and left ventricular distention. There is a mild to moderate unstructured interstitial pulmonary pattern that primarily affects the caudal dorsal lung fields. No vascular abnormalities are seen. There is moderate dynamic narrowing of the cervical trachea._x000D_
The liver is at the small end of normal size range, similar to the previous study. The other abdominal organs are unremarkable.</t>
  </si>
  <si>
    <t>There is severe left sided cardiomegaly. This was not present in the previous radiographs four years ago. The appearance is consistent with a chronic volume overload condition such as mitral regurgitation._x000D_
_x000D_
There is an unstructured interstitial pattern that likely represents interstitial edema from early congestive heart failure._x000D_
_x000D_
There is moderate dynamic narrowing of the cervical trachea. The appearance is not severe enough to be diagnostic for clinical tracheal collapse but collapsing trachea could still be present and may be contributing to the cough. Moderate degree of mainstem bronchial compression/class is also suspected in the left lateral view.</t>
  </si>
  <si>
    <t>There is severe left sided cardiomegaly, and an interstitial pattern compatible with early congestive heart failure. Medical management for probable early congestive heart failure is recommended._x000D_
_x000D_
Note: Previous radiographs on this patient were found under a different patient identification number and name. Consistent patient information especially patient ID number and name spelling is critical for DICOM medical software functionality. Please pay close attention to consistency of patient information when making radiographs.</t>
  </si>
  <si>
    <t xml:space="preserve">
1.No effusion is present._x000D_
2.The liver and spleen are normal size._x000D_
3.Moderate volume soft tissue opacity and/or gas fills the stomach._x000D_
4.Small intestines are mildly filled with a mixture of fluid and gas._x000D_
5.No segmental small intestinal distention is present._x000D_
6.No abnormal AI findings reported.</t>
  </si>
  <si>
    <t>Four orthogonal radiographs of the abdomen dated 17th June 2024 are available for review. There are no previous radiographs available for comparison. _x000D_
_x000D_
Intra-abdominal findings: The hepatic silhouette is enlarged with smooth borders. The stomach contains a moderate amount of heterogenous food material with a normal axis. The small intestines are variably filled with fluid/soft tissue opaque material and a little gas. No segmental dilation is noted. The colon is tortuous with gas dilation and some poorly formed faeces and fluid. The colonic wall is subjectively thickened. There is mild duodenal distension in the ventrodorsal image. The splenic size is normal. The kidneys are partially obscured by gastrointestinal contents, but the visible aspect are normal. The urinary bladder is filled. The serosal detail is normal._x000D_
_x000D_
Extra-abdominal findings: The patient is obese._x000D_
_x000D_
Included thorax: Thickened pleural fissure lines are still present.</t>
  </si>
  <si>
    <t>1. The colonic findings support the differential of chronic colitis: This may be infectious-inflammatory, lymphocytic-plasmacytic, ulcerative, eosinophilic._x000D_
2. The duodenal distension is likely transient, however pancreatitis is possible._x000D_
3.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origins._x000D_
4. Pulmonary fibrosis, pleural effusion may still be present.</t>
  </si>
  <si>
    <t>Further workup for chronic colitis including faecal analysis, endoscopy with or without biopsy, food trial is suggested. There is no evidence of an abdominal mass. Ultrasound may be considered post fasting to correlate.</t>
  </si>
  <si>
    <t xml:space="preserve">
1.The stomach is mildly gas and fluid filled with some soft tissue density material. The bowel is gas and fluid-filled with rigid sections. No segmental dilation is noted._x000D_
2.Abdominal detail is decreased._x000D_
3.When well visualized, the spleen appears enlarged but retains smooth margins._x000D_
4.No abnormal AI findings reported.</t>
  </si>
  <si>
    <t>The AI result for this case is most compelling for: Moderate hepatomegaly. This is most likely due to steroid or diabetic hepatopathy. However, in an older dog the asymmetric appearance on the VD projection raises the possibility of hepatic mass or infiltrative neoplasia such as lymphoma. Splenomegaly. In an animal with Cushing's disease, active pancreatitis causing secondary peritonitis would be more likely. In an older dog, disseminated abdominal neoplasia (such as lymphoma) is a stronger consideration. Decreased abdominal detail may be secondary to peritonitis associated with pancreatitis, versus less likely, lymphadenopathy or neoplastic effusion/hemorrhage. In the presence of GI symptoms, the appearance of the small intestine and colon is consistent with severe enterocolitis and functional ileus, likely secondary to pancreatitis.</t>
  </si>
  <si>
    <t xml:space="preserve">
Virtual Radiologist Case Difficulty: MODERATE_x000D_
Virtual Radiologist Confidence: MODERATE_x000D_
Blood work and abdominal ultrasound would be beneficial for further evaluation of the liver, spleen and gastrointestinal tract_x000D_
For more information about Pickwickian syndrome, refer to https://platform.v2.vetology.net/doc/pickwickian_syndrome_x000D_
For more information about Cushing's disease, refer to https://platform.v2.vetology.net/doc/cushings_1</t>
  </si>
  <si>
    <t>Study:_x000D_
Abdominal radiography: four images dated June 17, 2024_x000D_
A right lateral projection of the thorax is also present in the study._x000D_
_x000D_
Findings:_x000D_
Evaluation the thorax is limited by the lack of left lateral and orthogonal views. The abdominal serosal detail is adequate. The stomach is empty. The small intestines are gas and fluid-filled and normal in size and course. The colon contains a small volume of gas with a normal diameter. The liver and spleen are normal in size and margin. The renal silhouettes are normal in size and contour. The urinary bladder is normal in size and opacity. The prostate is mildly enlarged with smooth margins. The included thorax is normal. The L1 vertebra is transitional with bilateral hypoplastic ribs. There is mild bilateral remodeling/thickening of the femoral head and neck.</t>
  </si>
  <si>
    <t>1. The gastrointestinal tract is unremarkable. A cause of vomiting is not evident. There is no radiographic evidence of gastrointestinal foreign material or small intestinal mechanical obstruction. Abdominal sonography can be considered for further evaluation if clinical signs persist or worsen in spite of medical management._x000D_
2. Mild prostatomegaly. Rule out intact normal variant, benign prostatic hyperplasia and/or prostatitis._x000D_
3. Normal thorax._x000D_
4. Mild bilateral coxofemoral osteoarthrosis.</t>
  </si>
  <si>
    <t>Study:_x000D_
Survey thoracic radiography and barium swallow: six images dated June 17, 2024_x000D_
_x000D_
Findings:_x000D_
The cardiac silhouette and pulmonary vasculature are normal in size. The pulmonary parenchyma is unremarkable. The pleural space is normal. There is no intrathoracic lymphadenopathy. The trachea is normal in diameter and course. There is a transient gas dilation of the esophagus on the left lateral view timestamped 10:04 AM and the right lateral projection timestamped 10:19. On the barium swallow, there is incidental, breed associated redundancy of the esophagus in the cranial thorax. The included abdomen is normal. The patient has multiple, breed associated, congenitally anomalous thoracic vertebrae.</t>
  </si>
  <si>
    <t>The transient gas dilation of the esophagus is likely secondary to aerophagia. The thorax is otherwise unremarkable.. A cause of coughing is not evident. Consider upper airway disease given the reported concurrent sneezing/nasal discharge Lack of a definitive bronchial pulmonary pattern does not exclude the possibility of allergic/inflammatory, infectious, irritant or parasitic bronchitis. Normal diameter of the trachea does not exclude the possibility of dynamic airway disease.</t>
  </si>
  <si>
    <t>Infectious respiratory disease PCR testing can be considered for further evaluation.</t>
  </si>
  <si>
    <t>Three radiographs of the abdomen are provided. Peritoneal and retroperitoneal detail is adequate. There is small volume gas in the stomach. Normal rugal folds are visible. Small intestines are diffusely mildly filled with fluid and scant gas. There is gas in the colon. No radiopaque gastrointestinal foreign material is appreciated. The spleen, kidneys, and liver are normal size and shape. No radiopaque cystic calculi. Small mineral density dorsal to the sacrum is likely superficial debris or incidental granuloma.</t>
  </si>
  <si>
    <t xml:space="preserve">
1.The hepatic silhouette is normal._x000D_
2.The spleen is normal for size, shape and margin._x000D_
3.Abdominal detail is normal._x000D_
4.The stomach has a normal axis._x000D_
5.The small intestines are homogenously fluid-filled, and mildly dilated._x000D_
6.The colon is gas-filled._x000D_
7.The descending colon contains mainly fluid opaque material._x000D_
8.There is a moderate amount of fluid and gas within the stomach.</t>
  </si>
  <si>
    <t>Six orthogonal radiographs of the abdomen dated 17th June 2024 are available for review. There are no previous radiographs available for comparison. _x000D_
_x000D_
Intra-abdominal findings: There is diffuse loss of serosal detail. The hepatic silhouette is normal. The kidneys are poorly visible. The spleen is normal. The stomach contains a moderate amount of granular food material and has a normal axis. Some bony fragments are present within the gastric lumen. The small intestines are variably mildly distended with gas or fluid/granular soft tissue opaque material. The descending colon contains an increased amount of gas and some formed faeces. The urinary bladder is poorly visible._x000D_
_x000D_
Extra-abdominal findings: The musculoskeletal system is immature consistent with age._x000D_
_x000D_
Included thorax: No significant abnormalities are detected.</t>
  </si>
  <si>
    <t>1. The loss of serosal detail is most likely consistent with the very young age._x000D_
2. The variable distension of the small intestines and gas within the colon is indicative of a diffuse enterocolitis of dietary indiscretion or infectious-inflammatory origin. There is no evidence for segmental obstruction or a radiopaque foreign body.</t>
  </si>
  <si>
    <t xml:space="preserve">
1.The liver and spleen are within normal limits._x000D_
2.No abnormal AI findings reported._x000D_
3.Serosal detail is slightly reduced in the cranial abdomen, but this is a very subtle change._x000D_
4.There is no severe dilation of the stomach or intestine however the gastric rugae are mildly prominent and the small bowel is diffusely gas- and fluid filled. No compelling evidence for obstruction.</t>
  </si>
  <si>
    <t>Study:_x000D_
Abdominal radiography: three images dated June 17, 2024_x000D_
_x000D_
Findings:_x000D_
The stomach contains a small volume of gas. The small intestines are normal in size, course and content. The colon contains a small volume of gas. The liver extends beyond the costal arch with smooth and sharp margins. The spleen is normal in size and margin. The renal silhouettes are normal in size and contour. The urinary bladder is normal in size and opacity. There is no prostatomegaly. On the lateral projection timestamped 11:39, there is impression of a round soft tissue opacity in the sublumbar region ventral to L5 and L6. There is moderate bilateral pleural effusion. The inguinal lymph nodes are enlarged (up to 1.5 cm). No skeletal abnormalities are present.</t>
  </si>
  <si>
    <t>1. Questionable sublumbar mass. Consider reactive or neoplastic sublumbar lymphadenopathy. A superimposition artifact cannot be excluded._x000D_
2. The generalized hepatomegaly is nonspecific. Rule out metabolic/vacuolar hepatopathy, hyperplasia, hepatitis or infiltrative neoplasia. Sonography can be considered for further evaluation._x000D_
3. Moderate bilateral nonspecific pleural effusion. Recommend three view thoracic radiography, thoracocentesis with fluid analysis and CBC/serum chemistry/urinalysis for further evaluation this finding._x000D_
4. The inguinal lymphadenopathy may be reactive or neoplastic. Fine needle aspiration and cytology can be considered for further evaluation.</t>
  </si>
  <si>
    <t>Skull and whole body radiographs (5 images) dated June 17,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normal in size and shape. The stomach contains a small amount of gas and a scant amount of fluid. The small bowel and colon are unremarkable. The kidneys are best visualized on the lateral view with no abnormalities detected. The urinary bladder is moderately distended with fluid opacity. Retroperitoneal and peritoneal detail are normal. No regional lymphadenopathy is evident._x000D_
_x000D_
Soft tissue swelling is present in the ventral mandibular region, and appears primarily left-sided based on the open-mouth rostrocaudal view. No fractures are identified in the mandibles. No abnormalities are detected temporomandibular joints on the images provided. The calvarium is intact and is unremarkable. No abnormalities are detected in the paranasal bones and sinuses. Most of the teeth are missing with exception to the canines and a few mandibular premolars and maxillary molars.</t>
  </si>
  <si>
    <t>1. Soft tissue swelling localized to the left mandibular region likely represents traumatic and infectious cellulitis from the bite wounds._x000D_
2. No evidence of head/cervical fractures or TMJ subluxation based on the images provided._x000D_
3. Unremarkable thorax and abdomen with no evidence of trauma.</t>
  </si>
  <si>
    <t>Wound care and management.</t>
  </si>
  <si>
    <t xml:space="preserve">
1.The stomach is mildly gas and fluid filled with some soft tissue density material. The small bowel is gas and fluid-containing. No obvious obstruction._x000D_
2.The liver is within normal limits._x000D_
3.No abnormal AI findings reported._x000D_
4.No abnormal AI findings reported.</t>
  </si>
  <si>
    <t>The AI result for this case is most compelling for: normal GI tract. The appearance of the stomach is likely related to normal ingesta in the absence of GI symptoms. However, if GI symptoms are present, gastroenteritis secondary to dietary indiscretion or infectious etiology could be considered.</t>
  </si>
  <si>
    <t>Study:_x000D_
_x000D_
_x000D_
Findings:_x000D_
The left occipital junction is normal. The dens is intact and well defined. The atlantoaxial joint space is normal. There is in situ mineralization of the L4-L5 through L7-S1 intervertebral discs. There is no apparent intervertebral disc space or foraminal narrowing. There is no evidence of discospondylitis. The included thorax is normal. There is granular mineral material interspersed in the fecal matter within the colon. The included abdomen is otherwise unremarkable.</t>
  </si>
  <si>
    <t>Multifocal lumbar in situ degenerative disc disease. Normal appearance of the cervical spine does not exclude the possibility of cervical intervertebral disc disease. Neurology consultation and MRI can be considered for further evaluation if the reported neck pain persists in spite of strict activity restriction and pain management.</t>
  </si>
  <si>
    <t>Three radiographs of the abdomen are provided. Images dated June 2, 2020 were reviewed. There is no peritoneal or retroperitoneal effusion. Moderate volume kibble-like soft tissue density filling the stomach. Small bowel are minimally filled. Formed feces fills the colon. Normal-sized liver, spleen, left kidney. The right kidney is obscured. Congenital vertebral malformations in the caudal thoracic spine, with spondylosis deformans as before. There is new development of mineral density overlying the L2-3, L3-4, L4-5 intervertebral foramina. Incidental mineralized intervertebral disc material in situ in the caudal lumbar spine. The coxofemoral joints are congruent.</t>
  </si>
  <si>
    <t>The appearance of L2-3 through L4-5 are all suggestive of intervertebral disc disease. Such a lesion at these or another site is the most likely cause for the clinical signs. The abdomen is normal.</t>
  </si>
  <si>
    <t>With the severity of clinical signs, consultation with a neurologist and advanced spinal imaging such as CT/MRI should be considered.</t>
  </si>
  <si>
    <t>Study:_x000D_
Thoracic/abdominal radiography: three images dated June 17, 2024_x000D_
_x000D_
Findings:_x000D_
There is severe bilateral pleural effusion. There is associated reduced lung volume/atelectasis. No pulmonary nodules or masses are present in the aerated portions of the lung lobes. The severity of the effusion limits evaluation of the cardiac silhouette. There is no overt cardiomegaly. The pulmonary vasculature is normal in size. Pooling of the pleural effusion in the cranial thorax also limits evaluation of the cranial mediastinum=ZZ90= however, there is no apparent cranial mediastinal mass or evident lymphadenopathy. The trachea is normal in diameter. The stomach contains a small volume of gas. The small intestines are gas and fluid-filled and normal in size and course. The colon contains formed fecal material. The liver extends mildly to moderately beyond the costal arch with smooth and sharp margins. On the lateral projections, there is a mild amount of indistinct mineral in the region of the gallbladder. The spleen is normal in size and margin. The renal silhouettes are normal in size and contour. The urinary bladder is not visualized and is likely small/empty. Suture material is present in the mid-ventral abdominal body wall. Mild periarticular bone information is present at the caudodistal aspect the humeral head bilaterally.</t>
  </si>
  <si>
    <t>1. Severe bilateral nonspecific pleural effusion. A cause is not radiographically evident. Recommend thoracocentesis with fluid analysis, echocardiography, CBC, serum chemistry and urinalysis plus/minus computed tomography of the thorax for further evaluation._x000D_
2. The generalized hepatomegaly is nonspecific. Rule out metabolic/vacuolar hepatopathy, hyperplasia, hepatitis or infiltrative neoplasia. Correlate with any liver enzyme abnormalities Sonography can be considered for further evaluation if clinically relevant._x000D_
3. Mineral gallbladder debris versus, less likely, gallbladder wall or hepatic parenchymal mineralization._x000D_
4. Mild bilateral shoulder osteoarthrosis.</t>
  </si>
  <si>
    <t>4 images of the abdomen are provided for review.  Serosal detail is adequate in all quadrants.  The stomach contains a small amount of mottled soft tissue material.  The small intestines are normal in size.  Gas and feces are present in the colon.  The urinary bladder is small.  The remaining abdominal organs are normal.</t>
  </si>
  <si>
    <t xml:space="preserve">
1.No abnormal AI findings reported._x000D_
2.Serosal detail is decreased._x000D_
3.The stomach contains a moderate volume gas and a small amount of fluid._x000D_
4.A few loops of minimally filled small bowel are also present._x000D_
5.There are several loops severely dilated intestines in the mid abdomen._x000D_
6.The colon is minimally filled._x000D_
7.An increase in soft tissue, potentially a soft tissue mass, is identified in the cranial abdomen and may be arising from the liver or spleen.</t>
  </si>
  <si>
    <t>3 lateral views of the thorax are provided for review and compared with the study dated 2/14/2024. The trachea is dorsally deviated, indicating left ventricular enlargement. A bulge is present in the region of the left atrium. The cardiac silhouette is also widened with rounding of the right ventricular margin.  Widening is mildly increased from previous images.  The distal trachea and primary bronchi are narrowed. No pulmonary infiltrates are seen. The pulmonary vasculature is normal in size. The mediastinal and pleural structures are normal. Cranial abdominal detail is adequate. The liver margin is rounded and extends beyond the costal arch, mildly increased from previous images.</t>
  </si>
  <si>
    <t>Persistent tracheobronchial narrowing may indicate collapse and / or compression.  Mildly progressive generalized cardiomegaly without current evidence of cardiogenic pulmonary edema. Echocardiography may be helpful in further evaluation.  Mildly progressive hepatomegaly=ZZ90= this is a nonspecific finding that may be seen with congestion, vacuolar hepatopathy, inflammation, neoplasia, etc. Abdominal ultrasound may be helpful in further evaluation if biochemically indicated.</t>
  </si>
  <si>
    <t>Three radiographs of the thorax/abdomen are provided. The cardiac silhouette and pulmonary vessels are normal size and shape on the lateral views. The heart appears rounder on the VD projection due to thoracic conformation and patient rotation. The lungs are clear. There is no pleural effusion. Normal tracheal diameter. Small volume fluid in the caudal esophagus is transient and incidental. In the abdomen there is no peritoneal or retroperitoneal effusion. Normal-sized liver, spleen, kidneys. There is a small volume of gas in the stomach. The gastric wall appears thickened, likely due to minimal distention. Small bowel are mildly fluid-filled. Moderate volume semi-formed and formed feces in the colon. No radiopaque urolithiasis. Osseous structures are unremarkable.</t>
  </si>
  <si>
    <t>Normal thorax and abdomen. Gastroenteritis is most likely. There is no evidence of an obstructive process.</t>
  </si>
  <si>
    <t>If the patient does not rapidly improve with supportive care, fasting abdominal ultrasound would be recommended.</t>
  </si>
  <si>
    <t xml:space="preserve">
1.The liver and spleen are within normal limits._x000D_
2.Abdominal detail immediately caudal to the stomach is slightly decreased._x000D_
3.The stomach contains gas._x000D_
4.The small intestines are predominantly gas-filled and normal in diameter._x000D_
5.The colon contains gas and some fecal material._x000D_
6.No abnormal AI findings reported.</t>
  </si>
  <si>
    <t>2 lateral views of the entire body are presented for review.  The cardiovascular and pulmonary structures are normal.  The pleural and mediastinal structures are normal.  Abdominal serosal detail is poor, consistent with the nature of the patient.  The stomach contains a moderate amount of gas.  The small intestines are normal in size.  Gas and feces are present in the colon.  The kidneys are normal in size.  The remaining abdominal organs are not fully visualized.  Increased soft tissue is seen in the submandibular region.</t>
  </si>
  <si>
    <t>Radiographically normal thorax and pediatric abdomen on the views provided.  Submandibular soft tissue swelling consistent with the reported suspected salivary mucocele.</t>
  </si>
  <si>
    <t xml:space="preserve">
1.Cranial abdominal detail is mildly decreased. DDx: confluence of soft tissue structures vs. less suspected, regional inflammation._x000D_
2.The stomach contains a small amount of gas and ingesta. The small bowel is diffusely gas- and fluid-filled without segmental small bowel dilation._x000D_
3.The colon is gas filled and a portion of the colon has a rigid appearance._x000D_
4.Liver size is at the upper limits of normal to mildly enlarged but no mass is noted in the region of the liver._x000D_
5.Splenic size is at the upper limits of normal to mildly enlarged but no mass is noted in the region of the spleen.</t>
  </si>
  <si>
    <t xml:space="preserve">Patient Name : Sunshine Stump, Date of study: Jun 17, 2024
3 images are provided for review
There are no previous radiographs for comparison.  The cranial thorax is excluded from the ventrodorsal and left lateral images.
Pulmonary parenchyma: A minimal to mild diffuse bronchial pattern is present.
Pulmonary vasculature: The left caudal lobar pulmonary arteries are subjectively mildly enlarged in the ventrodorsal image.  The right caudal lobar pulmonary artery is suspiciously enlarged and truncated over the right 10th intercostal space in the ventrodorsal image.  The suspected right middle lobar pulmonary arteries are prominent in the mid-zone of the lung in the ventrodorsal image.  
Cardiac silhouette: The cardiac silhouette is slightly rounded and enlarged in the region of the right atrium in the ventrodorsal image.  
Mediastinum: The cranial mediastinum is normal.
Trachea: The trachea is normal.
Esophagus: The esophagus is not well-identified.
Pleural space: Thin pleural fissures that do not widen in the periphery of the lungs are present between the right cranial/middle, right middle/caudal and left cranial/caudal lung lobes in the ventrodorsal image.  
Musculoskeletal: The included musculoskeletal structures are normal.
</t>
  </si>
  <si>
    <t>1.Slight right atrial enlargement versus artifact from technique/patient positioning.
- If present, consider evolving cor pulmonale/pulmonary hypertension secondary to heartworm disease, or unlikely other. 
2. Suspicious for left caudal,  right middle and right caudal lobar pulmonary arterial enlargement.
- If present, this is suspicious for heartworm disease and cor pulmonale/pulmonary hypertension and/or thromboembolic disease.
3. Minimal-mild diffuse bronchial pattern such as from heartworm disease and pneumonitis/thromboembolic disease, infectious/immune-mediated lower airway disease (mycoplasma spp., bordetella spp., parasitism, or unlikely other), or fibrosis from prior disease or age-related changes.
4. Thin pleural fissures due to pleural thickening/folding, evolving pleural fluid, or tangential beam artifact.</t>
  </si>
  <si>
    <t>Consider echocardiography, ECG and blood pressure for further evaluation.  Empirical therapy and supportive care in the interim as needed.  Carefully consider adulticide therapy protocol and possibly consider a DV thoracic radiograph, or computed tomography of the lungs for further evaluation.  Monitoring as directed or sooner if clinical signs acutely change, fail to improve or worsen.</t>
  </si>
  <si>
    <t>Two orthogonal survey radiographs of the thorax and abdomen and 1 pelvic VD and lateral right stifle image dated 17th June 2024 are available for review. There are no previous radiographs available for comparison. The lateral thorax is severely obliqued and incomplete, limiting interpretation._x000D_
_x000D_
Thorax: _x000D_
Airway findings: The cervical and thoracic trachea have a normal size, outline and position. The trachea is dorsally displaced on the lateral image due to obliquity.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Pelvis: The included lumbar vertebral column is normal. The iliosacral joints are symmetric. There is good coverage of the femoral heads by the acetabuli.  No degenerative modelling is noted at the acetabular rim and femoral heads and there is good articular congruency. The patella are in an anatomical position._x000D_
_x000D_
Joints and long bones: There is mild soft tissue attenuation of the right stifle joint space, causing infrapatellar fat pad compression and caudal fascial bulging. There is mild osteophyte formation of the distal patella, and medial and lateral tibial plateau. The included right tarsus is normal._x000D_
_x000D_
Soft tissues: The right caudal thigh musculature is much smaller than left. A spherical soft tissue mass is present at the left caudal thoracic wall.</t>
  </si>
  <si>
    <t>1. These findings are consistent with right stifle joint synovitis/arthritis most likely caused by a cranial cruciate partial rupture.  Other intra-articular soft tissue pathology such as meniscal damage cannot be excluded._x000D_
2. Negative metastasis check. A 3 view thoracic series is required for a diagnostic metastasis check._x000D_
3. Body wall mass: A soft tissue neoplasm is most likely (fibrosarcoma, other)</t>
  </si>
  <si>
    <t>This is to be correlated with manipulation under sedation or anaesthesia. Depending on outcome, a surgical consultation may be considered._x000D_
Careful empirical management, including controlled exercise, non-steroidal anti-inflammatories, or multimodal analgesia, after normal blood work may be considered in the meantime._x000D_
FNA of surgical excision of the thoracic wall mass is advised._x000D_
A 3 view thoracic series may be considered.</t>
  </si>
  <si>
    <t>Three radiographs of the abdomen are provided. The cranial right quadrant has a hazy appearance on the VD projection, otherwise serosal detail is adequate. There is scant gas in the stomach. Small bowel are mildly filled with a mixture of fluid and gas. The cecum is gas-filled. Formed feces in the distal colon. No radiopaque gastrointestinal foreign material is present. The liver, spleen, and kidneys are normal size. Small renal diverticular mineralizations are likely incidental. No radiopaque cystic calculi. At least one of the patellas is likely medially displaced. Normal caudal thorax.</t>
  </si>
  <si>
    <t>Hazy cranial right quadrant suggestive of gastritis/pancreatitis. Otherwise normal abdomen. There is no evidence of an obstructive process.</t>
  </si>
  <si>
    <t>Depending on blood work results and if the patient does not rapidly improve with supportive care, abdominal ultrasound should be considered.</t>
  </si>
  <si>
    <t xml:space="preserve">
1.Liver size, shape and margin are normal._x000D_
2.The small intestine is uniform in diameter containing both fluid and gas. No segmental small bowel dilation is noted._x000D_
3.Splenomegaly is present but a splenic mass is NOT detected._x000D_
4.There is formed fecal material within the colon._x000D_
5.The stomach is minimally distended._x000D_
6.Cranial abdominal detail is mildly decreased.  If this is the only finding, this is more likely due to normal overlying structures or radiographic technique. If this finding is part of a larger group of findings, cranial abdominal inflammation becomes a stronger consideration.</t>
  </si>
  <si>
    <t>3 views of the thorax are presented for review.  The trachea is mildly narrowed at the thoracic inlet.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  The liver margin is rounded and extends beyond the costal arch.  Mineral is present in the right ventral liver in the area of the gallbladder.</t>
  </si>
  <si>
    <t>Mild tracheal narrowing may indicate tracheal collapse.  Fluoroscopy or bronchoscopy could be considered.  Otherwise, radiographically normal thorax for patient of this age.  Cholelithiasis.  Hepatomegaly=ZZ90= this is a nonspecific finding that may be seen with congestion, vacuolar hepatopathy, inflammation, neoplasia, etc.  Abdominal ultrasound may be helpful in further evaluation if biochemically indicated.</t>
  </si>
  <si>
    <t xml:space="preserve">
1.The spleen is within normal limits._x000D_
2.Serosal detail is normal._x000D_
3.The GI tract is within normal limits. Material in the stomach likely represents ingesta. No compelling signs of obstruction._x000D_
4.The liver is mildly to moderately enlarged with smooth margins.</t>
  </si>
  <si>
    <t>Four radiographs of the thorax and abdomen dated June 15, 2024 are provided, followed by additional five views dated June 17, 2024. There is severe narrowed cervical trachea. Equivocal prominence of the left atrium. Cardiac to thoracic ratio is normal on the VD view. Pulmonary vessels are normal size. Mild age-related changes in the lungs. There is no pleural effusion. Narrowed caudal cervical intervertebral disc spaces, of doubtful significance today._x000D_
_x000D_
In the abdomen on June 15, the liver is mildly enlarged with smooth margins. There is gas and small volume fluid in the stomach. Fluid in the pylorus causes the round soft tissue contour in the cranioventral abdomen on the lateral view. Small intestines are diffusely moderately fluid-filled. The colon contains small-volume semi-formed feces. No radiopaque foreign material. Normal-sized spleen. The kidneys are obscured. Incidental congenital T12 malformation. No other osseous abnormalities. On June 17, there is small-volume gas and formed kibble-like soft tissue density in the stomach. Small bowel are mildly filled with fluid and gas, less distended than on the previous study. On the right lateral view there is the appearance of a rectangular faintly mineral opaque 1.4 x 0.6 cm contour overlying the midabdomen, however is most likely artifact on the plate/table.</t>
  </si>
  <si>
    <t>1. Small intestinal functional ileus on the June 15 study. This is a nonspecific finding and is most likely due to gastroenteritis/pancreatitis. There is no evidence of an obstructive process. No gastrointestinal abnormalities on the June 17 study._x000D_
2. Mild hepatomegaly, most likely steroid or other hepatopathy. Acute inflammation or neoplasia are next on the differential list._x000D_
3. Cervical tracheal collapse._x000D_
4. Equivocal prominent left atrium suggestive of chronic degenerative mitral valve disease. This is of doubtful clinical significance. No other thoracic abnormalities.</t>
  </si>
  <si>
    <t>If patient gastrointestinal signs persist, fasted abdominal ultrasound would be recommended.</t>
  </si>
  <si>
    <t xml:space="preserve">
1.The ventral abdominal line is pendulous._x000D_
2.The gastric rugae are prominent or the stomach contains soft tissue opaque material that has the appearance of prominent gastric rugae._x000D_
3.Several bowel loops through the mid-abdomen are distended with gas- and/or fluid. These distended loops also have a rigid appearance._x000D_
4.Hepatomegaly. Differential diagnoses include individual variation of normal, artifact and/or vacuolar hepatopathy (such as from hyperadrenocorticism or diabetes mellitus), nodular hyperplasia, hepatitis/cholangiohepatitis, or evolving neoplasia (metastatic versus primary)._x000D_
5.On the lateral projection, there is increased soft tissue opacity and a mild decrease in abdominal detail in the splenic region.</t>
  </si>
  <si>
    <t>Study:_x000D_
Abdominal radiography: four images dated June 17, 2024_x000D_
_x000D_
Findings:_x000D_
The abdominal serosal detail is normal. The stomach contains a small volume of gas with the pylorus appropriately gas-filled on the left lateral image. The small intestines are normal in size, course and content. The colon contains a small volume of gas with a normal diameter. The liver and spleen are normal in size and margin. The kidneys are normal in size and contour. The urinary bladder is normal in size and opacity. The included thorax is normal. There is mild T 11-T 12 and T 12-T 13 spondylosis deformans. On the VD view, the coxofemoral joints are only partially image=ZZ90= however, there appears to be moderate to severe left hip dysplasia and remodeling/thickening of the femoral head and neck.</t>
  </si>
  <si>
    <t>1. Unremarkable abdomen. A cause of vomiting is not evident. There is no radiographic evidence of gastrointestinal foreign material or small intestinal mechanical obstruction. Abdominal sonography can be considered for further evaluation if clinical signs persist or worsen in spite of medical management._x000D_
2. Moderate to severe left hip dysplasia and coxofemoral osteoarthrosis.</t>
  </si>
  <si>
    <t xml:space="preserve">
1.Abdominal detail is normal._x000D_
2.The hepatic silhouette is normal._x000D_
3.The spleen is normal for size, shape and margin._x000D_
4.There is a moderate amount of fluid and gas within the stomach._x000D_
5.The stomach has a normal axis._x000D_
6.The small intestines are homogenously fluid-filled, and mildly dilated._x000D_
7.The colon is gas-filled._x000D_
8.The descending colon contains mainly fluid opaque material.</t>
  </si>
  <si>
    <t>5 images of the abdomen, thoracolumbar spine, pelvis, and right pelvic limb are presented.  Spine and abdomen are requested for review.  Serosal detail is adequate in all quadrants.  The stomach contains a small amount of gas.  The small intestines are normal in size.  Gas is present in the colon.  The urinary bladder is small.  The remaining abdominal organs are normal.  Spinal alignment is normal with no consistently narrowed intervertebral disc spaces.  The coxofemoral joints are congruent.  No fractures or aggressive osseous lesions are seen</t>
  </si>
  <si>
    <t>Radiographically normal abdomen.  Lack of specific changes does not rule out pancreatitis or gastroenteritis.  Abdominal ultrasound could be considered if clinically indicated.  Radiographically normal XXX spine.  This does not rule out intervertebral disc herniation or other causes of spinal cord compression.  CT or MRI could be considered in further evaluation.</t>
  </si>
  <si>
    <t xml:space="preserve">
1.Semi-formed and formed feces fills the colon._x000D_
2.The liver and spleen are normal size._x000D_
3.No abnormal AI findings reported._x000D_
4.Abdominal detail is adequate._x000D_
5.The stomach contains a small amount of amorphous soft tissue density._x000D_
6.Small intestines are mildly filled._x000D_
7.No severe intestinal distention is present.</t>
  </si>
  <si>
    <t xml:space="preserve">
1.No abnormal AI findings reported._x000D_
2.In the abdomen there is no effusion._x000D_
3.The liver and spleen are normal size with smooth margins._x000D_
4.No gastrointestinal abnormalities are appreciated. No signs of obstruction.</t>
  </si>
  <si>
    <t>3 views of the abdomen are presented for review.  Serosal detail is adequate in all quadrants.  The stomach contains a moderate amount of ingesta.  The small intestines are normal in size.  Gas and feces are present in the colon.  The urinary bladder is small.  The remaining abdominal organs are normal.  There is consistent narrowing of the intervertebral disc space at T12-13.</t>
  </si>
  <si>
    <t>Radiographically normal abdomen.  Narrowed intervertebral disc space suggestive of herniation.</t>
  </si>
  <si>
    <t xml:space="preserve">
Virtual Radiologist Case Difficulty: MODERATE_x000D_
Virtual Radiologist Confidence: MODERATE_x000D_
In a vomiting or anorexic patient, supportive care or therapy for gastroenteritis are recommended.  If the symptoms persist, repeat abdominal radiographs following no food for 12-15 hours, access to water or IV fluid therapy is recommended. If material persists in the stomach, concern for gastric foreign material increases and an abdominal ultrasound, positive contrast gastrogram, or endoscopy could be considered to assess for gastric foreign material.</t>
  </si>
  <si>
    <t>Study:_x000D_
Thoracic radiography: three images dated June 16, 2024_x000D_
_x000D_
Findings:_x000D_
There is moderate to severe left ventricular and left atrial enlargement. The pulmonary vasculature is normal in size. The pulmonary parenchyma is unremarkable. The pleural space is normal. There is no intrathoracic lymphadenopathy. On the left lateral view, the trachea has a mildly undulating course. The tracheal diameter is normal. The caudal lobar bronchi appear narrowed on the left lateral projection in comparison to the right lateral view. The liver extends beyond the costal arch with smooth margins. There multiple indistinct punctate mineral foci in the left kidney. The osseous structures are unremarkable.</t>
  </si>
  <si>
    <t>1. Moderate to severe left-sided cardiomegaly, indicative of mitral valve disease, without evidence of decompensation. Echocardiography should be considered for further evaluation._x000D_
2. Bronchomalacia and dynamic bronchial compression/collapse. The mild tracheal undulation on the left lateral projection can be an indicator of concurrent tracheomalacia. Fluoroscopy can be considered for further evaluation._x000D_
3. The generalized hepatomegaly is nonspecific. Rule out metabolic/vacuolar hepatopathy, hyperplasia, hepatitis or infiltrative neoplasia. Sonography can be considered for further evaluation._x000D_
4. Left nephrolithiasis and/or nephrocalcinosis.</t>
  </si>
  <si>
    <t>Three orthogonal radiographs of the abdomen dated 15th June 2024 are available for review. There are no previous radiographs available for comparison. _x000D_
_x000D_
Intra-abdominal findings: The stomach contains some granular food material. The gastric axis is normal. There is appropriate gas in the pylorus on the left lateral image. The small intestines are variably filled with gas, fluid and soft tissue opaque material. The descending colon contains gas and poorly formed faeces. The hepatic silhouette is slightly small. The spleen is normal in shape, size and position. The kidneys are partially obscured by gastrointestinal contents, but the visible aspect are normal. The urinary bladder is small. There is some prostatic enlargement._x000D_
_x000D_
Extra-abdominal findings: There is multisite intervertebral disc narrowing with ventral spondylosis deformans._x000D_
_x000D_
Included thorax: The caudal vena cava is tapering.</t>
  </si>
  <si>
    <t>1. Relatively unremarkable post-prandial gastrointestinal tract. A mild enteritis due to dietary indiscretion or infectious-inflammatory origin should be considered. There is no evidence for a radiopaque foreign body, or segmental obstruction._x000D_
2. The tapering caudal vena cava is most likely due to dehydration, however tapering due to phase of cardiac contraction may be possible._x000D_
3. The apparent microhepatica may be due to thoracic conformation, however in light of history of seizuring, microvascular dysplasia, cirrhosis needs to be excluded.</t>
  </si>
  <si>
    <t>Supportive management including rehydration, gastroprotectants,  full blood work, faecal analysis if clinically indicated may be considered._x000D_
A complete abdominal ultrasonographic examination is advised, with a view to FNA of abnormal organs, after complete blood work, and a normal coagulation panel.</t>
  </si>
  <si>
    <t xml:space="preserve">
1.The liver and spleen are normal size._x000D_
2.No abnormal AI findings reported._x000D_
3.Moderate volume soft tissue opacity and/or gas fills the stomach._x000D_
4.Small intestines are mildly filled with a mixture of fluid and gas._x000D_
5.No effusion is present._x000D_
6.No segmental small intestinal distention is present.</t>
  </si>
  <si>
    <t>Six survey radiographs of thoracic and lumbar vertebral column dated 15th June 2024 are available for review._x000D_
_x000D_
Vertebral column: The cervical vertebral column is underexposed, however no overt intervertebral disc narrowing or mineralisation of the intervertebral disc spaces is seen. The vertebral and plates are smooth. Within the thoracic vertebral column there are numerous congenital vertebral abnormalities consistent with breed including butterfly vertebrae and wedge vertebrae. The intervertebral disc spaces are irregular but smoothly marginated and not collapsed. The lumbar vertebral column is normal. Both sacroiliac joints are normal. The included aspects of the coxofemoral joints are normal.</t>
  </si>
  <si>
    <t>Multisite thoracic congenital vertebral abnormalities. These are unlikely to be causing the presenting clinical signs. Occult intervertebral disc disease such as intervertebral disk protrusion or other spinal cord pathology including embolic (FCE), high velocity disk, inflammatory or neoplastic disease or degenerative myelopathy is not excluded by a normal appearance.</t>
  </si>
  <si>
    <t>Consider collimated, centred orthogonal cervical vertebral radiographs. Full neurologic examination if not already performed. If no proprioceptive deficits or patients neck pain is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can be considered</t>
  </si>
  <si>
    <t xml:space="preserve">
1.The liver is small for patient size._x000D_
2.Splenic size, shape and margin are normal._x000D_
3.Cranial abdominal serosal detail is decreased._x000D_
4.Rugal folds in the stomach are prominent._x000D_
5.There is mild diffuse gas and fluid dilation of the stomach and small intestine._x000D_
6.The colon is mildly dilated with mostly fluid and a small quantity of gas. The colon has a rigid appearance.</t>
  </si>
  <si>
    <t>The appearance of the GI tract is suggestive of gastroenterocolitis. A component of pancreatitis is an additional consideration given the GI appearance and decrease in cranial abdominal detail. The liver appears small. This can be an incidental finding, but bile acids testing is recommended to rule out significant hepatopathies that could result in small liver such as a portosystemic shunt or cirrhosis.</t>
  </si>
  <si>
    <t xml:space="preserve">
Virtual Radiologist Case Difficulty: MODERATE_x000D_
Virtual Radiologist Confidence: MODERATE_x000D_
Supportive care and symptomatic therapy for gastroenteritis/pancreatitis is recommended._x000D_
Follow up imaging such as a barium upper GI study or ultrasound exam is recommended if clinical signs are not improving with medical management over the next 48 hours._x000D_
For the microhepatia recommendations, see above.</t>
  </si>
  <si>
    <t xml:space="preserve">Patient Name : Rhea Springs, Date of study: Jun 15, 2024
3 images are provided for review
Canine Abdomen (3 Images) - 2 Lateral, 1 Vd
There are no previous radiographs for comparison.
Liver: The liver is small in the right lateral image with cranial displacement of the gastric axis.  The liver is subjectively normal in size in the left lateral image.
Spleen: The spleen is normal in size with smooth margins and homogeneous soft tissue.
Kidneys: The kidneys are normal in size and shape without obvious mineral.
Retroperitoneum: Retroperitoneal detail is adequate.
Urogenital: The urinary bladder is not well-identified, but no obvious enlargement or mineral is present.
Peritoneum: Peritoneal detail is adequate.
Gastrointestinal tract: The stomach contains a mild to moderate volume of gas.  Gastric rugal folds are prominent.  gas is in the pylorus in the left lateral image.  The stomach is normal in size.
The small intestine contains mild gas and fluid or is empty with a subjectively uniform population for size. 
The colon contains mild gas and is normal in size.  
Musculoskeletal: The included musculoskeletal structures are normal.
</t>
  </si>
  <si>
    <t>1. There is no evidence of gastrointestinal mechanical ileus.
2. Prominent gastric rugal folds sucha s from non-specific gastritis or variation of normal.
3. Non-specific small and large intestinal changes such as from enteritis/colitis, or variation of normal/recent bowel movement.
- Enteritis/colitis may be due to dietary indiscretion, toxin ingestion, inflammatory bowel disease, pancreatitis, occult systemic disease, or other.
4. Equivocal microhepatia due to variation of normal or unlikely occult portosystemic shunting vessel or other.</t>
  </si>
  <si>
    <t>Consider routine blood work and fecal analysis/empirical deworming, as well as therapy for non-specific gastroenterocolitis in the interim as needed. Consider abdominal ultrasonography for further evaluation of the gastrointestinal tract, with or without a GI panel. Bile acid testing may be contributory.  Monitor as directed or sooner if clinical signs acutely change, fail to improve or worsen.</t>
  </si>
  <si>
    <t>Study:_x000D_
Thoracic/abdominal radiography: three images dated June 15, 2024_x000D_
_x000D_
Findings:_x000D_
There is moderate left ventricular and left atrial enlargement. The pulmonary vasculature is normal in size. There is a mild perihilar/caudal dorsal unstructured interstitial pulmonary pattern. Multiple thin pleural fissure lines are present on the VD view. There is no intrathoracic lymphadenopathy. The trachea is normal in diameter. The stomach contains a small volume of gas. The small intestines are normal in size, course and content. The colon contains gas and poorly formed fecal material. The liver and spleen are normal in size and margin. The kidneys are normal in size and contour. The region of the urinary bladder and prostate are not included. The T 13 vertebra is transitional with a hypoplastic rib on the left and no appreciable rib on the right. There is narrowing of the L1-L2, L2-L3 and L3-L4 intervertebral disc spaces with mild to moderate spondylosis deformans.</t>
  </si>
  <si>
    <t>1. Moderate left-sided cardiomegaly with likely decompensated congestive heart failure/cardiogenic pulmonary edema. Rule out degenerative valve disease versus cardiomyopathy. Echocardiography is recommended for further evaluation. Diuretic therapy with repeat radiography to monitor for response to treatment should be considered in the interim._x000D_
2. The pleural fissure lines seen on the VD view likely represent trace pleural effusion, possibly secondary to biventricular heart failure. Pleural thickening or incidental tangential visualization cannot be excluded._x000D_
3. Unremarkable abdomen._x000D_
4. L1-L2, L2-L3 and L3-L4 intervertebral disc disease. Neurology consultation and MRI can be considered for further evaluation.</t>
  </si>
  <si>
    <t>3 views of the torso are submitted for review.  The cardiac silhouette is subjectively normal in shape without specific chamber enlargement.  A moderate bronchointerstitial pattern is noted throughout the lung fields.  No pleural effusion is noted.  The trachea is normal in diameter._x000D_
In the abdomen, the liver is mildly prominent with rounded serosal margins.  The spleen is normal in size and shape.  The unobscured margins of the renal silhouettes and urinary bladder are within normal limits.  The stomach contains a mild amount of gas. 1 or 2 thin, wire like metallic opacity structures are noted in the cranial abdomen in the plane of the stomach and liver, best noted on the right lateral view. The small bowel and colon are within normal limits.  Serosal detail is adequate._x000D_
No evidence definitive osseous abnormalities are seen.</t>
  </si>
  <si>
    <t>The appearance of the GI tract is very nonspecific and may be normal or could be consistent with nonspecific gastroenteritis, pancreatitis, or dietary indiscretion. The linear wire like structure is noted in the cranial abdomen is consistent with dietary indiscretion at some point.  However, these are typically noted as incidental findings.  The mild hepatomegaly could be associated with vacuolar change, inflammation, or less likely neoplasia._x000D_
The appearance of the lung fields is most consistent with chronic inflammatory airway disease.  No evidence of congestive heart failure is seen.</t>
  </si>
  <si>
    <t>Correlation with blood work may be helpful.  An abdominal ultrasound could be considered for further evaluation.  Otherwise, symptomatic/supportive medical management may be helpful.</t>
  </si>
  <si>
    <t>Five orthogonal thoracic radiographs dated 14th June 2024 are available for review. There are no previous radiographs available for comparison. _x000D_
_x000D_
Airway findings: A smoothly marginated soft tissue opacity is variably present overlying the dorsal aspect of the trachea at the thoracic inlet. This opacity reduces approximately 90% of the dorsoventral diameter of the trachea. The intrathoracic trachea is normal. There is alveolar opacification of the right cranial lung lobe. Throughout the remainder of the lung parenchyma there is a mild bronchial pattern._x000D_
_x000D_
Cardiovascular findings: The cardiac silhouette is normal in shape, size and margination. The right cranial pulmonary vessels are dilated. The left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No significant abnormalities are detected._x000D_
_x000D_
Included abdomen: No significant abnormalities are detected.</t>
  </si>
  <si>
    <t>1.Right cranial lung lobe alveolar opacification is consistent with aspiration pneumonia, or lobar bronchopneumonia. The prominent local pulmonary vasculature is likely secondary to the vascular resistance, and inflammation._x000D_
2. The dorsal attenuation of the trachea is consistent with tracheomalacia, and/or redundant trachealis membrane. The extent of attenuation would be expected to cause coughing.</t>
  </si>
  <si>
    <t>Empiric management of aspiration ammonia is advised, and repeat radiographs._x000D_
Once corrected, consider evaluation for airway collapse (fluoroscopy vs. right lateral inspiratory and expiratory radiographs vs. CT with virtual bronchoscopy). Alternatively consider medical management. Consider surgical consultation depending on clinical progression.</t>
  </si>
  <si>
    <t>Three radiographs of the abdomen are provided. Peritoneal detail is mildly reduced. The uterus is not visible. The urinary bladder is poorly delineated and appears to be intrapelvic, causing dorsal deviation/compression of the rectum. No radiopaque cystic calculi. Punctate nephroliths are likely incidental. Left renal margins are blunted. The right kidney is obscured. Normal-sized liver and spleen. Moderate volume of amorphous soft tissue in the stomach. Narrowed T12-13, L1-2, L2-3 intervertebral disc spaces, of doubtful significance today.</t>
  </si>
  <si>
    <t>1. The appearance of the pelvic canal is most likely due to intrapelvic urinary bladder. A mass lesion is given lesser consideration. Equivocal scant peritoneal effusion._x000D_
2. The appearance of the left kidney is most likely due to previous infarcts. These are typically incidental.</t>
  </si>
  <si>
    <t>A CBC, urinalysis, and blood chemistry profile are recommended. Digital rectal examination is recommended, if possible. Based on lab work results, further investigation with abdominal ultrasound may be indicated.</t>
  </si>
  <si>
    <t>3 views of the entire body are provided for review.  The trachea is dorsally deviated, indicating left ventricular enlargement.  A bulge is present in the region of the left atrium.  The trachea is persistently narrowed.  No pulmonary infiltrates are seen.  The pulmonary vasculature is normal in size.  The mediastinal and pleural structures are normal.  Abdominal serosal detail is adequate in all quadrants.  The liver margins are rounded and extend beyond the costal arch, causing caudal displacement of the gastric axis.  The stomach contains a small amount of ingesta.  The small intestines are normal in size.  Gas and feces are present in the colon.  The urinary bladder is small.  The remaining abdominal organs are normal.</t>
  </si>
  <si>
    <t>Hepatomegaly=ZZ90= this is a nonspecific finding that may be seen with congestion, vacuolar hepatopathy, inflammation, neoplasia, etc.  Abdominal ultrasound may be helpful in further evaluation if biochemically indicated.  Persistent tracheal narrowing consistent with tracheal collapse.  Left-sided cardiomegaly without current evidence of cardiogenic pulmonary edema.  Echocardiography may be helpful in further evaluation.</t>
  </si>
  <si>
    <t xml:space="preserve">
1.Splenic size, shape and margin are normal._x000D_
2.Abdominal detail is normal._x000D_
3.The liver is moderately enlarged._x000D_
4.The stomach is normal. The small bowel is diffusely gas- and fluid-filled without segmental small bowel dilation.</t>
  </si>
  <si>
    <t>Patient Name : Misty Saucedo, Date of study: Jun 15, 2024
4 images are provided for review
There are no previous radiographs for comparison.
Findings:
The stomach contains some gas and homogeneous soft tissue.  The small intestines are normal and uniform in size and contain predominantly homogeneous soft tissue.  The colon contains gas and unformed feces.
A distinct uterus is not seen.
The liver, spleen, kidneys, and urinary bladder are normal.
The serosal detail is normal.
The musculoskeletal structures are normal.
The caudal thorax is normal.</t>
  </si>
  <si>
    <t>1.  Unremarkable abdomen, no small intestinal obstruction.</t>
  </si>
  <si>
    <t>A severely distended uterus is not seen.  However, a mild-moderately distended uterus may appear radiographically identical to fluid-filled intestinal segments in the caudoventral abdomen.  As a specific structure between the descending colon and urinary bladder is not seen, uteromegaly is not suspected, however, mid-moderate fluid distension of uterine horns cannot be ruled out.  
Abdominal ultrasonography would be useful for further assessment of the reproductive tract, as well as the kidneys, given the reported azotemia.</t>
  </si>
  <si>
    <t xml:space="preserve">
1.Adequate serosal detail is noted in the peritoneal space._x000D_
2.The stomach contains a moderate amount of food-like material and a mild amount of gas._x000D_
3.Several small bowel loops also are mildly gas filled._x000D_
4.No overtly dilated loops of bowel are noted._x000D_
5.The colon appears to contain a small amount of formed stool and a mild but variable amount of gas._x000D_
6.No abnormal AI findings reported._x000D_
7.The spleen and liver appear within normal limits.</t>
  </si>
  <si>
    <t>Two lateral radiographs of the neck/thorax, and two lateral views of the abdomen are provided. Incidental laryngeal mineralization. Mild narrowed caudal cervical trachea. The left atrium is moderately enlarged. Possible enlarged left ventricle. Particularly in this breed, cardiac size assessment is limited in the absence of a VD view, due to breed-related thoracic conformational variations. The mainstem bronchi are dorsally deviated and compressed. No definitive abnormalities in the pulmonary parenchyma._x000D_
_x000D_
In the abdomen the liver is moderately enlarged with smooth margins. Normal-sized kidneys. The spleen is obscured. There is a spiculated mineral opaque 1.2 cm calculus in the urinary bladder. No abnormalities along the plane of the urethra. The gastrointestinal tract is mildly filled. Thin flat 1.0 cm mineral density in the stomach is of doubtful significance. Probable faint renal diverticular mineralization, also likely incidental. On the right lateral view, one of the distal femoral metaphyses appears lucent but may be due to lack of superimposed tissue at this level.</t>
  </si>
  <si>
    <t>1. Mild to moderate left-sided cardiomegaly consistent with acquired mitral valve disease. No definitive evidence of heart failure on this study, however there is mainstem bronchial compression which may be responsible for the cough._x000D_
2. Cervical tracheal collapse, likely contributing to the cough._x000D_
3. Cystic calculus, of a size that is too large to pass the urethra._x000D_
4. Moderate hepatomegaly, a nonspecific finding that may be steroid or other hepatopathy, or neoplasia. This should be correlated with history and blood work._x000D_
5. The appearance of lucent distal femur is most likely due to lack of superimposed tissues. A lytic process is not definitively ruled out.</t>
  </si>
  <si>
    <t>Recommend urinalysis with culture, diet modification in an effort to dissolve the cystic calculus, DV radiograph of the thorax (instead of a VD view), echocardiogram, and potentially additional imaging of the distal femurs.</t>
  </si>
  <si>
    <t xml:space="preserve">
1.The abdomen is pendulous._x000D_
2.The small intestines are normal in size, course and content._x000D_
3.The stomach contains a small volume of gas._x000D_
4.The colon contains partially formed fecal material._x000D_
5.The liver extends moderately beyond the costal arch with a smooth margin._x000D_
6.Resource: https://platform.v2.vetology.net/doc/liver_disease_x000D_
7.The spleen is normal in size and margin._x000D_
8.Abdominal detail is normal.</t>
  </si>
  <si>
    <t>Three radiographs of the thorax, and three views of the abdomen are provided. Images dated 6/4/21 are available for comparison. There is moderate generalized cardiac silhouette enlargement, not present on the previous study. There is subsequent dorsal deviation of the intrathoracic trachea and mainstem bronchi. Cranial pulmonary vessels are normal size. Perihilar vessels are poorly delineated. No pleural effusion. Normal tracheal diameter._x000D_
_x000D_
In the abdomen the liver is mildly enlarged with rounded margins. Normal-sized kidneys and spleen. Small renal diverticular mineralizations, incidental. No radiopaque cystic calculi. The gastrointestinal tract is mildly filled. Round and stippled 1.5 cm mineral density in the cutaneous tissues dorsal to the mid thoracic spine, larger than before. Narrowed T12-13 and L4-5 intervertebral disc spaces, similar to the previous study and of doubtful clinical significance today.</t>
  </si>
  <si>
    <t>1. Moderate generalized cardiomegaly consistent with acquired mitral and tricuspid valve disease. Hazy perihilar region is significantly concerning for pulmonary edema secondary to left-sided heart failure. Increased vagal tone may be responsible for syncopal episodes._x000D_
2. Prominent liver, consider venous congestion primarily. Acute inflammation or steroid hepatopathy are next on the differential list. This should be correlated with history and blood work.</t>
  </si>
  <si>
    <t>Recommend diuretic administration, ECG, and an echocardiogram. Recommend obtaining a dorsoventral projection (instead of VD view) on all future thoracic studies of this patient. This will allow for maximum dorsal lung aeration to help rule in/out pulmonary edema.</t>
  </si>
  <si>
    <t>Abdomen: The liver and spleen are unremarkable. There are no abnormalities involving the gastrointestinal tract or urinary tract. Serosal detail is normal. There is a lucencies/gas within the prepuce. On the visible portion of the thorax there appears to be mild left-sided cardiomegaly without evidence of decompensation.</t>
  </si>
  <si>
    <t>Gas within the prepuce which may be secondary to historically noted wood chip within this region._x000D_
_x000D_
Left-sided cardiomegaly without evidence of decompensation.</t>
  </si>
  <si>
    <t>Study:_x000D_
Abdominal radiography: seven images dated June 14, 2024_x000D_
_x000D_
Findings:_x000D_
The stomach contains a small amount of unstructured heterogeneous soft tissue material presumed to be ingesta. The small intestines are normal in size, course and content. The colon contains formed fecal material. The liver and spleen are normal in size and margin. The kidneys are normal in size and contour. The urinary bladder is normal in size and opacity. No mineral opaque calculi present in the bladder or region the urethra. The included thorax is normal. There is moderate T 13-L1 and L7-S1 spondylosis deformans.</t>
  </si>
  <si>
    <t>Unremarkable abdomen. Test negative for urocystolithiasis. Urinalysis, urine culture and abdominal sonography can be considered for further evaluation of the reported urinary incontinence.</t>
  </si>
  <si>
    <t xml:space="preserve">
1.Abdominal detail is normal._x000D_
2.Liver size, shape and margin are normal._x000D_
3.Splenic size, shape and margin are normal._x000D_
4.The small intestine is rigid and gas filled but of normal, uniform size._x000D_
5.The stomach contains soft tissue material and gas.</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</si>
  <si>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Distinct uterine enlargement is not visible.  The remaining abdominal organs are normal.  There is narrowing of the intervertebral disc space and spondylosis deformans at L2-3.</t>
  </si>
  <si>
    <t>Radiographically normal abdomen.  Abdominal ultrasound or repeat radiographs with a paddle technique could be considered to determine if uterine enlargement is present.  Lumbar changes consistent with chronic intervertebral disc herniation.  Radiographically normal thorax for patient of this age.</t>
  </si>
  <si>
    <t>3 views of the thorax are provided for review.  The trachea is dorsally deviated, indicating left ventricular enlargement.  A bulge is present in the region of the left atrium.  The cardiac silhouette is also widened with rounding of the right ventricular margin.  Interstitial opacity is present in the caudal lung lobes near the hilus.  The mediastinal and pleural structures are normal.  Cranial abdominal detail is adequate.</t>
  </si>
  <si>
    <t>Unchanged generalized cardiomegaly.  Interstitial pulmonary pattern consistent with early cardiogenic pulmonary edema.</t>
  </si>
  <si>
    <t>Consider repeat radiographs following diuretic therapy.  Echocardiography may be helpful in further staging.</t>
  </si>
  <si>
    <t xml:space="preserve">
1.Splenic size, shape and margin are normal._x000D_
2.Abdominal detail is satisfactory_x000D_
3.There is a moderate amount of soft-tissue dense material present in the stomach._x000D_
4.The small intestines are predominantly fluid-filled._x000D_
5.No segmental small bowel dilation is identified._x000D_
6.The liver is mildly enlarged with rounding to the caudoventral liver margin.</t>
  </si>
  <si>
    <t>Differential incudes fat deposition/vacuolar change vs. metabolic hepatopathy vs. hepatitis, or in an older dog, hepatic neoplasia. The AI result for this case is most compelling for: nonspecific, mild hepatomegaly.</t>
  </si>
  <si>
    <t xml:space="preserve">
Virtual Radiologist Case Difficulty: MODERATE_x000D_
Virtual Radiologist Confidence: MODERATE_x000D_
Abdominal ultrasound +/- pre- and post-prandial bile acids, particularly if liver values are elevated._x000D_
Blood work, particularly to assess liver values.</t>
  </si>
  <si>
    <t>6 images of the thorax and abdomen are provided for review.  A lateral view of the cervical region is not requested to be reviewed.  The cardiovascular structures are normal.  There is a moderate bronchial pattern in all lung lobes.  The mediastinal and pleural structures are normal.  Abdominal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small.  The remaining abdominal organs are normal.  There is narrowing of the intervertebral disc spaces and spondylosis deformans at T13-L2.</t>
  </si>
  <si>
    <t>Hepatomegaly=ZZ90= this is a nonspecific finding that may be seen with congestion, vacuolar hepatopathy, inflammation, neoplasia, etc.  Abdominal ultrasound may be helpful in further evaluation if biochemically indicated.  Moderate bronchial pulmonary pattern=ZZ90= consider bronchitis, response to inhaled irritants, response to circulating parasites, eosinophilic bronchopneumopathy.  Airway sampling may be helpful in further evaluation.  Spinal changes consistent with chronic intervertebral disc herniations.  CT or MRI could be considered if clinically indicated.</t>
  </si>
  <si>
    <t xml:space="preserve">
1.No abnormal AI findings reported._x000D_
2.The small intestine is predominantly mildly gas-filled and normal in size. No signs of obstruction._x000D_
3.The stomach contains a moderate volume of heterogeneous soft tissue material mixed with gas_x000D_
4.The liver is mildly enlarged but retains a smooth margin._x000D_
5.The spleen and abdominal detail are normal.</t>
  </si>
  <si>
    <t xml:space="preserve">Patient Name: Norman Kistler, Date of study: Jun 14, 2024
8 images are provided for review. Orthogonal neck radiographs (VD and Lateral), three thoracic radiographs (1 VD and 2 Laterals) and three abdominal radiographs (1 VD and 2 Laterals) are available for interpretation. 
There are no previous radiographs for comparison.
Image evaluation: The thoracic and abdominal lateral radiographs are not labeled for laterality however the gas distribution in the stomach and CVC insertion into the diaphragm will be used to determine laterality. 
Neck: Gas is present in the cervical esophagus. The remainder of the neck is normal. 
Thorax:
Airway/pulmonary parenchyma: A diffuse bronchial pattern with diffuse bronchiectasis affects the entire lung, more severe in the caudodorsal thorax. A thin walled cavitary region overlies the cranial aspect of the heart on the right lateral projection. A focal region of atelectasis overlies the caudal aspect of the heart on the right lateral projection but there is no region of discrete lung consolidation ventrally. 
Cardiovascular: The overall cardiac size is decreased and there is ventral positioning to the carina. Additionally, the pulmonary arteries to the cranial thorax are decreased in size. The corresponding veins are slightly larger. On the right lateral projection, rounding to the right ventricle is present along with subtle loss to the caudal cardiac waist suggestive of minimal left atrial enlargement. On the VD projection, there is questionable enlargement to the left caudal pulmonary artery overlying the heart and multiple end-on vessels are present in the left caudal lung lobe. The CVC is mildly distended. 
Mediastinum: The cranial mediastinum is slightly widened on the VD projection but has a fat opacity on the lateral projection. Fluid is present in the caudal thoracic esophagus. 
Pleural space: No pneumothorax or pleural fluid is noted. 
Abdomen:
Liver: Normal
Spleen: On the right lateral projection, the splenic margin appears mildly irregular. This finding does not persist on the left lateral projection or VD projections but on the VD projection, the spleen extends to the right lateral abdominal wall consistent with splenomegaly. 
Kidneys and urinary bladder: On the VD projection, the kidneys are partially obscured. The right kidney appears slightly rounded and shorter in length while the left kidney has a more normal shape. On the left lateral projection, a mineral opacity overlies the region of the bladder trigone/proximal urethra. This mineral opacity cannot be identified on the other projections. 
GI: The stomach is gas distended and the gastric rugae appear thickened. No gastric foreign body is noted. The descending duodenum is displaced axially but the splenomegaly but no overt duodenal distention is noted. The small bowel is diffusely gas- and fluid filled. On both lateral projections, empty loops of viscus are present in the mid- and caudal abdomen. The max:min small bowel ratio is approximately 1.5. 
Abdominal detail: On the VD projection, several small gas opacities are positioned in the left cranial abdomen, axial to the spleen and the cranial splenic margin appears highlighted. These findings raise concern for free abdominal air. Left cranial abdominal detail is also decreased on the VD projection.
Msk: No abnormalities noted. </t>
  </si>
  <si>
    <t>1) Decreased abdominal detail in the left cranial abdomen on the VD projection along with small gas opacities in this region raise concern for free abdominal air secondary to a perforated viscus or less likely, pneumoretroperitoneum due to recent cystocentesis or laparoscopy/abdominal surgery. Evidence of gastritis. Disparity in small bowel diameter could represent functional ileus secondary to peritonitis vs. partial obstruction.
2) Dehydration or hypovolemia. DDx: secondary to vomiting is most likely given the history. 
3) Chronic bronchitis and bronchiectasis. DDx: allergic vs. bacterial vs. parasitic disease (including heartworm) vs. recurrent microaspiration. No aspiration pneumonia identified on this study. Appearance to the right heart should be reassessed after addressing the abdomen as pulmonary hypertension may be present. 
Other:
4) Mineral opacity overlying the bladder trigone/proximal urethra on the left lateral projection only is concerning for a urolith but this finding cannot be confirmed on other projections and no urinary bladder distention is noted at this time.</t>
  </si>
  <si>
    <t xml:space="preserve">Bloodwork if not already performed to assess for dehydration/hypovolemia as well as renal values prior to fluid therapy if not already performed.
Abdominal ultrasound +/- abdominocentesis may be warranted given concerns of free abdominal air.
After addressing the immediate concern for peritonitis +/- free abdominal air, 
further evaluation of the urinary tract via radiographs +/- ultrasound depending upon findings from bloodwork and urinalysis, and further evaluation of the heart and chronic bronchitis, including ruling out heartworm disease. </t>
  </si>
  <si>
    <t>Orthogonal views of the thorax are provided:_x000D_
_x000D_
Thorax:_x000D_
_x000D_
No signs of tracheal collapse._x000D_
Cardiac silhouette has a normal shape and size._x000D_
Pulmonary vessels are within normal limits of size and shape._x000D_
Pulmonary parenchyma is within normal limits. No evidence of pneumonia nor signs of pulmonary nodules/masses._x000D_
Pleural space, mediastinum, diaphragm and thoracic wall within normal limits._x000D_
_x000D_
Liver extends beyond the costal arch with sharp margins._x000D_
Multifocal signs of chronic IVDD.</t>
  </si>
  <si>
    <t>Consider fluoroscopy (followed by tracheobronchoscopy, BAL and culture/cytology) to rule in/out extrathoracic vs intrathoracic tracheal collapse or bronchial component, evaluating treatment options. Take advantage of the bronchoscopy to further evaluate the larynx given 30% of patients with tracheal collapse display different degrees of laryngeal paralysis. If negative, consider empirical treatment for chronic bronchitis._x000D_
Consider abdominal US to further evaluate the liver.</t>
  </si>
  <si>
    <t>Patient Name: SHADY RAMIREZ, Date of study: Jun 14, 2024
Thorax and abdomen: 7 images are provided for review (thorax 2 lateral, 1 VD and abdomen 2 lateral, 2 VD). 
There are no previous radiographs for comparison.
Findings:
Cardiac silhouette: The cardiac silhouette is normal in size and shape.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descending colon is small in size and corrugated and margination. The small intestines are diffusely within normal limits of diameter and distribution. The stomach is small in size and normal in opacity.
Liver: The liver is normal in size and margination.
Spleen: The spleen is normal in size, position, and margination.
Urinary: The kidneys are normal in size, shape, and margination. The urinary bladder is small in size and normal in opacity.
Peritoneal space: There is adequate serosal detail. There is a thin, short linear metal structure in the right cranial abdomen.
Musculoskeletal: There is moderate osteoarthritis of the elbows.</t>
  </si>
  <si>
    <t>1. Normal thorax. Valvular insufficiency with out cardiac remodeling/enlargement is considered most likely. There is no evidence of heart failure.
2. The corrugation of the colon is suggestive of colitis. There is no evidence of a mechanical small intestinal obstruction or intraluminal foreign body. Concurrent gastroenteritis and pancreatitis are also considered. 
3. The small thin metal opacity in the right cranial abdomen is most consistent with an incidental migrating foreign body such as from an ingested grill brush bristle.</t>
  </si>
  <si>
    <t>An echocardiogram, EKG, and blood pressure are recommended to further evaluate the heart.
Medical management for colitis +/- gastroenteritis/pancreatitis is recommended. CBC, biochemistry, cPL, and gastrointestinal panel could be considered to screen for systemic disease which may be contributing to clinical signs.</t>
  </si>
  <si>
    <t>Three radiographs of the thorax, and three views of the abdomen are provided. The cardiac silhouette and pulmonary vessels are normal size and shape. There are no abnormalities in the pulmonary parenchyma. No pleural effusion or intrathoracic lymphadenomegaly. Normal tracheal diameter. Small volume fluid in the caudal esophagus is transient and incidental._x000D_
_x000D_
In the abdomen there is no peritoneal or retroperitoneal effusion. Normal-sized liver, spleen, kidneys. No evidence of medial iliac lymphadenomegaly. Large volume of formed feces in the colon. The stomach and small bowel are mildly filled. No radiopaque cystic calculi. Normal lumbar spine and coxofemoral joints. There is smoothly marginated broad-based thickening lateral to the left pelvis, measuring at least 14.1 x 4.6 cm. No adjacent osseous lysis or periosteal proliferation.</t>
  </si>
  <si>
    <t>1. Soft tissue mass lateral to the left pelvis, concerning for soft tissue neoplasia. There is no evidence of adjacent osseous involvement._x000D_
2. Normal thorax and abdomen.</t>
  </si>
  <si>
    <t>Cytology/histopathology of the mass would be necessary for a definitive diagnosis. There is no contraindication for general anesthesia based on this study. If further imaging of the mass is desired to determine structures involved and extent of the lesion, cross-sectional imaging such as computed tomography could be considered.</t>
  </si>
  <si>
    <t>5 images of the pelvis and thoracolumbar spine are provided for review.  No fractures, luxations, or aggressive osseous lesions are seen.  Hemivertebrae are present in the thoracic spine.  There is partial sacralization of L7.  Mineral opaque intervertebral discs is seen in situ at T10-L2.  No consistently narrowed intervertebral disc spaces are seen.  The coxofemoral joints are congruent.  The soft tissue structures included are normal.</t>
  </si>
  <si>
    <t>Congenital hemivertebrae.  Multiple sites of intervertebral disc disease without current evidence of herniation.  This does not rule out intervertebral disc herniation or other causes of spinal cord compression.</t>
  </si>
  <si>
    <t>Three radiographs of the abdomen are provided. There is no effusion. Small volume of gas is present in the stomach. Small bowel are minimally filled. There are a few loops of small bowel that are bunched in the caudal abdomen on the lateral views, not seen on the VD projection. Small volume gas and formed feces in the colon. The colon is mildly corrugated, incidental. No radiopaque foreign material. Normal-sized liver, spleen, kidneys. No radiopaque cystic calculi. Degenerative change noted in the visible stifle.</t>
  </si>
  <si>
    <t>Equivocal focal bunched small bowel, concerning for partial obstruction. This may be transient and incidental. Otherwise normal abdomen.</t>
  </si>
  <si>
    <t>Recommend supportive care. Abdominal ultrasound could be considered. If vomiting is persistent or severe, or the patient is painful and markedly depressed, exploratory surgery would be recommended.</t>
  </si>
  <si>
    <t xml:space="preserve">
1.Abdominal detail is normal._x000D_
2.The stomach is mildly gas-filled._x000D_
3.The small bowel is gas- and fluid-filled with normal intestinal diameter._x000D_
4.The gastric wall is prominent but is uniform along the entire margin._x000D_
5.Liver size, shape and margin are normal._x000D_
6.Splenic size, shape and margin are normal.</t>
  </si>
  <si>
    <t>5 images of the abdomen are provided for review.  Serosal detail is adequate in all quadrants.  The stomach contains a moderate amount of mottled soft tissue material with small mineral structures.  The mineral structures persist and gastric soft tissue contents have minimally decreased on images obtained 5 hours later.  The small intestines are normal in size.  Gas and feces are present in the colon.  The urinary bladder is small.  The remaining abdominal organs are normal.</t>
  </si>
  <si>
    <t>Persistent gastric contents concerning for foreign material.</t>
  </si>
  <si>
    <t>Consider repeat radiographs following strict fasting of at least 8 hours to determine if gastric contents persist and rule out delayed gastric emptying of normal contents.</t>
  </si>
  <si>
    <t xml:space="preserve">
1.The stomach has a normal axis._x000D_
2.The small intestines are evenly filled with a mixture of fluid and gas._x000D_
3.The ascending, transverse and descending colon contain a moderate amount of gas, and well formed faeces._x000D_
4.The liver is normal._x000D_
5.The spleen is prominent, with a smooth border._x000D_
6.The peritoneal serosal detail is mildly reduced but this is attributed to underexposure.</t>
  </si>
  <si>
    <t>Orthogonal radiographs of the abdomen are provided. Images dated November 13, 2023 were reviewed for comparison. The liver is mildly enlarged with smooth margins as before. Normal-sized kidneys and spleen. Punctate nephroliths as before, of doubtful significance. There are several small round and ovoid mineral opaque calculi measuring up to 0.4 x 0.2 cm in the urinary bladder. These are slightly larger than before. No abnormalities along the plane of the urethra or in the region of the medial iliac lymph nodes. Small volume gas in the stomach. Normal rugal folds are visible. Small and large bowel are minimally filled.</t>
  </si>
  <si>
    <t>1. Progressive cystic calculi, of a size that should be able to pass the urethra._x000D_
2. Mild hepatomegaly as before, consider steroid or other hepatopathy primarily. An inflammatory process or neoplasia are next on the differential list. This should be correlated with history and blood work._x000D_
3. No gastrointestinal abnormalities. A reason for hyporexia/anorexia is not identified.</t>
  </si>
  <si>
    <t>Current diagnostics are appropriate. If the patient does not improve with supportive care, abdominal ultrasound would be recommended.</t>
  </si>
  <si>
    <t>Patient Name: logan keick, Date of study: Jun 14, 2024
Canine Abdomen (3 Images) - 2 Lateral, 1 Vd
There are no previous radiographs for comparison.
Findings:
Gastrointestinal tract: The stomach is normal in size and contains a small volume of heterogeneous ingesta admixed with gas. The small intestines are diffusely within normal limits of diameter. The colon is nearly empty and contains minimal feces.
Liver: The liver is small in size.
Spleen: There is a mid abdominal mass which appears to be confluent with the spleen on the right lateral view. The mass measures 6.7 cm in diameter.
Urinary: The kidneys are normal in size, shape, and margination. The urinary bladder is normal in size and opacity.
Peritoneal space: There is adequate serosal detail.
Musculoskeletal: There is moderate spondylosis deformans and mild this intervertebral disc space narrowing of L7-S1.
Caudal thorax: The cardiopulmonary structures and the caudal thorax are within normal limits.</t>
  </si>
  <si>
    <t>1. Mid abdominal mass likely arising from the spleen. Differentials include malignant (i.e. hemangiosarcoma) and benign (hematoma) etiologies.
2. The gastrointestinal tract is unremarkable. The small volume of ingesta within the stomach is presumed to be part of the reported bland diet. 
-There is no evidence of a mechanical small intestinal obstruction or mineral/metal opaque foreign material. 
-Gastroenteritis and colitis should be considered in addition to pancreatitis.
3. The liver is small in size. Differentials include a variation of normal and hepatic cirrhosis/fibrosis.</t>
  </si>
  <si>
    <t>An abdominal ultrasound or abdominal CT is recommended to further evaluate the mid abdominal mass and facilitate sampling (aspirate versus biopsy). Continued medical management and supportive care are recommended for the reported diagnosis of pancreatitis given the elevated cPL.</t>
  </si>
  <si>
    <t>3 views of the abdomen are provided for review.  Serosal detail is adequate in all quadrants.  The stomach contains a small amount of gas and the rugal folds are prominent.  On the VD view, a rounded soft tissue structure is seen within the stomach to the left of L1.  The small intestines are normal in size.  Gas and feces are present in the colon.  The urinary bladder is small.  The remaining abdominal organs are normal.</t>
  </si>
  <si>
    <t>Prominent rugal folds suggestive of gastritis.  This does not rule out underlying pancreatitis, dietary indiscretion, etc.  Possible gastric foreign body seen on the VD view.</t>
  </si>
  <si>
    <t>Consider repeat radiographs following fasting and supportive therapy.</t>
  </si>
  <si>
    <t xml:space="preserve">
1.There is mild hepatomegaly with smooth margins._x000D_
2.The spleen is smoothly marginated and within normal limits for size._x000D_
3.No abnormal AI findings reported._x000D_
4.The small bowel contains gas and fluid. No evidence of obstruction._x000D_
5.The stomach contains a small volume of gas.</t>
  </si>
  <si>
    <t>3 views of the entire body are presented for review.  The cardiovascular and pulmonary structures are normal.  No esophageal dilation or foreign material is seen.  The pleural and mediastinal structures are normal.  Abdominal serosal detail is adequate in all quadrants.  The stomach contains a moderate amount of soft tissue material.  The small intestines are normal in size.  Gas and feces are present in the colon.  The urinary bladder is small.  The remaining abdominal organs are normal.</t>
  </si>
  <si>
    <t>Three radiographs of the thorax/abdomen are provided. The cardiac silhouette and pulmonary vessels are normal size and shape. The lungs are clear. There is no pleural effusion. Adequate tracheal diameter. No abnormalities along the plane of the esophagus. In the abdomen there is no peritoneal or retroperitoneal effusion. Small volume gas and equivocal scant amorphous soft tissue density in the stomach. Small intestines are mildly fluid and gas filled. Several loops of small bowel appear thickened, however this must be interpreted with caution, as fluid-gas interface can mimic wall thickening. Small volume gas in the colon. No radiopaque foreign material. Normal-sized liver, spleen, kidneys. No radiopaque cystic calculi. Both patellas are medially displaced.</t>
  </si>
  <si>
    <t>1. No definitive abdominal abnormalities. Equivocal scant amorphous soft tissue density in the stomach may be normal rugal folds and residual ingesta/fluid. Foreign material causing gastritis and pyloric outlet obstruction is not ruled out. There is no evidence of small bowel obstruction. Otherwise normal abdomen._x000D_
2. Normal thorax. No tracheal abnormalities are appreciated on this study. Dynamic collapse remains possible._x000D_
3. Bilateral medial patellar luxation.</t>
  </si>
  <si>
    <t>A CBC, blood chemistry profile, and supportive care are recommended. Positive contrast gastrogram could be considered to rule out gastric foreign material. Strictly fasting abdominal ultrasound is another option, as long as there is minimal gas in the stomach at the time of imaging.</t>
  </si>
  <si>
    <t xml:space="preserve">
1.Splenic size, shape and margin are normal._x000D_
2.Abdominal detail is within normal limits._x000D_
3.The liver is mildly enlarged._x000D_
4.The stomach is mildly gas and fluid filled with some soft tissue density material. The small bowel is gas and fluid-containing. No findings to indicate obstruction.</t>
  </si>
  <si>
    <t>4 images of the abdomen are provided for review and compared with the study dated 6/19/2023.  Serosal detail is adequate in all quadrants.  The stomach contains a small amount of gas and the rugal folds are prominent.  The small intestines are normal in size.  Gas is present in the colon.  The urinary bladder is small.  The remaining abdominal organs are normal.</t>
  </si>
  <si>
    <t xml:space="preserve">
1.The colon is gas filled with a rigid appearance._x000D_
2.The small intestines have a diffuse fragmented gas pattern._x000D_
3.There is a heterogeneous soft tissue opacity associated with the gastric lumen._x000D_
4.Liver size, shape and margin are normal._x000D_
5.Serosal detail is adequate._x000D_
6.Splenic size, shape and margin are normal.</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</si>
  <si>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No signs of sublumbar lymphadenopathy._x000D_
_x000D_
T12-T13 IVDS is narrow with end plate sclerosis._x000D_
Bilateral hip dysplasia with severe periarticular osteophytosis.</t>
  </si>
  <si>
    <t>1) Unremarkable thorax without signs of pulmonary metastases nor signs of thoracic lymphadenopathy._x000D_
2) Unremarkable abdomen._x000D_
3) T12-T13 IVDS consistent with chronic IVDD._x000D_
4) Bilateral hip dysplasia with severe DJD.</t>
  </si>
  <si>
    <t>Consider abdominal US to better evaluate any potential enlargement of the sublumbar lymph nodes not seen on this study._x000D_
Consider full neuro exam with advanced imaging if necessary.</t>
  </si>
  <si>
    <t>4 images of the abdomen are provided for review.  Serosal detail is adequate in all quadrants.  The stomach contains a small amount of gas and the rugal folds are prominent.  The small intestines are normal in size.  Gas is present in the colon.  The urinary bladder is moderately distended.  The remaining abdominal organs are normal.</t>
  </si>
  <si>
    <t>Prominent rugal folds suggestive of gastritis.  This does not rule out underlying pancreatitis, inflammatory bowel disease, etc.</t>
  </si>
  <si>
    <t xml:space="preserve">
1.The stomach is mildly gas and fluid filled with some soft tissue density material. The small bowel is gas and fluid-containing. No obvious obstruction._x000D_
2.The liver is normal in size and margin._x000D_
3.Splenic size, shape and margin are normal._x000D_
4.Abdominal detail is normal.</t>
  </si>
  <si>
    <t>3 images of the abdomen are provided for review.  Serosal detail is adequate in all quadrants.  Linear mineralization is seen in the right liver.  The stomach contains a moderate amount of gas and the rugal folds are prominent.  The small intestines are normal in size.  Gas and feces are present in the colon.  The urinary bladder is small.  The remaining abdominal organs are normal.  There is spondylosis deformans of the thoracolumbar spine, including right lateral spondylosis deformans at L4-5 that is superimposed over the intervertebral foreman on the lateral view.</t>
  </si>
  <si>
    <t>Hepatic mineralization likely represents incidental biliary tree mineral.  Prominent rugal folds suggestive of gastritis.  This does not rule out underlying pancreatitis or infiltrative neoplasia.</t>
  </si>
  <si>
    <t xml:space="preserve">
1.The stomach appears within normal limits. The small bowel contains a mild amount of gas. No obvious signs of obstruction._x000D_
2.Serosal detail is adequate._x000D_
3.The liver is mildly enlarged with normal shape and smooth margins._x000D_
4.No abnormal AI findings reported.</t>
  </si>
  <si>
    <t>Patient name:  Cicada Dickey 
ABDOMEN (2 views; 6 images, [2 Lateral, 4 VD]) 
Images are dated June 14, 2024.
There are no previous radiographs for comparison. 
This study was not prepped for full urinary bladder evaluation. Feces is present in the colon and small bowel overlies the cranial portion of the urinary bladder obscuring portions of the urinary bladder and the entire urethra on the VD projection. A positioning pad overlies the caudal aspect of the pelvis on 2 of the 3 projections.
Urinary bladder calculi evaluation:
Kidneys and urinary bladder: Both kidneys are normal in size and shape with smooth margins. Questionable mineral opacities overlie the left kidney on both projections. Urinary bladder size is normal with a questionable mineral opacity overlying the central portion of the urinary bladder on the lateral projection. This urinary bladder opacity is not identified on the other lateral projection and cannot be visualized on the VD projection. The urethra is obscured on both projections, pelvis on the lateral and colonic contents on the VD. Caudal to the pelvis, no overt urethral calculi are noted.
 Remainder of the abdomen:
Liver: The liver is minimally enlarged extending caudal to the costal arch but the liver retains a normal shape with smooth tapered margins.
Spleen: The spleen is minimally enlarged but retains smooth margins. 
GI: On the lateral projection, an approximate H: 0.74 cm, W:1.0 cm lucent rectangular region surrounded by a soft tissue opacity is noted overlying the dorsal aspect of the stomach. This structure may have an associated stem of approximately 2.6 cm in length extending ventrally. This lucent structure is not visible on the VD projection however the gastric rugae on the VD projection are prominent. The descending duodenum is diffusely fluid filled. The remainder of the small bowel is normal. Gas and formed feces are noted in the colon. The transverse colon is positioned slightly caudal to the normal location with a mild decrease in detail between the stomach and transverse colon on the lateral projection. 
Abdominal detail: Abdominal detail immediately caudal to the stomach and overlying, or within, the retroperitoneal space is decreased on the lateral projection.  
MSK:  The coxofemoral joints are bilaterally incongruent. Both acetabula are shallow with decreased coverage of the femoral heads (&lt;55% on the right and &lt;50% on the left).  The femoral heads are angular and femoral necks are mildly thick.  Mild osteophytosis is observed along the acetabular rims and femoral necks bilaterally.  Mild smooth new bone formation is detected along the ventral aspect of vertebral bodies L7-S1, bridging the intervertebral disc space. No end-plate or vertebral lysis is noted. Bilateral thigh muscle atrophy is present. 
Caudal thorax: No abnormalities are detected in the visible cardiopulmonary structures of the thorax.</t>
  </si>
  <si>
    <t xml:space="preserve">1) Left nephrolithiasis suspected. Inconclusive study for radiopaque cystoliths. Non-diagnostic study for urethral calculi through the pelvic canal.
2) Cranial abdominal appearance concerning for inflammation, duodenitis and potential gastric foreign body. Pyloroduodenal ulceration is an additional consideration if the dog is currently receiving NSAID therapy. 
3) Prominent spleen.  May be normal breed variation versus congestion secondary to sedation versus other non-specific causes (lymphoid hyperplasia, infection/inflammation, (less likely) neoplasia).   
4) Bilateral hip dysplasia with arthritis. Lumbosacral spondylosis deformans. Bilateral thigh muscle atrophy likely secondary to both. </t>
  </si>
  <si>
    <t xml:space="preserve">Owner to bring Cicada back to VICSD for repeat urinary bladder and urethral evaluation with an empty colon. Other diagnostic options include an ultrasound evaluation of the urinary bladder vs. positive contrast cystourethrogram vs. abdominal CT. Urine cultures and sensitivity if not already performed. Empirical treatment for urinary tract infection can also be pursued.
Question owners about NSAID therapy, anorexia and/or melena. Further evaluation of the cranial abdomen for pain and/or evidence of inflammation with abdominal ultrasound to assess for pyloroduodenal ulceration and/or cranial abdominal inflammation if clinically and/or biochemically warranted. </t>
  </si>
  <si>
    <t xml:space="preserve">
1.There is a mild increase in soft tissue opacity in the splenic region suggestive of splenomegaly. Caudal extension of a liver lobe into the region of the spleen is a lesser consideration. No soft tissue mass is noted in the splenic region._x000D_
2.See Spleen Finding_x000D_
3.Abdominal detail is normal._x000D_
4.The stomach is normal._x000D_
5.The small bowel is diffusely gas- and fluid-filled but without segmental bowel dilation.</t>
  </si>
  <si>
    <t>3 views of the abdomen are provided for review.  Serosal detail is adequate in all quadrants.  The stomach contains a moderate amount of ingesta.  The small intestines are normal in size and mildly displaced towards midline.  Gas and feces are present in the colon.  The urinary bladder is small. A tubular soft tissue structure is seen between the colon and urinary bladder within the caudal abdomen.  The remaining abdominal organs are normal. The mammae are prominent.</t>
  </si>
  <si>
    <t>Enlarged uterus. Consider pyometra, mucometra, hydrometra, early pregnancy, pseudopregnancy.</t>
  </si>
  <si>
    <t xml:space="preserve">
1.Mild hepatomegaly._x000D_
2.Abdominal detail is normal to slightly reduced._x000D_
3.The stomach contains ingesta and the small bowel is mildly gas- and fluid-filled._x000D_
4.Splenic size is at the upper limits of normal to mildly enlarged. The splenic margin is smooth and no mass is identified in the region of the spleen.</t>
  </si>
  <si>
    <t>WHOLE-BODY (6 total radiographs for review). No previous for comparison._x000D_
_x000D_
- Peritoneal serosal detail is normal._x000D_
- The stomach contains moderate gas and mild gas-stippled soft-tissue opaque material._x000D_
- The small intestine contains mild gas and fluid and a few segments have an appearance of mildly thickened walls._x000D_
- The colon contains gas and formed fecal material._x000D_
- The liver, spleen, kidneys and urinary bladder are normal._x000D_
- The intrathoracic structures are normal._x000D_
- Right rib of T13 is aplastic.</t>
  </si>
  <si>
    <t>1. The appearance of the small intestine and stomach can be compatible with a non-specific functional ileus (e.g. gastroenteritis) and there is no evidence of small intestinal foreign material or mechanical obstruction. If clinically indicated, consider abdominal ultrasound for further assessment._x000D_
_x000D_
2. Normal thorax._x000D_
_x000D_
3. Transitional thoracolumbar vertebral segment.</t>
  </si>
  <si>
    <t>Patient name: Copper Balliet 
THORAX (3 views, 3 images; [2 lateral, 1 VD]) and ABDOMEN (3 views; 3 images, [2 Lateral, 1 VD]) 
Images are dated June 14, 2024.
There are no previous radiographs for comparison. 
THORAX:
Airway/Pulmonary: The lungs are adequately inflated.  Pulmonary parenchymal opacity is diffusely normal.  No distinct soft tissue pulmonary nodules are detected.  Tracheal and mainstem bronchial diameter is normal. 
Cardiovascular: The cardiac silhouette is normal in size and shape.  Pulmonary vessels are normal in width. 
Mediastinum: No lymph node enlargement is detected.  The caudal vena cava is normal in height.  
Pleural space: Thin pleural fissure lines are detected but no pleural effusion is seen. 
ABDOMEN: 
Liver: The liver is normal in size and shape with smooth tapered margins.
Spleen: The spleen is normal in size and shape with smooth margins. 
Kidneys and urinary bladder: Both kidneys are normal in size and shape with smooth margins. The urinary bladder is moderately fluid distended. No radiopaque urinary calculi are detected. 
Reproductive:  The prostate is mild to moderately enlarged.  No mineralization detected.  An intra-abdominal testicle is not identified.     
GI: The stomach contains a moderate volume of gas without enlargement. Variably the small intestines are empty or contain scant gas while maintaining normal diameter and distribution. No distinct radiopaque gastrointestinal foreign material is detected. The cecum is gas filled.  Gas and formed feces are noted in the colon. 
Abdominal detail: Serosal detail is adequate. 
MSK: The dorsal spinous process of C2 adequately overlaps the dorsal arch of C1 and the dens has normal size.  No overt cervical intervertebral disc space narrowing is identified, complete evaluation is limited due to obliquity.  Included thoracolumbar intervertebral disc spaces are normal in width with smooth end plates.</t>
  </si>
  <si>
    <t>1) Mild to moderate prostatomegaly.  Differentials include benign prostate hyperplasia, prostatitis, or paraprostatic cysts.  Prostatic neoplasia not suspected.  Otherwise unremarkable abdomen.    
2) Cervical pain could be due to intervertebral disc disease. No aggressive osseous lesions or overt abnormalities are identified.  Musculotendinous injury is also possible.  
3) Normal geriatric thorax.</t>
  </si>
  <si>
    <t>Abdominal ultrasound for further evaluation of urogenital structures and cause of lethargy/hyporexia.  _x000D_
_x000D_
Careful orthopedic/neurological exam for evaluation of neck pain.  Consider Neurological consult if persistent.</t>
  </si>
  <si>
    <t xml:space="preserve">
1.No abnormal AI findings reported._x000D_
2.Abdominal detail is adequate._x000D_
3.The liver and spleen are normal size and shape._x000D_
4.The stomach and small bowel are minimally filled. No evidence of obstruction.</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</si>
  <si>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prominent.  The small intestines are normal in size.  Gas and feces are present in the colon.  The urinary bladder is small.  The remaining abdominal organs are normal.  There is spondylosis deformans of the thoracolumbar spine.</t>
  </si>
  <si>
    <t xml:space="preserve">
1.No gastrointestinal abnormalities are appreciated. No signs of obstruction._x000D_
2.The liver and spleen are normal size with smooth margins._x000D_
3.No abnormal AI findings reported._x000D_
4.In the abdomen there is no effusion.</t>
  </si>
  <si>
    <t>A ventral dorsal and right lateral radiograph of the thorax, and three views of the abdomen are provided. The cardiac silhouette and pulmonary vessels are normal size and shape. There is soft tissue opacity with lobar sign in the right middle lung lobe. No other pulmonary parenchymal abnormalities. No pleural effusion. Several incidental pulmonary osteomas. Normal tracheal diameter. No esophageal dilation._x000D_
_x000D_
In the abdomen there is no effusion or organomegaly. The stomach and small bowel are minimally filled. There is gas in the cecum and proximal colon. Formed feces in the distal colon. No radiopaque urolithiasis. Spondylosis deformans throughout the lumbar spine. Both patellas are medially displaced.</t>
  </si>
  <si>
    <t>1. Alveolar pattern in the right middle lung most consistent with aspiration pneumonia._x000D_
2. Normal abdomen. Lumbar spinal changes suggestive of intervertebral disc disease. This could be contributing to discomfort._x000D_
3. Bilateral medial patellar luxation.</t>
  </si>
  <si>
    <t>Recommend antibiotics and repeat thoracic radiographs (VD and both lateral views) upon completion to ensure resolution of pneumonia.</t>
  </si>
  <si>
    <t xml:space="preserve">
1.The stomach is empty, and has a normal axis._x000D_
2.The small intestines are distributed evenly and are within normal limits for shape, size and contents._x000D_
3.The ascending, transverse and descending colon have a normal position and gas and some poorly formed faeces._x000D_
4.The hepatic silhouette is mildly enlarged, with smooth borders._x000D_
5.The visible spleen is within normal limits._x000D_
6.Mid abdominal detail is mildly decreased.</t>
  </si>
  <si>
    <t>6 images of the spine are provided for review.  No fractures, luxations, or aggressive osseous lesions are seen.  The coxofemoral joints are congruent.  No mineralized intervertebral discs or consistently narrowed intervertebral disc spaces are seen.  Is present in the remainder particular bilaterally.  The soft tissue structures included are normal.</t>
  </si>
  <si>
    <t>Chronic renal changes.  Radiographically normal spine.  This does not rule out intervertebral disc herniation or other causes of spinal cord compression.</t>
  </si>
  <si>
    <t>Four radiographs of the thorax/abdomen are provided. There is severe narrowed cervical trachea on both of the left lateral views. Thoracic tracheal diameter is adequate. Incidental laryngeal mineralization. The cardiac silhouette and pulmonary vessels are normal size and shape. There are no abnormalities in the pulmonary parenchyma. No pleural effusion. In the abdomen the liver is mildly enlarged with smooth margins. Normal sized spleen and kidneys. Formed feces fills the distal colon. There is gas in the proximal colon and cecum. The stomach and small bowel are minimally filled. No radiopaque cystic calculi. Osseous structures are unremarkable.</t>
  </si>
  <si>
    <t>1. Dynamic cervical tracheal collapse, the most likely cause for coughing. Inhaled irritant/allergens could be contributing. There is no evidence of pneumonia or cardiovascular disease. The thorax is otherwise normal._x000D_
2. Mild hepatomegaly, a nonspecific finding that may be steroid or other hepatopathy, acute inflammation, or least likely neoplasia. This should be correlated with history and blood work. Otherwise normal abdomen.</t>
  </si>
  <si>
    <t xml:space="preserve">
1.The liver is mildly enlarged._x000D_
2.Serosal detail is within normal limits._x000D_
3.Serosal detail is normal._x000D_
4.The stomach is mildly gas and fluid filled with some soft tissue density materal. The small bowel is gas and fluid-containing. No obvious obstruction._x000D_
5.No abnormal AI findings reported.</t>
  </si>
  <si>
    <t>6 images of the entire body and pelvic limbs are provided for review and compared with images dated 3/4/2024.  The trachea is dorsally deviated, indicating left ventricular enlargement.  A bulge is present in the region of the left atrium, larger than previous images.  No pulmonary infiltrates are seen.  The pulmonary vasculature is normal in size.  The mediastinal and pleural structures are normal.  Abdominal serosal detail is adequate in all quadrants.  The stomach contains a moderate amount of gas.  The small intestines are normal in size.  Gas and feces are present in the colon.  The urinary bladder is small.  The kidneys are small with mineral in the pelves.  The remaining abdominal organs are normal.  There is narrowing of the intervertebral disc space and spondylosis deformans at L3-4, similar to previous images.  The coxofemoral joints are congruent.  No fractures or aggressive lesions are seen.  The joint surfaces are smooth and regular.  No distinct stifle effusion is seen, although evaluation is limited due to obliquity on the lateral views.</t>
  </si>
  <si>
    <t>Left-sided cardiomegaly without current evidence of cardiogenic pulmonary edema.  Echocardiography may be helpful in further evaluation.  Chronic renal changes.  Lumbar changes consistent with chronic intervertebral disc herniation.  This does not rule out intervertebral disc herniation at another site or other causes of spinal cord compression.  CT or MRI could be considered..</t>
  </si>
  <si>
    <t xml:space="preserve">
1.The liver is mildly enlarged but retains a smooth margin._x000D_
2.Splenic size, shape and margin are normal._x000D_
3.Mid-abdominal detail is mildly decreased on the lateral projection._x000D_
4.The abdomen is mildly pendulous._x000D_
5.The stomach contains a mild quantity of soft tissue opaque material and gas._x000D_
6.The small bowel is diffusely gas- and fluid filled however no segmental small bowel dilation is noted.</t>
  </si>
  <si>
    <t>Mild hepatomegaly. No hepatic mass noted. DDx: fat deposition vs. hepatitis vs. hepatic venous congestion. Metabolic hepatopathy or infiltrative neoplasia are considered less likely. Decreased mid-abdominal detail. DDx: secondary to confluence of soft tissues due to the hepatomegaly vs. small volume abdominal fluid. Diffusely fluid filled small bowel. This could be normal for a post-prandial patient however if GI signs are present, enteritis is the primary consideration. No evidence of a small intestinal obstruction. Pendulous abdomen.</t>
  </si>
  <si>
    <t xml:space="preserve">
Virtual Radiologist Case Difficulty: MODERATE_x000D_
Virtual Radiologist Confidence: MODERATE_x000D_
Based on clinical signs and blood work, further evaluation of the liver and/or GI tract via abdominal ultrasound and/or IM consultation may be warranted._x000D_
If this Vetology AI report is inconsistent with the clinical picture or your radiographic assessment, please contact Vetology at (888) 416-2124. Provide one of the Vetology Angels with the case ID and the issue.</t>
  </si>
  <si>
    <t>Patient name: Ginger Cortez _x000D_
Study date: June 14, 2024_x000D_
Pelvic limb radiography: bilateral stifle and VD pelvis _x000D_
Lateral images of the thorax and abdomen are included in the study but were not evaluated.  _x000D_
There are no previous radiographs available for comparison. _x000D_
_x000D_
Spine: Included intervertebral disc spaces are normal and uniform with smooth vertebral body end plates._x000D_
_x000D_
Pelvis:  The coxofemoral joints are bilaterally congruent. Both acetabula are smooth with adequate coverage of the femoral heads. Minimal osteophytes are noted along the acetabular rims.  No pelvic fractures are noted.  The sacroiliac joints are within normal limits_x000D_
_x000D_
Stifles: Mild to moderate stifle effusion is detected bilaterally but more severe on the right. The patellae are correctly positioned in their respective trochlear grooves.  Mild osteophytosis is seen in the right stifle along the proximal trochlear ridge, patellar apex and base, medial and lateral femoral epicondyles, lateral tibial condyle, cranial tibial plateau, and fabellae.  Minimal osteophytosis is observed in the left stifle at the lateral tibial condyle, cranial tibial plateau, and fabellae.  There is no tibial displacement with respect to the distal femurs. _x000D_
_x000D_
Long bones: No fractures or lytic lesions are observed.  _x000D_
_x000D_
Soft tissues:  Pelvic limb musculature appears adequate and symmetrical.  No abnormalities are detected with the visible abdominal organs.</t>
  </si>
  <si>
    <t>Findings are most consistent with bilateral stifle ligamentous injury (e.g. cranial cruciate rupture, meniscal tear) with secondary minimal to mild chronic degenerative joint disease, both more severe on the right. No radiographic evidence of an aggressive bone lesion is present.</t>
  </si>
  <si>
    <t>Consider orthopedist consultation and empirical therapy/supportive care in the interim as needed. Surgical intervention to the right stifle may be indicated depending results.</t>
  </si>
  <si>
    <t>WHOLE-BODY (6 total radiographs for review)._x000D_
_x000D_
- Peritoneal serosal detail is mildly reduced in the caudal abdomen._x000D_
- The stomach is distended with gas and contains a few small mineral foci._x000D_
- Multiple small intestinal segments are mildly to moderately distended with gas and fluid. In the right caudoventral abdomen there is heterogeneous mineral opaque material most likely occupying a small intestinal loop. The regional loops are moderately distended._x000D_
- The colon contains gas, soft-tissue/fluid and mild formed fecal material._x000D_
- The liver, spleen, kidneys and urinary bladder are normal._x000D_
- The cardiac silhouette and pulmonary vasculature are normal._x000D_
- Mild unstructured interstitial pattern in the left cranial lung lobe._x000D_
- The trachea, esophagus and remainder of the mediastinum is/are normal._x000D_
- The pleural space and remaining intrathoracic structures are normal._x000D_
- No musculoskeletal abnormalities are noted.</t>
  </si>
  <si>
    <t>1. Probable small intestinal foreign material with mechanical obstruction. The abnormal segment is in the right caudoventral abdomen. There appears to be regional peritonitis/steatitis. If readily available, abdominal ultrasonography might be of utility to confirm the radiographic suspicion. If not available, exploratory laparotomy can be considered at this time._x000D_
_x000D_
2. Mild left cranial lung lobe atelectasis.</t>
  </si>
  <si>
    <t>Three radiographs of the abdomen, and a lateral view of the neck/thorax are provided. Serosal detail is adequate. There is a moderate amount of gas and small volume of food in the stomach. Small intestines are diffusely minimally. The cecum is gas dilated. Gas and semi-formed feces in the distal colon. No radiopaque foreign material. Normal-sized spleen, left kidney, liver. The right kidney is obscured. The urinary bladder is minimally filled. Normal coxofemoral joints._x000D_
_x000D_
In the thorax cardiovascular structures are normal size. The lungs are clear. There is no pleural effusion. Normal tracheal diameter and position. No esophageal dilation.</t>
  </si>
  <si>
    <t>Normal thorax and abdomen. Small radiolucent gastric foreign material causing gastritis and pyloric outflow obstruction is suspected. Gastritis is given lesser consideration. There is no evidence of small bowel obstruction.</t>
  </si>
  <si>
    <t>If vomiting is severe/persistent, gastroscopy would be recommended. Otherwise, consider a positive contrast gastrogram to confirm/rule out gastric foreign material.</t>
  </si>
  <si>
    <t xml:space="preserve">
1.Serosal detail is adequate._x000D_
2.The stomach is mildly gas and fluid filled with some soft tissue density material. The small bowel is gas and fluid-containing. No obvious obstruction._x000D_
3.The liver and spleen are within normal limits._x000D_
4.No abnormal AI findings reported.</t>
  </si>
  <si>
    <t>5 images of the thorax, abdomen, and skull are presented for review.  The cardiovascular and pulmonary structures are normal.  No esophageal dilation or foreign material is seen.  The pleural and mediastinal structures are normal.  Abdominal serosal detail is adequate in all quadrants.  The stomach contains a small amount of gas and the rugal folds are prominent.  The small intestines are normal in size.  Gas and feces with mineral debris are present in the colon.  The urinary bladder is small.  The remaining abdominal organs are normal.  The laryngeal and pharyngeal structures are normal.  There are no overt skull abnormalities are seen.</t>
  </si>
  <si>
    <t>Radiographically normal thorax and skull.  Colonic mineral foreign material without current evidence of obstruction.  Prominent rugal fold suggestive of gastritis.  This does not rule out underlying pancreatitis, dietary indiscretion, etc.</t>
  </si>
  <si>
    <t>6 images of the thorax and abdomen are presented for review.  The cardiovascular and pulmonary structures are normal.  The pleural and mediastinal structures are normal.  Abdominal serosal detail is adequate in all quadrants.  The stomach contains a small amount of gas and the rugal folds are prominent.  The small intestines are normal in size.  Gas and feces are present in the colon.  The urinary bladder is small.  The remaining abdominal organs are normal.</t>
  </si>
  <si>
    <t>Radiographically normal thorax.  Prominent rugal fold suggestive of gastritis.  This does not rule out underlying pancreatitis, dietary indiscretion, etc.</t>
  </si>
  <si>
    <t>Abdominal ultrasound could be considered if clinical signs persist with supportive therapy.</t>
  </si>
  <si>
    <t>3 views of the thorax are provided for review.  The trachea is dorsally deviated, indicating left ventricular enlargement.  A bulge is present in the region of the left atrium.  Interstitial to alveolar opacity is present in the left caudal lung lobe.  The mediastinal and pleural structures are normal.  Cranial abdominal detail is adequate.  The liver margins are rounded and extend beyond the costal arch.  A mass is present near the tail of the spleen.</t>
  </si>
  <si>
    <t>Left-sided cardiomegaly.  Interstitial to alveolar pulmonary pattern consistent with cardiogenic pulmonary edema.  Consider repeat radiographs following diuretic therapy.  Echocardiography may be helpful in further evaluation.  Splenic mass=ZZ90= consider neoplasia or hematoma.  Hepatomegaly=ZZ90= this is a nonspecific finding that may be seen with congestion, vacuolar hepatopathy, inflammation, neoplasia, etc.  Abdominal ultrasound may be helpful in further evaluation.</t>
  </si>
  <si>
    <t xml:space="preserve">Patient Name : EPONE Klein, Date of study: Jun 14, 2024
3 images are provided for review
Canine Thorax (3 Images) - 2 Lateral, 1 Vd
There are no previous radiographs for comparison.
Pulmonary parenchyma: A minimal to mild diffuse bronchial pattern is present.  A minimal to mild interstitial pattern is present over the caudal lungs in the lateral images.  This is not well-identified in the ventrodorsal images.  
Pulmonary vasculature: The pulmonary vasculature is subjectively normal in size and tapers in the periphery of the lungs.
Cardiac silhouette: The cardiac silhouette is has a mildly flattened caudodorsal margin in the lateral images. Mild rounded increased soft tissue is suspected in the region of the left atrium in the ventrodorsal image.  
Mediastinum: The cranial mediastinum is normal on limited evaluation.  
Trachea: A soft tissue band superimposes over the dorsal aspect of the cervical tracheal segment.
Esophagus: The esophagus contains mild fluid or is empty in the caudal thorax.  
Pleural space: thin pleural fissure lines that do not widen in the periphery of the thorax are present between the right cranial/middle and right middle/caudal lung lobes in the ventrodorsal image.  
Musculoskeletal: T12-13 spondylosis deformans is present.  The remaining included musculoskeletal structures are normal.
</t>
  </si>
  <si>
    <t xml:space="preserve"> 1. Mild left atrial enlargement suchy as from myxomatous mitral valvular disease versus other.
2. Minimal-mild diffuse interstitial pattern, more severe in the caudal lungs.
- This may be due to pulmonary edema (cardiogenic versus non-cardiogenic) and/or artifact from phase of the cardiopulmonary cycle, or unlikely other.
3. Minimal-mild diffuse bronchial pulmonary pattern due to infectious/immune-mediated lower airway disease, fibrosis from prior disease/age-related changes, or unlikely other.
4. Tangential beam artifact or pleural thickening/folding, or unlikely scant pleural fluid.
5. Dorsal redundant tracheal membrane versus superimposed normal structures with/without underlying dynamic airway disease.
6.T12-13 spondylosis deformans.</t>
  </si>
  <si>
    <t xml:space="preserve">Given reported murmur and possible syncopal event, consider echocardiography, ECG and blood pressure as well as Holter-monitoring.  Diuretic therapy and oxygen therapy with repeat thoracic radiographs to monitor for resolution of the pulmonary pattern, especially if signs such as dyspnea manifest in the interim.  If cardiac disease is ruled out, consider MRI and neurologist consultation for further evaluation.  Empirical therapy and supportive care in the interim as needed.  </t>
  </si>
  <si>
    <t>3 views of the entire body are presented for review.  The cardiovascular and pulmonary structures are normal.  The pleural and mediastinal structures are normal.  Abdominal serosal detail is adequate in all quadrants.  The liver and spleen are mildly enlarged and rounded.  The stomach contains a moderate amount of ingesta.  The small intestines are normal in size.  Gas and feces are present in the colon.  The urinary bladder is small.  The remaining abdominal organs are normal.  Hemivertebrae are present in the thoracic and sacrocaudal spine.</t>
  </si>
  <si>
    <t>Radiographically normal thorax.  Congenital hemivertebrae.  Mild hepatomegaly and splenomegaly.  Given the history provided, lymphoma is a concern.  Inflammatory change could also be considered.</t>
  </si>
  <si>
    <t xml:space="preserve">
1.The caudal ventral liver margin is rounded._x000D_
2.The liver is mildly to moderately enlarged._x000D_
3.No abnormal AI findings reported._x000D_
4.There is ill defined increased opacity in the region of the body of the pancreas, although this might be an artifact caused by superimposition of right-sided liver enlargement._x000D_
5.The spleen is normal for size and shape._x000D_
6.No small bowel obstruction is identified.</t>
  </si>
  <si>
    <t>Two views of the abdomen are provided for review.  Serosal detail is adequate in all quadrants.  The stomach contains a small amount of amorphous soft tissue material.  The small intestines are normal in size.  Gas and feces are present in the colon.  The urinary bladder is small.  The remaining abdominal organs are normal.</t>
  </si>
  <si>
    <t>Material within the stomach may represent residual ingesta or foreign material.  As the patient was reportedly not fed this morning, foreign material is likely.</t>
  </si>
  <si>
    <t>Consider repeat radiographs following supportive therapy and continued fasting versus endoscopy/abdominal exploratory.</t>
  </si>
  <si>
    <t>Patient Name : Daisy Cogdell, Date of study: Jun 14, 2024
6 images are provided for review
There are no previous radiographs for comparison.
Findings:
Thorax:
The cardiovascular structures are normal.
The lungs are normal.
The pleural space is normal.
Abdomen:
A ~12 mm diameter tubular soft tissue structure superimposed with the dorsal aspect of the urinary bladder is suspected to represent the uterus.
The liver is enlarged and has rounded margins.
The urinary bladder is moderately distended.
The kidneys are normal.
The stomach contains gas.  The small intestines are normal and uniform in size and contain gas and homogeneous soft tissue.  The colon contains gas and feces.
The serosal detail is normal.
Musculoskeletal/other:
The mammary soft tissues are moderate-severely enlarged.
There are mild degenerative changes to the elbow joints.
There is severe narrowing of the lumbosacral intervertebral disc space.  
There is multifocal spondylosis deformans.</t>
  </si>
  <si>
    <t>1. Moderate mammary gland enlargement, consistent with reported physical exam findings.  Mammary neoplasia (adenocarcinoma or adenoma) is most likely.  Less likely nonneoplastic etiology (e.g. mastitis).
2. Suspected uterine enlargement, consider hydrometra/mucometra/pyometra or phase of estrous. 
3.  Normal thorax, no pulmonary metastasis.
4. Hepatomegaly due to vacuolar change, nodular hyperplasia, hepatitis/cholangiohepatitis, or neoplasia.  
5. Lumbosacral stenosis with multifocal spondylosis deformans.
6. Mild bilateral elbow osteoarthrosis.</t>
  </si>
  <si>
    <t xml:space="preserve">Abdominal ultrasound or CT may be useful for more detailed assessment of the abdomen.
Etiology of mammary masses may be best determined with FNA for cytology or surgical removal and biopsy for histopathology.
</t>
  </si>
  <si>
    <t xml:space="preserve">
1.Moderate volume ingesta fills the stomach._x000D_
2.No intestinal abnormalities are appreciated._x000D_
3.The cecum is gas filled._x000D_
4.The abdomen is pendulous._x000D_
5.The liver is enlarged._x000D_
6.Splenic size, shape and margin are normal._x000D_
7.Mineral dense material and distended viscus are present in the region of the uterine horns._x000D_
8.In cases of pregnancy, fetal mineralization indicates fetal age of &gt;45 days._x000D_
9.IMPORTANT: This AI evaluation currently DOES NOT assess for the presence of fetal mummification and/or abnormal gas within or around the fetus (fetal viability) and/or fetal number.</t>
  </si>
  <si>
    <t xml:space="preserve">
A CBC and blood chemistry profile are recommended._x000D_
If liver values are elevated, abdominal ultrasound +/- pre and post-prandial bile acids should be considered._x000D_
Coagulation profile, platelet count and PCV should be obtained prior to liver sampling._x000D_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generate._x000D_
Evaluate fetal skeletal structures on radiographs, via ultrasound or submit for radiology review if fetal number and/or evaluation of fetal viability is needed.</t>
  </si>
  <si>
    <t>Ten radiographs are provided, with images of the thorax, abdomen, pelvis, proximal pelvic limbs. Images dated 2/14/24 are available for comparison. The cardiac silhouette is normal size for this breed. Fat deposition is seen along the right side of the heart, and large volume fat deposition is present in the cranial mediastinum. A mild bronchial pattern is present throughout the lungs as before. There is no pleural effusion. Adequate tracheal diameter. T7 is a hemivertebra, of doubtful clinical significance today. No significant thoracic limb abnormalities._x000D_
_x000D_
In the abdomen there is small volume of gas in the stomach and small bowel. The cecum is gas dilated. Formed feces fills the colon. Normal-sized liver, spleen, kidneys. There is a new finding of a smoothly contoured round 2.5 cm soft tissue opaque bulge extending lateral to the spleen on the VD projection. Splenic size is normal. No radiopaque urolithiasis. Lumbar vertebral alignment is normal. Mineral density overlying the L1-2 intervertebral foramen was present previously and is likely superimposed spondylosis deformans. No narrowed intervertebral disc spaces or foramina are appreciated. There is no endplate lysis. There is mild degenerative change in the left coxofemoral joint as before. Pelvic limb musculature is reduced on the right. There is moderate volume fluid in the cranial and caudal aspect of the right stifle joint. Tibial tuberosity advancement procedure has been performed on the left, and there are no abnormalities appreciated adjacent to the implants. No popliteal lymphadenomegaly.</t>
  </si>
  <si>
    <t>1. Splenic nodule, concerning for neoplasia such as hemangiosarcoma. Hematoma, hemangioma, or lymphoid hyperplasia could also cause this appearance._x000D_
2. Moderate right stifle effusion most consistent with cranial cruciate ligament tear/rupture. This is the most likely cause for lameness. Mild left coxofemoral osteoarthritis, of doubtful clinical significance today._x000D_
3. No definitive spinal abnormalities are appreciated. With the history of weakness, intervertebral disc disease is not definitively ruled out._x000D_
4. Normal thorax.</t>
  </si>
  <si>
    <t>If there is a palpable right stifle instability, surgical stabilization would be recommended. If pelvic limb weakness is persistent, additional spinal imaging with MRI should be considered.</t>
  </si>
  <si>
    <t xml:space="preserve">
1.The liver is slightly small._x000D_
2.Splenic size, shape and margin are normal._x000D_
3.Serosal detail is normal._x000D_
4.The pylorus is cranially positioned secondary to the microhepatia._x000D_
5.The bowel contains fluid and gas with some loops having a rigid appearance. No segmental small bowel dilation is noted.</t>
  </si>
  <si>
    <t>There is mild dilation and a rigid appearance to the intestines. Consideration should be given to an enterocolitis such as from dietary indiscretion, bacterial, viral, or parasitic disease. Pancreatitis could also be considered but is considered less likely in this case. Mild microhepatia. DDx: normal variant vs. microvascular dysplasia vs. less suspected, congenital portosystemic shunt or cirrhosis. This finding should be correlated to blood work.</t>
  </si>
  <si>
    <t>A two view study of the abdomen is provided for interpretation._x000D_
_x000D_
No foreign bodies are identified in the GI tract. Gastric rugal folds are slightly prominent. The stomach is not dilated or malpositioned. There are a few loops of intestine that appear fluid filled, none appear pathologically distended or plicated. Abdominal serosal detail is within normal limits. No mass effect or organomegaly is seen._x000D_
There are multiple congenitally deformed hypoplastic vertebrae in the caudal thoracic spine.</t>
  </si>
  <si>
    <t>No foreign bodies or obstructive pattern are identified. Gastroenteritis is most likely. Pancreatitis should also be ruled out.</t>
  </si>
  <si>
    <t>Supportive care and symptomatic therapy for hemorrhagic gastroenteritis is recommended._x000D_
_x000D_
Ultrasound should be considered to rule out intussusception or other anatomic pathology if clinical signs are not improving with medical management over the next 48 hours.</t>
  </si>
  <si>
    <t xml:space="preserve">
1.Splenic size, shape and margin are normal._x000D_
2.Abdominal detail in the cranial abdomen is mildly decreased on the lateral projection._x000D_
3.A mild amount of air is present in the cranial duodenum in the ventrodorsal image._x000D_
4.The small intestinal tract contains normal volumes of fluid, gas and ingesta but portions have a rigid appearance._x000D_
5.The ascending, transverse and descending colon are in a normal position and contain gradually more formed feces._x000D_
6.The stomach contains a small amount of air and either has prominent gastric rugae or contains a small amount of soft tissue material._x000D_
7.Liver size is at the lower limits of normal but retains a smooth margin.</t>
  </si>
  <si>
    <t>Two views of the abdomen are provided for review.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small.  The remaining abdominal organs are normal.</t>
  </si>
  <si>
    <t xml:space="preserve">
1.Moderate volume gas fills the stomach._x000D_
2.Small intestines are mildly fluid-filled._x000D_
3.The spleen is enlarged with potential for a splenic mass._x000D_
4.The liver is moderately enlarged with potential for a hepatic mass._x000D_
5.Abdominal detail is diffusely decreased and the abdomen is pendulous._x000D_
6.Segments of the colon have a rigid appearance.</t>
  </si>
  <si>
    <t>Two orthogonal survey radiographs of the thorax and abdomen dated 13th June 2024 are available for review. There are no previous radiographs available for comparison. _x000D_
 _x000D_
Thorax: _x000D_
Airway findings: The trachea is mildly narrowed in the thoracic region, however consistent in diameter.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Musculoskeletal findings: No significant abnormalities are detected.</t>
  </si>
  <si>
    <t>Normal thorax. The mildly narrowed trachea may be due to phase of respiration. Considering no localised narrowing is present, tracheomalacia redundant trachealis membrane is considered unlikely. An upper airway infection/tracheitis, mixed tracheobronchitis is still possible.</t>
  </si>
  <si>
    <t>Observational management is advised. Depending on clinical progression, consider empirical management of tracheobronchitis. Consider repeat radiographs depending on clinical progression or consider evaluation for airway collapse (fluoroscopy vs. right lateral inspiratory and expiratory radiographs vs. CT with virtual bronchoscopy).</t>
  </si>
  <si>
    <t>Five orthogonal radiographs of the abdomen dated 13th June 2024 are available for review. There are no previous radiographs available for comparison. _x000D_
_x000D_
Intra-abdominal findings: The stomach is empty, with a mild amount of gas. The pylorus is appropriately gas-filled in the left lateral image. The duodenum is mildly fluid and gas dilated. The small intestines are homogenously filled/mildly dilated with gas and fluid and some granular soft tissue opaque material. No segmental dilation is noted. The descending colon contains granular poorly formed faeces.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</si>
  <si>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The overall impression is one of gastroenteritis.  This may be due to dietary indiscretion, or infectious-inflammatory causes. There is no evidence of a mineral opaque foreign body, or complete mechanical obstruction.  A partial obstruction by non-mineral opaque foreign material cannot be excluded.   Pancreatitis is possible.</t>
  </si>
  <si>
    <t>WHOLE-BODY (6 total radiographs for review)._x000D_
_x000D_
- Centered on the junction between the left caudal and right accessory lung lobes is a fairly large, rounded soft-tissue opaque mass (up to 6.0 x 5.7 cm) with smooth and rounded margins._x000D_
- Mild diffuse bronchial pattern._x000D_
- The cardiac silhouette and pulmonary vasculature are normal._x000D_
- The trachea, esophagus and remainder of the mediastinum is/are normal._x000D_
- The pleural space and remaining intrathoracic structures are normal._x000D_
- Peritoneal serosal detail is adequate_x000D_
- There is a smooth nodule confluent with the caudoventral margin of the liver on the LLAT projection._x000D_
- The stomach contains mild gas and gas-stippled soft-tissue opaque material_x000D_
- The small intestine contains mild multifocal gas and soft-tissue opaque material_x000D_
- The colon contains gas, soft-tissue/fluid and mild formed fecal material._x000D_
- The spleen, kidneys and urinary bladder are normal._x000D_
- Bilateral stifle osteoarthritis.</t>
  </si>
  <si>
    <t>1. Medium-sized left caudal hemithoracic mass, either originating in the left caudal lung lobe or the right accessory lung lobe. DDx neoplasia is most likely (primary pulmonary carcinoma), with less likely a pulmonary granuloma or abscess. Recheck/serial radiographs may be considered in addition to thoracic CT for further assessment._x000D_
_x000D_
2. Mild diffuse bronchial pattern with few thickened pleural fissures. Most likely representing age-related lower airway changes, however a component of chronic bronchitis is possible, especially given that this patient has a dry cough reported (and chronic lower airway disease could be contributing)_x000D_
_x000D_
3. Suspect large caudoventral hepatic nodule or small mass (limited assessment). You may consider abdominal ultrasonography for further assessment._x000D_
_x000D_
4. Bilateral stifle OA (limited assessment)</t>
  </si>
  <si>
    <t>3 views of the entire body are presented for review.  The cardiovascular and pulmonary structures are normal.  The pleural and mediastinal structures are normal.  Abdominal serosal detail is adequate in all quadrants.  The stomach contains a small amount of soft tissue material.  The small intestines are normal in size.  Gas and feces are present in the colon.  The urinary bladder is small.  The remaining abdominal organs are normal.</t>
  </si>
  <si>
    <t>Radiographically normal thorax.  Material within the stomach may represent residual ingesta or foreign material.  Consider repeat radiographs following strict fasting to determine if gastric contents persist.</t>
  </si>
  <si>
    <t xml:space="preserve">
1.No effusion is present._x000D_
2.Moderate volume soft tissue opacity and/or gas fills the stomach._x000D_
3.Small intestines are mildly filled with a mixture of fluid and gas._x000D_
4.No segmental small intestinal distention is present._x000D_
5.The liver and spleen are normal size._x000D_
6.No abnormal AI findings reported.</t>
  </si>
  <si>
    <t>6 views of the thorax and abdomen are submitted for review._x000D_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  A cranial protrusion is seen at the ventral margin of the diaphragm on the lateral views which approaches the apex of the heart.  A clear separation between the apex of the heart and the ventral margin of the diaphragm is not noted on the lateral views._x000D_
In the abdomen, the stomach contains a mild amount of gas.  The small bowel is diffusely mildly gas-filled without overt dilation.  A moderate amount of gas and loose appearing stool is noted throughout the colon.  The liver, spleen, renal silhouettes, and urinary bladder are within normal limits.  Serosal detail is adequate.</t>
  </si>
  <si>
    <t>The appearance of the GI tract is consistent with a history of diarrhea.  No evidence of mechanical obstruction is seen.  Acute gastroenterocolitis is considered most likely._x000D_
The protrusion of the ventral margin of the diaphragm is likely an incidental finding in this case but may represent congenital communication between the peritoneal and pericardial spaces with a mild amount of interposed falciform fat.  This is likely congenital.  Otherwise, radiographically normal thorax.</t>
  </si>
  <si>
    <t>Empirical medical management for nonspecific gastroenteritis appears appropriate in the short-term.  If there is sufficient clinical concern, further evaluation of the cranioventral aspect of the diaphragm could be considered for more definitive evaluation.  Ultrasound of this region may be helpful although may be difficult due to the presence of the sternum and regional air-filled lung.  A CT scan would be more definitive.</t>
  </si>
  <si>
    <t xml:space="preserve">
1.No abnormal AI findings reported._x000D_
2.The liver and spleen are normal._x000D_
3.Abdominal detail is normal._x000D_
4.There is gas within the distal colon and rectum._x000D_
5.The stomach contains loosely-organized, gas-stippled soft tissue and a gas cap._x000D_
6.Portions of the small intestine are gas- and fluid filled while some of the small bowel has a rigid appearance. No segmental small bowel dilation is noted.</t>
  </si>
  <si>
    <t>Soft-tissue material in the stomach with gas cap is likely a combination of aerophagia and normal ingesta and thus most likely incidental, however if this animal is vomiting or anorexic, concern for gastric foreign material increases. Appearance to the small bowel is also consistent with post-prandial however if intestinal signs are present, rule out enteritis. No small intestinal obstruction is noted.</t>
  </si>
  <si>
    <t xml:space="preserve">
Virtual Radiologist Case Difficulty: LOW_x000D_
Virtual Radiologist Confidence: HIGH_x000D_
Question owner regarding patient appetite and vomiting._x000D_
If this patient has not been eating and/or has been vomiting, consider that an abdominal ultrasound or withhold food for 12-15hrs followed by repeat abdominal radiographs.</t>
  </si>
  <si>
    <t>6 images of the abdomen are provided for review.  Serosal detail is adequate in all quadrants.  The stomach contains a moderate amount of mottled soft tissue material.  The small intestines are normal in size.  Gas and feces are present in the colon.  The urinary bladder is small.  The remaining abdominal organs are normal.</t>
  </si>
  <si>
    <t xml:space="preserve">
1.Small intestines are diffusely mildly filled with gas and fluid._x000D_
2.Formed feces is present in the descending colon._x000D_
3.No abnormal AI findings reported._x000D_
4.Serosal detail is normal._x000D_
5.There is small-volume gas and soft tissue density present within the stomach._x000D_
6.The liver and spleen appear within normal limits for size.</t>
  </si>
  <si>
    <t>Thorax: There is a mild bronchointerstitial pattern.  The remainder of the pulmonary parenchyma is unremarkable.  The cardiac silhouette and pulmonary vasculature are unremarkable.  There is no evidence of lymphadenopathy or pleural effusion.  There is a soft tissue opacity associate with the dorsal aspect of the extrathoracic trachea.  There is no evidence of collapse of the trachea or mainstem bronchi.</t>
  </si>
  <si>
    <t>Mild bronchointerstitial pattern which may represent bronchitis._x000D_
_x000D_
The soft tissue opacity superimposed over the dorsal aspect of the trachea may represent redundant dorsal tracheal membrane and/or rotational obliquity artifact.</t>
  </si>
  <si>
    <t xml:space="preserve">
1.Abdominal detail is normal however the abdomen is mildly pendulous._x000D_
2.Splenic size, shape and margin are normal._x000D_
3.The liver is mildly enlarged but with smooth margins. No liver mass is noted._x000D_
4.The stomach is normal. The small bowel contains gas and fluid but no segmental small bowel dilation is noted.</t>
  </si>
  <si>
    <t>3 views of the thorax are provided for review.  The trachea is mildly dorsally deviated, indicating left ventricular enlargement.  There is straightening of the caudal cardiac waist in the region of the left atrium.  No pulmonary infiltrates are seen.  The pulmonary vasculature is normal in size.  The mediastinal and pleural structures are normal.  Cranial abdominal detail is adequate.</t>
  </si>
  <si>
    <t>Three radiographs of the thorax/abdomen are provided. Images dated 12/13/23 are available for comparison. There is mild cardiac silhouette enlargement, not appreciated on the previous study. Pulmonary vessels are normal size. There are no abnormalities in the pulmonary parenchyma or pleural space. Redundant dorsal tracheal membrane causing severe narrowed trachea on the right lateral view. In the abdomen there is no effusion. The liver is prominent, increased in size. There are several amorphous mineral densities within the liver, larger and more pronounced than on the previous study. The stomach contains small volume of gas. Small intestines are diffusely moderately filled with fluid and gas. A few loops of small bowel appeared thickened, however this must be interpreted with caution, as fluid-gas interface can mimic thickening. No radiopaque gastrointestinal foreign material. No radiopaque urolithiasis. Normal-sized spleen and left kidney. The right kidney is obscured. The plane of the urethra is unremarkable.</t>
  </si>
  <si>
    <t>1. Progressive hepatic mineralization with hepatomegaly. Neoplasia is of concern. Dystrophic mineralization is next on the differential list._x000D_
2. Mild cardiomegaly, likely chronic degenerative mitral and tricuspid valve disease. There is no pulmonary venous congestion or pulmonary edema._x000D_
3. No urinary tract abnormalities are appreciated._x000D_
4. Dynamic cervical tracheal collapse.</t>
  </si>
  <si>
    <t>SPINE and ABDOMEN/PELVIS (four total radiographs for review). No previous examinations are available for comparison._x000D_
_x000D_
- The caudal thoracic vertebral column is normal._x000D_
- The thoracolumbar junction is unremarkable._x000D_
- The lumbar vertebrae and lumbosacral junction are normal._x000D_
- The sacroiliac joints are normal_x000D_
- There is mild enthesophyte formation along the margins of the femoral head. _x000D_
- The included portions of the pelvic limbs are normal._x000D_
- No discrete intra-thoracic or intra-abdominal abnormalities are noted.</t>
  </si>
  <si>
    <t>1. A discrete spinal cause for the reported clinical signs is not clearly identified. The lower lumbar region appears normal. Radiographic sensitivity for soft-tissue lesions affecting the spine may be limited. There is/are no fractures, luxations, discospondylitis or aggressive bone lesions noted. If clinically indicated (such as if the patient does not improve or worsens despite medical management and exercise modification), consultation with a veterinary neurologist and/or advanced imaging of the spine (e.g. CT or MRI) might be considered.</t>
  </si>
  <si>
    <t xml:space="preserve">
1.Splenic size, shape and margin are normal._x000D_
2.Abdominal detail is within normal limits._x000D_
3.The stomach is mildly gas and fluid filled with some soft tissue density material. The small bowel is gas and fluid-containing. No findings to indicate obstruction._x000D_
4.The liver is mildly enlarged.</t>
  </si>
  <si>
    <t>A three-view study of the abdomen is provided for interpretation._x000D_
_x000D_
There is a small to moderate quantity of amorphous soft-tissue dense ingesta in the stomach. The appearance is compatible with normal food. No foreign bodies identified in the GI tract. No dilation the stomach or intestine is seen. Serosal detail in the abdomen is adequate. The liver is at the upper end of normal size range, with normal shape and smooth margins. The other abdominal organs are within normal limits. The caudal thorax is unremarkable. No musculoskeletal abnormalities are identified.</t>
  </si>
  <si>
    <t>No significant anatomic abnormalities identified. There is no visible foreign body or obstructive pattern.</t>
  </si>
  <si>
    <t>Symptomatic therapy and supportive care as needed for gastroenteritis/pancreatitis is recommended.</t>
  </si>
  <si>
    <t xml:space="preserve">
1.Splenic size, shape and margin are normal._x000D_
2.Cranial abdominal detail is mildly decreased on the lateral projection._x000D_
3.The gastrointestinal tract is mildly filled._x000D_
4.More pronounced on the lateral projection, there is asymmetric liver enlargement and caudal displacement of the stomach.</t>
  </si>
  <si>
    <t>Three radiographs of the thorax and of the abdomen are provided. The cardiac silhouette and pulmonary vessels are normal size and shape. Mild unstructured interstitial pattern is consistent with age. There are no soft tissue pulmonary nodules or intrathoracic lymphadenomegaly. Normal tracheal diameter and position. Metal opaque 0.7 cm pellet in the tissues dorsal to the cervical spine is incidental today. Normal proximal thoracic limbs._x000D_
_x000D_
In the abdomen there is no peritoneal or retroperitoneal effusion. Normal-sized liver, kidneys, spleen. On the VD view there is a round 8.3 cm soft tissue contour overlying the caudal aspect of the spleen, and there is scant fluid adjacent to the spleen on this view and on the right lateral projection. No radiopaque cystic calculi. Smoothly contoured 4.0 cm lipomatous bulge ventral to the xiphoid process is incidental.</t>
  </si>
  <si>
    <t>1. Probable splenic mass, with scant adjacent effusion. Neoplasia such as hemangiosarcoma is the top differential. The effusion may be hemorrhagic._x000D_
2. Normal thorax.</t>
  </si>
  <si>
    <t>Four orthogonal survey radiographs of the thorax and abdomen (3 series) dated 13th June 2024 are available for review. There are no previous radiographs available for comparison. _x000D_
_x000D_
Thorax: _x000D_
Airway findings: No nodules, masses, or lymphadenomegaly is visible. The trachea has a normal position, shape and size. The pulmonary parenchyma is normal. _x000D_
_x000D_
Cardiovascular findings: The cardiac silhouette, and pulmonary vasculature is within normal limits._x000D_
_x000D_
Mediastinum and pleura: There is no evidence of pleural effusion, _x000D_
_x000D_
Musculoskeletal system: No significant abnormalities are detected. _x000D_
_x000D_
Abdomen: The hepatic silhouette is normal in size with smooth borders. The spleen is normal in shape, size and position. The kidneys are partially obscured by gastrointestinal contents, but the visible aspect are normal. The stomach is mainly empty, with a normal axis. There is appropriate gas in the pylorus on the left lateral image. The small intestines are distributed evenly and are mildly distended with gas and fluid/soft tissue opaque material. The ascending, transverse and descending colon have a normal position and contain gradually more formed faeces. The urinary bladder is filled. The serosal detail is normal. No intestinal loops are seen superimposed on the urinary bladder or descending colon. The caudal aspect of the abdomen is not included on the ventrodorsal image, limiting interpretation._x000D_
_x000D_
Musculoskeletal findings: A partially mineralised subcutaneous mass is present at the caudal thorax, consistent with the reported mammary mass.</t>
  </si>
  <si>
    <t>1. Negative metastasis check, normal thorax._x000D_
2. Mammary mass.</t>
  </si>
  <si>
    <t>Computed tomography has a higher resolution capability to detect small pulmonary parenchyma nodules and may be considered._x000D_
Broad surgical resection of the mammary mass is advised._x000D_
If signs of pyometra are present, consider abdominal ultrasound.</t>
  </si>
  <si>
    <t>WHOLE-BODY (with positive gastrointestinal study, 6 total images). No previous for comparison
- Thin body condition.
- On the survey images, multiple small intestinal segments are mildly distended and contain gas, fluid and give the impression of mildly thickened walls. The stomach is non-distended and the cecum/colon are mildly distended with gas, and has a mildly corrugated appearance.
- On the positive contrast study, there is a distribution of the barium in the esophagus (minimal), stomach (mild) and multi-segmentally throughout multiple small intestinal segments. Relatively diffusely, there is a corrugated mucosal surface of many visualized segments and the lumen is mildly narrowed at points. No overt masses or obstructions are seen. None or minimal contrast material reaches the cecum/colon.
- Moderate multifocal spondylosis deformans, most notable in the cranial thoracic region.
- Intrathoracic structures are normal.
- Multiple right-sided and ventral rounded, broad-based lipomatous masses.</t>
  </si>
  <si>
    <t>1. Multisegmental small intestinal corrugation and suspected mural thickening, compatible with a relatively widespread functional ileus. In combination with the patient history and clinical signs, infiltrative intestinal disease (e.g. neoplasia, immune-mediated enteritis) is considered in this case. However the appearance is non-specific and can also be compatible with entero-colitis  (e.g. from dietary indiscretion, enterotoxicosis). Consider abdominal ultrasonography for further assessment in this patient.
2. Unremarkable limited thorax and cervical region.
3. Cranial lumbar intervertebral disc degeneration.
4. Right-sided abdominal body wall lipomatous masses.
5. Thin body condition.</t>
  </si>
  <si>
    <t xml:space="preserve">
1.The small bowel contains gas and fluid. No evidence of obstruction._x000D_
2.There is mild hepatomegaly with smooth margins._x000D_
3.The spleen is smoothly marginated and within normal limits for size._x000D_
4.No abnormal AI findings reported._x000D_
5.The stomach contains a small volume of gas.</t>
  </si>
  <si>
    <t xml:space="preserve">
1.No abnormal AI findings reported._x000D_
2.The right cranial quadrant has a hazy appearance on the VD projection otherwise serosal detail is adequate._x000D_
3.In the abdomen the stomach contains small volume gas, soft tissue and mildly prominent rugae._x000D_
4.Small intestines are minimally filled. No small intestinal segmental dilation is noted._x000D_
5.The colon contains gas and scant semiformed feces._x000D_
6.The liver and spleen are normal size.</t>
  </si>
  <si>
    <t>6 images of the thorax and abdomen are provided for review.  The trachea is dorsally deviated, indicating left ventricular enlargement.  A small bulge is present in the region of the left atrium.  Increased bronchial markings are present in all lung lobes.  No perihilar pulmonary infiltrates are seen.  The pulmonary vasculature is normal in size.  The mediastinal and pleural structures are normal.  Abdominal serosal detail is adequate in all quadrants.  The stomach contains a moderate amount of gas.  The small intestines are normal in size.  Gas and feces are present in the colon.  The urinary bladder is small.  The remaining abdominal organs are normal.  There is spondylosis deformans of the thoracolumbar spine.</t>
  </si>
  <si>
    <t>Radiographically normal abdomen.  Moderate bronchial pulmonary pattern=ZZ90= consider bronchitis, response to inhaled irritants, response to circulating parasites, eosinophilic bronchopneumopathy.  Coccidioidomycosis cannot be excluded.  Airway sampling may be helpful in further evaluation.  Left-sided cardiomegaly without current evidence of cardiogenic pulmonary edema.  Echocardiography may be helpful in further evaluation.</t>
  </si>
  <si>
    <t>3 images of the abdomen are provided for review.  Serosal detail is adequate in all quadrants.  The liver margins are rounded and extend beyond the costal arch, causing caudal displacement of the gastric axis.  The stomach contains a moderate amount of soft tissue material.  The small intestines are normal in size.  Gas and feces are present in the colon.  The urinary bladder is small.  The prostate is generally enlarged.  The remaining abdominal organs are normal.  There is spondylosis deformans of the lumbosacral spine.</t>
  </si>
  <si>
    <t>Material within the stomach may represent residual ingesta or foreign material.  Consider repeat radiographs following strict fasting to determine if gastric contents persist.  Hepatomegaly=ZZ90= this is a nonspecific finding that may be seen with congestion, vacuolar hepatopathy, inflammation, neoplasia, etc.  Prostatomegaly.  Consider benign hyperplasia, prostatitis, paraprostatic cyst.  Abdominal ultrasound may be helpful.</t>
  </si>
  <si>
    <t>3 views of the abdomen are provided for review.  Serosal detail is adequate in all quadrants.  The stomach contains a small amount of gas and the rugal folds are prominent.  The small intestines are normal in size.  Gas and feces with small mineral structures are present in the colon.  The urinary bladder is small.  The remaining abdominal organs are normal.  There is partial sacralization of L7.</t>
  </si>
  <si>
    <t>Prominent rugal folds suggestive of gastritis.  This does not rule out underlying pancreatitis, dietary indiscretion, etc.  If clinical signs persist with supportive therapy, abdominal ultrasound could be considered in further evaluation.  Colonic mineral foreign material, likely incidental.  Lumbosacral transitional vertebra.</t>
  </si>
  <si>
    <t>3 views of the entire body are provided for review.  The trachea is dorsally deviated, indicating left ventricular enlargement.  A bulge is present in the region of the left atrium.  The cardiac silhouette is also widened with rounding of the right ventricular margin.  No pulmonary infiltrates are seen.  The pulmonary vasculature is normal in size.  The mediastinal and pleural structures are normal.  Abdominal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small.  No mineral is seen associated with the urinary tract.  The remaining abdominal organs are normal.</t>
  </si>
  <si>
    <t>Hepatomegaly=ZZ90= this is a nonspecific finding that may be seen with congestion, vacuolar hepatopathy, inflammation, neoplasia, etc.  Abdominal ultrasound may be helpful in further evaluation if biochemically indicated.  Generalized cardiomegaly without current evidence of cardiogenic pulmonary edema.  Echocardiography may be helpful in further evaluation.</t>
  </si>
  <si>
    <t xml:space="preserve">
1.There is smoothly margined hepatomegaly. On the VD projection, the hepatomegaly is mildly asymmetric._x000D_
2.The spleen is normal._x000D_
3.There is a decrease in abdominal detail. This may be attributed to superimposition of soft tissue structures secondary to the caudal extension of the liver however a component of mesenteric inflammation and/or small volume of fluid cannot be excluded._x000D_
4.The stomach is slightly caudally positioned due to the hepatomegaly and has a normal to slightly caudally displaced gastric axis secondary to the hepatomegaly._x000D_
5.The intestines are displaced caudally into the mid- and caudal abdomen by the cranial abdominal organomegaly. The intestines are gas- and fluid-filled with the bowel being distended suggestive of a functional ileus or potentially a mechanical obstruction._x000D_
6.The ventral abdominal line is mildly pendulous.</t>
  </si>
  <si>
    <t>Two views of the thorax are provided for review.  The trachea is dorsally deviated, indicating left ventricular enlargement.  A bulge is present in the region of the left atrium.  The cardiac silhouette is also widened with rounding of the right ventricular margin.  Increased bronchial markings are present in all lung lobes.  No perihilar pulmonary infiltrates are seen.  The pulmonary vasculature is normal in size.  The mediastinal and pleural structures are normal.  Cranial abdominal detail is adequate.</t>
  </si>
  <si>
    <t>Generalized cardiomegaly without current evidence of cardiogenic pulmonary edema.  Echocardiography may be helpful in further evaluation.  Moderate bronchial pulmonary pattern=ZZ90= consider bronchitis, response to inhaled irritants, response to circulating parasites, eosinophilic bronchopneumopathy.  Airway sampling may be helpful in further evaluation.</t>
  </si>
  <si>
    <t xml:space="preserve">
1.The stomach is displaced by the cranial abdominal mass or infrequently, the cranial abdominal mass could represent a severely distended stomach._x000D_
2.The intestinal tract is displaced by the cranial abdominal mass. The displaced bowel is diffusely gas- and fluid-filled but no segmental bowel dilation is noted._x000D_
3.Abdominal detail is decreased, particularly in the cranial abdomen. DDx: soft tissue mass only vs. mass and mesenteric inflammation and/or regional abdominal fluid._x000D_
4.The abdomen is mildly pendulous._x000D_
5.A soft tissue mass is identified in the cranial abdomen. The liver is enlarged and mass-like, with caudal displacement of the gastric axis._x000D_
6.A soft tissue mass in the splenic region has been identified. This could represent confluence of a single cranial abdominal mass vs. two separate masses affecting the liver and spleen.</t>
  </si>
  <si>
    <t>Opposite lateral and ventrodorsal whole body radiographs (3 images) dated June 13,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moderately enlarged with a flattened visceral surface. The spleen is unremarkable. Both kidneys are normal in size and shape. The urinary bladder is small and fluid opaque. The stomach is moderately distended with gas and has prominent rugal folds. The small intestine is diffusely soft-tissue opaque (empty/collapsed or contains a scant volume of fluid) and has broad ropelike turns in its course to give it a subjectively turgid appearance. The colon contains a small amount of somewhat poorly formed stool mixed with gas. Retroperitoneal detail is normal. Peritoneal detail in the right cranial abdominal quadrant is reduced. No regional lymphadenopathy is evident._x000D_
_x000D_
Disc space collapse is affecting T12-T13 with spondylosis deformans. Both stifles have patellar luxation on the lateral views.</t>
  </si>
  <si>
    <t>1. Severe gastroenteritis. The reduced peritoneal detail in the right cranial abdominal quadrant likely represents acute pancreatitis._x000D_
2. Moderate hepatomegaly. Rule out a benign metabolic/vacuolar less likely inflammatory or infiltrative neoplastic conditions._x000D_
3. Chronic T12-T13 intervertebral disc disease._x000D_
4. Bilateral patellar luxation.</t>
  </si>
  <si>
    <t>Hospitalized or outpatient supportive care for gastroenteritis and pancreatitis._x000D_
Abdominal ultrasound could be considered to further assess the liver._x000D_
Assess for back pain, neurologic deficits, and palpate for patellar instability.</t>
  </si>
  <si>
    <t>3 views of the pelvis and thoracolumbar spine are provided for review.  No fractures, luxations, or aggressive osseous lesions are seen.  There is mild consistent narrowing of the intervertebral disc spaces at T11-13.  There is hypoplasia of the 13th ribs bilaterally.  The coxofemoral joints are congruent.  The joint surfaces are smooth and regular.  No stifle effusion is seen.  The soft tissue structures included are normal.</t>
  </si>
  <si>
    <t>Three radiographs of the abdomen are provided. There is no peritoneal or retroperitoneal effusion. The stomach contains a large amount of gas and soft tissue density that is stippled with gas. Small bowel are minimally distended. The cecum and proximal colon are gas-filled. Small volume of formed feces in the distal colon. Normal-sized kidneys, spleen, liver. The prostate is moderately enlarged consistent with the reproductive status of this patient. Soft tissue in the caudodorsal thorax on the left lateral view is incidental sliding hiatal hernia.</t>
  </si>
  <si>
    <t>Gastric contents appears to be normal ingesta. All or a portion of this could be foreign material causing gastritis and pyloric outflow obstruction. Otherwise normal abdomen.</t>
  </si>
  <si>
    <t>Recommend repeat abdominal radiographs following a confirmed fast +/- positive contrast gastrogram to rule out gastric foreign material.</t>
  </si>
  <si>
    <t xml:space="preserve">
1.Liver size, shape and margin are normal._x000D_
2.Splenic size, shape and margin are normal._x000D_
3.Gastric rugal folds appear prominent._x000D_
4.Serosal detail appears mildly reduced in the cranial abdomen._x000D_
5.The colon is mildly gas dilated and has a rigid appearance._x000D_
6.No segmental dilation of the small intestine is seen._x000D_
7.Material is identified in the stomach.</t>
  </si>
  <si>
    <t>Orthogonal radiographs of the abdomen are provided. There are approximately 6-7 mineralized fetal skeletons visible. No abnormal fetal skeletal contour or intra-fetal gas. Fetal metatarsal/metacarpal bones are visible. No other maternal abdominal abnormalities.</t>
  </si>
  <si>
    <t>Gravid uterus with approximately 6-7 late term fetal skeletons.</t>
  </si>
  <si>
    <t xml:space="preserve">
1.Formed feces in the distal colon._x000D_
2.The stomach and small bowel are minimally filled. Multiple small bowel loops are gas filled and have a rigid appearance._x000D_
3.On the lateral projection, the liver is mildly enlarged with rounded margins. The ventral abdominal line is pendulous._x000D_
4.Resource: https://platform.v2.vetology.net/doc/cushings_1_x000D_
5.An increase in soft tissue opacity is noted in the region of the spleen. DDx: superimposition of the spleen and other soft tissue/fluid vs. caudal displacement of the stomach by the hepatomegaly vs. other mass in this region._x000D_
6.Abdominal detail is decreased. DDx: abdominal fluid vs. confluence of soft tissue structures.</t>
  </si>
  <si>
    <t>A three view study of the abdomen is provided for comparison to the radiographs made yesterday._x000D_
_x000D_
The overall volume of intestinal gas is reduced, and the dilated appearance of much of the intestine that was seen in yesterday=ZZ91=s radiographs is no longer present. Peristalsis of the gas filled loops also appears more normal. There is still a very small quantity of granular/fragmented mineral density in the stomach, and some is now visible within the small intestine. No foreign objects of significant size are seen. Serosal detail is normal. The other organs are within normal limits.</t>
  </si>
  <si>
    <t>The appearance of the abdomen is improved relative to yesterday=ZZ91=s radiographs. Small intestinal gas volume is still slightly increased, but the appearance of dilation is improved and the small quantity of radiodense foreign material appears to be partially/slowly moving through the GI tract.</t>
  </si>
  <si>
    <t>Conservative management with symptomatic therapy is recommended. Follow up radiographs are recommended if clinical signs do not completely resolve over the next 48 hours.</t>
  </si>
  <si>
    <t>7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A rounded masslike area is seen at the body of the spleen.  The stomach contains a moderate amount of ingesta.  The small intestines are normal in size.  Gas and feces are present in the colon.  The urinary bladder is small.  The remaining abdominal organs are normal.</t>
  </si>
  <si>
    <t>Splenic mass=ZZ90= consider neoplasia or hematoma.  Radiographically normal thorax for patient of this age.</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</si>
  <si>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Linear branching mineral is seen within the liver.  The stomach contains a moderate amount of ingesta.  The small intestines are normal in size.  Gas and feces are present in the colon.  The urinary bladder is small.  The kidneys are small with mineral in the right renal diverticula.  The remaining abdominal organs are normal.</t>
  </si>
  <si>
    <t>Chronic renal changes.  Correlation with serum biochemistry, SDMA, and urinalysis may be helpful.  Mineralization within the liver is likely incidental biliary tree mineralization.  Abdominal ultrasound could be considered if biochemically indicated.  Radiographically normal thorax for patient of this age.</t>
  </si>
  <si>
    <t xml:space="preserve">
1.No gastrointestinal abnormalities are appreciated. No signs of obstruction._x000D_
2.No abnormal AI findings reported._x000D_
3.In the abdomen there is no effusion._x000D_
4.The liver and spleen are normal size with smooth margins.</t>
  </si>
  <si>
    <t>Spine: There is narrowing of intervertebral disc spaces T13-L1, L1-2, and L2-3.  Spondylosis deformans is noted at L2-3.  The remainder of the visible portions of the cervical, thoracic, and lumbar vertebral columns are unremarkable._x000D_
_x000D_
Thorax: The pulmonary parenchyma, cardiac silhouette, and pulmonary vasculature are unremarkable.  There is no evidence of pleural effusion or lymphadenopathy._x000D_
_x000D_
Abdomen: There are no abnormalities identified.</t>
  </si>
  <si>
    <t>Intervertebral disc disease at T13-L1, L1-2, and L2-3.</t>
  </si>
  <si>
    <t>3 images of the abdomen are provided for review.  Serosal detail is adequate in all quadrants.  The stomach contains a small amount of gas and the rugal folds are prominent.  The small intestines are normal in size.  Gas and feces are present in the colon.  The urinary bladder is small.  The remaining abdominal organs are normal.</t>
  </si>
  <si>
    <t xml:space="preserve">
1.Splenic size, shape and margin are normal._x000D_
2.Abdominal detail is normal._x000D_
3.Mild microhepatia is present with cranial positioning to the gastric axis._x000D_
4.Resouce: https://platform.v2.vetology.net/doc/liver_disease_x000D_
5.The stomach contains a mild to moderate volume of gas and soft tissue material. The gastric axis is cranially positioned due to the microhepatia._x000D_
6.The small bowel is diffusely gas- and fluid-filled without segmental small bowel dilation._x000D_
7.The colon contains mild to moderate heterogeneous soft tissue material and gas.</t>
  </si>
  <si>
    <t>Abdomen: There is a mineral opacity (small rock) within the descending colon.  There is no evidence of a gastrointestinal foreign body or obstruction.  The liver and spleen are unremarkable.  The visible portions of the urinary tract are unremarkable.  Serosal detail is normal.</t>
  </si>
  <si>
    <t>Foreign body which has progressed through the gastrointestinal tract to the colon.</t>
  </si>
  <si>
    <t xml:space="preserve">
1.The liver is mildly enlarged but retains a smooth margin._x000D_
2.Splenic size, shape and margin are normal._x000D_
3.Abdominal detail is normal._x000D_
4.The ascending, transverse and descending colon are in a normal position and contain gradually more formed faeces._x000D_
5.The stomach is normal._x000D_
6.The small intestinal tract is diffusely gas- and fluid-filled. No segmental small bowel dilation is noted.</t>
  </si>
  <si>
    <t>Study:_x000D_
Thoracic/abdominal radiography: three images dated June 12, 2024_x000D_
_x000D_
Findings:_x000D_
The cardiac silhouette and pulmonary vasculature are normal in size. The pulmonary parenchyma is unremarkable. The pleural space is normal. There is no intrathoracic lymphadenopathy. The trachea is normal in diameter and course. The stomach and some small intestinal segments contain unstructured heterogeneous/granular soft tissue material presumed to be ingesta. The small intestines are normal in size and course. The colon contains formed fecal material with a normal diameter. The liver and spleen are normal in size and margin. The renal silhouettes are normal in size and contour. The urinary bladder is normal in size and opacity. There is no prostatomegaly. There is no apparent intervertebral disc space or foraminal narrowing. There is severe left hip dysplasia and remodeling/thickening of the femoral head and neck.</t>
  </si>
  <si>
    <t>1. The spine is unremarkable. The lack of any apparent intervertebral disc space narrowing does not exclude the possibility of intervertebral disc disease. Neurology consultation and MRI can be considered for further evaluation if the spinal pain persists or worsens in spite of strict activity restriction and pain management._x000D_
2. Postprandial gastrointestinal tract=ZZ90= otherwise, unremarkable abdomen. Abdominal sonography and cPLI testing can be considered to further rule out sources of intra-abdominal pain._x000D_
3. Severe left hip dysplasia and coxofemoral osteoarthrosis._x000D_
4. Normal thorax.</t>
  </si>
  <si>
    <t xml:space="preserve">
1.The liver and spleen are normal size with smooth margins._x000D_
2.In the abdomen there is no effusion._x000D_
3.No abnormal AI findings reported._x000D_
4.No gastrointestinal abnormalities are appreciated. No signs of obstruction.</t>
  </si>
  <si>
    <t>Six orthogonal survey radiographs of the thorax and abdomen dated 12th June 2024 are available for review. There are no previous radiographs available for comparison. These images are submitted for assessment of the thorax._x000D_
_x000D_
Thorax: _x000D_
Airway findings: The cervical and thoracic trachea have a normal size, outline and position. The carina, tracheal bifurcation and mainstem bronchi are normal. Cranial pulmonary vessels are superimposed on the caudal trachea and some of the lateral images._x000D_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stomach contains heterogenous soft tissue opaque material. Little bony material is visible. There is no evidence for intestinal obstruction._x000D_
_x000D_
Musculoskeletal findings: No significant abnormalities are detected.</t>
  </si>
  <si>
    <t>1. No evidence of aspiration, or tracheal or pulmonary foreign body. The bloody foamy material may arise from the oesophagus/upper airway.</t>
  </si>
  <si>
    <t>Continued clinical monitoring is advised, and repeat radiographs as indicated to exclude the onset of aspiration pneumonia.</t>
  </si>
  <si>
    <t>WHOLE-BODY (6 total radiographs for review). Compared to previous examination 05/05/23._x000D_
_x000D_
- The cardiac silhouette and pulmonary vasculature are normal._x000D_
- The pulmonary parenchyma is normal_x000D_
- The trachea, esophagus and remainder of the mediastinum is/are normal._x000D_
- The pleural space and remaining intrathoracic structures are normal._x000D_
- Peritoneal serosal detail is adequate_x000D_
- The stomach contains mild gas and gas-stippled soft-tissue opaque material_x000D_
- The small intestine contains mild multifocal gas and soft-tissue opaque material_x000D_
- The colon contains gas, soft-tissue/fluid and moderate formed fecal material._x000D_
- The liver, spleen, kidneys and urinary bladder are normal._x000D_
- No musculoskeletal abnormalities are noted.</t>
  </si>
  <si>
    <t>1. Normal thorax. Negative examination for evidence of thoracic metastatic neoplasia or contraindication to general anesthesia._x000D_
_x000D_
2. Relatively unremarkable abdomen. No distinct radiopaque urolithiasis. The ill-defined mineral opacities superimposed over the kidneys on the right lateral projection are most likely fortuitous superimposition from the distal tips of the 13th ribs.</t>
  </si>
  <si>
    <t xml:space="preserve">
1.The stomach contains a small volume of fluid opaque material and gas. The gastric rugae appear prominent._x000D_
2.The small bowel contains gas and fluid and is normal in diameter._x000D_
3.The colon contains scant fecal material and gas._x000D_
4.The liver and spleen are normal in size and shape._x000D_
5.No abnormal AI findings reported._x000D_
6.Serosal detail within the peritoneal space is normal.</t>
  </si>
  <si>
    <t>Four orthogonal survey radiographs of the thorax and abdomen dated 12th June 2024 are available for review. These are compared with previous radiographs dated 9th January 2024. These images are submitted for assessment of the abdomen._x000D_
_x000D_
Abdomen: The stomach contains gas, and has subjectively prominent rugal folds. The small intestines contain a mix of granular soft tissue opaque material and gas, and fluid. The diameter is within upper normal limits. The transverse and descending colon contain poorly formed faeces and gas and have a subjectively thickened wall. The urinary bladder is small. The hepatic silhouette is normal in size with smooth borders. The spleen is normal in shape, size and position. The kidneys are partially obscured by gastrointestinal contents, but the visible aspect are normal. The serosal detail is normal. In the retroperitoneal space there is a tubular mineral opacity, consistent with aortic mineralisation. This was also visible on previous radiographs._x000D_
_x000D_
Musculoskeletal findings: There are multiple in situ mineralised intervertebral discs.</t>
  </si>
  <si>
    <t>1. The overall impression is one of gastroenteritis/colitis.  This may be due to dietary indiscretion, or infectious-inflammatory causes. There is no evidence of a mineral opaque foreign body, or complete mechanical obstruction. Hemorrhagic gastroenteritis is possible._x000D_
2. Aortic mineralisation, which is generally an incidental finding.</t>
  </si>
  <si>
    <t>Supportive management including rehydration, gastroprotectants,  full blood work, faecal analysis if clinically indicated is advised, if not already performed. Consider an abdominal ultrasound. _x000D_
Consider complete bloodwork to evaluate for underlying causes of hypercalcaemia, or dystrophic mineralisation.</t>
  </si>
  <si>
    <t>Two radiographs of the abdomen dated 7th June 2024 are available for review. There are no previous radiographs available for comparison. _x000D_
_x000D_
Intra-abdominal findings: The stomach contains a large globoid mass of soft tissue opaque material in the fundus which is outlined by gas. The pylorus is gas-filled. The small intestines are variably filled with mainly fluid, soft tissue opaque material and a little gas. The transverse and descending colon contain only gas.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</si>
  <si>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The mass of soft tissue opaque material within the stomach may be indicative of a recent meal. Alternatively, dietary indiscretion, soft tissue foreign material may be present. This needs to be correlated with time of feeding and last emesis._x000D_
The remainder of the gastrointestinal findings support a differential of enterocolitis, likely due to dietary indiscretion, or infectious-inflammatory causes.</t>
  </si>
  <si>
    <t>Supportive management including rehydration, gastroprotectants,  full blood work, faecal analysis if clinically indicated is advised, if not already performed. Repeat 3-view post fasting radiographs depending on clinical progression or consider an abdominal ultrasound, or a gastroscopy.</t>
  </si>
  <si>
    <t xml:space="preserve">
1.Cranial abdominal detail is decreased however this is attributed to a confluence of soft tissues or lack of intra-abdominal fat over mesenteric inflammation and/or abdominal fluid._x000D_
2.A portion of the colon is gas filled and rigid consistent with inflammation._x000D_
3.The small intestines are distended._x000D_
4.The gastric rugae are prominent or the gastric lumen contains soft tissue opaque material mimicking the appearance of prominent gastric rugae._x000D_
5.The liver and spleen are normal size._x000D_
6.No abnormal AI findings reported.</t>
  </si>
  <si>
    <t>Three radiographs of the thorax, and three views of the abdomen are provided. The cardiac silhouette and pulmonary vessels are normal size. A moderate bronchial pattern is present throughout the lungs. Small round soft tissue density overlying the caudal dorsal heart on the right lateral view is end-on pulmonary vessel. No soft tissue pulmonary nodules. Fat deposition separates the heart and lungs from the sternum on the lateral views, with fat deposition in the cranial mediastinum on the VD projection. Normal tracheal diameter._x000D_
_x000D_
In the abdomen there is a smoothly irregular 7.1 cm soft tissue opaque mass extending ventral to the splenic tail. Normal-sized kidneys and liver. The gastrointestinal tract is mildly filled. No effusion. Several punctate mineral opaque calculi in the urinary bladder.</t>
  </si>
  <si>
    <t>1. Splenic tail mass, concerning for neoplasia such as hemangiosarcoma. Hematoma or hemangioma or next on the differential list._x000D_
2. Punctate cystic calculi, of a size that should be able to pass successfully._x000D_
3. Bronchial pattern is most likely normal age-related change. Allergic bronchitis could also cause this appearance but is felt to be very unlikely in the absence of associated respiratory signs. Otherwise normal thorax.</t>
  </si>
  <si>
    <t>Recommend abdominal ultrasound to rule out additional intra-abdominal lesions which may preclude surgical intervention.</t>
  </si>
  <si>
    <t>Four orthogonal radiographs of the abdomen dated 12th June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contains a small amount of granular food material and has a normal axis. Some soft tissue opaque material is present in the pyloric region on the left lateral image. The pylorus contains gas and an increased amount of fluid in the ventral dorsal image. The small intestines are homogenously filled with fluid and gas. The descending colon contains formed faeces. The urinary bladder is normal. The serosal detail is normal._x000D_
_x000D_
Extra-abdominal findings: No significant abnormalities are detected._x000D_
_x000D_
Included thorax: No significant abnormalities are detected.</t>
  </si>
  <si>
    <t>Relatively unremarkable abdomen. There is no evidence for segmental dilation or radiopaque foreign body. The food material in the pyloric region is most likely normal food, however partial pyloric outflow obstruction by non-radiopaque foreign material must be considered.</t>
  </si>
  <si>
    <t>Observational management is advised. Consider repeat post fasting radiographs, abdominal ultrasound, or an upper GI contrast study depending on clinical progression.</t>
  </si>
  <si>
    <t>3 views of the abdomen are provided for review.  Serosal detail is adequate in all quadrants.  The liver margins are rounded and extend beyond the costal arch, causing caudal displacement of the gastric axis.  The stomach contains a small amount of gas.  The small intestines are normal in size.  Gas and feces are present in the colon.  The urinary bladder is moderately distended.  The remaining abdominal organs are normal.</t>
  </si>
  <si>
    <t>THORAX and ABDOMEN (3 radiographs for review). Compared to 07/28/23._x000D_
_x000D_
- There is mild left-sided cardiomegaly, which is characterized by straightening of the caudal cardiac margin and dorsal displacement of the caudal aspect of the thoracic trachea. The pulmonary vasculature is normal._x000D_
- The cardiac silhouette and pulmonary vasculature are normal._x000D_
- The pulmonary parenchyma is normal_x000D_
- The trachea, esophagus and remainder of the mediastinum is/are normal._x000D_
- The pleural space and remaining intrathoracic structures are normal._x000D_
- Peritoneal serosal detail is adequate_x000D_
- The stomach contains mild gas and gas-stippled soft-tissue opaque material_x000D_
- The small intestine contains mild multifocal gas and soft-tissue opaque material_x000D_
- The colon contains gas, soft-tissue/fluid and mild formed fecal material._x000D_
- The liver, spleen, kidneys and urinary bladder are normal._x000D_
- L5-6 mineralized material dorsal to the disc space, superimposed over the vertebral canal.</t>
  </si>
  <si>
    <t>1. Mild left-sided cardiomegaly, without pulmonary vasculature congestion or congestive heart failure. Most likely compatible with degeneration of the mitral valve. Consider careful cardiac auscultation and echocardiography/ECG for further assessment._x000D_
_x000D_
2. Prior/chronic L5-6 extruded intervertebral disc.</t>
  </si>
  <si>
    <t>Patient name: Elvis Calderon _x000D_
ABDOMEN (3 views; 3 images, [2 Lateral, 1 VD]) _x000D_
Images are dated June 12, 2024._x000D_
There are no previous radiographs for comparison. _x000D_
 _x000D_
Liver: The liver is normal in size and shape with smooth margins._x000D_
_x000D_
Spleen: The spleen is prominent but normal in shape with smooth margins. _x000D_
_x000D_
Kidneys and urinary bladder: Both kidneys are normal in size and shape with smooth margins. The urinary bladder is mildly fluid distended. No radiopaque urinary calculi are detected. _x000D_
_x000D_
GI: The stomach contains scant gas and fluids.  No gastric enlargement is seen. Variably the small intestines contain fluid or gas while maintaining normal diameter and distribution. No distinct radiopaque gastrointestinal foreign material is detected. Gas and liquid feces are noted in the colon with trace mineral sediment segmentally lining colonic mucosal margins. _x000D_
_x000D_
Abdominal detail: Serosal detail is adequate. _x000D_
_x000D_
MSK: Mild to moderate smooth new bone formation is detected along the ventral aspect of vertebral bodies T13-L1, L2-L6, and L7-S1, variably bridging the intervertebral disc space.  Lateral new bone is also seen along the right margins of the L4-L5 disc space.  There is mild to moderate narrowing of the L4-L5 intervertebral disc space.       _x000D_
_x000D_
Caudal thorax: No abnormalities are detected in the visible cardiopulmonary structures of the thorax.</t>
  </si>
  <si>
    <t>1) Unremarkable abdomen.  Gastroenteritis/colitis are possible (e.g. dietary indiscretion, infection. Inflammation, etc.). Pancreatitis is not ruled out. 
2) Chronic intervertebral disc disease at L4-L5.
3) Multifocal spondylosis deformans</t>
  </si>
  <si>
    <t>CBC/chemistry, cPL, UA, and fecal testing.  Abdominal sonography can be considered for further evaluation if clinical signs persist or worsen in spite of medical management (e.g. fluid therapy, anti-emetics, antacids, probiotics, etc.)</t>
  </si>
  <si>
    <t xml:space="preserve">
1.The stomach contains small volume fluid and gas._x000D_
2.No abnormal AI findings reported._x000D_
3.The liver and spleen appear within normal limits._x000D_
4.Serosal detail is normal._x000D_
5.Small intestines are diffusely mild to moderately filled with fluid and gas. No convincing obstruction.</t>
  </si>
  <si>
    <t>3 views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  There is narrowing of the intervertebral disc spaces and spondylosis deformans at T11-L4.  A mineralized mass is seen in the subcutaneous tissues along the left ventral thorax.</t>
  </si>
  <si>
    <t>Radiographically normal thorax for patient of this age.  Thoracolumbar changes consistent with chronic intervertebral disc herniations.</t>
  </si>
  <si>
    <t xml:space="preserve">
1.The stomach is distended._x000D_
2.The colon and cecum are gas-filled and the colon has a rigid appearance._x000D_
3.The liver and spleen are normal._x000D_
4.Abdominal detail is normal._x000D_
5.The small intestinal tract is diffusely mildly distended and mostly gas-filled with some of the intestinal loops containing heterogenous material._x000D_
6.No abnormal AI findings reported.</t>
  </si>
  <si>
    <t>Three orthogonal radiographs of the abdomen dated 12th June 2024 are available for review. There are no previous radiographs available for comparison. _x000D_
_x000D_
Intra-abdominal findings: The hepatic silhouette is mildly enlarged with smooth borders. The stomach is mildly dilated with a mixture of foamy soft tissue opaque material and gas. The gastric axis is normal. There is some gas in the pylorus on the left lateral image. A spherical conglomerate of soft tissue opaque material is visible in the pylorus on the ventrodorsal image. The pylorus is distended in the right lateral image. The  small intestines are caudally displaced, homogenous in size, containing gas and fluid/soft tissue opaque material. The descending colon is empty. The urinary bladder is small. The spleen and kidneys are normal. The serosal detail is normal._x000D_
_x000D_
Extra-abdominal findings: No significant abnormalities are detected._x000D_
_x000D_
Included thorax: No significant abnormalities are detected.</t>
  </si>
  <si>
    <t>1. The food material in the pylorus may be transient normal ingesta, however a partial pyloric outflow obstruction by non-radiopaque foreign material must be considered. The relative distension of the stomach may indicate chronic outflow obstruction, depending on time since last feeding._x000D_
2.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</si>
  <si>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Supportive management including rehydration, gastroprotectants,  full blood work, faecal analysis if clinically indicated is advised, if not already performed. Repeat 3-view post fasting radiographs depending on clinical progression or consider an abdominal ultrasound or an upper GI contrast study.</t>
  </si>
  <si>
    <t>Three radiographs of the thorax/abdomen are provided. There is equivocal visibility of the left atrium on the VD projection, with no enlargement on the lateral views. Cardiac to thoracic ratio and pulmonary vessel size is normal. No abnormalities in the pulmonary parenchyma or pleural space. Normal tracheal diameter._x000D_
_x000D_
In the abdomen the liver is prominent with rounded caudoventral margins. Normal size spleen and kidneys. Punctate nephroliths are likely incidental. Formed feces fills the distal colon, and the cecum is gas dilated. The stomach and small bowel are mildly filled. There is a smoothly ovoid mineral opaque 0.8 cm structure in the caudoventral left abdomen. This appears to extend ventral to the urinary bladder on the left lateral view. Mineral opacity overlying the L3-4, L4-5, L5-6 intervertebral foramina, of doubtful clinical significance today.</t>
  </si>
  <si>
    <t>1. Prominent liver with rounded margins most consistent with steroid hepatopathy. Distended gallbladder may be contributing to the rounded contour. A hepatic mass lesion (cyst, neoplasia) is not definitively ruled out._x000D_
2. Small mineral density in the caudal abdomen is most likely incidental granuloma. A cystic calculus is given much lesser consideration._x000D_
3. Normal thorax.</t>
  </si>
  <si>
    <t>5 images of the abdomen are provided for review.  Serosal detail is adequate in all quadrants.  The liver margins are rounded and extend beyond the costal arch, causing caudal displacement of the gastric axis.  The spleen is also generally enlarged with rounded margins.  The stomach contains a small amount of gas.  The small intestines are normal in size.  Gas and feces are present in the colon.  The urinary bladder is small.  The remaining abdominal organs are normal.</t>
  </si>
  <si>
    <t>Splenomegaly=ZZ90= this is a nonspecific finding that may be seen in a variety of physiologic and disease states.  Hepatomegaly=ZZ90= this is a nonspecific finding that may be seen with congestion, vacuolar hepatopathy, inflammation, neoplasia, etc.</t>
  </si>
  <si>
    <t>Abdominal ultrasound may be helpful in further evaluation.  Three-view thoracic radiographs may also be helpful.</t>
  </si>
  <si>
    <t>Three radiographs of the thorax/abdomen are provided. The cardiac silhouette is normal size and shape. The left caudal pulmonary artery is enlarged. There is a small area of severe interstitial pattern overlying the cardiac apex on the right lateral view, seen to the left of the cardiac apex on the VD projection. No other pulmonary parenchymal abnormalities are appreciated. No pleural effusion. Adequate tracheal diameter. In the abdomen the liver is prominent with smooth margins. Normal-sized spleen and left kidney. The right kidney is obscured. The gastrointestinal tract is moderately filled. No radiopaque urolithiasis.
(amended on 06/13/2024 06:34)</t>
  </si>
  <si>
    <t>1. Enlarged left caudal pulmonary artery consistent with canine heartworm disease._x000D_
2. Severe interstitial pattern in the caudoventral left lungs, most likely aspiration pneumonia. Thromboembolic insult is not definitively ruled out._x000D_
3. Mild hepatomegaly, consider venous congestion or steroid hepatopathy primarily. Acute hepatic inflammation or neoplasia are next on the differential list. This should be correlated with history and blood work.</t>
  </si>
  <si>
    <t>Recommend a CBC. If the patient is febrile or has elevated white blood cell count, antibiotics would be recommended.
(amended on 06/13/2024 06:34)
The images were reviewed as the patient is panting incessantly and there was concern for CHF. Additional history of heart murmur 3/6, is on Pred and Doxy from the EC._x000D_
_x000D_
There is no convincing evidence of pulmonary edema to suggest heart failure. The perihilar region is relatively clear on the lateral views, and pulmonary vessels are adequately visible on the VD projection. The increased opacity to the left of the cardiac apex on the VD projection is felt to represent the focal severe interstitial pattern that is overlying the cardiac apex on the right lateral view. This area is felt to be either aspiration pneumonia or thromboembolic insult secondary to heartworm disease. If respiratory signs do not improve, consider repeating the thoracic radiographs, administering a single dose of Lasix, monitoring for rapid clinical and radiographic improvement.</t>
  </si>
  <si>
    <t>Patient name:  Shadow Bailey
ABDOMEN (3 views; 3 images, [2 Lateral, 1 VD]) 
Images are dated June 12, 2024.
Images of the thorax are included but were not evaluated.  
There are no previous radiographs for comparison. 
Liver: The liver is mildly enlarged but retains smooth margins.
Spleen: The spleen is normal in size with smooth margins.  A rounded soft tissue bulge is observed along the ventral margin of the splenic tail on the right lateral image.   
Kidneys and urinary bladder: Both kidneys are normal in size and shape with smooth margins. The urinary bladder is mildly fluid distended. No radiopaque urinary calculi are detected. 
GI: The stomach contains a moderate to large volume of gas and coarse granular soft tissue contents.  Addition thick soft tissue bands are detected in the gastric fundus. No gastric enlargement is seen.  Variably the small intestines contain fluid, gas, or finely granular soft tissue digesta while maintaining normal diameter and distribution. No distinct radiopaque gastrointestinal foreign material is detected. Gas and formed feces are noted in the colon. The colon is normal in position.
Abdominal detail: Serosal detail is adequate. 
MSK: A metallic mushroom shaped structure (ballistic) is seen along the ventrolateral margin of the right iliac wing.  Other visible musculoskeletal structures are within normal limits. 
Caudal thorax: No abnormalities are detected in the visible cardiopulmonary structures of the thorax.</t>
  </si>
  <si>
    <t>1) Small splenic mass arising from tail.  Differentials include lymphoid hyperplasia, extra-medullary hematopoiesis, neoplasia (hemangiosarcoma versus other) or hematoma.
2) Majority of gastric contents consistent with food but soft tissue band structures may still represent intended ingesta (e.g. elongated /shaped dog treat) but foreign material cannot be ruled out.  No evidence of obstruction.   
3) Mild hepatomegaly.  This is a non-specific finding with many differentials including: vacuolar hyperplasia, infection/inflammation, endocrine/metabolic disease, or neoplasia. 
4) Incidental right sublumbar ballistic foreign body (pellet), likely incidental and historic.</t>
  </si>
  <si>
    <t>Abdominal ultrasonography for further evaluation of the spleen. If a splenic mass is confirmed, histopathology via splenectomy may be necessary for a definitive diagnosis. Consider coagulation testing if not recently performed.
Cardiac work-up (ECG, blood pressure, and echocardiogram) to further evaluate cause of collapse.</t>
  </si>
  <si>
    <t>Thoracic and abdominal radiographs parentheses 6 images) dated June 12, 2024._x000D_
_x000D_
_x000D_
There is evidence of pleural effusion and a ruptured diaphragm and herniation of the liver into the pleural space. The stomach is cranially displaced but appears to remain within the peritoneal space proper and contains a small amount of gas. The splenic tail is suspected to be partially herniated or is at the precipice between the peritoneal space and pleural space. The splenic head is not identified. There is a wideband of soft-tissue opacity associated with the right lateral thoracic body wall. Aside from the dorsal deviation of the cardiac silhouette caused by these changes, the cardiac silhouette is unremarkable, as are the pulmonary vasculature and great vessels. There is reduced aeration of the pulmonary parenchyma due to the pathology. The unstructured interstitial pattern in the right hemithoracic region could represent superimposed pleural effusion vs. pulmonary contusions. No rib fractures are identified. Dorsal caudal thoracic and lumbar soft tissue swelling is present in association with emphysema and multiple middle staples. Small intestine is empty aside from a small amount of gas. The colon contains normal stool and has a normal course. Both kidneys are normal in size and shape. The urinary bladder is only partially visible and appears mildly distended fluid opacity. Retroperitoneal and peritoneal detail are adequate. No regional lymphadenopathy is evident. The seam is present in the lateral abdominal body wall.</t>
  </si>
  <si>
    <t>1. Traumatic diaphragmatic hernia with herniation of the liver and likely part of the spleen into the pleural space._x000D_
2. Mild pleural effusion likely secondary to hemorrhage and trauma from the hernia. Direct bite wound trauma penetrating into the pleural space cannot be completely ruled out but is not radiographically appreciable._x000D_
3. Body wall trauma and emphysema._x000D_
4. No evidence of direct peritoneal trauma or peritonitis.</t>
  </si>
  <si>
    <t>Thoracocentesis for fluid analysis and cytology. _x000D_
Surgical diaphragmatic repair.</t>
  </si>
  <si>
    <t>ABDOMEN (3 total radiographs for review). _x000D_
_x000D_
- Peritoneal serosal detail is adequate_x000D_
- The stomach contains mild gas and gas-stippled soft-tissue opaque material, as well as a small volume of fluid. In the pyloric antral region of the stomach there are multiple small mineral opaque structures._x000D_
- The small intestine contains diffuse, moderate gas and minimal soft-tissue opaque material_x000D_
- The colon contains gas, soft-tissue/fluid and mild formed fecal material._x000D_
- The liver, spleen, kidneys and urinary bladder are normal._x000D_
- The caudal thorax is normal_x000D_
- No musculoskeletal abnormalities are noted.</t>
  </si>
  <si>
    <t>1. The appearance of the gastrointestinal tract is most reflecting a combination of aerophagia and nonspecific gastrointestinal functional ileus (e.g. gastroenteritis). There is mild nonspecific mineral opaque material in the  stomach which can support a history of dietary indiscretion. There is no obvious small intestinal mechanical obstruction noted. In this patient, I would consider recheck abdominal radiographs to reevaluate the persistence of the intestinal distention and/or abdominal ultrasound for further assessment if clinically indicated.</t>
  </si>
  <si>
    <t xml:space="preserve">
1.The liver and peritoneal serosal detail are normal._x000D_
2.No abnormal AI findings reported._x000D_
3.Splenic size, shape and margin are normal._x000D_
4.The small intestine contains a mild volume of gas, fluid or is empty._x000D_
5.Overall, the small intestine is normal in size._x000D_
6.The colon contains soft tissue material or mild gas.</t>
  </si>
  <si>
    <t>5 views of the thorax and abdomen are submitted for review.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mild to moderate amount of food-like material.  The small bowel and colon are within normal limits.  The liver and spleen are normal in size, shape, and margination.  The bilateral renal silhouettes are within normal limits.  The urinary bladder is unremarkable.  Serosal detail is normal._x000D_
No definitive osseous lesions seen.</t>
  </si>
  <si>
    <t>Radiographically normal thorax with no evidence of pulmonary metastatic disease or intrathoracic lymphadenopathy._x000D_
Radiographically normal abdomen.</t>
  </si>
  <si>
    <t>Opposite lateral and VD views of the thorax and abdomen are provided. Previous radiographs are available for comparison._x000D_
_x000D_
The mild cardiomegaly seen in the previous study dated 8-18-21 is less prominent in the current radiographs.. Sizes considered borderline. No pulmonary infiltrates or bronchial thickening are identified. No tracheal abnormalities are seen._x000D_
_x000D_
There is a wire in the cranial abdomen that was also present in previous radiographs. This is presumed incidental. No abnormalities are identified involving the GI tract. There is a small quantity of normal appearing fecal material in the descending colon and rectum. The appearance is not suggestive of constipation. No mass effect is seen in the sublumbar region or pelvic canal. Mild hepatomegaly is present, which was also seen in previous radiographs. No mass lesions or loss of detail are seen in the abdomen._x000D_
_x000D_
There is severe narrowing and moderate spondylosis involving L4-05 disc space. This has progressed relative to the previous study dated 8-18-21. There is also severe narrowing and mild spondylosis at L1-L2 which is a new finding. There is moderate narrowing at T12-T13, which was also present previously. No destructive bone lesions are seen.</t>
  </si>
  <si>
    <t>1) There is no evidence of constipation or other anatomic abnormalities associated with the colon or pelvic canal region that would explain the primary complaint._x000D_
_x000D_
2) There is evidence of chronic disc degeneration involving the thoracolumbar spine, which has progressed over the last few years._x000D_
_x000D_
3) No significant cardiopulmonary abnormalities are identified._x000D_
_x000D_
4) There is persistent mild hepatomegaly.</t>
  </si>
  <si>
    <t>The cause of the presenting complaint is not apparent in the radiographs. A soft tissue lesion such as a mass or polyp within the rectum or bladder not visible in the radiographs should still be ruled out.</t>
  </si>
  <si>
    <t xml:space="preserve">
1.The liver and spleen are normal size and shape._x000D_
2.Abdominal detail is adequate._x000D_
3.The stomach and small bowel are minimally filled. No evidence of obstruction._x000D_
4.No abnormal AI findings reported.</t>
  </si>
  <si>
    <t>WHOLE-BODY (7 total radiographs for review). Compared to previous examination dated 10/16/23._x000D_
_x000D_
- The previously described multifocal alveolar pulmonary pattern has resolved. Today the lungs are well inflated and normal._x000D_
- There remains a mild diffuse bronchopulmonary pattern present._x000D_
- The cardiovascular structures are normal._x000D_
- There is again a soft tissue opaque band in the cervical region narrowing the  tracheal diameter._x000D_
- The remaining included intrathoracic structures are normal._x000D_
- Peritoneal serosal detail is adequate_x000D_
- The liver is mildly enlarged, with rounded margins._x000D_
- The stomach contains mild gas and gas-stippled soft-tissue opaque material_x000D_
- The small intestine contains mild multifocal gas and soft-tissue opaque material_x000D_
- The colon contains gas, soft-tissue/fluid and mild formed fecal material._x000D_
- The spleen, kidneys and urinary bladder are normal._x000D_
- Mild bilateral coxofemoral osteoarthritis.</t>
  </si>
  <si>
    <t>1. Resolved multifocal alveolar pulmonary pattern, likely having prior represented bronchopneumonia as described clinically._x000D_
_x000D_
2. Static, unchanged diffuse bronchial pulmonary pattern which may represent chronic lower airway disease e.g. chronic bronchitis however can be a normal age-related airway change in dogs. This may be a main contributor to the patients reported chronic coughing._x000D_
_x000D_
3. The appearance of the trachea at the level of the cervical/thoracic inlet region can be compatible with tracheal collapse secondary to chondromalacia however this is an atypical pathology for a patient as large as the reported signalment._x000D_
_x000D_
4. Mild generalized hepatomegaly. Most likely representing vacuolar (metabolic) hepatopathy. Hepatic congestion, hepatitis or neoplasia are possible, but less likely._x000D_
_x000D_
5. Mild bilateral coxofemoral osteoarthritis.</t>
  </si>
  <si>
    <t xml:space="preserve">
1.Resource: https://platform.v2.vetology.net/doc/liver_disease_x000D_
2.Splenic size, shape and margin are normal._x000D_
3.On the lateral projection, the liver is mildly enlarged with rounded margins. Less commonly, gastric distention silhouetting with the liver can trigger this AI result._x000D_
4.Abdominal detail is satisfactory._x000D_
5.The ventral abdominal line is pendulous._x000D_
6.In most cases, the stomach and small bowel are minimally filled however in a small number of cases, gastric distention will silhouette with the liver artifactually creating the appearance of hepatomegaly._x000D_
7.Formed feces in the distal colon.</t>
  </si>
  <si>
    <t>A three view thoracoabdominal study is provided for interpretation._x000D_
_x000D_
The cardiopulmonary structures are within normal limits. No tracheal or esophageal abnormalities are identified._x000D_
_x000D_
There is a small quantity of soft tissue dense ingesta in the stomach. Most is amorphous, some is semi formed. No discrete foreign objects are identified. The volume of small intestinal gas is mildly increased overall. No dilation of the stomach or intestine is seen. The other abdominal organs are unremarkable. Serosal detail is normal.</t>
  </si>
  <si>
    <t>The appearance of the content within the stomach is compatible with food. Radiolucent gastric foreign material cannot be entirely excluded._x000D_
_x000D_
The mild increase in small intestinal gas is within the limits of what might be seen as a benign variant but can also be associated with enteritis._x000D_
No foreign bodies or obstructive pattern are identified.</t>
  </si>
  <si>
    <t>Gastroenteritis would be the most likely explanation for the clinical complaint. Dietary causes should be ruled out. Infectious causes would be less likely but cannot be excluded._x000D_
Persistent radiolucent gastric foreign material also cannot be ruled out on the basis of these radiographs._x000D_
_x000D_
Endoscopy is recommended if possible. If this is not an option, a contrast gastrogram after fasting could be considered to rule out persistent gastric foreign material.</t>
  </si>
  <si>
    <t>Right lateral and VD views of the thorax and abdomen are provided. There are five images._x000D_
_x000D_
Bone density is poor overall. There is bilateral medial patellar luxation in the VD pelvis view. No abnormalities are seen involving the pelvis or hips. No spinal abnormalities are identified. There is irregular angulation and contour involving the right scapula or healed previous folding fracture._x000D_
_x000D_
The heart is at the upper end of normal size range. There is ill defined increased opacity in the right middle and caudal lung fields, subtle lobular shapes suggestive of coalescing small mass lesions. There is also a focal region of atelectasis involving the right caudal lung. There is a large area of lucency in the caudal thorax on midline which is suspicious for a large bulla in some of the images, but is not consistently seen in may be an artifact caused by the area of nearby atelectasis and other summation of shadows. There is lobular contour of the pleural margin on the right caudal thorax is suggestive of slight pleural fluid._x000D_
No abdominal abnormalities are identified.</t>
  </si>
  <si>
    <t>There is bilateral patellar luxation, but considering this is likely chronic relevance to the reported hind and lameness is unknown. No fractures are identified. No abnormalities are seen involving the spine or hips._x000D_
Soft tissue injury could still be present without significant radiographic changes._x000D_
_x000D_
There is abnormal opacity involving the right middle lung fields suspicious for early pulmonary mass development. Abscess/pneumonia should also be ruled out if clinically indicated. However, inflammatory/infectious causes are less likely given the lack of reported respiratory clinical signs.</t>
  </si>
  <si>
    <t>Restricted activity and anti-inflammatory therapy for possible soft tissue injury is recommended._x000D_
_x000D_
Follow up imaging of the thorax such as CT is recommended.</t>
  </si>
  <si>
    <t>Patient Name: Mia Sandler Ehrlich, Date of study: Jun 12, 2024
Canine Abdomen (2 Images) - 1 Lateral, 1 Vd
There are no previous radiographs for comparison.
Findings:
Gastrointestinal tract: There is a distended loop of small intestine superimposed with the urinary bladder on the lateral view. This loop of intestine contains fragmented gas foci and fluid. In the right abdomen on the VD view there are several linear gas striations, concerning for foreign material. The stomach is small in size and normal in position. The colon contains loosely formed feces and gas.
Liver: The liver is mildly enlarged with rounded margins which extend beyond the costal arch.
Spleen: The spleen is unremarkable.
Urinary: The urinary bladder is mildly distended and normal in opacity. The kidneys are normal in size, shape, and margination.
Peritoneal space: There is adequate serosal detail.
Musculoskeletal: There is mild osteoarthritis of the hips. The included skeletal and superficial soft tissue structures are otherwise normal.
Caudal thorax: The cardiopulmonary structures and the caudal thorax are normal.</t>
  </si>
  <si>
    <t xml:space="preserve">1. Distended small intestinal loop with suspected foreign material (cloth-like textile). A mechanical obstruction is of high concern (complete vs. partial). 
2. Mild hepatomegaly.  This is a nonspecific finding, differentials include metabolic disease, endocrine disease, inflammation, and less likely, infiltrative neoplasia.  </t>
  </si>
  <si>
    <t xml:space="preserve">Given the timeframe since radiography, recheck abdominal radiographs (3 views), contrast radiography (2 views), or an abdominal ultrasound are recommended. </t>
  </si>
  <si>
    <t xml:space="preserve">
1.A portion of the colon is gas filled and rigid and/or transiently corrugated consistent with inflammation._x000D_
2.Small intestines are minimally distended._x000D_
3.The stomach contains gas and small volume fluid._x000D_
4.No abnormal AI findings reported._x000D_
5.The liver and spleen are normal size._x000D_
6.Abdominal detail is mildly decreased however this is attributed to a confluence of soft tissues or lack of intra-abdominal fat over mesenteric inflammation and/or abdominal fluid.</t>
  </si>
  <si>
    <t>Colitis. Fluid filled small bowel. DDx: normal post-prandial vs. enteritis. This finding should be correlated to clinical signs. No small intestinal obstruction is noted. Decreased abdominal detail. Lack of intra-abdominal fat or confluence of soft tissue suspected over mesenteric inflammation and/or abdominal fluid.</t>
  </si>
  <si>
    <t>Opposite lateral and ventrodorsal thoracic and abdominal radiographs (6 images) dated June 12, 2024._x000D_
_x000D_
_x000D_
The cardiac silhouette and great vessels are normal. The pulmonary vessels are small in size.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normal in size and shape. The stomach contains a mild volume of gas and fluid. The pyloric antrum and duodenum are gas-filled on the left lateral view. The small intestine has a mild and unremarkable variation in diameter with most segments empty/collapsed or containing a small amount of fluid, and the small bowel has broad ropelike turns in its course to give it a subjectively turgid appearance The cecum contains gas. The colon is empty/collapsed. Both kidneys are normal in size and shape, and retroperitoneal detail is normal. The urinary bladder is small and fluid opaque. Retroperitoneal and peritoneal detail are normal. No regional lymphadenopathy is evident._x000D_
_x000D_
No aggressive or clinically significant osseous pathology is identified.</t>
  </si>
  <si>
    <t>1. Gastroenteritis._x000D_
2. Radiographically unremarkable kidneys. This does not rule out acute kidney injury or chronic renal disease._x000D_
3. Small pulmonary vessels are suggestive of dehydration/hypovolemia. The remainder of the thorax is unremarkable.</t>
  </si>
  <si>
    <t>Urinalysis and urine culture via cystocentesis, 4Dx, blood pressure evaluation, and leptospirosis testing._x000D_
Hospitalized supportive care with fluids, antiemetics, omeprazole/pantoprazole/bland diet._x000D_
Recheck renal values once euhydrate for comparison._x000D_
Abdominal ultrasound could also be considered.</t>
  </si>
  <si>
    <t xml:space="preserve">
1.Liver size, shape and margin are normal._x000D_
2.The stomach contains small volume gas and scant amorphous soft tissue density material. Diffuse, mild to moderate gas dilation of the small bowel without evidence of obstruction._x000D_
3.Splenic size, shape and margin are normal._x000D_
4.Abdominal detail is normal.</t>
  </si>
  <si>
    <t>WHOLE-BODY (3 total radiographs for review)._x000D_
_x000D_
- Mild, diffuse bronchial pattern with a few thickened pleural fissures._x000D_
- The cardiac silhouette and pulmonary vasculature are normal._x000D_
- The trachea, esophagus and remainder of the mediastinum is/are normal._x000D_
- The remaining intrathoracic structures are normal._x000D_
- Peritoneal serosal detail is adequate_x000D_
- The stomach contains mild gas and gas-stippled soft-tissue opaque material_x000D_
- The small intestine contains mild multifocal gas and soft-tissue opaque material_x000D_
- The colon contains gas, soft-tissue/fluid and moderate formed fecal material._x000D_
- The liver, spleen, kidneys and urinary bladder are normal._x000D_
- Moderate multifocal spondylosis deformans.</t>
  </si>
  <si>
    <t>1. A discrete radiographic cause or secondary sequelae for the reported anemia is not clearly identified. The abdomen has a post-prandial appearance and can be within normal variation. In the thorax, there is a mild diffuse bronchial pattern with few thickened pleural fissures, most likely representing age-related lower airway changes, however a component of chronic bronchitis is possible, especially if there is a history of abnormal respiratory sounds, wheezing and/or coughing._x000D_
_x000D_
If further evaluation is desired, abdominal ultrasound and/or whole-body CT might be considered</t>
  </si>
  <si>
    <t>Patient Name: Morty Hofmann, Date of study: Jun 12, 2024
Thorax and abdomen: 7 images are provided for review (3 thoracic, 4 abdominal). 
There are no previous radiographs for comparison.
Findings:
Cardiac silhouette: The cardiac silhouette is normal in size and shape.
Pulmonary vessels: The pulmonary arteries and veins are normal. Vessels in the caudal subsegment of the left cranial lung are not identified.
Pulmonary parenchyma: There is an alveolar pattern in the caudal subsegment of the left cranial lung lobe. The remainder of the pulmonary parenchyma is normal.
Pleural space: The pleural space is within normal limits.
Mediastinum: The mediastinum is normal in width and opacity. There is no evidence of intrathoracic lymphadenopathy.
Trachea: The trachea is normal in diameter and course.
Esophagus: There is a small volume of transient gas in the cranial thoracic esophagus. The caudal thoracic esophagus contains a small volume of fluid on the left lateral view.
Gastrointestinal tract: The stomach contains a small volume of gas and is normal in position. The duodenum is gas-filled on the left lateral and VD views. The small intestines are diffusely within normal limits of size. The colon contains formed feces and gas.
Liver: The liver is normal in size and shape.
Spleen: The spleen is unremarkable.
Urinary: The visible margins of the kidneys are normal. The urinary bladder is moderately distended and normal in opacity.
Peritoneal space: There is adequate serosal detail.
Musculoskeletal: The skeletal and superficial soft tissue structures are within normal limits.</t>
  </si>
  <si>
    <t>1. Alveolar pattern in the caudal subsegment of the left cranial lung lobe, consistent with pneumonia (bronchopneumonia versus aspiration). An inhaled foreign body cannot be excluded.
2. Normal cardiovascular structures.
3. Unremarkable abdomen.</t>
  </si>
  <si>
    <t>Continued antibiotic therapy for pneumonia is recommended. Airway sampling (respiratory PCR, lavage, wash) could be considered to guide treatment. Repeat three view thoracic radiographs are recommended following additional treatment.</t>
  </si>
  <si>
    <t xml:space="preserve">
1.Splenic size, shape and margin are normal._x000D_
2.Abdominal detail is normal._x000D_
3.Liver size, shape and margin are normal._x000D_
4.The gastric rugae are prominent. The small bowel is diffusely gas- and fluid filled without segmental small bowel dilation.</t>
  </si>
  <si>
    <t>WHOLE-BODY (6 total radiographs for review)._x000D_
_x000D_
- Soft-tissue opaque band dorsally overlying the tracheal in the cervical/thoracic inlet regions._x000D_
- Mild diffuse bronchial pattern._x000D_
- Rounding of the cardiac silhouette, particularly the cranial and right margins._x000D_
- Pulmonary vasculature is normal._x000D_
- The pleural space and remaining intrathoracic structures are normal._x000D_
- Peritoneal serosal detail is adequate_x000D_
- The liver is moderately enlarged, with rounded margins._x000D_
- Small, filamentous wire-like foreign body in the left cranioventral abdomen._x000D_
- The stomach contains mild gas and gas-stippled soft-tissue opaque material_x000D_
- The small intestine contains mild multifocal gas and soft-tissue opaque material_x000D_
- The colon contains gas, soft-tissue/fluid and mild formed fecal material._x000D_
- The spleen, kidneys and urinary bladder are normal._x000D_
- Mild multifocal spondylosis deformans.</t>
  </si>
  <si>
    <t>1. In this case, the patient=ZZ91=s coughing is suspected to most likely be due to a combination of chronic lower airway disease (e.g. bronchitis) +/- tracheal collapse. The heart enlargement noted feels mostly right-sided, and for this reason I would consider secondary cardiac remodeling due to chronic pulmonary hypertension (cor pulmonale) although tricuspid valve disease is also possible. I would recommend considering treating this patient for chronic lower airway disease, ruling out tracheal collapse and potentially performing a thoracic CT or internist consultation for further assessment. Echocardiogram and cardiologist consultation are also likely indicated._x000D_
_x000D_
2. No evidence of pulmonary metastatic neoplasia (reported mammary masses)_x000D_
_x000D_
3. Moderate generalized hepatomegaly. Most likely representing vacuolar (metabolic) hepatopathy. Hepatic congestion, hepatitis or neoplasia are possible, but less likely._x000D_
_x000D_
4. Likely incidental left cranioventral abdominal wire-like peritoneal foreign body.</t>
  </si>
  <si>
    <t>Opposite lateral and ventrodorsal abdominal radiographs (5 images) dated June 12, 2024._x000D_
_x000D_
The liver is mildly enlarged. The spleen is unremarkable in size and shape. The stomach contains a moderate amount of gas and has prominent rugal folds. The pyloric antrum is gas-filled on the VD projections. The small intestine has a mild variation in diameter, predominantly contains gas, and has broad ropelike turns in its course to give it a subjectively turgid appearance. The colon contains a mild volume of formed stool. The urinary bladder is small and only visualized. Both kidneys are best visualized on the lateral views, in which no abnormalities are identified. Retroperitoneal and peritoneal detail are normal. No regional lymphadenopathy is evident._x000D_
Both hips have reduced acetabular coverage and mild joint laxity, as well as femoral neck enthesophytosis.</t>
  </si>
  <si>
    <t>1. Non-obstructive gastroenteritis.  Rule out dietary indiscretion or toxin vs. food allergy/intolerance vs. flareup of a chronic enteropathy (ex: IBD) vs. GI infectious vs. less likely systemic/extra GI causes (liver or kidney injury/disease, pancreatitis, endocrine disorder, systemic infection)._x000D_
2. Mild hepatomegaly. Rule out a benign metabolic/vacuolar hepatopathy vs. less likely inflammatory and infiltrative neoplastic conditions._x000D_
3. Hip laxity.</t>
  </si>
  <si>
    <t>Supportive care with fluid rehydration, antiemetics, gastroprotectants/omeprazole, and bland diet.  General health profile (CBC, chemistry, UA, fecal) +/- spec cPL and baseline cortisol to screen for underlying causes.  Abdominal ultrasound and GI blood panel could be considered given the chronic history.</t>
  </si>
  <si>
    <t>A lateral thoracoabdominal view and three views of the left front limb are provided for interpretation. No previous radiographs are visible._x000D_
_x000D_
Abdomen: Two small mineral opacities consistent with tiny cystic calculi are identified superimposed over the urinary bladder. No renal calculi or ureteral calculi are seen. There is a small quantity of fragmented mineral density in the stomach. No dilation the stomach or intestine is seen. The other organs are unremarkable._x000D_
The cardiopulmonary structures are within normal limits._x000D_
Disc spaces in the caudal thoracic spine appear moderately narrowed._x000D_
_x000D_
No abnormalities are identified involving the shoulder joint or the elbow. The carpus is also unremarkable. No soft tissue swelling or destructive/productive bone lesions are identified.</t>
  </si>
  <si>
    <t>No orthopedic abnormalities are identified involving the left front limb. There is no visible evidence of traumatic injury but soft tissue injury or inflammation could still be present without radiographic changes. Conservative management is recommended._x000D_
_x000D_
There are opacities consistent with two very small cystic calculi in the urinary bladder. The small quantity of gastric foreign material is presumed to be a transient incidental finding. The rest of the abdomen is within normal limits.</t>
  </si>
  <si>
    <t>Restricted activity and anti-inflammatory therapy for possible soft tissue injury/inflammation is recommended.</t>
  </si>
  <si>
    <t xml:space="preserve">Patient Name : Angel Peters, Date of study: Jun 10, 2024
3 images are provided for review
There are no previous radiographs for comparison.
Liver: The liver is subjectively normal in size.
Spleen: The spleen is moderately enlarged and extends into the caudoventral abdomen. In the left lateral image, the caudal margin of the spleen is rounded and focally enlarged.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mild volume of fluid, minimal gas, but is majority empty.  
The small intestine contains mild gas and fluid or is empty with a subjectively uniform population for size. 
The colon contains well-defined, mild to moderate soft tissue material and gas.  The colon is normal in size.
Musculoskeletal: Spondylosis deformans is present at T13-L1 and L2-3, L3-4, and L4-5, and L7-S1.  The remaining  included musculoskeletal structures are normal.
</t>
  </si>
  <si>
    <t xml:space="preserve">1. Mild-moderate splenomegaly and possible splenic mass.
- Differential diagnoses include neoplasia such as evolving hemangiosarcoma versus metastatic disease from an occult primary or other, versus non-neoplastic etiologies such as extramedullary hematopoiesis, or nodular hyperplasia.
2. There is no evidence of gastrointestinal mechanical ileus.  </t>
  </si>
  <si>
    <t xml:space="preserve">CBC/serum biochemistry if not already performed, with abdominal ultrasonography for further evaluation of the spleen.  Coagulation testing and tissue sampling depending on results.  Oncologist consultation and thoracic imaging if a malignancy is identified.  4DX testing may be contributory.  Empirical therapy and supportive care in the interim as needed. </t>
  </si>
  <si>
    <t>Orthogonal radiographs of the thorax/abdomen, two views of the pelvis, and two lateral stifle views are provided. The cardiac silhouette and pulmonary vessels are normal size. Increased opacity overlying the left thorax on the VD projection is due to fat deposition and mild rotation. No abnormalities in the pulmonary parenchyma or pleural space. Normal tracheal diameter. In the abdomen there is no effusion or organomegaly. The gastrointestinal tract is minimally filled. No radiopaque cystic calculi. Normal lumbar spine. The coxofemoral joints are congruent. Both patellas are medially displaced. Right pelvic limb musculature is mildly reduced. There is stifle degenerative change on both of the lateral stifle views. The 2nd view is of the left stifle. The 1st view does not include the laterality marker, and laterality is uncertain. There is increased opacity overlying the cranial aspect of the stifle on both lateral views, although there is obliquity present. No popliteal lymphadenomegaly.</t>
  </si>
  <si>
    <t>1. Bilateral medial patellar luxation and stifle osteoarthrosis. No other definitive stifle abnormalities. Increased opacity overlying the cranial aspect of the stifle joints is concerning for cruciate ligament insult, however could be due to rotation. No coxofemoral joint abnormalities._x000D_
2. Normal abdomen and thorax.</t>
  </si>
  <si>
    <t>If discomfort is localized to the stifle and there is palpable stifle instability, surgical stabilization would be recommended.</t>
  </si>
  <si>
    <t xml:space="preserve">
1.No abnormal AI findings reported._x000D_
2.The liver and spleen are normal size and shape._x000D_
3.Serosal detail is normal with no evidence of effusion._x000D_
4.The stomach contains a moderate amount of granular soft tissue density._x000D_
5.Small intestines are mildly fluid filled._x000D_
6.The colon contains gas proximally, with formed feces in the distal colon.</t>
  </si>
  <si>
    <t>In the absence of clinical symptoms, AI findings are most compelling for: Normal intestinal tract. If GI symptoms are present, gastroenteritis can be considered.</t>
  </si>
  <si>
    <t xml:space="preserve">
Virtual Radiologist Case Difficulty: MODERATE_x000D_
Virtual Radiologist Confidence: MODERATE_x000D_
Continued supportive care. If GI signs are present, withhold food for 12-15 hours followed by repeat abdominal radiographs to assess for retention of the gastric contents. If the gastric contents persist after withholding food or if there is non-productive vomiting, the concern for gastric foreign material increases.</t>
  </si>
  <si>
    <t>Opposite lateral and ventrodorsal thoracic and abdominal radiographs (6 images) dated June 12,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is unremarkable in size and shape. There is the impression of a cluster of ovoid mineral foci superimposed with ventral liver on the right lateral view=ZZ90= this is suspected to represent gallbladder cholelithiasis. The spleen is unremarkable in size and shape=ZZ90= there is a rounded margin superimposed with the cranial aspect of the splenic tail on the right lateral view=ZZ90= this may represent incidental splenic folding, a superimposed small bowel segment, or less likely nodule. The stomach contains a mild volume of gas and fluid. The small intestine is unremarkable in size, course, and content. The cecum primarily contains gas. The colon contains formed stool and has a normal course. Both kidneys are normal in size and shape. The urinary bladder is small and fluid opaque. Retroperitoneal and peritoneal detail are normal. No regional lymphadenopathy is evident._x000D_
No aggressive or clinically significant osseous pathology is identified.</t>
  </si>
  <si>
    <t>1. Normal cardiovascular structures. The cause for the murmur is not radiographically apparent. Rule out valvular disease that has yet to result in gross structural changes to the heart vs. a benign or physiologic flow murmur._x000D_
2. Normal thorax with no radiographic contraindications to anesthesia._x000D_
3. Suspect gallbladder cholelithiasis. This is typically considered an incidental finding. 4. Rounded margin superimposed with the cranial aspect of the splenic tail on the right lateral view is suspected represent incidental splenic folding or a superimposed small bowel segment. A splenic nodule is considered less likely but cannot be completely ruled out.</t>
  </si>
  <si>
    <t>Consider a cardiac sparing anesthetic protocol (ex: CRIs of an opioid, benzodiazepine, and low-dose ketamine +/- etomidate to minimize propofol and inhalant use). _x000D_
An echocardiogram is needed to elucidate the cause for the murmur._x000D_
Focal splenic ultrasound to confirm or rule out nodular changes.</t>
  </si>
  <si>
    <t>Sixteen radiographs are provided, with images of the abdomen, pelvis, and pelvic limbs. In the abdomen serosal detail is adequate in the peritoneal and retroperitoneal spaces. Moderate to large volume soft tissue opaque ingesta fills the stomach. Small bowel and colon are mildly filled. No radiopaque foreign material or urolithiasis. Normal size kidneys, liver, spleen. No extra-abdominal lesions or asymmetry is appreciated on the VD views. No narrowed caudal thoracic or lumbar intervertebral disc spaces or foramina. There is no endplate lysis. Both acetabula are shallow, with poor coverage of the femoral heads. The femoral necks are thickened and there is enthesophyte formation on the acetabular rims. Pelvic limb musculature is approximately symmetric. The left patella is medially displaced. There is small to moderate volume fluid in the cranial and caudal aspect of the left stifle joint. The left tibia is mildly cranially positioned with respect to the femoral condyles, and there is mild periarticular osseous remodeling. No fluid in the right stifle joint. Popliteal lymph nodes are normal size. No tarsal abnormalities.</t>
  </si>
  <si>
    <t>1. Mild to moderate left stifle effusion and radiographic drawer sign, most consistent with cranial cruciate ligament tear/rupture. This is the cause for lameness. Medial patellar luxation on the left may be contributing to discomfort. Normal right stifle._x000D_
2. Bilateral hip dysplasia with subluxation and osteoarthrosis. This could be contributing to discomfort._x000D_
3. Normal abdomen and lumbar spine. Non-mineralized intervertebral disc protrusion/extrusion remains possible.</t>
  </si>
  <si>
    <t>Surgical stabilization of the left stifle is recommended. Also recommend weight management as needed.</t>
  </si>
  <si>
    <t xml:space="preserve">
1.The small bowel is diffusely gas- and fluid-filled but without segmental bowel dilation._x000D_
2.Abdominal detail is normal._x000D_
3.See Spleen Finding_x000D_
4.There is a mild increase in soft tissue opacity in the splenic region suggestive of splenomegaly. Caudal extension of a liver lobe into the region of the spleen is a lesser consideration. No soft tissue mass is noted in the splenic region._x000D_
5.The stomach is normal.</t>
  </si>
  <si>
    <t>Right lateral and ventrodorsal abdominal radiographs (3 images) dated June 12, 2024._x000D_
_x000D_
_x000D_
The liver measures at the lower limits of normal size, resulting in a cranial shift in the gastric axis. The spleen is unremarkable. Both kidneys are only partially visible with no obvious abnormalities appreciated. The urinary bladder is moderately distended with homogeneous fluid opacity. The stomach contains gas and a small amount of amorphous soft-tissue/fluid content. The gastric rugal folds in the fundic region are prominent in size. There are multiple segments of bowel containing a large amount of gas just caudal to the stomach, and these likely represent the cecum and colon. There are a few small intestinal segments in the mid-dorsal abdomen that are moderately distended with gas. Additional segments of small bowel or empty/collapsed or containing a small amount of fluid and gas. Mid-peritoneal detail is reduced. The descending colon contains gas and fluid. No regional lymphadenopathy is evident.</t>
  </si>
  <si>
    <t>1. No definitive evidence of a gastrointestinal mechanical obstruction. The more dilated segments in the cranial abdomen likely represent the cecum and colon._x000D_
2. Poor peritoneal detail likely represents enteritis or pancreatitis._x000D_
3. Small volume of gastric content could represent residual ingesta or fluid pooling from a functional gastric stasis vs. foreign material.</t>
  </si>
  <si>
    <t>While there are no strong findings to suggest a persistent gastrointestinal mechanical obstruction, this study does not 100% rule it out._x000D_
Recommend repeat abdominal ultrasound vs. upper GI barium study (5 ml/kg PO or via NG tube)._x000D_
_x000D_
_x000D_
For all patients with upper GI clinical signs and the potential for a mechanical obstruction, three-view abdominal radiographs are encouraged and should be obtained in the order of left lateral, ventrodorsal, and right lateral. This helps to examine the mobility of the gastric material and assess for gas buildup in the non-dependent pyloric antrum and proximal duodenum on the left lateral view (essentially a negative contrast study).</t>
  </si>
  <si>
    <t>Three radiographs of the thorax are provided. There is moderate left-sided cardiomegaly. The right heart is also increased in convexity. Dorsal deviation of the caudal thoracic trachea and mainstem bronchi. The left mainstem bronchus is compressed. Pulmonary vessels are normal size. No abnormalities in the pulmonary parenchyma. Redundant dorsal trachealis membrane causes severe narrowed cervical trachea. In the cranial abdomen there are several small mineral densities overlying the ventral right liver consistent with choleliths, typically incidental. Narrowed T12-13 intervertebral disc space, also likely incidental.</t>
  </si>
  <si>
    <t>1. Moderate, predominantly left-sided cardiomegaly consistent with acquired mitral and tricuspid valve disease. There is no pulmonary venous congestion or pulmonary edema, however there is mainstem bronchial compression._x000D_
2. Dynamic cervical tracheal collapse, likely contributing to the cough.</t>
  </si>
  <si>
    <t>Recommend symptomatic treatment for the cough, utilization of a body harness in place of a neck lead, and echocardiogram.</t>
  </si>
  <si>
    <t>Three orthogonal thoracic radiographs dated 11th June 2024 are available for review. There are no previous radiographs available for comparison. _x000D_
_x000D_
Airway findings: The thoracic trachea is mildly elevated. The pulmonary parenchyma is normal. No nodules or masses are seen._x000D_
_x000D_
Cardiovascular findings: There is a small smoothly marginated soft tissue opacity contiguous with the caudal dorsal border of the cardiac silhouette. A soft tissue opacity is superimposed on the caudal cardiac silhouette in the dorsoventral image.  The overall cardiac silhouette is mildly enlarged. The pulmonary vessels  are normal. The caudal vena cava is prominent._x000D_
_x000D_
Mediastinum and pleural space: No significant abnormalities are detected._x000D_
_x000D_
Musculoskeletal findings: No significant abnormalities are detected._x000D_
_x000D_
Included abdomen: No significant abnormalities are detected.</t>
  </si>
  <si>
    <t>1. Left atrial dilation with mild left-sided cardiomegaly. This is most likely due to mixoid degeneration of the mitral valve. There is no evidence for cardiac insufficiency however this may be compensated for by concurrent cardiac medication.</t>
  </si>
  <si>
    <t>Radiography is insensitive for early cardiac insufficiency, therefore ECG, blood pressure measurements, and echocardiography may be considered for further evaluation, or baseline measurements.</t>
  </si>
  <si>
    <t>Study:_x000D_
Thoracic and abdominal radiography: five images dated June 5, 2024_x000D_
_x000D_
Findings:_x000D_
The cardiac silhouette and pulmonary vasculature are normal in size. Multiple punctate mineral opacities consistent with incidental pulmonary osteomas are scattered throughout the pulmonary parenchyma. The pulmonary parenchyma is otherwise unremarkable. The pleural space is normal. There is no intrathoracic lymphadenopathy. The trachea is normal in diameter and course. The stomach contains heterogeneous soft tissue material presumed to be ingesta. Granular soft tissue material, also presumed to be ingesta, is present in some small intestinal segments. The small intestines are normal in size and course. The colon contains gas and poorly formed fecal material. There is a 8.2 cm round soft tissue opaque mass in the mid-ventral abdomen situated between the liver and tail the spleen. The tail the spleen is mildly to moderately enlarged. The renal silhouettes are normal in size and contour. The urinary bladder is normal in size and opacity. There is multifocal thoracic intervertebral disc space narrowing. There is mild multifocal thoracolumbar and severe lumbosacral spondylosis deformans.</t>
  </si>
  <si>
    <t>1. Mid abdominal mass. A splenic mass is prioritized. Rule out neoplasia, hyperplasia or hematoma. A pedunculated liver origin cannot be completely excluded. Abdominal sonography is recommended for further evaluation._x000D_
2. The generalized enlargement of the tail the spleen is nonspecific. Rule out extramedullary hematopoiesis, lymphoid hyperplasia, splenitis or  neoplasia._x000D_
3. Incidental pulmonary osseous metaplasia=ZZ90= otherwise, unremarkable thorax. There is no radiographic evidence of pulmonary metastatic disease.</t>
  </si>
  <si>
    <t>Patient Name: Santiago Chavez, Date of study: Jun 11, 2024
Abdomen: 3 images are provided for review (2 lateral, 1 VD).
There are no previous radiographs for comparison.
Findings:
Gastrointestinal tract: The stomach contains a small volume of heterogeneous ingesta admixed with gas and is normal in position. The small intestines are diffusely within normal limits of diameter. Several loops contain heterogeneous ingesta similar to the gastric content. The cecum is gas-filled. The colon is normal in size and filled with formed feces and gas.
Liver: The liver is normal in size and shape.
Spleen: The spleen is smoothly marginated and normal in size.
Urinary: The visible margins of the kidneys are normal. The urinary bladder is mildly distended and normal in opacity.
Peritoneal space: There is adequate serosal detail.
Musculoskeletal: The included skeletal and superficial soft tissue structures are normal.
Caudal thorax: No significant abnormalities are identified in the caudal thorax.</t>
  </si>
  <si>
    <t>The gastrointestinal tract has a postprandial appearance. There is no evidence of constipation/obstipation. There is no evidence of a mechanical small intestinal obstruction or mineral/metal opaque foreign material. Gastroenteritis and pancreatitis would be considered for gastrointestinal disease, if present. If the patient is vomiting, the gastric content would be concerning for foreign material, clinical correlation is needed.</t>
  </si>
  <si>
    <t xml:space="preserve">Medical management and supportive care for gastroenteritis and repeat abdominal radiographs if clinical signs fail to improve or worsen in the face of empirical therapy. CBC/serum biochemistry and cPL to screen for occult systemic disease if not already performed. </t>
  </si>
  <si>
    <t>Thorax: There is moderate right and left-sided cardiomegaly.  There are no abnormalities involving the pulmonary vasculature.  The pulmonary parenchyma is unremarkable.  Thin pleural fissure lines are noted.  There are no abnormalities involving the visible portions of the abdomen.</t>
  </si>
  <si>
    <t>Generalized cardiomegaly without evidence of decompensation._x000D_
_x000D_
Thin pleural fissure lines which may be incidental or mild pleural effusion.</t>
  </si>
  <si>
    <t xml:space="preserve">
1.The visible spleen is within normal limits._x000D_
2.Mid abdominal detail is mildly decreased._x000D_
3.The stomach is empty, and has a normal axis._x000D_
4.The small intestines are distributed evenly and are within normal limits for shape, size and contents._x000D_
5.The ascending, transverse and descending colon have a normal position and gas and some poorly formed faeces._x000D_
6.The hepatic silhouette is mildly enlarged, with smooth borders.</t>
  </si>
  <si>
    <t>Six orthogonal survey radiographs of the thorax and abdomen dated 11th June 2024 are available for review. There are no previous radiographs available for comparison. _x000D_
_x000D_
Thorax: _x000D_
Airway findings: The cervical and thoracic trachea have a normal size, outline and position. The carina, tracheal bifurcation and mainstem bronchi are normal. Throughout the lung parenchyma there are innumerable nodules and small masses. There is bronchointerstitial opacification of the pulmonary parenchyma._x000D_
_x000D_
Cardiovascular findings: There is partial border effacement of the cardiac silhouette, but the overall size and shape is normal. The pulmonary vasculature and mainstem vessels are normal._x000D_
_x000D_
Mediastinum and pleural space: No significant abnormalities are detected._x000D_
_x000D_
Abdomen: There is hepatomegaly with rounded borders. The spleen is also enlarged with undulating borders._x000D_
_x000D_
Musculoskeletal findings: There is multisite intervertebral disc narrowing with spondylosis deformans.</t>
  </si>
  <si>
    <t>1. Pulmonary masses: Metastatic neoplasia is most likely. The bronchointerstitial opacification is likely secondary to reduction of pulmonary clearance, however concurrent lower airway infectious-inflammatory disease may be present._x000D_
2. Hepatomegaly and splenomegaly: Considering 1. This is most likely neoplastic as well, either primary or metastatic. Consider splenic haemangioma, haemangiosarcoma, hepatic adenocarcinoma, lymphoma, metastatic carcinoma.</t>
  </si>
  <si>
    <t>Complete bloodwork, thoracic CT or ultrasound with aspirates if a peripheral lesion identified, and abdominal ultrasound with FNA are recommended for further staging._x000D_
Supportive empiric management for lower airway infectious-inflammatory disease may be considered in the meantime.</t>
  </si>
  <si>
    <t xml:space="preserve">
1.The colon is largely empty with only scant gas._x000D_
2.Equivocal splenomegaly is present._x000D_
3.On the lateral projection, the hepatic serosal margins are mildly rounded in the liver is mildly enlarged._x000D_
4.The stomach contains a small volume of fluid and gas._x000D_
5.The small bowel contains fluid and gas diffusely. No segmental small bowel dilation is noted._x000D_
6.No abnormal AI findings reported.</t>
  </si>
  <si>
    <t>Opposite lateral and ventrodorsal whole body radiographs (5 images) dated June 11, 2024. The patient is moderately rotated on the lateral views, which may affect rotation._x000D_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unremarkable. The stomach contains a large amount of heterogeneous soft-tissue content. The small intestine has a moderate variation in diameter with segments containing gas, soft-tissue/fluid content, and slightly heterogeneous soft-tissue content. The cecum contains a large amount of gas as well as some ingesta. The colon is distended with a large amount of formed stool. The kidneys are not well visualized due to superimposed viscera. The urinary bladder is small and fluid opaque. Peritoneal detail is adequate. No regional lymphadenopathy is evident._x000D_
There are a few caudal thoracic vertebral bodies that are anonymously developed, resulting in variable disc base narrowing.</t>
  </si>
  <si>
    <t>1. Normal thorax._x000D_
2. Unremarkable abdomen with formed stool in the colon. The gastric content is of unknown clinical relevance. Without any vomiting reported, this likely represents normal ingesta and less likely foreign material. _x000D_
3. Anomalous vertebral development with associated intervertebral disc disease is a common finding in this dog breed and has variable clinical relevance. Correlation with orthopedic and neurologic exam is needed to determine significance.</t>
  </si>
  <si>
    <t>CBC, Chem, UA, fecal, BP, and 4Dx._x000D_
Assess for back pain and neurologic deficits.</t>
  </si>
  <si>
    <t xml:space="preserve">
1.The spleen is normal._x000D_
2.Abdominal detail is normal._x000D_
3.On the lateral projection, liver size is at the upper limits of normal to mildly enlarged. The liver has smooth rounded ventral borders._x000D_
4.The stomach contains an increased amount of gas, with prominent rugal folds._x000D_
5.The small intestines are mildly dilated, with a mixture of gas and fluid._x000D_
6.There is poorly formed feces in the ascending, transverse and descending colon.</t>
  </si>
  <si>
    <t>4 images of the thoracolumbar spine are provided for review.  No fractures, luxations, or aggressive osseous lesions are seen.  There is consistent narrowing of the intervertebral disc spaces at T10-11 and T13-L1.  The soft tissue structures included are normal.</t>
  </si>
  <si>
    <t>3 views of the thorax are provided for review.  The trachea is dorsally deviated, indicating left ventricular enlargement.  A small bulge is present in the region of the left atrium.  Interstitial to alveolar opacity is present in the caudal lung lobes near the hilus.  The mediastinal and pleural structures are normal.  Cranial abdominal detail is adequate.</t>
  </si>
  <si>
    <t>Mild left-sided cardiomegaly.  Interstitial to alveolar pulmonary pattern consistent with cardiogenic pulmonary edema.  Other infiltrates such as noncardiogenic edema, hemorrhage, or neoplasia cannot be completely excluded.</t>
  </si>
  <si>
    <t>Consider repeat radiographs following diuretic therapy.  BNP and echocardiography may be helpful in further evaluation.</t>
  </si>
  <si>
    <t>3 views of the abdomen are provided for review.  Serosal detail is adequate in all quadrants.  The stomach contains a moderate amount of gas and the rugal folds are prominent.  The small intestines are normal in size.  Gas and feces are present in the colon.  The urinary bladder is small.  The remaining abdominal organs are normal.  Thin-walled mineral structure in the caudal ventral abdomen is consistent with an incidental Bates body.</t>
  </si>
  <si>
    <t xml:space="preserve">
1.On the VD projection, the liver is at the upper limits of normal to minimally enlarged, This finding does NOT persist on the lateral projection._x000D_
2.On the VD projection, the spleen is at the upper limits of normal or superimposed with the left kidney. This finding does NOT repeat on the lateral projection._x000D_
3.Serosal detail is suboptimal but could be typical of a young patient._x000D_
4.There is either prominent gastric rugae or amorphous soft tissue dense ingesta in the stomach compatible with normal food._x000D_
5.There is mild dilation of the small bowel, particularly on the lateral projection. This finding is less pronounced on the VD projection. No segmental small bowel dilation is noted._x000D_
6.There is either prominent gastric rugae or amorphous soft tissue dense ingesta in the stomach compatible with normal food._x000D_
7.No large bowel abnormalities are noted.</t>
  </si>
  <si>
    <t>1) Normal post-prandial GI tract, particularly of a juvenile animal, is suspected, in an asymptomatic patient. If GI signs are present, a low grade gastroenteritis becomes more of a consideration. Gastric contents should also be monitored as gastric foreign material cannot be excluded.</t>
  </si>
  <si>
    <t xml:space="preserve">
Virtual Radiologist Case Difficulty: LOW_x000D_
Virtual Radiologist Confidence: HIGH_x000D_
Supportive care as needed and medical management if signs of intestinal disease present.</t>
  </si>
  <si>
    <t>Seven radiographs of the thorax/abdomen are provided. The cardiac silhouette and pulmonary vessels are normal size and shape. There are no abnormalities in the pulmonary parenchyma or pleural space. Small round soft tissue densities adjacent to the heart represent end-on pulmonary vessels. There is no pleural effusion. Normal tracheal diameter. No thoracic spinal abnormalities. In the abdomen there is no effusion or organomegaly. The gastrointestinal tract is minimally filled. Normal-sized liver, spleen, kidneys. No radiopaque cystic calculi. No narrowed lumbar intervertebral disc spaces or foramina. The coxofemoral joints are congruent. Patellar location is normal.</t>
  </si>
  <si>
    <t>Normal thorax and abdomen. A reason for discomfort is not identified. Intervertebral disc disease remains possible.</t>
  </si>
  <si>
    <t>Four orthogonal thoracic radiographs dated 11th June 2024 are available for review. There are no previous radiographs available for comparison. _x000D_
_x000D_
Airway findings: The trachea is severely small, even for breed (tracheal inlet ratio 0.09). The diameter is consistent. There is a diffuse bronchointerstitial opacification of the lung parenchyma._x000D_
_x000D_
Cardiovascular findings: There is partial border effacement of the cardiac silhouette. The overall size is within normal limits. The pulmonary vasculature is poorly visible._x000D_
_x000D_
Mediastinum and pleural space: There is mild soft tissue ventral opacification indicative of some pleural effusion._x000D_
_x000D_
Musculoskeletal findings: There are multiple congenital vertebral abnormalities consistent with breed. All physes are open consistent with young age._x000D_
_x000D_
Included abdomen: There is hepatomegaly and Poor serosal detail consistent with young age.</t>
  </si>
  <si>
    <t>1. Tracheal hypoplasia. This may correct somewhat as the patient matures._x000D_
2. Diffuse bronchointerstitial opacification is consistent with lower airway infectious-inflammatory disease such as viral-bacterial bronchitis, parasitic bronchitis, mixed tracheobronchitis. Heart worm is considered unlikely. Other causes for bronchointerstitial opacification such as eosinophilic bronchopneumopathy, fungal pneumonia is considered unlikely.</t>
  </si>
  <si>
    <t>Respiratory workup including CBC, serum chemistry, urinalysis, Baermann faecal testing, 4DX, +/- respiratory panel or fungal testing as indicated is advised.  Alternatively, empirical therapy for lower airway disease, empirical deworming, and can be considered. If the patient=ZZ91=s signs continue despite supportive care, bronchoscopy/BAL vs. endotracheal wash +/- consultation with an Internist should be considered. Repeat radiographs prior to end of therapy._x000D_
Radiographic monitoring of tracheal hypoplasia is advised.</t>
  </si>
  <si>
    <t xml:space="preserve">
1.The spleen is normal._x000D_
2.The liver is mildly enlarged._x000D_
3.Serosal detail in the abdomen is normal._x000D_
4.No abnormalities are identified involving the gastrointestinal tract. The stomach is contains mild gas. Small intestinal bowel loops are normal in size and distribution and have a mixed pattern.  No evidence of obstruction._x000D_
5.Resource: https://platform.v2.vetology.net/doc/liver_disease</t>
  </si>
  <si>
    <t>The AI result for this case is most compelling for: mild to moderate hepatomegaly. This is nonspecific, with etiologies including steroid hepatopathy, endocrine (diabetes mellitus, Cushings), infectious-inflammatory (hepatitis-viral-parasitic), hemodynamic (right heart failure), and infiltrative origins (nodular hyperplasia-round cell infiltration-lymphoma-adenoma-adenocarcinoma).</t>
  </si>
  <si>
    <t>Four orthogonal radiographs of the abdomen dated 11th June 2024 are available for review. There are no previous radiographs available for comparison. _x000D_
_x000D_
Intra-abdominal findings: The stomach contains some heterogenous soft tissue opaque material and some gas, and has a normal axis. The small intestines are variably filled with fluid, soft tissue opaque material and some gas. No segmental dilation is noted. Some fluid and gas-filled intestinal segments are near the cranial pole of the urinary bladder. No fluid-filled loops are seen superimposed on the descending colon, or body and neck of the urinary bladder. The serosal detail is normal. There is no evidence for free gas in the abdomen. The hepatic, splenic and renal silhouettes are normal._x000D_
_x000D_
Extra-abdominal findings: Some gas lucencies and skin thickening is present at the laparotomy site._x000D_
_x000D_
Included thorax: No significant abnormalities are detected.</t>
  </si>
  <si>
    <t>1. No evidence of peritonitis. The intestinal loops at the tip of the bladder are most likely small intestinal._x000D_
2. The gas lucencies at the laparotomy site are most likely still within normal limits considering recent procedure, however cellulitis should be considered.</t>
  </si>
  <si>
    <t>A stump pyometra not visible on radiographs should still be considered. Consider repeat radiographs after fasting and evacuation of the colon, or preferentially a abdominal ultrasound.</t>
  </si>
  <si>
    <t>5 views of the neck, torso, and pelvic limbs are submitted for review.  No definitive abnormalities are noted in the cervical spine.  The visible portion of the skull is unremarkable.  There is intervertebral to space narrowing and endplate sclerosis at T13-L1.  There is possible narrowing at T12-13 and L1-2.  The coxofemoral joints are within normal limits.  There is medial displacement of the bilateral patellae._x000D_
An ovoid shaped mineral opacity structure is noted in the region of the gallbladder.  The liver is otherwise subjectively normal.  No other definitive abnormalities are noted in the abdomen.  The limited view of the thorax is unremarkable.</t>
  </si>
  <si>
    <t>The appearance of the caudal thoracic and cranial lumbar spine is consistent with intervertebral disc disease._x000D_
Bilateral medial patellar luxation._x000D_
Probable cholelith, of unknown clinical significance.</t>
  </si>
  <si>
    <t>Cross-sectional imaging of the TL spine appears indicated for further evaluation.  Consultation with a neurologist and orthopedic specialist could be considered.  Otherwise, empirical medical management as clinically indicated appears appropriate.</t>
  </si>
  <si>
    <t>Two radiographs of the abdomen dated 7th June 2024 are available for review. There are no previous radiographs available for comparison._x000D_
_x000D_
Intra-abdominal findings: The stomach contains some fluid and gas.  The gastric axis is normal. The duodenum is mildly distended with some gas and fluid. The small intestines are homogenously near empty, containing mainly fluid. Some gas is present in the caecum. The descending colon contains formed faeces. The urinary bladder is normal. The serosal detail is minimally reduced.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</si>
  <si>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The findings are suggestive of a gastritis, mild enteritis. Differential diagnoses for enteritis include dietary indiscretion, toxin ingestion, diet/antibiotic responsive disease, inflammatory bowel disease, parasitism/primary infectious disease, or pancreatitis or occult systemic disease. Considering history, parasitic enteritis is most likely. There is no current evidence of gastrointestinal mechanical ileus._x000D_
The reduced serosal detail is consistent with young age.</t>
  </si>
  <si>
    <t>Continued supportive management with antiparasitic treatment is advised.</t>
  </si>
  <si>
    <t>Patient Name: Coco Salinas, Date of study: June 11, 2024
Canine Abdomen (4 Images) - 2 Lateral, 2 VD
There are no previous radiographs for comparison.
Findings:
Gastrointestinal tract: The stomach contains a small volume of heterogeneous ingesta admixed with gas. The small intestines are within normal limits of diameter and are primarily soft tissue opaque. The colon is normal in size and primarily gas-filled.
Liver: The liver is within normal limits of size and shape.
Spleen: The spleen is unremarkable.
Urinary: The visible margins of the kidneys are within normal limits. The urinary bladder is mildly distended and normal in opacity.
Peritoneal space: There is adequate serosal detail.
Musculoskeletal: The skeletal and superficial soft tissue structures of the study are unremarkable.
Caudal thorax: The cardiopulmonary structures are unremarkable.</t>
  </si>
  <si>
    <t>1. Infectious colitis/gastroenteritis is prioritized given the positive Coccidia and Giardia result on fecal analysis.
2. The small volume of gastric ingesta may be secondary to an unobserved meal. Delayed gastric emptying from gastroenteritis/colitis could also be considered. Foreign material cannot be excluded but is thought to be less likely in the absence of reported vomiting.
3. There is no evidence of a mineral/metal opaque foreign body.</t>
  </si>
  <si>
    <t>Medical management for colitis/gastroenteritis is recommended. If vomiting develops, recheck abdominal radiographs after a confirmed fast would be recommended to confirm the stomach fully empties. CBC, biochemistry, cPL, and urinalysis could be considered if not already performed to screen for systemic disease contributing to clinical signs.</t>
  </si>
  <si>
    <t xml:space="preserve">
1.Serosal detail is normal._x000D_
2.The stomach contains small-volume amorphous soft tissue opacity and gas. Small intestines are diffusely mildly filled with fluid._x000D_
3.The spleen and liver silhouettes are within normal limits._x000D_
4.No abnormal AI findings reported.</t>
  </si>
  <si>
    <t>Patient Name: Bruno Ayala, Date of study: June 11, 2024.
Canine Abdomen (3 Images) - 2 Lateral, 1 VD
There are no previous radiographs for comparison.
Findings:
Gastrointestinal tract: The stomach is small in size and normal in position. The small intestine is diffusely within normal limits of diameter and distribution. The small intestine contains gas or fluid. The colon is filled with loosely formed feces and gas.
Liver: The liver is normal in size and margination.
Spleen: The spleen is unremarkable.
Urinary: The visible margins of the kidneys are normal. The urinary bladder is small in size and normal in opacity.
Peritoneal space: There is adequate serosal detail.
Musculoskeletal: The skeletal and superficial soft tissue structures of the study are within normal limits.
Caudal thorax: The cardiopulmonary structures and the caudal thorax are unremarkable.</t>
  </si>
  <si>
    <t xml:space="preserve">The gastrointestinal tract is unremarkable. There is no evidence of a mechanical small intestinal obstruction. A foreign body is not identified. Gastroenteritis and pancreatitis are prioritized as cause of vomiting. </t>
  </si>
  <si>
    <t>Medical management and supportive care are recommended. If not already performed, CBC, biochemistry, and cPL are recommended. If clinical signs persist despite treatment, recheck fasted abdominal radiographs or an abdominal ultrasound would be recommended.</t>
  </si>
  <si>
    <t xml:space="preserve">
1.There is a mildly reduced cranial abdominal serosal detail._x000D_
2.The liver is normal in shape, size and opacity._x000D_
3.The spleen is visible and within normal limits._x000D_
4.The small intestines are mildly dilated with a mixture of gas and fluid, and have a mild turgid appearance._x000D_
5.The ascending, transverse and descending colon contain gradually more formed faeces._x000D_
6.The stomach has a normal axis, with subjectively thickened mucosal folding.</t>
  </si>
  <si>
    <t>Patient Name : Wendell Fisher, Date of study: Jun 11, 2024
3 images are provided for review
Canine Thorax (3 Images) - 1 Vd, 2 Lateral
There are no previous radiographs for comparison.
Findings:
Cardiac silhouette: The cardiac silhouette is normal in size and shape (VHS 9.8).
Pulmonary vessels: The pulmonary arteries and veins are normal in size and are symmetrical.
Pulmonary parenchyma: There is a diffuse bronchointerstitial pulmonary pattern. There is no soft tissue pulmonary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Cranial abdomen: The stomach is filled with heterogeneous ingesta admixed with gas. There is adequate serosal detail.
Musculoskeletal: The skeletal and superficial soft tissue structures of the study are normal.</t>
  </si>
  <si>
    <t>1. Diffuse bronchointerstitial pulmonary pattern. Differential diagnoses include chronic bronchitis, fibrosis from prior disease, and age-related changes. 
-Differentials for chronic bronchitis include allergic, infectious/inflammatory, parasitic, and irritant etiologies. 
2. There is no evidence of cardiac enlargement. Valvular disease cannot be excluded. There is no evidence of cardiogenic pulmonary edema.</t>
  </si>
  <si>
    <t>An echocardiogram and blood pressure are recommended to further evaluate cause of murmur as radiographs are insensitive for subtle/early cardiac disease.
Airway sampling could be considered to further evaluate the lower airways (respiratory PCR, lavage, wash) and guide treatment recommendations.</t>
  </si>
  <si>
    <t>Orthogonal radiographs of the thorax are provided. There is prominence of the left atrium, seen as a straightened caudal heart waist and increased distance between the tracheal bifurcation and heart waist. Cardiac to thoracic ratio and pulmonary vessel size is normal. There are no abnormalities in the pulmonary parenchyma. No pleural effusion. Redundant dorsal trachealis membrane in the cervical region, of uncertain clinical significance today. Normal cranial abdomen.</t>
  </si>
  <si>
    <t>Prominent left atrium consistent with acquired mitral valve disease. There is no pulmonary venous congestion or evidence of heart failure.</t>
  </si>
  <si>
    <t>A lateral radiograph of the abdomen, VD pelvis, and lateral view of each stifle are provided. The abdomen is pendulous. There is no effusion. Formed feces fills the distal colon. Stomach and small bowel are minimally filled. No organomegaly or radiopaque urolithiasis. Congenital vertebral malformations in the caudal thoracic spine are likely incidental today. There is mild degenerative change in both coxofemoral joints, worse on the left. Left pelvic limb musculature appears to be reduced, although soft tissue evaluation is limited by high technique. There is increased opacity in the left stifle joint, with reduced visibility of the infrapatellar fat pad. There is a punctate mineral density along the caudal aspect of the left stifle joint. There is a broad-based curved 4.1 cm soft tissue thickening cranial to the left tibial tuberosity. No right stifle joint abnormalities are appreciated.
(amended on 06/11/2024 14:14)
The appearance of lucency in the lateral aspect of the left femoral neck is felt to be due to a combination of normal intertrochanteric groove and superimposed fascial planes.</t>
  </si>
  <si>
    <t>1. Left stifle effusion most consistent with cranial cruciate ligament tear/rupture. This most likely cause for lameness. Bilateral mild coxofemoral osteoarthrosis. This may be contributing to discomfort._x000D_
2. Soft tissue thickening cranial to the left tibial tuberosity, may be incidental lipoma. A soft tissue neoplasm or granuloma/abscess are next on the differential list._x000D_
3. Normal abdomen.</t>
  </si>
  <si>
    <t>Recommend palpate for stifle instability. If confirmed instability and lameness is severe, surgical stabilization would be recommended.</t>
  </si>
  <si>
    <t>A lateral thoracoabdominal view dated 4-18-24 and orthogonal thorax views that include the cranial abdomen dated 6-11-24 are provided for interpretation and comparison._x000D_
_x000D_
In the original radiograph, moderate hepatomegaly with rounding of the liver margins is identified. The fellow organs are within normal limits. Abdominal serosal detail is normal._x000D_
The heart appears mildly enlarged for patient size. Left-sided chamber dilation is suspected. The pulmonary vessels and parenchyma are within normal limits. No tracheal abnormalities are identified._x000D_
_x000D_
In the follow up radiographs made today, mild left cardiomegaly is again appreciated, although overall heart size appears slightly smaller than in the previous study. This could be a difference associated with the administration of Lasix or the phase of respiration. No pulmonary infiltrates or pleural effusion are identified._x000D_
The hepatomegaly appears to have progressed slightly in the recheck interim.</t>
  </si>
  <si>
    <t>There is mild left side cardiomegaly. Chronic mitral regurgitation is likely._x000D_
No evidence of significant pulmonary/pleural pathology or heart failure is identified in either study._x000D_
_x000D_
There is significant liver enlargement. Hepatic neoplasia or diffuse hepatopathies including metabolic or endocrine associated hepatopathies and hepatitis should be ruled out.</t>
  </si>
  <si>
    <t>There is mild left cardiomegaly, but there is no definitive indication for medical management of cardiac disease based on the radiographs. Echocardiography should be considered for more definitive evaluation._x000D_
_x000D_
CBC and serum chemistry is recommended due to the liver enlargement. Ultrasound evaluation of the liver could also be considered.</t>
  </si>
  <si>
    <t>Orthogonal views of the spine are provided, there are four images total._x000D_
_x000D_
All the cervical disc spaces from C3 to C6 appears slightly narrowed. Positional artifact is potentially contributing to this appearance. No spinal subluxation or destructive/productive bone lesions are identified. The soft tissues of the neck are unremarkable._x000D_
_x000D_
There is marked narrowing of the T12-T13 intervertebral disc space. T13 to L3 appear slightly narrowed.</t>
  </si>
  <si>
    <t>There is definitive disc space narrowing at T12-T13 consistent with disc degeneration._x000D_
The more subtle narrowing in the cranial lumbar spine in the mid cervical spine could also be associated with disc degeneration but the degree of positional artifact contribution cannot be reliably determined._x000D_
_x000D_
No evidence of traumatic injury, discospondylitis, or neoplasia is seen._x000D_
Other soft tissue pathology not visible in the radiographs still be ruled out.</t>
  </si>
  <si>
    <t>Symptomatic therapy for mild disc disease and myofascial inflammation or injury is suggested._x000D_
_x000D_
More advanced imaging such as MRI could be considered depending on response to therapy.</t>
  </si>
  <si>
    <t>Patient Name: Roan Hypnarowski, Date of study: June 10, 2024.
Abdomen and thorax: 8 images are provided for review, 4 thoracic (right lateral, 3 VD) and 4 abdominal (right lateral and 3 VD).
There are no previous radiographs for comparison.
Findings:
Cardiac silhouette: The cardiac silhouette is normal in size and shape.
Pulmonary vessels: The pulmonary arteries and veins are within normal limits.
Pulmonary parenchyma: The pulmonary parenchyma is normal with no abnormal pulmonary patterns, nodules, or masses.
Pleural space: The pleural space is within normal limits.
Mediastinum: The mediastinum is normal in opacity. There is no evidence of intrathoracic lymphadenopathy.
Trachea: The trachea is normal in diameter and course.
Esophagus: The region of the esophagus is within normal limits.
Gastrointestinal tract: The stomach is empty and normal in position. The small intestines are diffusely normal in diameter. There is feces and gas within the colon. The cecum contains a small volume of gas.
Liver: The liver is within normal limits of size and shape.
Spleen: The spleen is enlarged with rounded margins. The body/tail of the spleen occupies the cranioventral abdomen and displaces the small intestinal tract caudally and dorsally. A discrete mass is not identified.
Urinary: The visible margins of the kidneys are within normal limits. The urinary bladder is normal in size and opacity.
Peritoneal space: There is adequate serosal detail.
Musculoskeletal: There is moderate spondylosis deformans of the caudal thoracic and cranial lumbar spine, mild of the mid thoracic spine.</t>
  </si>
  <si>
    <t xml:space="preserve">1. Splenomegaly. Differential diagnoses include extramedullary hematopoiesis, congestion, and neoplasia such as hemangiosarcoma or lymphoma. Iatrogenic splenic enlargement, as from some medications (e.g. acepromazine), cannot be excluded (if given).  
2. Normal thorax. There is no evidence of pulmonary metastatic disease or pneumonia on this examination. </t>
  </si>
  <si>
    <t xml:space="preserve">Abdominal ultrasonography and CBC/serum biochemistry to screen for occult systemic disease and tissue sampling of the spleen if clinically indicated (i.e., splenic nodule/mass identified on ultrasonography). 
If recheck thoracic radiographs are acquired, three-views (right lateral, left lateral, and VD/DV) would be recommended. </t>
  </si>
  <si>
    <t>A three view study of the abdomen is provided._x000D_
_x000D_
Rugal folds in the gastric fundus are prominent. The gastric wall appear slightly thickened in the pyloric region. There is a subtle mildly defined shadow in the pyloric area in the left lateral view that cannot be corroborated in the other views. General opacity in the cranial abdomen is slightly increased overall. No dilation the stomach or intestine is seen. The other abdominal organs are within normal limits. Disc spaces in the thoracolumbar region are moderately narrowed.</t>
  </si>
  <si>
    <t>The general appearance of the stomach is compatible with gastritis._x000D_
The possibility of infiltrated changes in the pyloric area or persistent radiolucent for material at the level of the pylorus cannot be excluded._x000D_
The slight increased opacity in the cranial abdomen is subtle enough to potentially be artifactual, but pancreatitis could also appear similar._x000D_
_x000D_
No definitive foreign bodies or obstructive pattern are identified._x000D_
_x000D_
Disc degeneration in the thoracolumbar spine is suspected based on the appearance of the space narrowing.</t>
  </si>
  <si>
    <t>Symptomatic therapy and supportive care for gastritis/pancreatitis is recommended._x000D_
The clinical signs are not improving over the next few days, follow up imaging such as endoscopy or contrast radiography is recommended to assess the pyloric region more definitively.</t>
  </si>
  <si>
    <t xml:space="preserve">
1.Liver size, shape and margin are normal._x000D_
2.The gastric rugae are prominent. The small bowel is diffusely gas- and fluid filled without segmental small bowel dilation._x000D_
3.Splenic size, shape and margin are normal._x000D_
4.Abdominal detail is normal.</t>
  </si>
  <si>
    <t>Eight radiographs of the abdomen and pelvis are provided, including the lumbar spine._x000D_
_x000D_
There is moderate to severe spondylosis deformans involving the cranial lumbar spine. No significant disc space narrowing or spinal subluxation is seen._x000D_
The left coxofemoral joint space is narrow, consistent with loss of articular cartilage. There is slight lucent mottling involving the caudal half of the acetabulum. There is slight chronic remodeling of the femoral head and neck. The right hip is within normal limits. No complications are noted involving the previous TPLO in the left tibia._x000D_
_x000D_
The liver is markedly enlarged, with slightly irregular margins. There is a focal region of speckled mineral density in the right cranial dorsal abdomen. In the VD view this appears to be associated with a round soft tissue shadow, possibly an adrenal mass. The other abdominal organs are within normal limits._x000D_
A large region of mixed density subcutaneous swelling is seen involving the right side of the thorax in the VD abdomen views.</t>
  </si>
  <si>
    <t>There is evidence of cartilage loss and mild chronic remodeling change involving the left hip joint. The right hip appears fairly normal._x000D_
_x000D_
The bony change associated with the left hip is less than expected relative to the apparent narrowing of the joint space. This is likely degenerative, but if significant left hip pain is present septic arthritis should be ruled out._x000D_
_x000D_
The spinal changes are probably age related and incidental._x000D_
_x000D_
There is significant hepatomegaly, and slight irregularity of the liver margins. Neoplasia or other significant liver disease should be ruled out._x000D_
There is also an unusual shadow in the area of the right adrenal gland that is suspicious for an adrenal mass. Follow up imaging is recommended.</t>
  </si>
  <si>
    <t>CT would be ideal for more definitive evaluation of the liver, adrenal area, and hips._x000D_
If this is not an option, ultrasound the abdomen is recommended._x000D_
_x000D_
No abnormalities are identified involving the right hip._x000D_
Symptomatic therapy for the lameness is recommended.</t>
  </si>
  <si>
    <t xml:space="preserve">
1.On the lateral projection, the liver is mildly enlarged with rounded margins. The ventral abdominal line is pendulous._x000D_
2.On the VD projection, an increase in soft tissue opacity is noted in the region of the spleen and left kidney. DDx: superimposition of the spleen and left kidney vs. less likely, splenic mass or other mass in this region._x000D_
3.Cranial abdominal detail is mildly decreased on the VD projection. This is attributed to the increase in soft tissue opacity in the cranial abdomen. Abdominal fluid is a lesser consideration but would be more likely if a mass is present._x000D_
4.Formed feces in the distal colon._x000D_
5.The stomach and small bowel are minimally filled.</t>
  </si>
  <si>
    <t>Three radiographs of the abdomen are provided. There is no peritoneal or retroperitoneal effusion. Moderate volume granular soft tissue opaque ingesta fills the stomach. Small and large bowel are mildly filled. There is no foreign material or radiopaque urolithiasis appreciated. Normal-sized liver, kidneys, spleen. In the viewable thorax, cardiovascular structures are normal size. The lungs are clear. There is no pleural effusion. Vertebral alignment is normal. Narrowed T10-11 intervertebral disc space, a normal anatomic variant. No other definitive narrowed intervertebral disc spaces. The coxofemoral joints are congruent. Patellar location is normal.</t>
  </si>
  <si>
    <t>Normal abdomen. A reason for the clinical signs is not identified. A non-mineralized intervertebral disc protrusion/extrusion remains possible.</t>
  </si>
  <si>
    <t>Recommend palpate for spinal discomfort and a neurologic examination. If there are no significant abnormalities, recommend conservative treatment with anti-inflammatories and strict rest. Otherwise, consultation with a neurologist and advanced spinal imaging with MRI should be considered.</t>
  </si>
  <si>
    <t>A three view thoracoabdominal study is provided for interpretation._x000D_
_x000D_
Severe heart enlargement is identified. The shape of the heart is consistent with left sided chamber dilation, especially severe dilation of the left atrial chamber. Marked narrowing of the mainstem bronchi and caudal lobe bronchi is identified. Interstitial lung opacity in the caudal lobes is increased. The appearance is still within the limits of what hypoinflation might account for, and all views appear end expiratory. A mild bronchial pattern is also present. No pleural effusion is seen._x000D_
The abdominal organs are within normal size and shape limits. No mass lesions or loss of detail are seen in the abdomen.</t>
  </si>
  <si>
    <t>There is severe left sided cardiomegaly._x000D_
The pulmonary changes are within the limits of what might be seen as age related change and hypoinflation artifact._x000D_
Chronic bronchitis could still appear similar and is likely present of chronic coughing was noted._x000D_
Convincing evidence of edema or pneumonia as a cause of the acute cough is not seen in this study. A combination of dynamic airway narrowing and airway compression due to the severely large left atrium is suspected to be contributing to the cough._x000D_
_x000D_
No significant abdominal abnormalities are identified.</t>
  </si>
  <si>
    <t>CBC and heartworm testing is recommended to help rule out infectious causes for the bronchial pattern and coughing._x000D_
Long-term symptomatic therapy for the cough is likely indicated._x000D_
_x000D_
Pimobendan therapy is indicated in this patient due to the severity of heart enlargement, and ACE inhibitor could also be considered._x000D_
Need for diuretics is equivocal.</t>
  </si>
  <si>
    <t xml:space="preserve">Patient Name: Archie Vaccaro, Date of study: Jun 11, 2024
3 images are provided for review
Canine Abdomen (3 Images) - 2 Lateral, 1 VD. 
Prior radiographs dated 2/19/24 are available for comparison. 
Abdomen:
Liver: Mild liver enlargement is present on the right side. On the more recent study, the liver margin is mildly irregular with a nodular margin to the dorsal aspect of the caudally extending lobe. 
Spleen: Normal and unchanged in the recheck interim. 
Kidneys and urinary bladder: Renal size is unchanged. There is questionable irregularity to the renal margin. Mild mineralization affects the diverticuli bilaterally, static in the recheck interim. Mineral dense material persists in the urinary bladder. The number of mineral densities in the urinary bladder has decreased in the recheck interim. Urinary bladder size is small. The prostate is visible and appears normal for size. No urethral calculi are noted. 
GI: The stomach is gas filled. The small bowel in the cranial abdomen has a rigid appearance. The small bowel is displaced caudally from the craniodorsal abdomen on the lateral projections.
Abdominal detail: Cranial abdominal detail, in the region of the pancreas, is decreased on both lateral projections. 
Caudal thorax: CVC size has decreased in the recheck interim. Left atrial size and pulmonary vessel size have increased in the recheck interim. On the VD projection, the cardiac silhouette has a globoid appearance. This appearance does not persist on the lateral projections. CVC size is normal. 
Msk: The skeletal structures are normal. The dog is overweight. </t>
  </si>
  <si>
    <t xml:space="preserve">1) Reduction in urinary bladder calculi or aggregated sediment. No urinary bladder obstruction noted. No urethral calculi noted. Bilateral, static renal diverticular mineralization. Urinary tract changes could be the cause for the hematuria. 
2) Decreased cranial abdominal detail with caudal displacement of the small bowel. DDx: cranial abdominal inflammation, hemorrhage or secondary to right heart insufficiency. Evidence of cranial abdominal enteritis. Normal CVC size makes right heart insufficiency less likely but not excluded. 
3) Static hepatomegaly with a mildly nodular appearance on today's study. Rule out infiltrative neoplasia. 
4) Cardiomegaly. Globoid appearance to the heart on the VD projection. Rule out chamber enlargement vs. pericardial effusion. </t>
  </si>
  <si>
    <t xml:space="preserve">Evaluate for thrombocytopenia as infiltrative neoplasia could be present. Urinalysis with culture. Abdominal ultrasound. TFAST or full cardiac ultrasound and three view thoracic radiographs if abdominal nodules or masses are noted and/or abdominal hemorrhage is present. 
Abdominal fluid collection if a fluid pocket can be identified and safely sampled. </t>
  </si>
  <si>
    <t>Four radiographs of the abdomen are provided. There is no peritoneal or retroperitoneal effusion. There is small volume amorphous soft tissue density and fluid in the stomach. Small intestines are diffusely mildly filled with fluid and scant gas. There is 1-2 loops of small bowel in the caudoventral abdomen containing fluid and fragmented gas lucencies. Moderate volume of formed feces in the distal colon. No radiopaque foreign material. Normal-sized liver, spleen, kidneys. No radiopaque cystic calculi. Gas lucencies in the tissues lateral to the left coxofemoral joint is likely recent injection site. Normal caudal thorax.</t>
  </si>
  <si>
    <t>1. The appearance of the caudoventral small bowel is concerning for partial obstruction. There is no severe intestinal distention to suggest complete obstruction._x000D_
2. Gastric contents is unexpected with the history, and foreign material is of concern. Residual ingesta is next on the differential list.</t>
  </si>
  <si>
    <t>If the patient does not rapidly improve with current treatment, strictly fasted abdominal ultrasound would be recommended. If vomiting is persistent/severe or the patient has hematemesis or abdominal pain, exploratory surgery would be recommended.</t>
  </si>
  <si>
    <t xml:space="preserve">
1.The stomach is mildly gas and fluid filled with some soft tissue density material. The small bowel is gas and fluid-containing. No obvious obstruction._x000D_
2.Abdominal detail is normal._x000D_
3.Liver size, shape and margin are normal._x000D_
4.Splenic size, shape and margin are normal.</t>
  </si>
  <si>
    <t>Three radiographs of the thorax/abdomen are provided. The cardiac silhouette and pulmonary vessels are normal size and shape. A mild bronchial pattern is present throughout the lungs consistent with age. No soft tissue pulmonary nodules or pleural effusion. Redundant dorsal trachealis membrane, of doubtful significance today. No esophageal dilation. Normal cervicothoracic spine. In the abdomen serosal detail is adequate. Small volume soft tissue density in the stomach. Small bowel are diffusely moderately fluid-filled. Moderate volume semi-formed feces in the colon. No radiopaque foreign material or urolithiasis. Normal-sized spleen, kidneys, liver. Osseous structures are unremarkable.</t>
  </si>
  <si>
    <t>Small intestinal functional ileus, a nonspecific finding that may be due to enteritis, other primary intestinal disorder, metabolic abnormality, stress/discomfort. No other definitive abdominal abnormalities, and the thorax is normal.</t>
  </si>
  <si>
    <t>Opposite lateral and ventrodorsal whole body radiographs (3 images) dated June 11, 2024._x000D_
_x000D_
_x000D_
_x000D_
The liver and spleen are normal in size and shape. The kidneys are only partially visible due to superimposed viscera with no overt abnormalities appreciable. The urinary bladder is small and poorly visualized. The stomach is distended with a large amount of heterogeneous soft-tissue content mixed with gas. The pyloric antrum is gas-filled on the left lateral view. The proximal duodenum appears relatively enlarged in diameter and contains gas on the VD projection. The duodenum is loss to further distal joys recommendations and as it is superimposed with the cecum on the VD view. The remainder of the small intestine is unremarkable in diameter and course with most segments empty whereas others contain a small amount of fluid and gas. The proximal colon is mostly gas-filled. The descending colon contains unremarkable stool. Retroperitoneal and peritoneal detail are normal. No regional lymphadenopathy is evident._x000D_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No osseous abnormalities are identified.</t>
  </si>
  <si>
    <t>1. Focal enlargement of the proximal duodenum on the VD view raises moderate concern for a proximal small intestinal mechanical obstruction. However, a functional ileus remains possible._x000D_
2. Mobile gastric soft-tissue content in this clinical setting could represent normal ingesta vs. a mixture of ingesta and foreign material. A pyloric outflow obstruction is not appreciable in this study. _x000D_
3. Unremarkable thorax.</t>
  </si>
  <si>
    <t>Options include abdominal ultrasound vs. upper GI barium study (5 ml/kg PO or via NG tube) vs. less ideally fluids and recheck abdominal radiographs after 8-10 hours NPO food and 4 hours NPO water to further assess gastric emptying.</t>
  </si>
  <si>
    <t>Three radiographs of the thorax are provided. There is mild left atrial and ventricular enlargement. Pulmonary vessels are normal size. Perihilar vessels have crisp margins. There are no abnormalities in the pulmonary parenchyma. No pleural effusion. Mild narrowed cervical trachea on the left lateral view, of doubtful significance today. In the visible abdomen there is no effusion or organomegaly. Round soft tissue contour in the cranioventral abdomen on the right lateral view is fluid within the pylorus.</t>
  </si>
  <si>
    <t>Mild left atrial and ventricular enlargement consistent with acquired mitral valve disease. There is no pulmonary venous congestion or pulmonary edema. Otherwise normal thorax.</t>
  </si>
  <si>
    <t xml:space="preserve">
1.The gastrointestinal tract is unremarkable containing only small volumes of gas and fluid with a moderate volume of fecal material within the colon._x000D_
2.There is mild hepatomegaly._x000D_
3.Resource: https://platform.v2.vetology.net/doc/liver_disease_x000D_
4.The spleen is within normal limits._x000D_
5.Abdominal detail is questionably decreased, although this may be due to artifact.</t>
  </si>
  <si>
    <t>Three radiographs of the thorax, and three views of the abdomen are provided. Prior abdominal images dated 3/11/24 are available for comparison. The cardiac silhouette and pulmonary vessels are normal size and shape. The lungs are clear. There is no pleural effusion or soft tissue pulmonary nodules. Normal cranial mediastinal width and tracheal diameter._x000D_
_x000D_
In the abdomen there is a smoothly irregular round 7.0 cm soft tissue opaque mass along the caudal ventral aspect of the liver. This is increased in size compared to the previous study. There is no effusion. Normal sized spleen and kidneys. Formed feces in the distal colon. The stomach and small bowel are mildly filled. No radiopaque urolithiasis. The left patella is medially displaced.</t>
  </si>
  <si>
    <t>1. Progressive right-sided hepatic mass. This is consistent with malignant neoplasia._x000D_
2. Normal thorax.</t>
  </si>
  <si>
    <t>If surgery might be pursued for the hepatic mass, advanced cross-sectional imaging of the liver with computed tomography could be considered to determine resectability and guide surgical planning.</t>
  </si>
  <si>
    <t>A three view study of the abdomen is provided for interpretation._x000D_
_x000D_
The spleen is mildly enlarged. The margins are smooth, and no mass effect is seen. The liver is at the small end of acceptable size range. The other abdominal organs are within normal limits. No abnormalities are identified involving the gastrointestinal tract. The stomach appears empty, and nondistended. Serosal detail in the abdomen is normal.</t>
  </si>
  <si>
    <t>There is mild splenomegaly. This is likely a transient finding secondary to the sedation. It could also be a reactive change: gastroenteritis is suspected to be responsible for the clinical signs._x000D_
Lymphoreticular neoplasia or primary splenic inflammation cannot be entirely excluded but is considered unlikely.</t>
  </si>
  <si>
    <t>No additional diagnostics or treatment are recommended unless clinical signs return.</t>
  </si>
  <si>
    <t>4 images of the abdomen are provided for review.  Serosal detail is adequate in all quadrants.  The stomach contains a moderate amount of mottled soft tissue material with a small curved mineral structure.  The small intestines are normal in size.  Gas and feces are present in the colon.  The urinary bladder is small.  The remaining abdominal organs are normal.</t>
  </si>
  <si>
    <t>Small gastric mineral foreign body.  Soft tissue material within the stomach may represent residual ingesta or foreign material.</t>
  </si>
  <si>
    <t xml:space="preserve">
1.No abnormal AI findings reported._x000D_
2.Peritoneal detail is normal._x000D_
3.Small-to-moderate volume ingesta in the stomach._x000D_
4.Small intestines and colon are minimally filled without compelling evidence for obstruction._x000D_
5.Liver and spleen appear within normal limits.</t>
  </si>
  <si>
    <t xml:space="preserve">Patient Name : Bebang Lintag, Date of study: Jun 10, 2024
3 images are provided for review
Canine Abdomen (3 Images) - 2 Lateral, 1 Vd
There are no previous radiographs for comparison.
Liver: The liver is moderately enlarged, more severe in the left liver in the ventrodorsal image.  The caudoventral margin of the liver is mildly rounded or slightly lobular, and extends past the 13th ribs.  The gastric axis is caudally displaced.
Spleen: The spleen is subjectively normal in size with smooth margins and homogeneous soft tissue.
Kidneys: The left kidney is normal in the ventrodorsal image.  The right kidney is partially obscured without obvious renomegaly.  
Retroperitoneum:  Mineral is variably superimposed over the right and left kidneys in the lateral images.  In the ventrodorsal image, this mineral is cranial and medial to the region of the right kidney, suspicious for right adrenal gland mineral.   Retroperitoneal detail is adequate.
Urogenital: The urinary bladder is normal in size, homogeneous soft tissue, and smoothly marginated.
Peritoneum: Peritoneal detail is adequate.
Gastrointestinal tract: The stomach contains a moderate volume of soft tissue material and gas, but is within normal limits for size.
The small intestine contains mild heterogeneous soft tissue material and gas, with a subjectively uniform population for size. 
The colon contains mild heterogeneous soft tissue material and gas.
Musculoskeletal: Spondylosis deformans is present from L1-2 through L4-5.  The remaining included musculoskeletal structures are normal.
</t>
  </si>
  <si>
    <t>1. Moderate hepatomegaly and rounded margins from possible mass.  
- Differential diagnoses include vacuolar hepatopathy such as from hyperadrenocorticism or functional adrenal gland neoplasia, and/or nodular hyperplasia, hepatitis/cholangiohepatitis or evolving neoplasia (metastatic or less likely primary).
2. Suspected right adrenal gland mineral such as from evolving neoplasm (primary carcinoma versus other).
3. There is no evidence of gastrointestinal mechanical ileus. 
4. Spondylosis deformans L1-2 through L4-5.</t>
  </si>
  <si>
    <t>Abdominal ultrasonography versus computed tomography for further evaluation of the right adrenal gland and liver.  Thoracic imaging and routine blood work, urinalysis and ACTH stimulation testing for further evaluation.  Coagulation testing and hepatic tissue sampling may be contributory.  Oncologist consultation depending on results.  Empirical therapy and supportive care in the interim as needed.</t>
  </si>
  <si>
    <t xml:space="preserve">
1.The liver is mildly enlarged but retains a smooth margin._x000D_
2.The spleen and abdominal detail are normal._x000D_
3.The small intestine is predominantly mildly gas-filled and normal in size. No signs of obstruction._x000D_
4.The stomach contains a moderate volume of heterogeneous soft tissue material mixed with gas_x000D_
5.No abnormal AI findings reported.</t>
  </si>
  <si>
    <t>Consider repeat radiographs following strict fasting (for 8-12 hours) to determine if gastric contents persist.</t>
  </si>
  <si>
    <t xml:space="preserve">
1.Splenic size, shape and margin are normal._x000D_
2.Abdominal detail is normal._x000D_
3.The liver is mildly enlarged._x000D_
4.The stomach is normal. The small bowel is diffusely gas- and fluid-filled without segmental small bowel dilation.</t>
  </si>
  <si>
    <t>Study:_x000D_
Thoracic radiography: three images dated June 10, 2024_x000D_
_x000D_
Findings:_x000D_
The cardiac silhouette (VHS approximately 10) and pulmonary vasculature are normal in size. The pulmonary parenchyma is unremarkable. The pleural space is normal. There is no intrathoracic lymphadenopathy. The trachea is normal in diameter and course. The liver extends mildly beyond the costal arch with smooth margins. The osseous structures are unremarkable. The patient is of overweight body condition.</t>
  </si>
  <si>
    <t>1. Normal thorax. There is no radiographic evidence of heart disease. Consider echocardiography for further evaluation of the reported heart murmur._x000D_
2. The generalized hepatomegaly is nonspecific. Rule out metabolic/vacuolar hepatopathy, hyperplasia, hepatitis or infiltrative neoplasia. Correlate with any liver enzyme abnormalities. Sonography can be considered for further evaluation if clinically relevant.</t>
  </si>
  <si>
    <t>Opposite lateral and ventrodorsal whole body radiographs (3 images) dated June 10,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normal in size and shape. The right kidney is small and irregular in shape. The left kidney measures at the lower limits of normal size and is normal in shape. The urinary bladder is small and fluid opaque. The stomach contains a fair amount of gas and a scant amount of soft-tissue/fluid. The small intestine is empty/collapsed. The colon contains a small amount of somewhat poorly formed stool mixed with scant amount of gas. _x000D_
Retroperitoneal and peritoneal detail are normal. No regional lymphadenopathy is evident._x000D_
_x000D_
No aggressive or clinically significant osseous pathology is identified.</t>
  </si>
  <si>
    <t>1. Chronic renal disease. Correlation with orthopedic and neurologic exam is needed to determine significance._x000D_
2. The appearance of the gastrointestinal tract is suspicious for gastroenteritis +/- impending loose stool/diarrhea. There is no evidence of a gastrointestinal mechanical obstruction._x000D_
3. Normal thorax.</t>
  </si>
  <si>
    <t>Supportive care with fluid rehydration, antiemetics, gastroprotectants/omeprazole, and bland diet.  General health profile (CBC, chemistry, UA, T4, FeLV/FIV, blood pressure, fecal) +/- fPLI to screen for underlying causes.  Abdominal ultrasound could also be considered.</t>
  </si>
  <si>
    <t>3 views of the thorax are provided for review.  2 images of the abdomen are not requested to be reviewed.  The cardiovascular structures are normal.  There is a moderate bronchial pattern in all lung lobes.  The trachea is mildly narrowed at the thoracic inlet.  No esophageal dilation or foreign material is seen.  The mediastinal and pleural structures are normal.  Cranial abdominal detail is adequate.</t>
  </si>
  <si>
    <t>Moderate bronchial pulmonary pattern=ZZ90= consider bronchitis, response to inhaled irritants, response to circulating parasites, eosinophilic bronchopneumopathy.  Airway sampling may be helpful in further evaluation.  Mild tracheal narrowing may indicate tracheal collapse.  Fluoroscopy or bronchoscopy could be considered.</t>
  </si>
  <si>
    <t>5 images of the thoracolumbar spine are provided for review.  No fractures, luxations, or aggressive osseous lesions are seen.  There is consistent narrowing of the intervertebral disc space at T10-11.  The right 13th rib is hypoplastic.  The left 13th rib is partially lumbarized.  There is sacralization of L7.  The soft tissue structures included are normal.</t>
  </si>
  <si>
    <t>Narrowed intervertebral disc space suggestive of intervertebral disc herniation.  This does not rule out intervertebral disc herniation at another site or other causes of spinal cord compression.  Thoracolumbar and lumbosacral transitional vertebrae.</t>
  </si>
  <si>
    <t>SPINE and FORELIMBS (6 radiographs for review). No previous for comparison._x000D_
_x000D_
- Shoulder joints normal bilaterally._x000D_
- Elbow joints normal bilaterally._x000D_
- Right mid-antebrachial valgus._x000D_
- Bilateral carpal valgus._x000D_
- Right antebrachial region normal_x000D_
- Carpal bones, metacarpal region normal._x000D_
- Distal carpal bones normal._x000D_
- The cervical and cervicothoracic vertebral column is normal_x000D_
- The regions of the scapulae and glenohumeral joints/proximal forelimbs are normal._x000D_
- The thoracic vertebral column is normal._x000D_
- The thoracolumbar junction is unremarkable._x000D_
- There may be a transitional lumbosacral vertebra (limited assessment)_x000D_
- The sacroiliac joints, pelvic bones and coxofemoral joints are normal_x000D_
- No discrete intra-thoracic or intra-abdominal abnormalities are noted.</t>
  </si>
  <si>
    <t>1. A discrete radiographic cause for the intermittent shaking of the forelimbs and occasional stumbling is not clearly identified. There is a valgus deformity at the level of the mid-right antebrachium, and bilateral carpal valgus, however I am unsure of their relevance to the current clinical complaint. Radiographically inapparent soft tissue changes are possible. For further workup, you may consider consultation with a orthopedic specialist or neurologist regarding advanced imaging of the forelimbs/spine._x000D_
_x000D_
2. Suspected  lumbosacral transitional vertebra (limited assessment)</t>
  </si>
  <si>
    <t>Based on the history provided, abdominal ultrasound could be considered in further evaluation.</t>
  </si>
  <si>
    <t xml:space="preserve">
1.The distended small bowel and colon have a similar appearance._x000D_
2.Several loops of mildly dilated loops of small intestine as well as several, less dilated loops of small bowel are noted approaching 2 bowel populations._x000D_
3.The spleen is normal._x000D_
4.Adequate serosal detail is noted in the peritoneal space._x000D_
5.The stomach is moderately gas filled and has prominent rugae._x000D_
6.The liver is normal.</t>
  </si>
  <si>
    <t>A lateral radiograph of the thorax, and three views of the abdomen are provided. The cardiac silhouette is upper normal size for this breed. There is a small area of increased opacity and suspect air bronchograms overlying cranioventral heart. Fat deposition separates the lungs from the sternum. No esophageal dilation. In the abdomen serosal detail is adequate. There is small volume gas in the stomach. Small intestines are minimally filled. Moderate volume semi-formed feces in the distal colon. No radiopaque gastrointestinal foreign material. The liver, spleen, and kidneys are normal size. The urinary bladder is mildly filled and soft tissue opaque. No abnormalities along the plane of the urethra. No osseous abnormalities.</t>
  </si>
  <si>
    <t>1. Normal abdomen. The reason for vomiting is not identified. Gastroenteritis secondary to dietary indiscretion is most likely. Small radiolucent gastric foreign material is given secondary consideration._x000D_
2. Suspect mild aspiration pneumonia. Otherwise normal thorax.</t>
  </si>
  <si>
    <t>A CBC, blood chemistry profile, and urinalysis are recommended. If vomiting persists, consider either a positive contrast gastrogram or strictly fasted abdominal ultrasound.</t>
  </si>
  <si>
    <t xml:space="preserve">
1.The stomach contains a small amount of air and either has prominent gastric rugae or contains a small amount of soft tissue material._x000D_
2.On the VD projection, the hepatic silhouette appears small however on the lateral projection, the hepatic silhouette is normal._x000D_
3.Splenic size, shape and margin are normal._x000D_
4.Abdominal detail is normal._x000D_
5.The small intestinal tract contains normal volumes of fluid, gas and ingesta._x000D_
6.The ascending, transverse and descending colon are in a normal position and contain gradually more formed feces.</t>
  </si>
  <si>
    <t>Patient Name: Dez Mercado, Date of study: June 10, 2024.
Abdomen: 4 images are provided for review (2 lateral, 2 VD). 
Compared to June 22, 2024. 
Findings:
Gastrointestinal tract: The stomach remains normal in size and position. The small intestines are diffusely within normal limits of diameter and are variably fluid and gas-filled. The colon contains formed feces and gas.
Liver: Similar to previous the liver is mildly enlarged with rounded margins which extend beyond the costal arch.
Spleen: The spleen remains normal.
Urinary: Similar to previous, there are several punctate and linear mineral foci within the collecting ducts of the left kidney.
Peritoneal/retroperitoneal space: As before, there is no evidence of sublumbar/medial iliac lymphadenopathy. The retroperitoneal and peritoneal detail remains normal.
Musculoskeletal: The skeletal and superficial soft tissue structures of the study remain normal.</t>
  </si>
  <si>
    <t>1. There is no evidence of sublumbar or medial iliac lymphadenomegaly.
2. Persistent mild hepatomegaly. This is a nonspecific finding, differentials include metabolic disease, endocrine disease, inflammation, and infiltrative neoplasia.
3. Unchanged left renolithiasis.</t>
  </si>
  <si>
    <t>-Fine-needle aspirates of the reported anal masses are recommended for cytologic diagnosis and to guide treatment recommendations.
-An abdominal ultrasound could be considered to further evaluate the liver and medial iliac lymph nodes. If abnormal tissue is identified, fine-needle aspirates or biopsy would be recommended.</t>
  </si>
  <si>
    <t xml:space="preserve">
1.The liver is mildly enlarged with smooth margins._x000D_
2.The spleen appears within normal limits._x000D_
3.The serosal detail is adequate._x000D_
4.The stomach contains a mild amount of gas._x000D_
5.The small bowel is gas and fluid-containing. No obvious obstruction.</t>
  </si>
  <si>
    <t>WHOLE-BODY (6 total radiographs for review)._x000D_
_x000D_
- The cardiac silhouette and pulmonary vasculature are normal._x000D_
- The pulmonary parenchyma is normal_x000D_
- The trachea, esophagus and remainder of the mediastinum is/are normal._x000D_
- The pleural space and remaining intrathoracic structures are normal._x000D_
- Peritoneal serosal detail is adequate_x000D_
- The stomach contains mild gas and gas-stippled soft-tissue opaque material_x000D_
- The small intestine contains mild multifocal gas and soft-tissue opaque material_x000D_
- The colon contains gas, soft-tissue/fluid and mild formed fecal material._x000D_
- The liver, spleen, kidneys and urinary bladder are normal._x000D_
- No musculoskeletal abnormalities are noted.</t>
  </si>
  <si>
    <t>1. Normal thorax. Negative examination for evidence of metastatic neoplasia._x000D_
_x000D_
2. Unremarkable abdomen</t>
  </si>
  <si>
    <t>Study:_x000D_
Abdominal radiography: six images dated June 10, 2024_x000D_
The right lateral projection of the thorax is also present in the study._x000D_
_x000D_
Findings:_x000D_
Evaluation the thorax is limited by the lack of left lateral and orthogonal views. The cardiac silhouette and pulmonary vasculature are normal in size. The pulmonary parenchyma is unremarkable. The pleural space is normal. There is no intrathoracic lymphadenopathy. The trachea is normal in diameter and course. On the VD view, there is an indistinct ovoid soft tissue opacity in the fundic portion of the stomach. On the left lateral projection, there is an ill-defined round opacity in the pylorus. The small intestines are normal in size, course and content. The colon contains gas with a normal diameter. The liver and spleen are normal in size and margin. The kidneys are normal in size and contour. The urinary bladder is normal in size and opacity. There is variable mild to severe multifocal thoracolumbar spondylosis deformans. There is severe bilateral hip dysplasia and remodeling/thickening of the femoral head and neck. Suture material is present in the mid-ventral abdominal body wall.</t>
  </si>
  <si>
    <t>1. The ill-defined soft tissue opacities in the stomach may represent food or foreign material. The abdomen is otherwise unremarkable. There is no evidence of small intestinal mechanical obstruction. Repeat fasted radiography can be considered to ensure gastric emptying. Alternatively, sonography can be considered if clinical signs persist or worsen in spite of medical management._x000D_
2. Unremarkable incomplete thoracic study._x000D_
3. Severe bilateral hip dysplasia and coxofemoral osteoarthrosis.</t>
  </si>
  <si>
    <t>Orthogonal thoracoabdominal views are provided. The images are compared to the previous study dated 2-15-24._x000D_
_x000D_
The heart is at the upper end of normal size range, with normal shape. VHS is unchanged relative to the previous study 10.6. Pulmonary vessels are normal. Bronchial markings are slightly prominent but within the limits of what might be expected as age related change and benign variation. No active appearing pulmonary infiltrates or pleural effusion are seen. Slight dorsal deviation of the ventral tracheal wall at the second intercostal space is again identified, although less prominent than the previous radiographs. There is mild to moderate hepatomegaly, which appears to have progressed slightly. Multiple calculi are seen in the left kidney, which was also present previously. The other abdominal organs are unremarkable.</t>
  </si>
  <si>
    <t>No evidence of significant cardiac chamber dilation or heart failure is identified._x000D_
_x000D_
Bronchial markings are slightly prominent but the appearance is equivocal as to clinical significance. No findings convincing for infectious disease or neoplasia are identified. Allergic lung disease is most likely responsible for the clinical signs. Idiopathic chronic bronchitis cannot be excluded._x000D_
_x000D_
The liver is enlarged. Diffuse hepatopathies including metabolic or endocrine associated hepatopathies, inflammatory liver disease, or less likely neoplasia should be ruled out.</t>
  </si>
  <si>
    <t>Symptomatic therapy for the cough is recommended.</t>
  </si>
  <si>
    <t>Patient Name: Thunder Moss, Date of study: June 10, 2024.
Canine Thorax (2 Images) - 1 Lateral, 1 VD.
There are no previous radiographs for comparison.
Findings:
Cardiac silhouette: The cardiac silhouette is mildly enlarged (VHS 11.4) with equivocal rounding/enlargement of the left atrium.
Pulmonary vessels: The pulmonary arteries and veins are normal in size and are symmetrical.
Pulmonary parenchyma: The lungs are underinflated on the lateral view. The pulmonary parenchyma is otherwise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Musculoskeletal: There is mild osteoarthritis of the right elbow.</t>
  </si>
  <si>
    <t>1. There is evidence of mild cardiomegaly. In the absence of a murmur, this may be a variation of normal. There is no evidence of congestive heart failure.
2. The lower airways are normal. Upper respiratory disease cannot be excluded as causes of abnormal respiratory sounds on inspiration.</t>
  </si>
  <si>
    <t>If not already performed, CBC, biochemistry, and airway sampling (respiratory PCR, lavage, wash) could be considered to further evaluate for systemic disease contributing to clinical signs.</t>
  </si>
  <si>
    <t>The AI result for this case is most compelling for: Normal abdominal findings. The appearance of the stomach is likely related to normal ingesta in the absence of GI symptoms. However, if GI symptoms are present, gastroenteritis secondary to dietary indiscretion or infectious etiology could be considered.</t>
  </si>
  <si>
    <t>Opposite lateral and ventrodorsal whole body radiographs (3 images) dated June 10, 2024._x000D_
_x000D_
The cardiac silhouette is mildly enlarged with dorsal deviation of the trachea and a soft tissue bulge in the region of left atrium (10.1 VHS score). The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is normal in size and shape. The spleen is unremarkable. The stomach contains a mild. Mostly empty aside from gas and has normal course. The cecum and colon contain a mixture of formed stool and gas. The kidneys are only partially visible with no overt abnormalities identified. Retroperitoneal and peritoneal detail are normal. The urinary bladder is partially included and is at least moderately distended with homogeneous fluid opacity._x000D_
No aggressive or clinically significant osseous pathology is identified.</t>
  </si>
  <si>
    <t>1. Mild generalized and predominantly left-sided cardiomegaly is consistent with myxomatous mitral valve disease. There is no evidence of heart failure. There are no radiographic findings suggestive of pulmonary hypertension, although radiographs are insensitive in identifying this disease._x000D_
2. The remainder of the thorax is unremarkable._x000D_
3. No abnormalities are identified in the abdomen.</t>
  </si>
  <si>
    <t>Echocardiogram. Consider initiating pimobendan therapy.</t>
  </si>
  <si>
    <t xml:space="preserve">
1.The liver is moderately enlarged._x000D_
2.Cranial abdominal detail is mildly decreased._x000D_
3.Small intestinal bowel loops are normal in size and distribution and have mainly a soft tissue pattern._x000D_
4.The stomach contains a moderate amount of mixed gas and fluid._x000D_
5.The colon contains gas and fluid._x000D_
6.The spleen is normal.</t>
  </si>
  <si>
    <t>Three orthogonal radiographs of the abdomen dated 10th June 2024 are available for review. There are no previous radiographs available for comparison. _x000D_
_x000D_
Intra-abdominal findings: The stomach is moderately dilated with granular food material, and some gas. The gastric axis is cranially displaced. The duodenum is gas and fluid dilated in the ventral dorsal image. The small intestines are variably filled with fluid/soft tissue opaque material and some gas. There have a stacked appearance. The descending colon contains formed faeces. The urinary bladder is poorly visible. The spleen is normal. The kidneys are poorly visible. The hepatic silhouette is small. The serosal detail is mildly reduced._x000D_
_x000D_
Extra-abdominal findings: No significant abnormalities are detected._x000D_
_x000D_
Included thorax: No significant abnormalities are detected.</t>
  </si>
  <si>
    <t>1. Microhepatica: Considering age, microvascular dysplasia should be considered. Thoracic conformation or cirrhosis is considered unlikely._x000D_
2. The moderate amount of granular food material within the stomach may be indicative of a recent meal. This contradicts the lack of appetite reported. Alternatively, in combination with the small intestinal findings, delayed gastric emptying (mucosal hypertrophy, other) or diffuse systemic gastrointestinal disease causing a physiologic ileus should be considered. The mild loss of serosal detail is consistent with young age.</t>
  </si>
  <si>
    <t>Full blood work if not already performed. A complete abdominal ultrasonographic examination post fasting is advised.</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</si>
  <si>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remaining abdominal organs are normal.</t>
  </si>
  <si>
    <t>Radiographically normal abdomen.  Lack of specific changes does not rule out pancreatitis or infiltrative neoplasia.  Radiographically normal thorax for patient of this age.</t>
  </si>
  <si>
    <t>Abdominal ultrasound could be considered based on the history provided.</t>
  </si>
  <si>
    <t xml:space="preserve">
1.No abnormal AI findings reported._x000D_
2.Mild hepatosplenomegaly is present and the ventral splenic margin is mildly undulating. A convexity extends from the caudal aspect of the liver margin._x000D_
3.Abdominal detail is normal._x000D_
4.The stomach is normal. The small bowel is diffusely gas- and fluid-filled without segmental small bowel dilation.</t>
  </si>
  <si>
    <t>WHOLE-BODY (6 total radiographs for review)._x000D_
_x000D_
- Peritoneal serosal detail is adequate_x000D_
- The spleen is moderately enlarged, with rounded margins._x000D_
- The stomach contains mild gas and gas-stippled soft-tissue opaque material_x000D_
- The small intestine contains mild multifocal gas and soft-tissue opaque material_x000D_
- The colon contains gas, soft-tissue/fluid and mild formed fecal material._x000D_
- The liver, kidneys and urinary bladder are normal._x000D_
- The cardiac silhouette and pulmonary vasculature are normal._x000D_
- The pulmonary parenchyma is normal_x000D_
- The trachea, esophagus and remainder of the mediastinum is/are normal._x000D_
- The pleural space and remaining intrathoracic structures are normal._x000D_
- Mild lumbosacral spondylosis deformans.</t>
  </si>
  <si>
    <t>1. A discrete radiographic cause for the reported clinical signs is not clearly identified. Consider abdominal ultrasonography for further assessment clinically indicated._x000D_
_x000D_
2. Moderate splenomegaly. DDx congestion from sedation +/- lymphoid hyperplasia, EMH or less likely neoplasia. _x000D_
_x000D_
3. Mild lumbosacral spondylosis deformans._x000D_
_x000D_
4. Normal thorax.</t>
  </si>
  <si>
    <t xml:space="preserve">
1.The spleen is mildly enlarged but retains a normal shape and smooth margins._x000D_
2.Abdominal serosal detail is satisfactory._x000D_
3.No segmental small bowel dilation is noted._x000D_
4.The liver is prominent but no liver mass is noted.</t>
  </si>
  <si>
    <t>Three radiographs of the thorax, and three views of the abdomen are provided. The cardiac silhouette and pulmonary vessels are normal size and shape. There are mild bronchial markings. The cranial lobar bronchus is mildly dilated on the left lateral view. No pleural effusion or soft tissue pulmonary nodules. Small volume fluid in the caudal esophagus is transient and incidental. Adequate tracheal diameter._x000D_
_x000D_
In the abdomen the urinary bladder is moderately distended and contains numerous smoothly marginated mineral opaque calculi measuring up to 2.6 cm. No medial iliac lymphadenomegaly. There are nephroliths measuring up to 1.0 cm bilaterally. The left kidney is reduced in size. Normal sized right kidney, spleen, liver. The gastrointestinal tract is minimally filled. Mild coxofemoral osteoarthrosis, and medial patellar luxation on the right, incidental today.</t>
  </si>
  <si>
    <t>1. Cystic calculi, too large to pass the urethra. Concurrent renoliths, of doubtful significance._x000D_
2. Chronic renal disease on the left._x000D_
3. Mild bronchial pattern with bronchiectasis, most consistent with chronic airway inflammation such as bronchitis. In the absence of a cough, significance is doubtful. Otherwise normal thorax. There is no evidence of cardiovascular disease on this study. A small valvular regurgitant jet can result in a relatively loud murmur.</t>
  </si>
  <si>
    <t>Surgical retrieval of the cystic calculi is likely necessary.</t>
  </si>
  <si>
    <t>Spinal and pelvic limb radiographs (9 images) dated June 10, 2024._x000D_
_x000D_
_x000D_
Mild disc space narrowing is appreciable at L4-L5 and L5-L6. The remainder of the thoracolumbar spine is unremarkable. The stifles are normal. The included thorax and abdomen are unremarkable._x000D_
Both hips are incongruent with poor acetabular coverage and moderate periarticular bony remodeling and subchondral sclerosis. The soft-tissue nodule is superimposed with the proximal left stifle on the VD pelvis view, and is visible in the caudal aspect of the left thigh/perineal region on the lateral view.</t>
  </si>
  <si>
    <t>1. L4 through L6 intervertebral disc disease._x000D_
2. Hip dysplasia with advanced osteoarthritis._x000D_
3. Caudal left thigh/perineal soft-tissue mass.</t>
  </si>
  <si>
    <t>Advanced spinal imaging (MRI, CT, myelogram) to confirm location and laterality for surgical planning._x000D_
_x000D_
Multimodal medical management for hip osteoarthritis includes initial strict rest and analgesic therapy, long-term anti-inflammatory therapy, adjunct treatments such as gabapentin, novel monoclonal antibody therapy, joint supplements, maintaining a lean body condition, and physical therapy._x000D_
_x000D_
Mass FNA.</t>
  </si>
  <si>
    <t>Patient Name: Astro Gunaganti, Date of study: June 10, 2024.
Canine Abdomen (3 Images) - 2 Lateral, 1 VD.
There are no previous radiographs for comparison.
Findings:
Gastrointestinal tract: The stomach is filled with a small volume of heterogeneous ingesta admixed with gas. The small intestine is diffusely within normal limits of diameter and distribution. The colon is gas-filled and mildly undulating margination on the VD view.
Liver: The liver is normal in size and shape.
Spleen: The spleen is normal in size with smooth margins.
Urinary: The urinary bladder is normal in size and opacity. The kidneys are unremarkable.
Peritoneal space: There is adequate serosal detail.
Musculoskeletal: The left 13th rib is hypoplastic. The remaining skeletal structures are within normal limits. The superficial soft tissue structures are unremarkable.</t>
  </si>
  <si>
    <t>1. The small volume of ingesta in the stomach is consistent with a recent meal (vs. foreign material). There is no evidence of a mechanical small intestinal obstruction or mineral/metal opaque foreign material.
-Gastroenteritis and pancreatitis are considered as causes of decreased appetite.
2. The undulating margination of the colon is suggestive of colitis.</t>
  </si>
  <si>
    <t>Medical management is recommended. If clinical signs persist despite medical management, recheck fasted abdominal radiographs +/- abdominal ultrasound would be recommended. If not already performed a cPLI and a gastrointestinal panel would be recommended.</t>
  </si>
  <si>
    <t xml:space="preserve">
1.There is suspicion of moderate splenomegaly or a soft tissue mass in the region of the spleen._x000D_
2.A minimal decrease in abdominal detail has been detected._x000D_
3.The small bowel is fluid filled but without significant distention. The stomach and colon are normal._x000D_
4.Minimal hepatomegaly has been detected.</t>
  </si>
  <si>
    <t>Moderate splenomegaly or other soft tissue mass in the region of the spleen. Minimal hepatomegaly. Minimal decrease in abdominal detail. DDx: superimposition of normal soft tissues vs. less suspected, scant abdominal fluid and/or mesenteric inflammation. Fluid filled small bowel without evidence of an intestinal obstruction. DDx: normal post-prandial intestinal tract vs. enteritis.</t>
  </si>
  <si>
    <t xml:space="preserve">
Virtual Radiologist Case Difficulty: MODERATE_x000D_
Virtual Radiologist Confidence: MODERATE_x000D_
Blood work. Abdomiinal ultrasound.</t>
  </si>
  <si>
    <t xml:space="preserve">
1.The liver and spleen appear within normal limits for size and contour._x000D_
2.The stomach appears within normal limits._x000D_
3.Small intestines are diffusely mildly fluid-filled. No evidence to suggest obstruction._x000D_
4.No abnormal AI findings reported._x000D_
5.Abdominal detail is adequate.</t>
  </si>
  <si>
    <t>Three radiographs of the thorax/abdomen are provided. The cardiac silhouette and pulmonary vessels are normal size and shape. There are no abnormalities in the pulmonary parenchyma. No pleural effusion. In the abdomen there are five mineralized fetal skeletons. No abnormal fetal skeletal contour or intra-fetal gas. Fetal metacarpal/metatarsals are visible. No maternal abdominal abnormalities.</t>
  </si>
  <si>
    <t>Gravid uterus with five late term fetuses. Normal thorax.</t>
  </si>
  <si>
    <t xml:space="preserve">
1.IMPORTANT: This AI evaluation currently DOES NOT assess for the presence of fetal mummification and/or abnormal gas within or around the fetus (fetal viability) and/or fetal number._x000D_
2.The spleen is mildly enlarged with a focal bulge in the splenic capsular margin._x000D_
3.Within the abdomen, there is reduced abdominal serosal detail._x000D_
4.There is a oval soft tissue opaque mass lesion noted within the mid abdomen._x000D_
5.The gastrointestinal tract is within normal limits._x000D_
6.Mineral dense material and distended viscus are present in the region of the uterine horns._x000D_
7.In cases of pregnancy, fetal mineralization indicates fetal age of &gt;45 days._x000D_
8.The liver is enlarged.</t>
  </si>
  <si>
    <t xml:space="preserve">
Virtual Radiologist Case Difficulty: LOW_x000D_
Virtual Radiologist Confidence: HIGH_x000D_
Abdominal ultrasound with possible fine-needle aspiration for cytology would be recommended._x000D_
Coagulation profile, platelet count and PCV prior to abdominocentesis and/or tissue sampling._x000D_
Three view thoracic radiographs after confirmation of an abdominal mass._x000D_
Evaluate fetal skeletal structures on radiographs, via ultrasound or submit for radiology review if fetal number and/or evaluation of fetal viability is needed.</t>
  </si>
  <si>
    <t>Opposite lateral and VD views of the thorax and abdomen are provided._x000D_
_x000D_
The heart is within normal size and shape limits. No pulmonary infiltrates or pleural effusion are identified. No tracheal or esophageal abnormalities are seen._x000D_
_x000D_
In the lateral views the spleen margins appears slightly irregular. The spleen shadow is normal in the VD view, and spleen size overall is well within normal limits. The other abdominal organs are unremarkable. No abnormalities are seen involving the GI tract.</t>
  </si>
  <si>
    <t>No abnormalities are identified involving the esophagus or the GI tract that would explain the concern of vomiting/regurgitation. Inflammatory GI disease or esophageal or gastric erosion should still be ruled out._x000D_
_x000D_
The slight irregularity of the spleen margins is a subtle and equivocal finding. Clinical significance is most likely limited, but nodular changes within the spleen cannot be excluded._x000D_
_x000D_
No findings that would specifically explain the complaint of PU/PD are identified.</t>
  </si>
  <si>
    <t>Depending on the severity of the clinical signs, endoscopy to evaluate the esophagus and proximal GI tract more definitively should be considered.</t>
  </si>
  <si>
    <t>Patient Name: Salzatore Mejia, Date of study: June 10, 2024.
Thorax and abdomen: 3 images are provided for review (2 lateral, 1 VD).
There are no previous radiographs for comparison.
Findings:
Cardiac silhouette: The cardiac silhouette is normal in size and shape.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stomach is empty and normal in position. The small intestines are diffusely within normal limits of diameter and are gas and fluid-filled.
Liver: The liver is moderately enlarged with rounded caudal margins which extend beyond the costal arch.
Spleen: The spleen is unremarkable.
Urinary: The visible margins of the kidneys are normal. The urinary bladder is small in size and normal in opacity.
Peritoneal space: There is adequate serosal detail.
Musculoskeletal: The skeletal and superficial soft tissue structures of the study are within normal limits.</t>
  </si>
  <si>
    <t>1. Moderate hepatomegaly.  This is a nonspecific finding, differentials include metabolic disease, endocrine disease, inflammation, and less likely, infiltrative neoplasia.
2. Unremarkable thorax. There are no contraindications for general anesthesia.</t>
  </si>
  <si>
    <t>An abdominal ultrasound is recommended to further evaluate the liver. Ultrasound-guided fine-needle aspirates or biopsy of any abnormal tissue would be recommended.</t>
  </si>
  <si>
    <t xml:space="preserve">
1.The liver is mildly enlarged but with a normal shape and smooth margins. No hepatic mass has been identified._x000D_
2.Splenic size, shape and margin are normal._x000D_
3.The stomach and intestinal tract are normal._x000D_
4.Abdominal detail is normal.</t>
  </si>
  <si>
    <t>ABDOMEN (3 total radiographs for review). Previous examination available for comparison from 2022._x000D_
_x000D_
- Peritoneal serosal detail is adequate_x000D_
- The stomach contains mild gas and gas-stippled soft-tissue opaque material_x000D_
- The small intestine contains mild multifocal gas and soft-tissue opaque material_x000D_
- The colon contains gas, soft-tissue/fluid and mild formed fecal material._x000D_
- The liver, spleen, kidneys and urinary bladder are normal._x000D_
- The uterus is nor seen._x000D_
- The caudal thorax is normal_x000D_
- No musculoskeletal abnormalities are noted.</t>
  </si>
  <si>
    <t>1. There is mild non-specific food and/or foreign material in the stomach, and otherwise the appearance of the GI tract can be compatible with a non-specific generalized functional ileus (e.g. gastroenterocolitis)._x000D_
_x000D_
There is no evidence of uteromegaly, small intestinal foreign material or mechanical obstruction. If clinically indicated, abdominal ultrasonography might be considered. Recheck abdominal radiographs could be considered to assess for passage vs. persistence of the gastric material.</t>
  </si>
  <si>
    <t xml:space="preserve">
1.Abdominal detail is normal._x000D_
2.The stomach contains gas and ingesta or prominent rugae. The small bowel is diffusely fluid filled but without segmental small bowel dilation._x000D_
3.Liver size, shape and margin are normal._x000D_
4.Splenic size, shape and margin are normal.</t>
  </si>
  <si>
    <t>7 images of the entire body and thoracic limbs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ingesta.  The small intestines are normal in size.  Gas and feces are present in the colon.  The urinary bladder is small.  The remaining abdominal organs are normal.  There is spondylosis deformans of the thoracolumbar spine.  The joint surfaces are smooth and regular.  No fractures or aggressive osseous lesions are seen.  Osteophytes are present at the caudal aspect of the humeral heads bilaterally.</t>
  </si>
  <si>
    <t>Radiographically normal abdomen.  Radiographically normal thorax for patient of this age.  Moderate bilateral shoulder DJD.</t>
  </si>
  <si>
    <t xml:space="preserve">
1.Abdominal detail is within normal limits._x000D_
2.The stomach is within normal limits. The small bowel is gas- and fluid-filled without segmental small bowel dilation or signs of obstruction._x000D_
3.No abnormal AI findings reported._x000D_
4.The liver and spleen are within normal limits for size with smooth margins.</t>
  </si>
  <si>
    <t xml:space="preserve">Patient Name : Fiona Brainard, Date of study: Jun 10, 2024
2 images are provided for review
Canine Abdomen (2 Images) - 1 Lateral, 1 Vd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obscured without obvious enlargement.  Gastrointestinal mineral superimposes over the region of the urinary bladder.
Peritoneum: Peritoneal detail is adequate.
Gastrointestinal tract: The stomach contains a large volume of variably sized, moderate to large, well-defined mineral bodies.  Some of these are somewhat flattened or triangular.  The stomach is filled with but no distended by this material.  
The small intestine contains a large volume of mineral foci similar to the stomach. Some small intestinal segments contain gas.  Overall, the small intestinal segments subjectively smoothly transition between contents, without obvious segmental enlargement.  
The colon contains similar mineral foci admied with some soft tissue material and gas.
Musculoskeletal: The included musculoskeletal structures are normal for a skeletally immature patient.
</t>
  </si>
  <si>
    <t xml:space="preserve">1. Large volume of gastric mineral foreign bodies with/without pyloric outflow tract obstruction, and with presumed gastritis/delayed gastric emptying.  
2. Moderate-large volume of mineral small intestinal foreign material, without obvious evidence of mechanical ileus.
3. Colonic mineral foreign material such as from passing dietary indiscretion.
4. Gastritis, enteritis and colitis secondary to dietary indiscretion is considered.  </t>
  </si>
  <si>
    <t xml:space="preserve"> There is no current indication for celiotomy such as small intestinal mechanical ileus.    Consider feeding a bulky diet as well as empirical therapy/supportive care for gastroenterocolitis/dietary indiscretion, and serial abdominal radiographs for monitoring passage of this material. Given clinical presentation and presence of material in the colon, it is suspected this material can pass the gastrointestinal tract.  Retrieval of material from the stomach via gastroscopy or gastrotomy may be necessary if some material persists in the stomach, especially if partial/intermittent outflow tract obstruction is suspected on serial imaging. </t>
  </si>
  <si>
    <t xml:space="preserve">
1.Liver size, shape and margin are normal to upper limits of normal._x000D_
2.The spleen is unremarkable._x000D_
3.Abdominal detail is normal._x000D_
4.The stomach contains a mild amount of gas._x000D_
5.No segmental small intestinal dilation is noted._x000D_
6.The colon contains a moderate amount of heterogeneous soft tissue material.</t>
  </si>
  <si>
    <t>Liver size is normal to upper limits of normal. Benign fat deposition suspected.</t>
  </si>
  <si>
    <t xml:space="preserve">
Virtual Radiologist Case Difficulty: LOW_x000D_
Virtual Radiologist Confidence: HIGH_x000D_
Further evaluation of the liver via abdominal ultrasound and liver function testing if biochemically indicated.</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</si>
  <si>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is small.  The kidneys are small with mineral in the renal pelves bilaterally.  Additional mineral is seen in the retroperitoneal space ventral to L3-4.  The remaining abdominal organs are normal.</t>
  </si>
  <si>
    <t>Chronic renal changes with nephrolithiasis and ureterolithiasis.  Radiographically normal thorax for patient of this age.</t>
  </si>
  <si>
    <t xml:space="preserve">Patient Name : Chlton Henry, Date of study: Jun 10, 2024
4 images are provided for review
There are no previous radiographs for comparison.
Bones/Joints:  The T13 vertebra is transitional with thin, hypoplastic ribs bilaterally.   The T12-13 intervertebral disc space is subjectively narrow.  No obvious mineral is superimposed over the intervertebral foramina.  
The coxofemoral joints are sujbecitlvey normal.  The femoral trochlear ridges are subjectively shallow in the lateral image.
Soft tissues:  The patient is obese.  the remaining included soft tissues are normal.  </t>
  </si>
  <si>
    <t>1. Suspected T12-13 intervertebral disc disease.
2. Transitional T13 vertebra. 
3. Subjectively shallow femoral trochlear ridges without current evidence of patella luxation.</t>
  </si>
  <si>
    <t xml:space="preserve">Consider evaluation of stifles for medial patella luxation contributing to reported clinical signs.  Consider neurologist examination and possibly neurologist consultation, and MRI of the thoracolumbar spine depending on results.  Routine blood work prior to advanced imaging.  Weight loss.  Empirical therapy and supportive care in the interim as needed.  </t>
  </si>
  <si>
    <t xml:space="preserve">
1.Splenic size, shape and margin are normal._x000D_
2.Liver size, shape and margin are normal._x000D_
3.Serosal detail is adequate._x000D_
4.The small intestines have a diffuse fragmented gas pattern.</t>
  </si>
  <si>
    <t>Orthogonal views of the thorax and abdomen are provided for interpretation._x000D_
_x000D_
There is moderate to severe narrowing involving the T12-T13 intervertebral disc space. L1-L2 is also mildly to moderately narrowed. No soft tissue swelling or destructive/productive bone lesions are seen._x000D_
_x000D_
The cardiovascular structures are within normal limits. No pulmonary infiltrates or pleural effusion are seen._x000D_
The abdominal organs are all within normal size and shape limits._x000D_
There is a small quantity of normal appearing amorphous soft tissue dense ingesta in the stomach. No dilation of the stomach or intestine is seen. Abdominal serosal detail is normal.</t>
  </si>
  <si>
    <t>No significant thoracic or abdominal organ abnormalities are identified._x000D_
_x000D_
There is disc space narrowing in the thoracolumbar spine consistent with disc degeneration. Intervertebral disc disease should be ruled out as a possible explanation for the clinical signs.</t>
  </si>
  <si>
    <t>Restricted activity, pain control, and anti-inflammatory therapy for possible disc disease with spinal cord impingement is recommended._x000D_
_x000D_
Metabolic or systemic infectious disease should also be ruled out with appropriate labwork.</t>
  </si>
  <si>
    <t xml:space="preserve">
1.The liver and spleen are normal size with smooth margins._x000D_
2.No gastrointestinal abnormalities are appreciated. No signs of obstruction._x000D_
3.In the abdomen there is no effusion._x000D_
4.No abnormal AI findings reported.</t>
  </si>
  <si>
    <t>Three orthogonal radiographs of the abdomen dated 10th June 2024 are available for review. There are no previous radiographs available for comparison. _x000D_
_x000D_
Intra-abdominal findings: The stomach is mainly empty, containing some gas. The rugal folds are subjectively prominent. The descending duodenum is filled with fluid and gas. The small intestines are variably filled with gas, fluid and soft tissue opaque material, including some smaller gas lucencies. The descending colon contains only gas. In the centre of the abdomen there is a significantly distended viscus which contains fluid, granular soft tissue opaque material and little gas. This is in the position of the ascending colon. The urinary bladder is small. The hepatic silhouette is enlarged with smooth borders in the right lateral image. The spleen is normal in shape, size and position. The kidneys are partially obscured by gastrointestinal contents, but the visible aspect are normal. There is mild reduction of serosal detail._x000D_
_x000D_
Extra-abdominal findings: The patient is overweight._x000D_
_x000D_
Included thorax: No significant abnormalities are detected.</t>
  </si>
  <si>
    <t>1. The centrally dilated viscus is suspicious for ascending colon obstruction by non-radiopaque foreign material. Partial obstruction of the distal small intestines should also be considered. A enteritis/secondary ileus is likely present in the anterior small intestines, as well as a gastritis.</t>
  </si>
  <si>
    <t>An abdominal ultrasound is indicated to evaluate location and confirm presence of non-radiopaque foreign material and partial obstruction. Supportive management including rehydration, gastroprotectants,  full blood work if not already performed. Repeat 3-view post fasting radiographs depending on clinical progression or consider an abdominal ultrasound. Depending on clinical progression, an explorative laparotomy may be necessary, accepting the risk a nonsurgical lesion is found.</t>
  </si>
  <si>
    <t xml:space="preserve">Patient Name : winston greer, Date of study: Jun 10, 2024
5 images are provided for review
There are no previous radiographs for comparison.
Liver: The liver is subjectively normal in size.
Spleen: The spleen is normal in size with smooth margins and homogeneous soft tissue.
Kidneys: The left kidney is normal.  The right kidney is partially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volume of gas and is within normal limits for size.  Gas in in the pylorus and descending duodenum in the left lateral image.
The small intestine contains fluid or is empty with a subjectively uniform population for size. 
The colon contains minimal fluid and gas or is empty.  the colon is normal in size.
Musculoskeletal: The included musculoskeletal structures are normal.
</t>
  </si>
  <si>
    <t xml:space="preserve">1.  There is no evidence of gastrointestinal mechanical ileus on this examination.
2. Possible gastritis/enteritis/colitis versus normal variation and/or recent bowel movement.
- Differential diagnoses include dietary indiscretion, toxin ingestion, inflammatory bowel disease, diet/antibiotic responsive disease, pancreatitis, or occult systemic disease.
</t>
  </si>
  <si>
    <t xml:space="preserve">Consider routine blood work, GI panel, fecal analysis and empirical deworming.  . Ultrasonography may be beneficial for further evaluation, especially if clinical signs acutely change, fail to improve or worsen with empirical therapy and supportive care.  Consider diet elimination trial and internist consultation.  Monitoring as directed, or sooner if signs acutely change or worsen.  </t>
  </si>
  <si>
    <t xml:space="preserve">
1.The gastric rugae are prominent. The small bowel is diffusely gas- and fluid filled without segmental small bowel dilation._x000D_
2.Liver size, shape and margin are normal._x000D_
3.Splenic size, shape and margin are normal._x000D_
4.Abdominal detail is normal.</t>
  </si>
  <si>
    <t>4 images of the entire body and right thoracic limb are provided for review.  The cardiovascular structures are similar to previous images dated 6/17/2021, with persistent left-sided enlargement and enlargement of the main pulmonary arterial segment and descending aorta.  No pulmonary infiltrates are seen.  The pulmonary vasculature is normal in size.  The trachea is narrowed in the thoracic inlet, also similar to previous images.  The mediastinal and pleural structures are normal.  There is remodeling of the left fourth and fifth ribs with decrease in the left fourth intercostal space consistent with previous thoracotomy.  A fracture is seen at the proximal portion of the left seventh rib..  Abdominal serosal detail is adequate in all quadrants.  The stomach contains a moderate amount of ingesta with mineral structures.  The small intestines are normal in size.  Gas and feces are present in the colon.  The urinary bladder is small.  The remaining abdominal organs are normal.  Spinal alignment is normal with no consistently narrowed intervertebral disc spaces the joint surfaces are smooth and regular.  No additional fractures or aggressive osseous lesions are seen.</t>
  </si>
  <si>
    <t>Gastric mineral foreign material, likely incidental.  Left seventh rib fracture.  Persistent cardiac changes consistent with previous PDA.  Persistent tracheal collapse.</t>
  </si>
  <si>
    <t>Four radiographs of the thorax/abdomen are provided. The cardiac silhouette and pulmonary vessels are normal size and shape. There are no abnormalities in the pulmonary parenchyma. No pleural effusion or esophageal dilation. Moderate narrowed caudal cervical trachea on the right lateral view._x000D_
_x000D_
Probable dynamic cervical tracheal collapse. No intrathoracic abnormalities. In the abdomen the stomach contains small volume gas and fluid. A mixture of fluid and gas are also present in the small intestines. There is no severe intestinal distention or bunching/plication. Semi-formed feces fills the colon. Several punctate mineral densities in the distal descending colon. Normal-sized liver, spleen, kidneys. No radiopaque urolithiasis.</t>
  </si>
  <si>
    <t>Gastric contents may represent residual ingesta and fluid. Foreign material causing gastritis and intermittent pyloric outflow obstruction is not ruled out. There is no evidence of small bowel obstruction. Metal debris in the distal colon may be incidental or prior ingested foreign material. This will continue to pass successfully and is of doubtful clinical significance at this time. The thorax is normal.</t>
  </si>
  <si>
    <t>Consider a fasted positive contrast gastrogram study to rule out gastric foreign material. Abdominal ultrasound is another option to evaluate the entire abdomen, as long as the patient has been strictly fasted and there is minimal gas in the stomach at the time of imaging.</t>
  </si>
  <si>
    <t>Nine radiographs are provided, with images of the thorax, the thoracic limbs, and abdomen. The cardiac silhouette and pulmonary vessels are normal size and shape. No abnormalities in the pulmonary parenchyma or pleural space. Normal cranial mediastinal width and tracheal diameter. No shoulder abnormalities. The right radius and ulna are laterally displaced with respect to the humerus. The proximal right radius is angled laterally, with the craniolateral aspect of the radial head in contact with the humeral condyle. The ulna has a severely blunted/absent medial coronoid process behind the ulna articulates with the capitulum. Normal left elbow and both distal thoracic limbs._x000D_
_x000D_
In the abdomen there is no effusion. The gastrointestinal tract is mildly filled. Scant mineral and metal opaque debris in the stomach and small bowel, likely incidental. Normal-sized liver, spleen, kidneys. The urinary bladder is minimally filled. Normal coxofemoral joints.</t>
  </si>
  <si>
    <t>Chronic right cubital subluxation and malformation. Normal thorax and abdomen.</t>
  </si>
  <si>
    <t>Consultation with an orthopedic specialist could be considered.</t>
  </si>
  <si>
    <t>Study:_x000D_
Abdominal radiography: three images dated June 10, 2024_x000D_
_x000D_
Findings:_x000D_
The stomach contains a small amount of ill-defined unstructured heterogeneous soft tissue material with a small amount of interspersed granular mineral. The small intestines are normal in size, course and content. The colon is gas filled with a normal diameter. The liver is normal in size and margin. The spleen is moderately to severely enlarged with smooth margins. The renal silhouettes are normal in size and contour. On the right lateral view, there is mild ill-defined faint mineral opacity in the apical portion of the urinary bladder. There is no prostatomegaly. The included thorax is normal. The L5-L6 intervertebral disc space appears mildly narrowed in comparison to the adjacent to spaces on both lateral projections.</t>
  </si>
  <si>
    <t>1. The granular mineral in the stomach is suggestive of dietary indiscretion. The ill-defined unstructured heterogeneous soft tissue material in the stomach may represent food or foreign material. There is no evidence of small intestinal mechanical obstruction. Repeat fasted radiography can be considered to ensure gastric emptying. Alternatively, sonography can be considered if clinical signs persist or worsen in spite of medical management._x000D_
2. The generalized splenomegaly is nonspecific. Rule out extramedullary hematopoiesis, lymphoid hyperplasia, splenitis or infiltrative neoplasia. Sonography can be considered for further evaluation._x000D_
3. The ill-defined mineral in the urinary bladder may indicate crystalline sediment. Mural mineralization is less likely. Urinalysis can be considered for further evaluation._x000D_
4. Suspect L5-L6 intervertebral disc disease.</t>
  </si>
  <si>
    <t xml:space="preserve">
1.Multiple intestinal segments throughout the abdomen contain a moderate volume of gas and are rigid._x000D_
2.It cannot be definitively determined if the gas dilated and rigid bowel represents the colon only or a portion of the small intestine._x000D_
3.The stomach contains a mild volume of gas and is normal in size._x000D_
4.The liver and spleen are normal._x000D_
5.No abnormal AI findings reported._x000D_
6.Peritoneal serosal detail is decreased.</t>
  </si>
  <si>
    <t>Possible small intestinal versus descending colonic gas distention with a rigid appearance. Moderate diffuse intestinal changes due to nonspecific enterocolitis such as from dietary indiscretion/passing foreign material, or evolving mechanical ileus. This bowel appearance should be monitored closely and correlated to clinical signs. Decreased abdominal detail. DDx: mesenteric inflammation and/or small volume abdominal fluid.</t>
  </si>
  <si>
    <t xml:space="preserve">
Virtual Radiologist Case Difficulty: MODERATE_x000D_
Virtual Radiologist Confidence: MODERATE_x000D_
Submission of this case for a Vetology interpretation and/or a pneumocolon can be performed to differentiate the colon vs. small bowel if the gas dilated viscus cannot be definitively localized as large bowel._x000D_
Abdominal ultrasonography may also be beneficial._x000D_
If GI signs are present and fail to improve or worsen with empirical therapy, or a small intestinal foreign body and evolving mechanical ileus are confirmed on repeat radiographs or ultrasonography, celiotomy will likely be necessary for further treatment._x000D_
CBC and serum biochemsitry prior to surgical intervention.</t>
  </si>
  <si>
    <t>Orthogonal radiographs of the thorax/abdomen, and a lateral view of the neck are provided. Hyoid and laryngeal apparatus are normal. Common pharyngeal region is normally air-filled. No esophageal dilation. Redundant dorsal trachealis membrane in the cervical region. Cardiovascular structures are normal size and shape. The lungs are clear. There is no pleural effusion. Possible narrowed C4-5 intervertebral disc space. In the abdomen there is no effusion or organomegaly. The gastrointestinal tract is mildly filled. No radiopaque urolithiasis. The coxofemoral joints are normal.</t>
  </si>
  <si>
    <t>1. The appearance of C4-5 is suggestive of intervertebral disc disease. This may be responsible for discomfort. No other abnormalities are identified to explain the clinical signs._x000D_
2. Cervical tracheal collapse._x000D_
3. Normal thorax and abdomen.</t>
  </si>
  <si>
    <t>Recommend sedation and visual inspection of the pharyngeal/laryngeal region.</t>
  </si>
  <si>
    <t>Study:_x000D_
Thoracic radiography: three images dated June 10, 2024_x000D_
_x000D_
Findings:_x000D_
There is mild left ventricular and left atrial enlargement. The pulmonary vasculature is normal in size. The pulmonary parenchyma is unremarkable. The pleural space is normal. There is no intrathoracic lymphadenopathy. The trachea is normal in diameter. The stomach and some small intestinal segments contain unstructured heterogeneous/granular soft tissue material presumed to be ingesta. The included abdomen is otherwise unremarkable. Mild periarticular bone formation is present at the caudodistal aspect the humeral head bilaterally.</t>
  </si>
  <si>
    <t>1. Mild left-sided cardiomegaly, consistent with the reported stage B2 mitral valve disease, without evidence of decompensation. Recommend repeat echocardiography as previously directed by cardiologist._x000D_
2. Mild bilateral shoulder osteoarthrosis.</t>
  </si>
  <si>
    <t>Four orthogonal radiographs of the thoraco lumbar vertebral column, dated 10th June 2024 are available for review. There are no previous radiographs available for comparison. _x000D_
_x000D_
Vertebral column: The cervical vertebral column is normal. There is minimal narrowing of the T11-T12, T12-T13 and T13-L1 intervertebral disc spaces with normal vertebral endplates. The lumbar vertebral column is normal._x000D_
In the ventrodorsal image, there is widening of the pyloroduodenal angle and distension of the duodenum.</t>
  </si>
  <si>
    <t>Minimal thoracolumbar intervertebral disc disease. This may be incidental, but could contribute to some back pain. Intervertebral disk protrusion or other spinal cord pathology including embolic (FCE), high velocity disk, inflammatory or neoplastic disease or degenerative myelopathy is not excluded. _x000D_
Consider pancreatitis as a cause for abdominal pain and kyphosis.</t>
  </si>
  <si>
    <t>Abdominal ultrasound and CPL testing is advised._x000D_
If the above is negative, full neurologic examination if not already performed. If no proprioceptive deficits or patients back pain is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can be considered</t>
  </si>
  <si>
    <t>Three orthogonal radiographs of the abdomen dated 10th June 2024 are available for review. There are no previous radiographs available for comparison. _x000D_
_x000D_
Intra-abdominal findings: The stomach contains some granular food material, mainly in the fundus. There is some gas in the pyloric region on the left lateral image. The duodenum is mildly distended with gas and some fluid. The pyloroduodenal angle is mildly widened. The small intestines are homogenously filled with gas, fluid and soft tissue opaque material. The descending colon contains formed faeces. The hepatic silhouette is normal in size with smooth borders. The spleen is normal in shape, size and position. The kidneys are partially obscured by gastrointestinal contents, but the visible aspect are normal. The urinary bladder is mildly distended._x000D_
_x000D_
Extra-abdominal findings: No significant abnormalities are detected. The 13th rib are transitional._x000D_
_x000D_
Included thorax: No significant abnormalities are detected.</t>
  </si>
  <si>
    <t>Relatively unremarkable abdomen. The gas and distension of the duodenum may be transient, or may indicate a pancreatitis. A partial pyloric outflow obstruction is considered unlikely.</t>
  </si>
  <si>
    <t>Observational management is advised. depending on clinical progression, consider abdominal ultrasonography, or repeat post fasting radiographs.</t>
  </si>
  <si>
    <t>Four radiographs of the thorax/abdomen are provided. There is moderate generalized cardiac silhouette enlargement. Subsequent dorsal deviation caudal thoracic trachea and mainstem bronchi. The left mainstem bronchus is compressed. Pulmonary vessels are normal size. Perihilar vessels are adequately visible. Mild unstructured interstitial pattern is normal for the age of this patient. Mild narrowed caudal cervical trachea. No pleural effusion. In the abdomen the liver is mildly enlarged with smooth margins. The spleen is upper normal size. Normal-sized kidneys. The gastrointestinal tract is mildly filled. No radiopaque urolithiasis.</t>
  </si>
  <si>
    <t>1. Moderate generalized cardiomegaly consistent with acquired mitral and tricuspid valve disease. There is no pulmonary venous congestion or evidence of heart failure today, however there is mainstem bronchial compression. _x000D_
2. Possible cervical tracheal collapse._x000D_
3. Mild hepatomegaly, a nonspecific finding that may be venous congestion or hepatopathy. Acute inflammation or neoplasia are next on the differential list. This should be correlated with history and blood work.</t>
  </si>
  <si>
    <t>Routine blood work should be considered to evaluate liver values.</t>
  </si>
  <si>
    <t>Abdominal and pelvic radiographs (6 images) dated June 10, 2024._x000D_
_x000D_
The liver and spleen are unremarkable in size and shape. The stomach contains a moderate amount of heterogeneous soft-tissue content. The small intestine has a mild variation in diameter and is diffusely distended with gas, and to a lesser extent, soft-tissue/fluid content. The colon contains unremarkable appearing stool mixed with gas. The kidneys are partially obscured due to superimposed viscera with no overt abnormalities appreciated. The urinary bladder is small and fluid opaque. Retroperitoneal and peritoneal detail are normal. No regional lymphadenopathy is evident. No radiographic abnormalities are appreciated in the perianal soft tissues._x000D_
Both stifles have moderate periarticular bony remodeling affecting them. The hips and pelvis are unremarkable. There is caudal thoracic spondylosis deformans without disc space narrowing.</t>
  </si>
  <si>
    <t>1. Unremarkable postprandial abdomen. The cause for the anal bleeding is not radiographically apparent. _x000D_
2. Bilateral stifle osteoarthritis with most compatible with chronic cranial cruciate ligament disease.</t>
  </si>
  <si>
    <t>Consider discontinuing steroid therapy. _x000D_
Abdominal ultrasound. Rectal exam if not already performed._x000D_
Fecal parasite screening. CBC, Chem, UA, thyroid, BP._x000D_
Three-view thoracic radiographs.</t>
  </si>
  <si>
    <t>Study:_x000D_
Abdominal radiography: three images dated June 10, 2024_x000D_
_x000D_
Findings:_x000D_
The stomach contains a small volume of gas with the pylorus appropriately gas-filled on the left lateral image. The small intestines are normal in size, course and content. The colon contains formed fecal material. The liver extends mildly beyond the costal arch but has a smooth and sharp margin and does not displace the gastric axis. The spleen is normal in size and margin. The kidneys are normal in size and contour. The urinary bladder is normal in size and opacity. There is no prostatomegaly. The included thorax is normal. On the VD view, the right patella is medially luxated. On the left lateral projection, the left patella is superimposed with the femoral condyles. The patient is of overweight body condition.</t>
  </si>
  <si>
    <t>1.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2. The appearance of the liver is equivocal for mild nonspecific hepatomegaly and should be correlated with any liver enzyme abnormalities. Rule out individual normal variant, metabolic/vacuolar hepatopathy, hyperplasia, hepatitis or infiltrative neoplasia. Sonography can be considered for further evaluation._x000D_
3. Bilateral medial luxating patella.</t>
  </si>
  <si>
    <t xml:space="preserve">
1.Liver size, shape and margin are normal._x000D_
2.Colonic segments are gas filled and have a rigid appearance._x000D_
3.The stomach is moderately gas-distended and the gastric rugae are prominent. The small bowel is diffusely gas- and fluid-filled without segmental small bowel dilation._x000D_
4.Abdominal detail is normal._x000D_
5.Splenic size, shape and margin are normal.</t>
  </si>
  <si>
    <t>3 views of the abdomen dated 6/10/2024 are presented for review.  Serosal detail is adequate in all quadrants.  The stomach contains a moderate amount of fluid.  The small intestines are normal in size.  Gas and feces are present in the colon.  The urinary bladder is small.  The remaining abdominal organs are normal._x000D_
_x000D_
11 additional images of an upper GI contrast series dated 6/10 and 6/11/2024 also provided for review.  Initial images show moderate gastric distention.  Variable filling defects are present in the pyloric to fundic regions.  Contrast progresses through the small intestine on subsequent images.  There is mild flocculation of contrast within the stomach.  Final images ADs approximately 21.5 hours show contrast remaining in the stomach.  Patchy filling defects are visible in the pyloric region.  The stomach remains distended.  Contrast is also seen within the colon and small amounts in small intestine.</t>
  </si>
  <si>
    <t>Gastric distention.  Delayed gastric emptying suggestive of partial outflow obstruction.  The final images are highly suggestive of fabric or similar foreign material in the pyloric region.</t>
  </si>
  <si>
    <t>Two radiographs of the abdomen dated 9th June 2024 are available for review. These are compared with previous day radiographs._x000D_
_x000D_
Intra-abdominal findings: The previously documented copper wire ingested which was present in the descending colon is no longer visible. A single small metallic loop is still visible in the ascending colon. The remainder of the gastrointestinal tract is unremarkable. The hepatic silhouette is normal in size with smooth borders. The spleen is normal in shape, size and position. The kidneys are partially obscured by gastrointestinal contents, but the visible aspect are normal. The serosal detail is normal._x000D_
_x000D_
Extra-abdominal findings: The right 13th rib has a sustained a transverse fracture, with surrounding callus._x000D_
_x000D_
Included thorax: No significant abnormalities are detected.</t>
  </si>
  <si>
    <t>Near complete resolution of metallic wire ingestion. The small remaining loop of metallic wire will likely pass. There is no evidence for intestinal perforation.</t>
  </si>
  <si>
    <t>Observational management is advised. repeat radiographs may be considered to track progress of single metallic loop.</t>
  </si>
  <si>
    <t>Study:_x000D_
Abdominal radiography: four images dated June 9, 2024_x000D_
_x000D_
Findings:_x000D_
There is mild peritoneal effusion. The stomach contains a small amount of heterogeneous soft tissue material. The small intestines are normal in size, course and content. The colon contains poorly formed fecal material. The liver extends mildly beyond the costal arch with smooth margins. The spleen is normal in size and margin. The renal silhouettes are normal in size and contour. Numerous mineral opaque calculi measuring up to 0.7 cm are present in the urinary bladder. No calculi are present in the region the urethra. There is no prostatomegaly. There is moderate bilateral pleural effusion. There is narrowing of the L1-L2 through L4-L5 intervertebral disc spaces with sclerotic endplates and mild to moderate spondylosis deformans. There is mild L7-S1 spondylosis deformans without intervertebral disc space narrowing. There is a lipomatous mass in the subcutaneous tissues of the right caudal flank.</t>
  </si>
  <si>
    <t>1. Non-specific bicavitary effusion. A definitive cause is not radiographically evident. Differentials include infection, inflammation, bile peritonitis and pleuritis, pancreatitis, cardiac disease, neoplasia, hypoproteinemia, coagulopathy and nonneoplastic liver disease._x000D_
2. The generalized hepatomegaly is nonspecific. Rule out metabolic/vacuolar hepatopathy, hyperplasia, hepatitis or infiltrative neoplasia._x000D_
3. Gastric contents likely represent ingesta. Foreign material cannot be completely excluded._x000D_
4. Cystolithiasis._x000D_
5. Multifocal chronic lumbar intervertebral disc disease.</t>
  </si>
  <si>
    <t>Consider cPLI testing, abdominal sonography, abdominocentesis with fluid analysis plus/minus thoracocentesis and echocardiography for further evaluation of the bicavitary effusion and hepatomegaly. Urinalysis should be considered for further evaluation of the cystolithiasis.</t>
  </si>
  <si>
    <t>Study:_x000D_
Abdominal radiography: three images dated June 9, 2024_x000D_
_x000D_
Findings:_x000D_
There is decreased mid abdominal detail with indistinct wispy soft tissue opacities superimposed with the bowel in the midabdomen. The stomach contains a small volume of gas and a small amount of indistinct mineral material in the pylorus. There multiple gas and fluid distended small intestinal segments. Other small intestinal segments are normal in diameter. There is indistinct heterogeneous soft tissue material and a small intestinal segment in the right mid to caudal abdomen on the VD view. There is a small amount of stippled mineral in some small intestinal segments. The colon contains formed fecal material. The liver and spleen are normal in size and margin. The renal silhouettes are normal in size and contour. The urinary bladder is normal in size and opacity. There is no prostatomegaly. The included thorax is normal. The T 13 vertebra is transitional.</t>
  </si>
  <si>
    <t>1. While there are multiple gas and fluid distended loops of small bowel, the appearance is not definitive for mechanical obstruction. The indistinct heterogeneous soft tissue material seen in the small intestinal loop in the right mid to caudal abdomen may represent food or foreign material. The small amount of mineral in the stomach and some small intestinal segments may further support dietary indiscretion._x000D_
2. Mild nonspecific peritoneal effusion.</t>
  </si>
  <si>
    <t>Recommend cPLI testing, abdominal sonography plus/minus abdominocentesis for further evaluation.</t>
  </si>
  <si>
    <t>Three orthogonal radiographs of the abdomen dated 9th June 2024 are available for review. There are no previous radiographs available for comparison. _x000D_
_x000D_
Intra-abdominal findings: The stomach is mainly empty, containing some gas. The small intestines are diffusely mildly distended with fluid, gas, and granular soft tissue opaque material. The transverse and descending colon contains an increased amount of compacted faeces. The rectum is mildly distended. The urinary bladder is small. The hepatic silhouette is normal. The kidneys are partially obscured by gastrointestinal contents, but the visible aspect are normal. The spleen is normal. There is mild loss of serosal detail._x000D_
_x000D_
Extra-abdominal findings: No significant abnormalities are detected._x000D_
_x000D_
Included thorax: No significant abnormalities are detected.</t>
  </si>
  <si>
    <t>1. Mild constipation as reported. The mild distension of the small intestines is likely due to backfilling and mild secondary ileus. An infectious inflammatory enteritis, dietary indiscretion enteritis is possible. The loss of serosal detail may be due to intestinal crowding, or a slight inflammatory transudate.</t>
  </si>
  <si>
    <t>Continue empiric management. Consider repeat radiographs after empiric treatment and/or abdominal ultrasound.</t>
  </si>
  <si>
    <t>Study:_x000D_
Abdominal radiography: three images dated June 9, 2024_x000D_
_x000D_
Findings:_x000D_
The stomach contains a small volume of gas with the pylorus appropriately gas-filled on the left lateral image. The small intestines are normal in size, course and content. The ascending colon is gas filled in the right mid abdomen. The descending colon contains gas and poorly formed fecal material. The liver and spleen are normal in size and margin. The renal silhouettes are normal in size and margin. The urinary bladder is normal in size and opacity. The included thorax is normal. The patient has multiple breed associated, congenitally anomalous thoracic vertebrae.</t>
  </si>
  <si>
    <t>Study:_x000D_
Abdominal radiography: four images dated June 9, 2024_x000D_
_x000D_
Findings:_x000D_
The stomach contains a moderate amount of unstructured heterogeneous/granular soft tissue material presumed to be ingesta.. Similar material is present throughout the small intestines. There is no small intestinal dilation. The colon contains formed fecal material with multiple interspersed thin linear metallic opacities. The liver and spleen are normal in size and margin. The renal silhouettes are normal in size and contour. The urinary bladder is normal in size and opacity. There is no prostatomegaly. The included thorax is normal.</t>
  </si>
  <si>
    <t>As stated above, all metallic linear foreign material (reported as copper wire) appears to be within the descending colon. There is no evidence of small intestinal mechanical obstruction. Repeat radiography can be considered to ensure passage of the metallic foreign material.</t>
  </si>
  <si>
    <t>Patient Name : Sugar Wray, Date of study: Jun 9, 2024
4 images are provided for review
Canine Thorax (1 Images) - 1 Vd
Canine Abdomen (3 Images) - 1 Lateral, 2 Vd
There are no previous radiographs for comparison.
Findings:
The liver is enlarged and has rounded margins.
The kidneys have irregular margins, more conspicuous in the left kidney.
There is a 6mm long rectangular mineral structure in the urinary bladder.
The spleen is normal.
The stomach is filled heterogeneous soft tissue and some gas.
The small intestines are normal and uniform in size and contain homogeneous soft tissue and gas.
The colon contains gas and feces.
The serosal detail is normal.
The caudal thorax is normal.
The musculoskeletal structures are normal.</t>
  </si>
  <si>
    <t>1.  Urinary bladder calculus.
2.  Bilateral renal cortical infarcts.
3.  Hepatomegaly.  Differential diagnoses include vacuolar hepatopathy, nodular hyperplasia, hepatitis/cholangiohepatitis or neoplasia.
4. Gastric material is most likely food / normal ingesta; much less likely consider gastric foreign matter.</t>
  </si>
  <si>
    <t>Removal of urinary bladder calculus is recommended (surgery, dissolution, or minimally invasive procedure).
Abdominal ultrasonography may be useful for further assessment of the liver and kidneys, as well as the gastrointestinal tract and pancreas, to assess for changes that may be related to the patient's chronic diarrhea.
If not already performed, laboratory testing (bloodwork including CBC/Chemistry [+/- PLI/TLI/Cobalamin/Folate] and fecal analysis) may also be useful in determining the cause of diarrhea.
A diet trial may be considered if food allergies are a possible concern.
If above testing is unremarkable and clinicals signs are persistent, then consultation with an Internal Medicine specialist may be useful.</t>
  </si>
  <si>
    <t>Study:_x000D_
Abdominal radiography: three images dated June 9, 2024_x000D_
_x000D_
Findings:_x000D_
The stomach contains a small volume of gas with the pylorus appropriately gas-filled on the left lateral image. The small intestines are normal in size, course and content. The colon is gas and fluid-filled. The liver and spleen are normal in size and margin. The kidneys are normal in size and contour. The urinary bladder is normal in size and opacity. The caudal vena cava is narrowed on the left lateral projection. The osseous structures are unremarkable.</t>
  </si>
  <si>
    <t>1. Fluid in the colon is consistent with the reported diarrhea. The abdomen is otherwise unremarkable. There is no radiographic evidence of gastrointestinal foreign material or small intestinal mechanical obstruction. Abdominal sonography can be considered for further evaluation if clinical signs persist or worsen in spite of medical management._x000D_
2. Narrowing of the caudal vena cava could be secondary to dehydration/hypovolemia or normal variation secondary to the cardiac cycle.</t>
  </si>
  <si>
    <t xml:space="preserve">
1.The liver and spleen are normal._x000D_
2.Abdominal detail is normal._x000D_
3.The colon and cecum are gas-filled and the colon has a rigid appearance._x000D_
4.The stomach is distended._x000D_
5.The small intestinal tract is diffusely mildly distended and mostly gas-filled with some of the intestinal loops containing heterogenous material._x000D_
6.No abnormal AI findings reported.</t>
  </si>
  <si>
    <t>Study:_x000D_
Abdominal radiography: five images dated June 9, 2024_x000D_
_x000D_
Findings:_x000D_
The serosal detail is normal. The stomach contains a small volume of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There is no prostatomegaly. The included thorax is normal. TPLO implants are present in the proximal aspect of the left tibia. There is no peri-implant lucency The osteotomy is healed. There is mild left stifle periarticular bone formation. The right 13th rib is hypoplastic.</t>
  </si>
  <si>
    <t>1. Unremarkable abdomen. A cause of the reported vomiting is not evident. There is no radiographic evidence of gastrointestinal foreign material or small intestinal mechanical obstruction. Abdominal sonography can be considered for further evaluation if clinical signs persist or worsen in spite of medical management._x000D_
2. Healed left TPLO with stable implants and mild left stifle osteoarthrosis.</t>
  </si>
  <si>
    <t>Study:_x000D_
Spinal, pelvic and pelvic limb radiography: seven images dated June 8, 2024_x000D_
_x000D_
Findings:_x000D_
The dens is intact and well defined. The atlantoaxial joint space is normal. There is no intervertebral disc space or foraminal narrowing. There is no evidence of discospondylitis. There is good coverage of the femoral head by the acetabulum bilaterally. The patella is in the correct anatomic location bilaterally. The stifle joint spaces are overexposed on the lateral projections. No degenerative change is present in either stifle. The bones of the tarsus and pes are unremarkable bilaterally. The pelvic limb musculature is bilaterally symmetric. The included portion of the of the thoracic limbs are unremarkable. The included thorax is normal. Granular soft tissue material is present in the stomach and small intestines. The included abdomen is otherwise unremarkable.</t>
  </si>
  <si>
    <t>The spine, coxofemoral joints and pelvic limbs are unremarkable.</t>
  </si>
  <si>
    <t>Orthopedic consultation and/or neurology consultation can be considered if the patient=ZZ91=s clinical signs persist or worsen in spite of activity restriction and pain management.</t>
  </si>
  <si>
    <t>Three radiographs of the thorax, and three views of the abdomen are provided. The cardiac silhouette and pulmonary vessels are normal size and shape. The lungs are clear. There is no pleural effusion. Normal tracheal diameter. No esophageal dilation._x000D_
_x000D_
There is small volume gas in the stomach. Small bowel are minimally filled. The cecum is gas dilated. Moderate volume formed feces in the colon. No radiopaque foreign material. Normal-sized liver, spleen, left kidney. The right kidney is incompletely visible. No radiopaque cystic calculi. Mineral density along the dorsal aspect of the ilial wing is normal apophysis.</t>
  </si>
  <si>
    <t>Normal thorax and abdomen. A reason for the clinical signs is not identified. There is no evidence of megaesophagus or gastrointestinal obstruction.</t>
  </si>
  <si>
    <t>Routine blood work is recommended. If regurgitation persists, an esophagram study and potentially gastrogram study could be considered.</t>
  </si>
  <si>
    <t xml:space="preserve">
1.The small intestines are otherwise a combination of gas-filled and fluid-filled/collapsed, and all are within normal limits for diameter._x000D_
2.The liver, spleen, and abdominal serosal detail are all within normal limits._x000D_
3.No abnormal AI findings reported._x000D_
4.No abnormal AI findings reported.</t>
  </si>
  <si>
    <t>WHOLE-BODY (12 total radiographs for review). No priors._x000D_
_x000D_
- Peritoneal serosal detail is adequate_x000D_
- The stomach contains moderate gas-stippled soft-tissue opaque material_x000D_
- The small intestine contains mild multifocal gas and soft-tissue opaque material_x000D_
- The colon contains gas, soft-tissue/fluid and modest formed fecal material._x000D_
- The liver, spleen, kidneys and urinary bladder are normal._x000D_
- Small volume of gas and fluid in the caudal portion of the thoracic esophagus._x000D_
- The cardiac silhouette and pulmonary vasculature are normal._x000D_
- The pulmonary parenchyma is normal_x000D_
- The trachea and remainder of the mediastinum is/are normal._x000D_
- The pleural space and remaining intrathoracic structures are normal._x000D_
- There is a rounded, small, soft-tissue opaque mass along the right thoracic body wall at the level of the 4th intercostal space, which is causing a small extrapleural sign._x000D_
- There is moderate multicentric vertebral spondylosis deformans present._x000D_
- Bilaterally, there is femoral head subluxation, femoral neck thickening/remodeling and periarticular osteophyte formation at the margins of the coxofemoral joints.</t>
  </si>
  <si>
    <t>1. Unremarkable abdomen. No discrete mass or mass effect is appreciated. For further investigation, abdominal ultrasonography might be considered if clinically indicated._x000D_
_x000D_
2. I am concerned for the presence of a right sided thoracic body wall or right 4th rib-associated mass that may have early intrathoracic invasion. If clinically identifiable, I would recommend fine needle aspiration as this may be a neoplasia (e.g. soft-tissue sarcoma). CT of the thorax and/or serial recheck radiographs may be of utility in assessing this lesion._x000D_
_x000D_
3. Moderate multicentric vertebral spondylosis deformans._x000D_
_x000D_
4. Bilateral coxofemoral remodeling/OA and femoral head subluxation likely due to laxity from chronic canine hip dysplasia.</t>
  </si>
  <si>
    <t>Study:_x000D_
Abdominal radiography: three images dated June 8, 2024_x000D_
_x000D_
Findings:_x000D_
The stomach contains gas and a small amount of heterogeneous soft tissue material. There is an ovoid soft tissue opacity in the pylorus on the left lateral projection. Some small intestinal segments contain heterogeneous/granular soft tissue material. There is no small intestinal dilation. The colon contains formed fecal material. The liver and spleen are normal in size and margin. The renal silhouettes are normal in size and contour. The urinary bladder is normal in size and opacity. There is no uterine dilation. The included thorax is normal. There is mild lumbosacral spondylosis deformans.</t>
  </si>
  <si>
    <t>Gastric contents may represent food and/or foreign material. There is no evidence of small intestinal mechanical obstruction.</t>
  </si>
  <si>
    <t>Recommend repeat fasted radiography to monitor for gastrointestinal emptying specifically monitoring for persistence or resolution of the round opacity in the pylorus on the left lateral view.</t>
  </si>
  <si>
    <t>Four orthogonal radiographs of the abdomen dated 8th June 2024 are available for review. There are no previous radiographs available for comparison. _x000D_
_x000D_
Intra-abdominal findings: The stomach contains a moderate amount of gas and has a normal axis. Some foamy soft tissue opaque material is visible in the region of the fundus. The pylorus is appropriately gas-filled in the left lateral image. There is mild gas dilation of the duodenum in the ventrodorsal image. The small intestines are mainly empty. The colon contains formed faeces.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Extra-abdominal findings: The patient is obese._x000D_
_x000D_
Included thorax: There is right-sided coxofemoral osteoarthritis.</t>
  </si>
  <si>
    <t>1. The gas dilation of the stomach may be indicative of a gastritis. The foamy material may be normal ingesta, or soft tissue foreign material. There is no evidence for a pyloric obstruction. Pancreatitis is possible. No foreign bodies are seen.</t>
  </si>
  <si>
    <t xml:space="preserve">
1.The small bowel is diffusely fluid filled but without segmental small bowel dilation._x000D_
2.Liver size, shape and margin are normal._x000D_
3.Splenic size, shape and margin are normal._x000D_
4.Abdominal detail is normal to slightly decreased._x000D_
5.The abdomen is mildly pendulous. This could be secondary to increased intra-abdominal fat and/or abdominal discomfort if gastritis is present._x000D_
6.The gastric rugae are prominent.</t>
  </si>
  <si>
    <t>ABDOMEN (5 total radiographs for review). A prior is available from 2016._x000D_
_x000D_
- Peritoneal serosal detail is adequate_x000D_
- The urinary bladder is mildly distended with soft-tissue/fluid._x000D_
- The region of the urethra, ureters and kidneys are normal._x000D_
- The stomach contains moderate gas and gas-stippled soft-tissue opaque material_x000D_
- The small intestine contains mild multifocal gas and soft-tissue opaque material_x000D_
- The cecum is distended with gas. The colon contains gas, soft-tissue/fluid and minimal formed fecal material._x000D_
- The liver, spleen, kidneys and urinary bladder are normal._x000D_
- The caudal thorax is normal_x000D_
- Mild bilateral coxofemoral joint periarticular osteophyte formation._x000D_
- Mild lumbosacral spondylosis deformans._x000D_
- Bilateral stifle joint osteoarthritis (limited assessment)</t>
  </si>
  <si>
    <t>1. Radiographically unremarkable urinary structures. No evidence of radiopaque uroliths noted.  Radiographic sensitivity can be limited and for further assessment you may consider abdominal ultrasonography._x000D_
_x000D_
2. Aerophagia_x000D_
_x000D_
3. Bilateral mild coxofemoral OA. _x000D_
_x000D_
4. Bilateral stifle osteoarthritis (limited assessment).</t>
  </si>
  <si>
    <t xml:space="preserve">
1.The pylorus is cranially positioned secondary to the microhepatia._x000D_
2.The liver is slightly small._x000D_
3.The bowel contains fluid and gas with some loops having a rigid appearance. No segmental small bowel dilation is noted._x000D_
4.Splenic size, shape and margin are normal._x000D_
5.Serosal detail is normal.</t>
  </si>
  <si>
    <t>THORAX (5 total radiographs for review). A previous examination is available from 2021._x000D_
_x000D_
- Progressive, now moderate-to-marked left-sided cardiomegaly characterized by straightening of the caudal cardiac margin and dorsal displacement of the caudal aspect of the thoracic trachea. The pulmonary vasculature is unremarkable._x000D_
- Mild diffuse bronchial pulmonary pattern._x000D_
- The pleural space, trachea, mediastinum and remaining included intrathoracic structures are normal._x000D_
- Liver is moderately enlarged, with rounded margins_x000D_
- Spleen is mildly enlarged, with rounded margins._x000D_
- Multiple mineralized arborized foci along the margins of the intra-hepatic bile ducts and in the region of the cystic and common bile ducts.</t>
  </si>
  <si>
    <t>1. Progressive moderate-to-marked left-sided cardiomegaly without  pulmonary vascular congestion or congestive heart failure. Most likely compatible with degeneration of the mitral valve. Consider echocardiography/CCD for further assessment._x000D_
_x000D_
2. Mild diffuse bronchial pattern with few thickened pleural fissures. May represent at least in part some age-related lower airway changes, however given the reported history, a component of chronic bronchitis is possible. Further assessment could be achieved with thoracic CT, lower airway sampling and/or empirical treatment towards chronic lower airway disease._x000D_
_x000D_
3. Progressive moderate generalized hepatomegaly. Most likely representing vacuolar (metabolic) hepatopathy. Hepatic congestion, hepatitis or neoplasia are possible, but less likely._x000D_
_x000D_
4. Mineralized intrahepatic bile duct material and/or small choleliths with extension into the region of the cystic/common bile duct area. If there is further concern for hepatobiliary disease consider abdominal ultrasonography for further assessment._x000D_
_x000D_
5. Mild splenomegaly. DDx congestion from sedation +/- lymphoid hyperplasia, EMH or less likely neoplasia.</t>
  </si>
  <si>
    <t xml:space="preserve">
1.Equivocal splenomegaly is present._x000D_
2.The stomach contains a small volume of fluid and gas._x000D_
3.The small bowel contains fluid and gas diffusely. No segmental small bowel dilation is noted._x000D_
4.The colon is largely empty with only scant gas._x000D_
5.On the lateral projection, the hepatic serosal margins are mildly rounded in the liver is mildly enlarged._x000D_
6.No abnormal AI findings reported.</t>
  </si>
  <si>
    <t>WHOLE-BODY (5 total radiographs for review)._x000D_
_x000D_
- The cardiac silhouette and pulmonary vasculature are normal._x000D_
- The pulmonary parenchyma is normal_x000D_
- Soft-tissue opaque band dorsally overlying the trachea in the cervical region._x000D_
- The esophagus and remainder of the mediastinum is/are normal._x000D_
- The pleural space and remaining intrathoracic structures are normal._x000D_
- Peritoneal serosal detail is adequate_x000D_
- The stomach contains mild gas and gas-stippled soft-tissue opaque material_x000D_
- The small intestine contains mild multifocal gas and soft-tissue opaque material_x000D_
- The colon contains gas, soft-tissue/fluid and mild formed fecal material._x000D_
- The liver, spleen, kidneys and urinary bladder are normal._x000D_
- The caudal thorax is normal_x000D_
- Prior right antebrachial fracture repair with indwelling right radial implants.</t>
  </si>
  <si>
    <t>1. A discrete cause for the reported coughing is not clearly identified. Besides the changes noted at the trachea, the thorax is overall unremarkable._x000D_
_x000D_
2. The appearance of the trachea can be compatible with tracheal collapse, secondary to chondromalacia._x000D_
_x000D_
3. Normal abdomen._x000D_
_x000D_
4. Prior right antebrachial fracture(s), limited assessment.</t>
  </si>
  <si>
    <t>Four radiographs of the abdomen, and a lateral view of the thorax are provided. There is no peritoneal or retroperitoneal effusion. Small volume gas in the stomach. There is a small rectangular soft tissue density in the pylorus measuring 0.9 x 2.6 cm, and possible small volume additional soft tissue density on the left lateral view. Small bowel are minimally distended with fluid and gas. Gas and small volume formed feces in the cecum and colon. Normal-sized liver, spleen, kidneys. The urinary bladder is mildly filled and soft tissue opaque. In the thorax the cardiac silhouette and pulmonary vessels are normal size and shape. There is no pleural effusion. Normal tracheal diameter.</t>
  </si>
  <si>
    <t>Soft tissue density in the stomach may be residual ingesta/treat material. Foreign material causing gastritis and pyloric outflow obstruction is not ruled out. Otherwise normal abdomen. There is no evidence of intestinal obstruction or cloth ingestion. The thorax is normal.</t>
  </si>
  <si>
    <t xml:space="preserve">
1.Liver size, shape and margin are normal._x000D_
2.The stomach contains a small amount of gas. The small bowel is diffusely gas- and fluid-filled without segmental small bowel dilation._x000D_
3.Splenic size, shape and margin are normal._x000D_
4.Abdominal detail is normal.</t>
  </si>
  <si>
    <t>3 views of the thorax are provided for review.  The trachea is dorsally deviated, indicating left ventricular enlargement.  A small bulge is present in the region of the left atrium.  Interstitial to alveolar opacity is present in the caudal lung lobes near the hilus.  The mediastinal and pleural structures are normal.  Cranial abdominal detail is adequate.  The liver margin is rounded and extends beyond the costal arch.</t>
  </si>
  <si>
    <t>Left-sided cardiomegaly.  Interstitial to alveolar pulmonary pattern consistent with cardiogenic pulmonary edema.  Other infiltrates such as noncardiogenic edema, hemorrhage, or neoplasia cannot be excluded.  Mild hepatomegaly.</t>
  </si>
  <si>
    <t>BNP and echocardiography may be helpful in further evaluation.</t>
  </si>
  <si>
    <t>Seven orthogonal radiographs of the pelvis and pelvic limbs dated 8th June 2024 are available for review. There are no previous radiographs available for comparison. _x000D_
_x000D_
Pelvis: The included lumbar vertebral column is normal. The iliosacral joints are symmetric. There is good coverage of the femoral heads by the acetabuli, even though none of the pelvic VD images have appropriately extended vd pelvic limbs.  No degenerative modelling is noted at the acetabular rim and femoral heads and there is good articular congruency. _x000D_
_x000D_
Joints and long bones: Both stifle joints are superimposed on the prepuce on all images, limiting interpretation of the soft tissues. There is extensive osteophyte formation at the proximal trochlear ridge and distal patella of the left stifle. The tibia is mildly cranially translated relative to the femoral condyles. The right stifle is normal. The images are abducted and outward rotated in the extended pelvic VD, therefore patellar positioning is difficult to assess, however the patella is slightly laterally positioned on the right in comparison with the left. There is apparent separation between the talus and calcaneus of the right tarsus and one of the lateral images. The talocentral joint is mildly hyperextended in the image._x000D_
_x000D_
Soft tissues: The caudal thigh musculature is symmetric.</t>
  </si>
  <si>
    <t>1. Left stifle osteoarthritis, predominantly the femoropatellar joint. This increases suspicion of intermittent patellar luxation. Other intra-articular soft tissue pathology such as cranial cruciate ligament disease is also possible consider mild cranial translation of the tibia. Positional artefact should also be considered._x000D_
2. Talocalcaneal subluxation or positional artefact. Correlate with manipulative testing.</t>
  </si>
  <si>
    <t>This is to be correlated with manipulation under sedation or anaesthesia. Depending on outcome, a surgical consultation may be considered._x000D_
Careful empirical management, including controlled exercise, non-steroidal anti-inflammatories, or multimodal analgesia, after normal blood work may be considered in the meantime.</t>
  </si>
  <si>
    <t>Four radiographs of the abdomen are provided. Images dated 6/1/23 are available for comparison. The urinary bladder is mildly filled and soft tissue opaque. No abnormalities appreciated along the plane of the urethra or in the region of the medial iliac lymph nodes. Moderate volume formed feces fills the colon. The stomach and small bowel are mildly filled. Normal-sized liver, spleen, left kidney. The right kidney is obscured by bowel loops. Mineral density overlying several lumbar intervertebral foramina is likely superimposed lateral spondylosis deformans. Narrowed T13-L1 intervertebral disc space is of doubtful clinical significance today.</t>
  </si>
  <si>
    <t>Opposite lateral and ventrodorsal thoracic radiographs (3 images) dated June 8,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lumen=ZZ90= a horizontal soft-tissue band is superimposed with the dorsal half of the cervical and thoracic inlet trachea and represents a superimposed esophagus or a redundant dorsal tracheal membrane. No intrathoracic lymphadenopathy is evident._x000D_
The liver is mildly enlarged._x000D_
There is regional lumbar spondylosis deformans.</t>
  </si>
  <si>
    <t>1. Unremarkable thorax. The cause for the coughing is not radiographically apparent. Rule out upper airway causes (ex: pharyngitis/laryngitis, postnasal drip from rhinitis, dynamic upper airway collapse, everted laryngeal saccules, less likely a mass) vs. dynamic lower airway collapse/chondromalacia not captured in this study vs. less likely tracheitis or mild bronchitis that is insensitive to radiographic detection._x000D_
2. Mild hepatomegaly. Rule out a benign metabolic/vacuolar hepatopathy vs. less likely inflammatory and infiltrative neoplastic conditions.</t>
  </si>
  <si>
    <t>Sedated upper airway exam +/- fluoroscopic airway study or tracheoscopy. If normal:_x000D_
Airway sampling may be needed for definitive diagnosis (bronchoalveolar lavage or transtracheal wash).  Heartworm testing and fecal parasite screening (float and Baermann) +/- empirical deworming.  Empirical antibiotic or anti-inflammatory steroidal therapy is reasonable to consider.  Internal medicine consultation if the patient remains clinical despite treatment and the cause remains unknown.</t>
  </si>
  <si>
    <t xml:space="preserve">
1.The colon contains partially formed fecal material._x000D_
2.The stomach contains a small volume of gas._x000D_
3.The small intestines are normal in size, course and content._x000D_
4.The abdomen is pendulous._x000D_
5.Abdominal detail is normal._x000D_
6.The spleen is normal in size and margin._x000D_
7.Resource: https://platform.v2.vetology.net/doc/liver_disease_x000D_
8.The liver extends moderately beyond the costal arch with a smooth margin.</t>
  </si>
  <si>
    <t>Study:_x000D_
Spinal radiography (including the thorax and abdomen): three images dated June 8, 2024_x000D_
_x000D_
Findings:_x000D_
Patient positioning and beam distortion limit evaluation of the spine for intervertebral disc space narrowing. The L2-L3 intervertebral disc space appears mildly narrowed on both lateral views in comparison to the adjacent to spaces. There is no evidence of discospondylitis. The included appendicular skeletal structures are unremarkable.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The liver and spleen are normal in size and margin. The kidneys are normal in size and contour. The urinary bladder is moderately distended. In the absence of any urinary signs come of this finding is likely secondary conscious retention. There is no prostatomegaly.</t>
  </si>
  <si>
    <t>Questionable L2-L3 intervertebral disc disease. Neurology consultation and MRI can be considered for further evaluation if the clinical signs persist or worsen in spite of strict activity restriction and pain management.</t>
  </si>
  <si>
    <t xml:space="preserve">
1.There is a moderate amount of colonic fecal material._x000D_
2.The small intestines are a combination of gas-filled and fluid-filled/collapsed, and all are within normal limits for diameter._x000D_
3.The stomach contains a moderate amount of gas and likely food._x000D_
4.Splenic size, shape and margin are normal._x000D_
5.The liver is slightly small but retains a smooth margin._x000D_
6.No abnormal AI findings reported.</t>
  </si>
  <si>
    <t xml:space="preserve">
Virtual Radiologist Case Difficulty: MODERATE_x000D_
Virtual Radiologist Confidence: MODERATE_x000D_
If the potential microhepatia is of clinical concern, pre- and post-cranial bile acid testing could be considered in addition to blood work and abdominal ultrasound.</t>
  </si>
  <si>
    <t>WHOLE-BODY (3 total radiographs for review)._x000D_
_x000D_
- Moderate generalized cardiomegaly, with evidence of both left and right heart enlargement._x000D_
- Pulmonary vasculature is normal._x000D_
- Mild, diffuse unstructured interstitial pulmonary pattern and diffuse bronchial pattern._x000D_
- Widening of the caudal portion of the cranial mediastinum._x000D_
- Remaining thoracic structures normal._x000D_
- The included structures of the abdomen are normal (limited assessment of the kidneys).</t>
  </si>
  <si>
    <t>1. This is a challenging case. While I do not suspect congestive heart failure, there is generalized cardiomegaly with evidence of both left- and right heart enlargement. The left heart enlargement is likely due to mitral valve degeneration. The right heart enlargement could be due to tricuspid valve disease or pulmonary hypertension from chronic lower airway disease. Consider echocardiography/ECG for further assessment in this patient._x000D_
_x000D_
2. Diffuse, mixed, bronchial and unstructured interstitial pattern. DDx chronic bronchitis +/- normal age-related airway changes. May be a significant contributor to the patients reported coughing. Treating the patient for chronic lower airway disease may provide some relief towards the clinical symptoms._x000D_
_x000D_
3. Although there is no distinct radiographic evidence of tracheal collapse, given the patient signalment, this is not necessarily excluded._x000D_
_x000D_
4. Poor/indistinct visualization of the kidneys may be due to superimposition of soft-tissue structures but could support chronic degenerative renal disease. If clinically indicated, consider abdominal ultrasonography for further assessment.</t>
  </si>
  <si>
    <t>Radiographically, this patient=ZZ91=s coughing could be due to chronic lower airway disease, airway compression from the left heart enlargement and/or radiographically unseen tracheal collapse.</t>
  </si>
  <si>
    <t>Three radiographs of the thorax/abdomen are provided. The cardiac silhouette and pulmonary vessels are normal size and shape. There is small area of increased opacity in the right middle lung lobe. No definitive air bronchograms. Redundant dorsal trachealis membrane causes severe narrowed trachea at the thoracic inlet. No pleural effusion. In the abdomen serosal detail is normal. There is no peritoneal or retroperitoneal effusion. Small volume gas and scant amorphous soft tissue density in the stomach. Small bowel are diffusely mildly fluid filled. There is gas in the cecum and proximal colon. Non-formed feces in the distal colon. No radiopaque gastrointestinal foreign material. Normal-sized liver, spleen, kidneys. The uterus is not identified. The urinary bladder is mildly filled and soft tissue opaque. Osseous structures are unremarkable.</t>
  </si>
  <si>
    <t>1. Diarrhea. No other definitive abdominal abnormalities. Gastroenteritis/pancreatitis is suspected. Scant amorphous soft tissue density in the stomach may be residual ingesta. Foreign material is given secondary consideration._x000D_
2. Probable mild aspiration pneumonia in the right middle lung lobe._x000D_
3. Tracheal collapse.</t>
  </si>
  <si>
    <t>If the patient does not improve with supportive care, strictly fasted abdominal ultrasound would be recommended. If not available, an upper GI series could be considered.</t>
  </si>
  <si>
    <t>Abdomen: There is a large soft tissue mass occupying the majority of the abdomen.  Origin is uncertain.  The liver appears unremarkable.  The visible portions of the spleen are unremarkable.  There are no abnormalities involving the visible portions of the gastrointestinal tract or urinary tract._x000D_
_x000D_
Thorax: There is mild bronchointerstitial pattern.  The cardiac silhouette and pulmonary vasculature are unremarkable.  There is no evidence of pleural effusion or lymphadenopathy.</t>
  </si>
  <si>
    <t>Large abdominal mass of unknown origin.  Due to its location and mass effect, a splenic mass is considered the primary differential._x000D_
_x000D_
Diffuse bronchointerstitial pattern which may represent bronchitis or age-related.</t>
  </si>
  <si>
    <t xml:space="preserve">
1.The liver is moderately enlarged but retains a smooth margin._x000D_
2.Splenic size, shape and margin are normal._x000D_
3.Abdominal detail is normal._x000D_
4.The stomach is normal. The small bowel is diffusely gas- and fluid-filled without segmental small bowel dilation.</t>
  </si>
  <si>
    <t>The AI result for this case is most compelling for: Moderate hepatomegaly. Steroid or metabolic hepatopathy is the most likely etiology, with less likely considerations including infiltrative neoplasia or acute inflammation.</t>
  </si>
  <si>
    <t xml:space="preserve">
Further evaluation of the hepatomegaly including evaluation for Cushing's disease. Abdominal ultrasound with or without liver sampling may be warranted based on ultrasound findings._x000D_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</si>
  <si>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Two radiographs of the abdomen dated 7th June 2024 are available for review. These are compared with follow-up radiographs._x000D_
_x000D_
Intra-abdominal findings: The stomach is mildly dilated with heterogenous soft tissue opaque material. The small intestines are filled with fluid/soft tissue opaque material and some gas. The diameter is homogenous. The descending colon contains an increased amount of faeces. The urinary bladder is filled. The hepatic silhouette is normal in size with smooth borders. The spleen is normal in shape, size and position. The kidneys are partially obscured by gastrointestinal contents, but the visible aspect are normal. The serosal detail is normal. In the post fasting radiographs, the stomach is entirely empty, containing some gas. The small intestines and colon have also emptied out, with a homogenous diameter. No radiopaque foreign material, or segmental obstruction is seen._x000D_
_x000D_
Extra-abdominal findings: No significant abnormalities are detected._x000D_
_x000D_
Included thorax: No significant abnormalities are detected.</t>
  </si>
  <si>
    <t>Relatively unremarkable post-prandial and post fasting abdomen.</t>
  </si>
  <si>
    <t>A complete abdominal ultrasonographic examination is advised, as well as complete bloodwork including CPL. Consider hypoallergenic diet trial, or further workup for IBD, food allergy. Consider an upper GI contrast study to exclude partial pyloric outflow obstruction.</t>
  </si>
  <si>
    <t>Four orthogonal radiographs of the abdomen dated 7th June 2024 are available for review. There are no previous radiographs available for comparison. _x000D_
_x000D_
Intra-abdominal findings: The hepatic silhouette is minimally enlarged, with some rounded borders. There is loss of serosal detail predominantly in the cranial aspect of the abdomen. The stomach contains some granular food material in the fundus. There is appropriate gas in the pyloric region on the left lateral image. The small intestines are variably filled/mildly distended with gas and some soft tissue opaque material. The colon contains poorly formed faeces. The spleen is normal. The kidneys are partially obscured by gastrointestinal contents, but the visible aspect are normal._x000D_
_x000D_
Extra-abdominal findings: The patient is overweight._x000D_
_x000D_
Included thorax: No significant abnormalities are detected.</t>
  </si>
  <si>
    <t>1. The overall impression is one of enteritis/colitis.  This may be due to dietary indiscretion, or infectious-inflammatory causes. There is no evidence of a mineral opaque foreign body, or complete mechanical obstruction.  A partial obstruction by non-mineral opaque foreign material cannot be excluded.   Hemorrhagic gastroenteritis, or pancreatitis cannot be excluded._x000D_
2. The loss of serosal detail in the cranial aspect of the abdomen would support an inflammatory transudate, which may be due to the enteritis, or pancreatitis, cholangiohepatitis._x000D_
3.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</si>
  <si>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 xml:space="preserve">
1.The liver is moderately enlarged. On the lateral projection, there is suspicion of an irregular caudal liver margin._x000D_
2.The stomach is moderately gas filled. The small bowel is diffusely gas- and fluid-filled but without segmental small bowel dilation._x000D_
3.There is increased soft tissue opacity in the mid-abdomen concerning for splenomegaly or a splenic mass. Caudal extension of the hepatomegaly into the splenic region could also explain this finding._x000D_
4.Abdominal detail is decreased, particularly in the mid-abdomen on the lateral projection._x000D_
5.The dog has a pendulous abdomen.</t>
  </si>
  <si>
    <t>Hepatomegaly and pendulous abdomen. Cushing's disease or diabetes or in an older dog cannot be ruled out. Rule out hepatic neoplasia, including hepatic lymphoma. Right heart failure or pericardial effusion causing the hepatomegaly and abdominal fluid is an additional consideration. Decreased abdominal detail particularly in the mid-abdomen. DDx: abdominal fluid vs. secondary to organomegaly. Increased soft tissue in the mid-abdomen. DDx: splenomegaly vs. splenic mass vs. caudal extension of the hepatomegaly.</t>
  </si>
  <si>
    <t xml:space="preserve">
Virtual Radiologist Case Difficulty: MODERATE_x000D_
Virtual Radiologist Confidence: MODERATE_x000D_
Blood work and abdominal ultrasound. Abdominocentesis if a fluid pocket is identified and can be safely sampled. Coagulation profile, platelet count and PCV prior to liver and/or splenic sampling._x000D_
Also consider right heart failure or pericardial effusion as a cause for the hepatomegaly, particularly if abdominal fluid is confirmed.</t>
  </si>
  <si>
    <t>A lateral radiograph of the thorax, and three views of the abdomen are provided. The cardiac silhouette and pulmonary vessels are normal size and shape. There is no pleural effusion or intrathoracic lymphadenomegaly. Small volume fluid in the esophagus is transient and incidental. The lungs are clear. Adequate tracheal diameter._x000D_
_x000D_
In the abdomen there is small volume gas in the stomach. Small bowel are minimally filled. Small volume formed feces in the colon. No radiopaque foreign material is appreciated. Round 2.3 cm soft tissue density in the cranial left quadrant on the VD projection is feces in the proximal colon. Normal-sized liver, spleen, kidneys. The urinary bladder is minimally distended.</t>
  </si>
  <si>
    <t>Normal abdomen and thorax. A reason for the clinical signs is not identified. Small radiolucent gastric foreign material remains possible. There is no evidence of an obstructive process.</t>
  </si>
  <si>
    <t>Recommend supportive care to include gastroprotectants. If hematemesis persists, gastroscopy or exploratory surgery would be recommended.</t>
  </si>
  <si>
    <t>Study:_x000D_
Abdominal radiography: three images dated June 7, 2024_x000D_
_x000D_
Findings:_x000D_
The stomach contains heterogeneous soft tissue material presumed to be ingesta. The small intestines are normal in size, course and content. The colon contains poorly formed fecal material. The liver extends mildly beyond the costal arch with smooth margins. The spleen is normal in size and margin. The renal silhouettes are normal in size and contour. The urinary bladder is normal in size and opacity. The included thorax is normal. The 13th ribs are hypoplastic. On both lateral projections, there is mild narrowing of the T 11-T 12 intervertebral disc space in comparison to the T 12-T 13 intervertebral disc space. There is a small lipomatous swelling in the subcutaneous tissues of the mid-ventral abdomen representing either an umbilical hernia or lipoma. The patient is of overweight body condition.</t>
  </si>
  <si>
    <t>1. Suspect T 11-T 12 intervertebral disc disease. Neurology consultation and MRI can be considered for further evaluation if the clinical signs persist or worsen in spite of strict activity or section pain management._x000D_
2. The generalized hepatomegaly is nonspecific. Rule out metabolic/vacuolar hepatopathy, hyperplasia, hepatitis or infiltrative neoplasia. Sonography can be considered for further evaluation.</t>
  </si>
  <si>
    <t xml:space="preserve">
1.The liver is mildly enlarged, and retains a smooth margin._x000D_
2.Abdominal detail is normal._x000D_
3.Splenic size, shape and margin are normal._x000D_
4.The stomach is normal. The small bowel is diffusely gas- and fluid-filled without segmental small bowel dilation.</t>
  </si>
  <si>
    <t>Seven radiographs of the thorax and abdomen are provided. The cardiac silhouette and pulmonary vessels are normal size and shape. There are no abnormalities in the pulmonary parenchyma or pleural space. Normal tracheal diameter._x000D_
_x000D_
In the abdomen peritoneal and retroperitoneal detail is adequate. Normal size liver, spleen, left kidney. The right kidney is obscured. There is small volume gas in the stomach. Small bowel are minimally filled. Gas in the colon. No radiopaque gastrointestinal foreign material. Smoothly irregular round mineral opaque 1.3 cm calculus in the urinary bladder. No medial iliac lymphadenomegaly. Nondistended uterus is questionably seen on the right lateral view. Narrowed L1-2 intervertebral disc space, of doubtful clinical significance today. The coxofemoral joints are congruent.</t>
  </si>
  <si>
    <t>1. Cystic calculus, of a size that is too large to pass the urethra. No other definitive abdominal abnormalities. Gastroenteritis is suspected. There is no evidence of an obstructive process._x000D_
2. Normal thorax.</t>
  </si>
  <si>
    <t>A CBC, blood chemistry profile, and supportive care are recommended. If clinical signs persist, strictly fasted abdominal ultrasound should be considered. If not available, an upper GI series is a 2nd option.</t>
  </si>
  <si>
    <t>4 images of the thorax are provided for review.  The cardiovascular structures are normal.  Alveolar opacity is present in the cranial subsegment of the left cranial lung lobe.  The trachea is severely narrowed in the cervical to cranial thoracic portion.  The mediastinal and pleural structures are normal.  Cranial abdominal detail is adequate.  The abdominal structures included are normal.  There is narrowing of the intervertebral disc space and spondylosis deformans at L4-5.</t>
  </si>
  <si>
    <t>Alveolar pulmonary pattern concerning for aspiration type pneumonia.  Other infiltrates such as neoplasia or hemorrhage cannot be excluded.  Tracheal narrowing consistent with tracheal collapse.  Lumbar changes consistent with chronic intervertebral disc herniation.</t>
  </si>
  <si>
    <t xml:space="preserve">
1.The stomach contains granular food material, with a moderately caudally displaced axis._x000D_
2.The small bowel is diffusely gas- and fluid-filled without segmental small bowel dilation._x000D_
3.The caudoventral margin of the liver is enlarged and rounded._x000D_
4.The spleen has a slightly rounded, well-defined margin, and is normal in overall size._x000D_
5.The overall peritoneal serosal detail is mildly reduced._x000D_
6.The abdomen is pendulous.</t>
  </si>
  <si>
    <t>4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soft tissue material.  The small intestines are normal in size.  Gas and feces are present in the colon.  The urinary bladder is small.  The right kidney is small.  Mineral is present in the left renal diverticula.  The remaining abdominal organs are normal.</t>
  </si>
  <si>
    <t>Material within the stomach may represent residual ingesta or foreign material.  Consider repeat radiographs following strict fasting to determine if gastric contents persist.  Chronic renal changes.  Radiographically normal thorax for patient of this age.</t>
  </si>
  <si>
    <t>Four radiographs of the thorax/abdomen are provided. Images dated 9/21/22 are available for comparison. The cardiac silhouette and pulmonary vessels are normal size. There are mild age-related changes in the lungs. Degenerative change of the costochondral junction causes the appearance of round increased opacities overlying the ventral thorax. No soft tissue pulmonary nodules or pleural effusion. Adequate tracheal diameter. Small ovoid mineral densities in the dorsal subcutaneous tissues are granulomas. In the abdomen soft tissue opacity ventral to the pylorus on the lateral views may be enlarged liver or normal splenic tail. The kidneys are normal size. The gastrointestinal tract is mildly filled. No radiopaque urolithiasis. Mineralized intervertebral disc material in situ at T11-12 is incidental. No definitive narrowed intervertebral disc spaces or foramina.</t>
  </si>
  <si>
    <t>Probable hepatomegaly, consider steroid or other hepatopathy primarily. Neoplasia is given secondary consideration. Otherwise normal abdomen and thorax. A reason for discomfort is not identified. Intervertebral disc disease is most likely.</t>
  </si>
  <si>
    <t>Recommend palpate for spinal discomfort. If no abnormalities are identified and discomfort persists, abdominal ultrasound should be considered.</t>
  </si>
  <si>
    <t xml:space="preserve">
1.The visible margins of the liver and spleen are obscured by the decrease in abdominal detail._x000D_
2.The colon contains moderate fluid and mild gas._x000D_
3.Overall, the small intestine is normal in size._x000D_
4.The small intestine contains heterogeneous soft tissue material and gas._x000D_
5.The stomach contains mild gas and is normal in size._x000D_
6.No abnormal AI findings reported._x000D_
7.No abnormal AI findings reported.</t>
  </si>
  <si>
    <t>Two pelvic vd and lateral image and two mediolateral images centered on the stifle joints dated 7th June 2024 are available for review. There are no previous radiographs available for comparison. _x000D_
_x000D_
Pelvis: The included lumbar vertebral column is normal. The iliosacral joints are symmetric. There is good coverage of the right femoral head  by the acetabulum. There is slightly less coverage of the left femoral head by the acetabulum (approximately 60%). There is minimal widening of the left caudal coxofemoral joint space. The left limb is slightly abducted. No degenerative modelling is noted at the acetabular rim and femoral heads and there is good articular congruency.  The patella are in an anatomical position._x000D_
_x000D_
Joints and long bones: Both stifle joints are normal with a normal patellar positioning._x000D_
_x000D_
Soft tissues: The pelvic and caudal thigh musculature is symmetric.</t>
  </si>
  <si>
    <t>1. Minor widening of the left coxofemoral joint space may be positional, or may indicate mild left coxofemoral laxity. Considering lack of the generative modelling and the symmetric musculature, the functional effect is questionable.</t>
  </si>
  <si>
    <t>Correlate with manipulative testing under sedation or anaesthesia. Consider distraction radiographs (Pennhip). Careful empirical management, including controlled exercise, non-steroidal anti-inflammatories, or multimodal analgesia, after normal blood work may be considered.</t>
  </si>
  <si>
    <t xml:space="preserve">
1.Liver size, shape and margin are normal._x000D_
2.The stomach contains gas and ingesta or prominent rugae, suggestive of gastritis. The small bowel is diffusely fluid filled but without segmental small bowel dilation._x000D_
3.Splenic size, shape and margin are normal._x000D_
4.Abdominal detail is normal.</t>
  </si>
  <si>
    <t>Seven orthogonal thoracic and abdominal radiographs dated 7th June 2024 are available for review. These are compared with previous radiographs dated 31st May 2024 and 7th April 2024.. _x000D_
_x000D_
Airway findings: The cervical and thoracic trachea have a normal size, outline and position. The carina, tracheal bifurcation and mainstem bronchi are normal. Throughout the lung parenchyma there is a moderate bronchointerstitial opacification. This has deteriorated in comparison of previous images. The previous described nodule at the first intracostal space is not visible._x000D_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No significant abnormalities are detected._x000D_
_x000D_
Included abdomen: The hepatic silhouette is normal in size with smooth borders. The spleen is normal in shape, size and position. The kidneys are partially obscured by gastrointestinal contents, but the visible aspect are normal. The stomach contains some granular food material, with a normal axis. The small intestines are distributed evenly and are within normal limits for shape, size and contents. The ascending, transverse and descending colon have a normal position and contain gradually more formed faeces. The urinary bladder is small. The serosal detail is normal.</t>
  </si>
  <si>
    <t>1. Mild deterioration of bronchointerstitial opacification: Underlying infectious-inflammatory lower airway disease (fungal, viral-bacterial, parasitic), less likely environmental or allergic is suspected. Heart worm is considered less likely. Round cell infiltration is unlikely. The nodule cannot be definitively excluded, but is unlikely the cause for the coughing._x000D_
2. No evidence for intra-abdominal neoplasia.</t>
  </si>
  <si>
    <t>Respiratory workup including CBC, serum chemistry, urinalysis, Baermann faecal testing, 4DX, +/- respiratory panel or fungal testing as indicated is advised. Considering the chronicity and recurrence, bronchoscopy/BAL vs. endotracheal wash +/- consultation with an Internist is advised._x000D_
Thoracic CT may still be considered.</t>
  </si>
  <si>
    <t>Three orthogonal radiographs of the abdomen and a single thoracic radiograph dated 7th June 2024 are available for review. There are no previous radiographs available for comparison. _x000D_
_x000D_
Intra-abdominal findings: There is moderate dilation of the stomach containing gas and fluid. There is appropriate gas in the pyloric region on the left lateral image. To small intestines are homogenously filled/mildly dilated with gas, fluid and granular soft tissue opaque material. The transverse and descending colon contain mainly gas with a little poorly formed faeces. The urinary bladder is small. The hepatic silhouette is normal in size with smooth borders. The spleen is normal in shape, size and position. The kidneys are partially obscured by gastrointestinal contents, but the visible aspect are normal. The serosal detail is normal._x000D_
_x000D_
Extra-abdominal findings: There is some lumbar spondylosis deformans._x000D_
_x000D_
Included thorax: The caudal vena cava is tapering.</t>
  </si>
  <si>
    <t>1. The overall impression is one of gastroenteritis/colitis.  This may be due to dietary indiscretion, or infectious-inflammatory causes. There is no evidence of a mineral opaque foreign body, or complete mechanical obstruction. The moderate fluid and gas dilation of the stomach is suspicious of a pyloric outflow (partial) obstruction. Differentials include non-radiopaque foreign body, mucosal hypertrophy, a pyloric mass. The small intestinal contents are atypical for a post-prandial status, enteritis should be considered. Pancreatitis cannot be excluded._x000D_
2. The tapering caudal vena cava is most likely due to dehydration, however tapering due to phase of cardiac contraction may be possible.</t>
  </si>
  <si>
    <t>Considering chronicity, and recurrence a complete abdominal ultrasonographic examination is advised and/or an upper GI contrast study, as well as faecal analysis, and rehydration.</t>
  </si>
  <si>
    <t xml:space="preserve">
1.No abnormal AI findings reported._x000D_
2.The colon contains gas and portions of the colon have a rigid appearance._x000D_
3.The stomach appears empty._x000D_
4.The small intestine is diffusely gas- and fluid-filled. No segmental bowel dilation is noted._x000D_
5.Increased soft tissue is present in the cranial abdomen. Splenomegaly with a mass vs. pedunculated hepatic mass are most common causes for this finding. See conclusions above for additional considerations._x000D_
6.Cranial abdominal detail is decreased. DDx: superimposition of the spleen vs. regional abdominal fluid/hemorrhage and/or mesenteric inflammation.</t>
  </si>
  <si>
    <t>Patient Name : Rudy Peer, Date of study: Jun 7, 2024
4 images are provided for review
Canine Abdomen (4 Images) - 3 Lateral, 1 Vd
There are no previous radiographs for comparison.
Findings:
There is a soft tissue mass in the central abdomen.
The stomach is filled with heterogeneous soft tissue and some gas.
The small intestines are normal and uniform in size and contain gas and homogeneous soft tissue.  The colon contains gas and feces.
The liver, kidneys, and urinary bladder are normal.
The serosal detail is normal.
There are multiple narrow intervertebral disc spaces and there is multifocal spondylosis deformans.
The caudal thorax is normal.</t>
  </si>
  <si>
    <t>1. Central abdominal mass.  Splenic origin is suspected, consider malignant neoplasia (hemangiosarcoma, round cell neoplasia), benign neoplasia (nodular hyperplasia), or a hematoma.  Alternatively consider gastric or lymphatic origin, in either case neoplasia would be prioritized.
2. Gastric food/ingesta or less likely foreign matter.
3. Multifocal lumbar intervertebral disc disease.</t>
  </si>
  <si>
    <t>Abdominal ultrasonography and tissue sampling for further evaluation of the central abdominal mass is recommended.  If sonography indicates a cavitated splenic mass, then splenectomy would be recommended.
Three view thoracic radiographs may be useful for a complete metastatic screening.</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</si>
  <si>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mildly reduced in the cranial abdomen.  The stomach contains a small amount of gas.  The small intestines are normal in size.  Gas and feces are present in the colon.  The urinary bladder is small.  The remaining abdominal organs are normal.</t>
  </si>
  <si>
    <t>Reduced serosal detail in the cranial abdomen may indicate free fluid and / or focal peritonitis or mass effect.  Radiographically normal thorax for patient of this age.</t>
  </si>
  <si>
    <t xml:space="preserve">
1.The stomach contains a small amount of soft tissue dense material. The small bowel is gas and fluid filled without segmental bowel dilation._x000D_
2.Splenic size, shape and margin are normal._x000D_
3.Abdominal detail is mildly decreased._x000D_
4.Liver size, shape and margin are normal.</t>
  </si>
  <si>
    <t>Opposite lateral and VD views of the thorax and abdomen and a VD pelvis view are provided for interpretation._x000D_
_x000D_
Bronchial markings in the lungs are mildly increased. The cardiovascular structures are within normal limits._x000D_
_x000D_
The abdominal organs are within normal size and shape limits. No mass lesions/mass effect or loss of detail are seen in the abdomen. Rugal folds in the stomach are prominent. The volume of small intestinal gas is mildly increased overall. No dilation of the stomach or intestine is identified._x000D_
_x000D_
The pelvis and hip joints are within normal limits. No spinal abnormalities are identified. No destructive or productive bone lesions are seen.</t>
  </si>
  <si>
    <t>No musculoskeletal abnormalities are identified._x000D_
_x000D_
The appearance of the GI tract would be compatible with gastroenteritis, but the mild changes described can also be seen incidentally._x000D_
_x000D_
The mild increase in bronchial markings is equivocal. The appearance is more prominent than expected for the age of the patient but not severe enough to be definitive for significant pulmonary disease. Bronchitis should be ruled out if relevant clinical signs are present, otherwise this appearance is likely normal for this patient.</t>
  </si>
  <si>
    <t>The radiographic changes are fairly mild, and relevance to the clinical signs may be limited._x000D_
_x000D_
Sedated oral exam should be considered based on the history. Endoscopy to assess the upper GI tract could also be considered.</t>
  </si>
  <si>
    <t>Eight orthogonal radiographs of the vertebral column dated 7th June 2024 are available for review._x000D_
_x000D_
Vertebral column:_x000D_
There is mineralisation of the intervertebral disc space of C2-C3. The lateral image is obliqued, however some mineralised material is suspected dorsal to the intervertebral disc space. The intervertebral disc space is only mildly narrowed. The thoracic vertebral column is normal. There is minimal physiologic narrowing at the T11-T12 anteclinal vertebra. The lumbar vertebral column and lumbosacral joint is normal.</t>
  </si>
  <si>
    <t>C2-C3 intervertebral disc disease with suspect mineralised disc herniation.</t>
  </si>
  <si>
    <t>Opposite lateral and VD views of the abdomen are provided. There are six images total._x000D_
_x000D_
Rugal folds in the stomach are mildly prominent. The stomach is gas filled but not distended or malpositioned. No abnormalities are seen involving the intestinal tract. No foreign bodies are identified. There is a mild reduction in abdominal serosal detail which is diffuse but more prominent in the cranial abdomen. Mesentery in the mid to caudal abdomen has a subtle miliary nodular appearance. No mass effect or organomegaly is identified.</t>
  </si>
  <si>
    <t>Abdominal serosal detail is mildly reduced. This includes a mildly increased overall opacity in the cranial abdomen and a subtle miliary nodular appearance in the caudal abdomen._x000D_
_x000D_
Pancreatitis is a primary differential for this patient. Steatitis or early peritonitis should also be ruled out._x000D_
No foreign bodies or obstructive pattern are identified._x000D_
_x000D_
The prominent rugal folds in the stomach is compatible with gastritis, but is not considered a diagnostic finding.</t>
  </si>
  <si>
    <t>Supportive care and symptomatic therapy for pancreatitis/gastroenteritis is recommended._x000D_
_x000D_
Ultrasound of the abdomen is recommended if possible to identify a focus of inflammation and rule out other causes of the presenting complaint and radiographic changes.</t>
  </si>
  <si>
    <t>Three radiographs of the thorax, and orthogonal views of the abdomen are provided. The cardiac silhouette is normal size and shape, with no chamber enlargement. Pulmonary vessels are normal size. There are no abnormalities in the pulmonary parenchyma. No pleural effusion. Fat deposition separates the cranioventral lungs from the sternum. Normal tracheal diameter._x000D_
_x000D_
In the abdomen the liver is mildly enlarged with smooth margins. Normal-sized spleen and left kidney. The right kidney is incompletely visible. The gastrointestinal tract is mildly filled. The cecum is gas dilated. Small mineral opaque fragment in a loop of intestine, incidental. No radiopaque urolithiasis. Osseous structures are unremarkable.</t>
  </si>
  <si>
    <t>Mild hepatomegaly, a nonspecific finding that may be steroid or other hepatopathy, acute inflammation, or at least likely neoplasia. This should be correlated with history and blood work. Otherwise normal abdomen and thorax.</t>
  </si>
  <si>
    <t>5 views of the thorax and abdomen are submitted for review.  The stomach contains a mild amount of gas and amorphous heterogeneous soft tissue opacity material.  No definitively dilated loops of small bowel are seen.  A mild amount of gas and stool is noted in the colon.  The liver and spleen are normal in size, shape, and margination.  The bilateral renal silhouettes are within normal limits.  The urinary bladder is unremarkable.  Serosal detail is normal._x000D_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  The larynx, pharynx, and cervical trachea are within normal limits._x000D_
No aggressive bony changes are seen.  Moderate spondylosis deformans is noted in the cranial lumbar spine.</t>
  </si>
  <si>
    <t>The material in the stomach is very nondescript and could represent food, amorphous soft tissue opacity, fluid and mucus, or combination of the above.  No definitive evidence of mechanical obstruction of the small intestine is seen.  Pancreatitis is not excluded._x000D_
Radiographically normal thorax.</t>
  </si>
  <si>
    <t>Correlation with blood work may be helpful.  An abdominal ultrasound also appears to be indicated.</t>
  </si>
  <si>
    <t>Four radiographs of the abdomen are provided. There is large volume formed feces filling the colon. The fecal column is upper normal size. Small bowel are minimally distended. Small volume gas and scant amorphous soft tissue opaque ingesta in the stomach. No effusion. Normal-sized liver, spleen, left kidney. The right kidney is obscured. No radiopaque urolithiasis. No narrowed intervertebral disc spaces. Both femoral heads are poorly covered by the dorsal acetabular rims, but there is no significant degenerative change. Pelvic limb musculature is adequate and symmetric. Patellar location is normal. No effusion in the caudally position stifle on the last lateral view. The cranially positioned stifle cannot be evaluated due to rotation.</t>
  </si>
  <si>
    <t>Normal abdomen. Bilateral coxofemoral joint laxity, of doubtful clinical significance. A reason for the clinical signs is not identified. Soft tissue sprain/strain is most likely. Cranial cruciate ligament insult, or a non-mineralized intervertebral disc lesion remain possible.</t>
  </si>
  <si>
    <t>Recommend palpate for spinal discomfort, stifle discomfort, neurologic examination, and for evidence of stifle instability.</t>
  </si>
  <si>
    <t>Opposite lateral and ventrodorsal abdominal radiographs (3 images) dated June 7, 2024._x000D_
_x000D_
The liver and spleen are normal in size and shape. Both kidneys are normal in size and shape. The urinary bladder is small and fluid opaque. The stomach contains a moderate amount of heterogeneous soft-tissue content that occupies all 3 major chambers of the stomach on all views. The small intestine is unremarkable in diameter and course with most segments containing a mixture of fluid and heterogeneous soft-tissue content mixed with gas. The cecum is gas-filled. The proximal colon is diffusely gas-filled and has a rigid course. The descending colon contains heterogeneous and poorly formed stool mixed with gas. Retroperitoneal and peritoneal detail are normal. No regional lymphadenopathy is evident._x000D_
No aggressive or clinically significant osseous pathology is identified. The included caudal thorax is unremarkable.</t>
  </si>
  <si>
    <t>1. The appearance of the colon is concerning for colitis, and there is poorly formed stool in the colon that may represent impending loose stool/diarrhea._x000D_
2. No evidence of a small intestinal mechanical obstruction._x000D_
3. Gastric soft tissue content most closely resembles normal ingesta. Clinically significant for material mixed in with normal ingesta cannot be completely ruled out but is less likely.</t>
  </si>
  <si>
    <t>Supportive care with fluid rehydration, antiemetics, gastroprotectants/omeprazole, antidiarrheal with probiotic, and bland diet.  General health profile (CBC, chemistry, UA, fecal, 4Dx, thyroid, BP, lactate) +/- baseline cortisol to screen for underlying causes. Abdominal ultrasound if the patient fails medical management, or if indicated based on lab work results.</t>
  </si>
  <si>
    <t>Orthogonal radiographs of the thorax, and three views of the abdomen are provided. The cardiac silhouette and pulmonary vessels are normal size and shape. There are no abnormalities in the pulmonary parenchyma. No pleural effusion. Normal tracheal diameter. Congenital vertebral malformations in the mid thoracic spine, likely incidental. No esophageal dilation._x000D_
_x000D_
In the abdomen there is no effusion. Moderate volume minimally formed feces in the distal colon. Small bowel are minimally distended. The cecum is gas dilated. Small volume gas in the stomach. Normal rugal folds are visible. There is no radiopaque foreign material. Normal-sized liver, left kidney, spleen. The right kidney is obscured by bowel loops. The urinary bladder is mildly filled and soft tissue opaque. Equivocal visibility of the prostate, consistent with reproductive status of this patient.</t>
  </si>
  <si>
    <t>Normal thorax and abdomen. Gastroenteritis is most likely. Small radiolucent gastric foreign material is given lesser consideration. There is no convincing evidence of an obstructive process.
(amended on 06/07/2024 13:26)
Correction- there is evidence of diarrhea, otherwise the abdomen is normal.</t>
  </si>
  <si>
    <t>If the patient does not improve with current treatment, fasted abdominal ultrasound would be recommended.</t>
  </si>
  <si>
    <t>Thoracic and abdominal/pelvic radiographs (4 images) dated June 7,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unremarkable in size and shape. Both kidneys are normal in size and shape. The urinary bladder is mildly distended with homogeneous fluid opacity. There are a few pinpoint mineral foci superimposed with the central urinary bladder on the right lateral pelvic view, suspicious for small bladder stones. No mineral opaque stones are identified in the region of the urethra. The stomach contains gas and a small amount of soft-tissue content. The small bowel and colon are unremarkable. Retroperitoneal and peritoneal detail are normal. No regional lymphadenopathy is evident._x000D_
There is a small curved bone opacity is superimposed with the L2-L3 intervertebral foramen. No disc space narrowing is identified in this region. The remainder of the thoracolumbar spine is unremarkable. The hips and pelvis are normal.</t>
  </si>
  <si>
    <t>1. Served bone opacity superimposed with the L2-L3 intervertebral foramen. Rule out extruded disc material vs. superimposed dorsolateral spondylosis deformans vs. less likely dural mineralization._x000D_
2. The remainder of the thoracolumbar spine is unremarkable._x000D_
3. Normal thorax._x000D_
4. Unremarkable abdomen.</t>
  </si>
  <si>
    <t>Assess for neurologic deficits=ZZ90= neurology consultation and advanced spinal imaging is recommended if present. Otherwise, strict rest with anti-inflammatory, analgesic, and muscle relaxant therapy.</t>
  </si>
  <si>
    <t xml:space="preserve">
1.The spleen is unremarkable._x000D_
2.Abdominal detail is normal._x000D_
3.Liver size, shape and margin are normal to upper limits of normal._x000D_
4.The stomach contains a mild amount of gas._x000D_
5.No segmental small intestinal dilation is noted._x000D_
6.The colon contains a moderate amount of heterogeneous soft tissue material.</t>
  </si>
  <si>
    <t>4 images of the abdomen are presented for review.  Serosal detail is reduced in the right abdomen.  A poorly defined soft tissue mass is present in the right cranioventral abdomen.  The stomach contains a moderate amount of ingesta.  The small intestines are normal in size.  Gas and feces are present in the colon.  The urinary bladder is small.  The remaining abdominal organs are normal.</t>
  </si>
  <si>
    <t>Right cranioventral abdominal mass.  Splenic origin is considered most likely.  Consider neoplasia or hematoma.  Reduced serosal detail in this region is likely secondary to mass effect, although mild free fluid cannot be excluded.</t>
  </si>
  <si>
    <t xml:space="preserve">
1.The abdomen is pendulous._x000D_
2.Gas filled and somewhat rigid Intestines are deviated by the mass._x000D_
3.The liver is partially obscured but appears mildly enlarged._x000D_
4.A mid-abdominal mass is identified._x000D_
5.On the lateral views, the mass is in the splenic region._x000D_
6.Abdominal detail is diffusely decreased.</t>
  </si>
  <si>
    <t>Opposite lateral and ventrodorsal abdominal radiographs (4 images) dated June 7, 2024._x000D_
_x000D_
_x000D_
The liver is small in size. The spleen is unremarkable. The stomach contains gas and has prominent rugal folds. The small intestine and has a mild and unremarkable variation in diameter with segments containing fluid and gas and having broad ropelike turns course to give them a subjectively turgid appearance. The colon contains a small amount of somewhat poorly formed stool and has a normal course. Both kidneys are normal in size and shape. The urinary bladder is small and fluid opaque. Retroperitoneal and peritoneal detail are normal. No regional lymphadenopathy is evident._x000D_
In situ disc space mineralization is affecting T11 through T13 without disc space narrowing. Mild disc space narrowing is suspected at L5-L6. _x000D_
The included thorax is unremarkable.</t>
  </si>
  <si>
    <t>1. Non-obstructive gastroenteritis +/- colitis.  Rule out dietary indiscretion or toxin vs. food allergy/intolerance vs. flareup of a chronic enteropathy (ex: IBD) vs. GI infectious vs. systemic/extra GI causes (liver or kidney injury/disease, pancreatitis, endocrine disorder, systemic infection, non-GI neoplasia)._x000D_
2. Relative microhepatica. Rule out normal anatomy for this patient vs. a vascular anomaly vs. less likely cirrhosis._x000D_
3. Caudal thoracic in situ disc mineralization and suspected at L5-L6 intervertebral disc disease. Correlation with orthopedic and neurologic exam is needed to determine significance.</t>
  </si>
  <si>
    <t>Supportive care with fluid rehydration, antiemetics, gastroprotectants/omeprazole, and bland diet.  General health profile (CBC, chemistry, UA, fecal) +/- spec cPL and baseline cortisol to screen for underlying causes.  Repeat fasted abdominal radiographs or ideally abdominal ultrasound if the patient fails medical management.</t>
  </si>
  <si>
    <t xml:space="preserve">
1.Gas containing stomach with segmental gas distension involving bowel loops._x000D_
2.Abdominal detail is normal._x000D_
3.Liver size, shape and margin are normal._x000D_
4.Splenic size, shape and margin are normal.</t>
  </si>
  <si>
    <t>Opposite lateral and ventrodorsal whole body radiographs (3 images) dated June 7, 2024._x000D_
_x000D_
The cardiac silhouette is mildly enlarged with dorsal deviation of the trachea and a soft tissue bulge in the region of left atrium. The pulmonary vasculature and great vessels are within normal limits. The trachea is normal in diameter and contains gas. The pleural space, mediastinum, and diaphragm are normal. The pulmonary parenchyma is unremarkable. No intrathoracic lymphadenopathy is evident._x000D_
_x000D_
There is a severely large defect in the left caudolateral abdominal and inguinal body wall, resulting in gross soft tissue swelling/outpouching due to herniation of most of the small bowel and colon. The urinary bladder and spleen are in the normal peritoneal space. The liver is small, resulting in a cranial shift in the gastric axis. The stomach contains heterogeneous ingesta and a small thin curvilinear wire. The kidneys and spleen are unremarkable._x000D_
_x000D_
The disc space collapse is affecting the L2-L3 with endplate sclerosis and spondylosis deformans. Both stifles have patellar luxation on the lateral views. A soft-tissue opaque mass is associated with the right ventrolateral thoracic body wall.</t>
  </si>
  <si>
    <t>1. Mild generalized and predominantly left-sided cardiomegaly is consistent with myxomatous mitral valve disease. There is no evidence of heart failure._x000D_
2. Large left caudal lateral abdominal wall hernia with herniation of the small bowel, colon, and possibly the uterus._x000D_
3. Microhepatica. Rule out an incidental variation in normal anatomy vs. cirrhosis vs. a vascular anomaly._x000D_
4. Metal linear foreign body in the stomach._x000D_
5. L2-L3 intervertebral disc disease and bilateral patellar luxation._x000D_
6. Right caudoventral lateral thoracic body wall mass. Rule out malignant neoplasia (including mammary neoplasia) vs. benign mass.</t>
  </si>
  <si>
    <t>Develop a cardiac-sparing anesthetic protocol (ex: CRIs of an opioid, benzodiazepine, low dose ketamine +/- etomidate to minimize inhalant and propofol use. _x000D_
Hernia repair, thoracic body wall mass biopsy._x000D_
Schedule an echocardiogram. Start pimobendan therapy if not already prescribed.</t>
  </si>
  <si>
    <t>13 images of the thorax, abdomen, pelvis distal thoracic limbs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is present in the colon.  The urinary bladder is small.  The remaining abdominal organs are normal.  There is consistent narrowing of the intervertebral disc space at L5-6.  L7 is transitional.  The joint surfaces are smooth and regular.  No stifle effusion is seen.  The coxofemoral joints are congruent.  No fractures or aggressive osseous lesions are seen.</t>
  </si>
  <si>
    <t>Radiographically normal abdomen, pelvis, and distal thoracic limbs.  Radiographically normal thorax for patient of this age.  Narrowed intervertebral disc space suggestive of intervertebral disc herniation.  This does not rule out intervertebral disc herniation at another site or other causes of spinal cord compression.</t>
  </si>
  <si>
    <t xml:space="preserve">
1.The gastric lumen contains a mild amount of soft tissue and gas opacity._x000D_
2.No abnormal AI findings reported._x000D_
3.The liver is moderately enlarged with sharp, caudal margins._x000D_
4.The spleen is normal._x000D_
5.The small intestine is a uniform population size and is diffusely of soft tissue opacity with a small amount of gas throughout._x000D_
6.The colon contains a moderate amount of formed, heterogenous fecal material caudally.</t>
  </si>
  <si>
    <t>Three radiographs of the abdomen are provided. There is no peritoneal or retroperitoneal effusion. The stomach contains small volume gas and scant amorphous soft tissue density. Small intestines are minimally distended. There is small volume gas in the cecum and colon. Normal-sized liver, spleen, kidneys no radiopaque cystic calculi.</t>
  </si>
  <si>
    <t>Scant soft tissue density in the stomach is concerning for foreign material causing gastritis and pyloric outflow obstruction. This could be residual ingesta if the patient had a large meal yesterday evening. Otherwise normal abdomen. There is no evidence of small bowel obstruction.</t>
  </si>
  <si>
    <t>If vomiting is intractable and the patient is painful or markedly depressed, gastroscopy would be recommended. Otherwise, a positive contrast gastrogram could be considered to rule in/out gastric foreign material.</t>
  </si>
  <si>
    <t xml:space="preserve">
1.No abnormal AI findings reported._x000D_
2.The small bowel contains gas and fluid and is normal in diameter._x000D_
3.The colon contains scant fecal material and gas._x000D_
4.The stomach contains a small volume of fluid opaque material and gas. The gastric rugae appear prominent._x000D_
5.The liver and spleen are normal in size and shape._x000D_
6.Serosal detail within the peritoneal space is normal.</t>
  </si>
  <si>
    <t>Orthogonal radiographs of the abdomen are provided. Images dated 5/20/23 are available for comparison. The urinary bladder is minimally distended and soft tissue opaque. No radiopaque cystic calculi. The viewable urethral plane is unremarkable, although distal urethral evaluation is limited by high technique. The gastrointestinal tract is minimally filled. Normal-sized liver, kidneys, spleen. Curved soft tissue density overlying the cranial aspect of the right kidney on the VD projection is a loop of small intestine.</t>
  </si>
  <si>
    <t>Urine culture and treatment for cystitis should be considered.</t>
  </si>
  <si>
    <t>3 views of the thorax are provided for review.  The cardiovascular structures are normal.  There is a moderate bronchial pattern in all lung lobes.  The mediastinal and pleural structures are normal.  No esophageal dilation is seen.  The trachea is mildly variable in diameter in the cervical region.  Cranial abdominal detail is adequate.</t>
  </si>
  <si>
    <t>Tracheal narrowing consistent with tracheal collapse.  Tracheal fluoroscopy or bronchoscopy could be considered in further evaluation.  Moderate bronchial pulmonary pattern=ZZ90= consider bronchitis, response to inhaled irritants, response to circulating parasites, eosinophilic bronchopneumopathy.  Airway sampling may be helpful in further evaluation.</t>
  </si>
  <si>
    <t xml:space="preserve">
1.On the lateral projection, the liver is mildly enlarged._x000D_
2.The ventral abdominal line is mildly pendulous._x000D_
3.No gastrointestinal abnormalities._x000D_
4.Splenic size, shape and margin are normal._x000D_
5.As mentioned above, cranial abdominal detail is mildly decreased. A global reduction in abdominal detail is NOT present._x000D_
6.On the VD projection, a mild decrease in cranial abdominal detail is present. This is suspected to be secondary to caudal extension of the liver.</t>
  </si>
  <si>
    <t>Three radiographs of the thorax and four views of the abdomen dated June 6, 2024, and three abdominal views dated June 7, 2024 were provided. Previous images dated 1/5/24 and earlier are available for comparison. The cardiac silhouette is mildly enlarged as before. Pulmonary vessels are normal size. Small area of increased opacity overlying the cranioventral heart on both the lateral views, not definitively seen on the lateral views. No air bronchograms are appreciated. There is a mild bronchial pattern in the lungs, with dilation of the caudal bronchioles on the left lateral view. The mainstem bronchi are narrowed on the right lateral projection. Normal tracheal diameter. There is no pleural effusion._x000D_
_x000D_
In the abdomen on the June 6, 2024 study, the stomach contains a large amount of kibble-like soft tissue density. There is faint thin string-like mineral density overlying the mid stomach on the VD projections. This is faintly visible overlying the ventral stomach on the lateral views. Small intestines are mildly filled with gas and soft tissue density. Large volume formed feces in the colon. Small bowel are clustered in the right abdomen, incidental. There is no effusion. The liver is mildly enlarged, increased in size compared to the previous study. No radiopaque cystic calculi. Punctate nephroliths are likely incidental. Degenerative change and subluxation in both coxofemoral joints. Narrowed L1-2 intervertebral disc space is of doubtful significance today. On the June 7 study, the stomach is moderately distended with formed kibble-like soft tissue density, fluid, small volume gas. More well delineated mineral opaque string-like material is visible in the gastric body. Small intestines are mildly filled. Small volume minimally formed feces in the colon. No other changes.</t>
  </si>
  <si>
    <t>1. Persistent gastric foreign material. Subsequent gastritis and pyloric outflow obstruction is most likely. There is no evidence of small bowel obstruction._x000D_
2. Mild hepatomegaly, a new development that may be steroid or other hepatopathy, acute inflammation, or least likely neoplasia._x000D_
3. Possible mild aspiration pneumonia. This should be correlated with blood work, auscultation, clinical signs._x000D_
4. Bronchial pattern with mild bronchiectasis, most consistent with chronic airway inflammation such as allergic bronchitis._x000D_
5. Dynamic mainstem bronchial collapse._x000D_
6. Mild cardiomegaly as before suggestive of acquired mitral and tricuspid valve disease. There is no pulmonary venous congestion or heart failure. This is of doubtful clinical significance today.</t>
  </si>
  <si>
    <t>Recommend retrieval of the gastric foreign material via gastroscopy or surgery.</t>
  </si>
  <si>
    <t xml:space="preserve">
1.A soft tissue mass effect is present in the mid-abdomen causing bowel displacement from this region._x000D_
2.Pendulous abdomen secondary to organomegaly._x000D_
3.Abdominal detail is diffusely decreased diffusely but with the most severe decrease in abdominal detail caudal to the stomach._x000D_
4.Small volume ingesta is present within the stomach._x000D_
5.Small intestines are displaced into the mid and caudal abdomen but the bowel diameter is normal._x000D_
6.Formed feces is present in the colon._x000D_
7.The liver is upper limits of normal for size to mildly enlarged but retains smooth margins.</t>
  </si>
  <si>
    <t>Three radiographs of the abdomen are provided. Serosal detail is adequate. There is a large volume kibble-like soft tissue density filling the stomach. Small bowel are mildly gas filled. There is gas in the cecum and colon. Small volume semi-formed feces in the proximal descending colon. There is a 1.7 cm curvilinear soft tissue density in the distal descending colon, likely incidental. Normal-sized liver, spleen, kidneys. No radiopaque urolithiasis. Soft tissue density between the colon and lumbar spine on the lateral views is normal paraspinal musculature. No osseous abnormalities.</t>
  </si>
  <si>
    <t>Normal postprandial abdomen. Gastric contents appears to be normal ingesta. Foreign material is not definitively ruled out but felt to be very unlikely in the absence of vomiting.</t>
  </si>
  <si>
    <t>If the patient does not improve with supportive care, fasted abdominal ultrasound should be considered.</t>
  </si>
  <si>
    <t>WHOLE-BODY (4 total radiographs for review). Compared to previous 06/15/23._x000D_
_x000D_
- The cardiac silhouette and pulmonary vasculature are again normal._x000D_
- The pulmonary parenchyma is normal_x000D_
- The trachea, esophagus and remainder of the mediastinum is/are normal._x000D_
- The pleural space and remaining intrathoracic structures are normal._x000D_
- Peritoneal serosal detail is adequate_x000D_
- Similar to prior, there is mild-to-moderate hepatomegaly that is characterized by a rounding of the hepatic margins._x000D_
- The stomach contains mild gas and gas-stippled soft-tissue opaque material_x000D_
- The small intestine contains mild multifocal gas and soft-tissue opaque material_x000D_
- The colon contains gas, soft-tissue/fluid and moderate formed fecal material._x000D_
- The spleen, kidneys and urinary bladder are normal._x000D_
- No musculoskeletal abnormalities are noted.</t>
  </si>
  <si>
    <t>1. Unchanged negative examination for radiographic cardiomegaly. This does not necessarily rule out heart disease, and if an audible, persistent cardiac murmur is present, echocardiogram, ECG and cardiologist consultation may still be considered._x000D_
_x000D_
2. Similar, mild-to-moderate generalized hepatomegaly. Most likely representing vacuolar (metabolic) hepatopathy. Hepatic congestion, hepatitis or neoplasia are possible, but less likely._x000D_
_x000D_
3. No obvious radiographic evidence of arthritis</t>
  </si>
  <si>
    <t xml:space="preserve">
1.Splenic size, shape and margin are normal._x000D_
2.As mentioned above, cranial abdominal detail is mildly decreased. A global reduction in abdominal detail is NOT present._x000D_
3.The ventral abdominal line is mildly pendulous._x000D_
4.No gastrointestinal abnormalities._x000D_
5.On the VD projection, a mild decrease in cranial abdominal detail is present. This is suspected to be secondary to caudal extension of the liver._x000D_
6.On the lateral projection, the liver is mildly enlarged.</t>
  </si>
  <si>
    <t>WHOLE-BODY (3 total radiographs for review). No previous for comparison.And_x000D_
_x000D_
- There is mild left-sided cardiomegaly, which is characterized by straightening of the caudal cardiac margin and dorsal displacement of the caudal aspect of the thoracic trachea. The pulmonary vasculature is normal._x000D_
- The pulmonary parenchyma is normal_x000D_
- The trachea, esophagus and remainder of the mediastinum is/are normal._x000D_
- The pleural space and remaining intrathoracic structures are normal._x000D_
- Peritoneal serosal detail is adequate_x000D_
- The stomach contains mild gas and gas-stippled soft-tissue opaque material. A single small curvilinear structure is superimposed over the gastric body on the LLAT projection. _x000D_
- The small intestine contains mild multifocal gas and soft-tissue opaque material_x000D_
- The colon contains gas, soft-tissue/fluid and moderate formed fecal material._x000D_
- The liver is moderately enlarged, with rounded margins._x000D_
- No musculoskeletal abnormalities are noted.</t>
  </si>
  <si>
    <t>1. Mild left-sided cardiomegaly, without pulmonary vasculature congestion or congestive heart failure. Most likely compatible with degeneration of the mitral valve. Consider careful cardiac auscultation and echocardiography/ECG for further assessment._x000D_
_x000D_
2. Moderate generalized hepatomegaly. Most likely representing vacuolar (metabolic) hepatopathy. Hepatic congestion, hepatitis or neoplasia are possible, but less likely._x000D_
_x000D_
3. Rounded accumulation of atypical food material or small gastric foreign body.</t>
  </si>
  <si>
    <t xml:space="preserve">
1.The shape of the liver is normal, and the margins are smooth._x000D_
2.There is a small quantity of soft tissue dense ingesta in the stomach._x000D_
3.The intestines are gas and fluid filled, without signs of dilation or obstruction._x000D_
4.No abnormal AI findings reported._x000D_
5.No abnormal AI findings reported._x000D_
6.The liver is moderately enlarged.</t>
  </si>
  <si>
    <t xml:space="preserve">Patient Name: Taylor Harris, Date of study: Jun 6, 2024
8 images are provided for review
There are no previous radiographs for comparison.
Abdomen:
Liver: Normal
Spleen: Normal
Kidneys and urinary bladder: On the lateral projection time stamped 5:09:29 PM, a single renal silhouette is visible. On the VD projection time stamped 5:08:19 PM, both renal silhouettes appear to be visible and similar in size. The urinary bladder appears normal.
GI: On the VD projection, a dilated caudal thoracic esophagus is positioned over a gas distended portion of the stomach. The majority of the remaining stomach is positioned to the left of midline with the gastric body also being gas distended and a gas stippled soft tissue region positioned in the left cranial abdomen and thought to represent a displaced pylorus. On the lateral projection, the dorsal portion of the stomach is either positioned cranial to or cranially displacing the diaphragm resulting in a convex structure overlying the caudodorsal thorax but the pylorus is gas filled on the left lateral projection. On the lateral projection time stamped 5:06:19 PM, a rectangular structure with sharp margins, H: 9 cm, L: 3.7 cm dorsally and 3.0 cm ventrally, is noted in the gastric lumen. The small bowel is diffusely gas- and fluid filled but without segmental bowel dilation. The descending duodenum on the left lateral projection is gas filled. The colon is normal. 
Mesentery: Abdominal detail is normal.
Caudal thorax: The CVC is small. The caudal thoracic esophagus is gas distended. 
Msk: Caudal thoracic and cranial lumbar disc space narrowing along with articular process arthritis are present. </t>
  </si>
  <si>
    <t xml:space="preserve">1) Conical gastric foreign body. This is the suspected cause for the clinical signs. 
2) Caudal thoracic esophageal dilation consistent with megaesophagus. Rule out gastroesophageal reflux secondary to gastric foreign body.  
3) Potential gastric malpositioning based on the VD projection but not the lateral projection. 
4) Dehydration. </t>
  </si>
  <si>
    <t xml:space="preserve">Confirmation of the gastric foreign body via a positive contrast gastrogram, abdominal CT, ultrasound vs. gastroscopy. CT and ultrasound could also be used to further assess pyloric location. 
Fluid therapy for dehydration. Orthogonal thoracic radiographs to assess for aspiration pneumonia. </t>
  </si>
  <si>
    <t xml:space="preserve">
1.Borderline splenomegaly is present but a splenic mass is NOT detected._x000D_
2.There is formed fecal material within the colon._x000D_
3.The small intestine is uniform in diameter containing both fluid and gas. No segmental small bowel dilation is noted._x000D_
4.The stomach contains gas and ingesta or prominent rugae._x000D_
5.Cranial abdominal detail is mildly decreased.  If this is the only finding, this is more likely due to normal overlying structures or radiographic technique. If this finding is part of a larger group of findings, cranial abdominal inflammation becomes a stronger consideration._x000D_
6.Liver size, shape and margin are normal.</t>
  </si>
  <si>
    <t xml:space="preserve">Patient Name : Thunder Toneck, Date of study: Jun 6, 2024
2 images are provided for review
Canine Thorax (2 Images) - 1 Vd, 1 Lateral
There are no previous radiographs for comparison.
Pulmonary parenchyma: A minimal to mild diffuse bronchial pattern is present.  The lungs are hypoinflated in the lateral image.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The pleural space is normal.
Musculoskeletal: The included musculoskeletal structures are normal.
</t>
  </si>
  <si>
    <t xml:space="preserve">1. Minimal to mild diffuse bronchial pattern.  
- Differential diagnoses include infectious/immune-mediated lower airway disease, fibrosis from prior disease/age-related changes, or unlikely other.
2. No obvious cardiomegaly is identified.  </t>
  </si>
  <si>
    <t xml:space="preserve">Echocardiography, ECG and blood pressure for further evaluation of reported murmur. Routine blood work may be contributory.  Empirical therapy and supportive care in the interim as needed.  Monitoring as directed.  </t>
  </si>
  <si>
    <t>A three view study of the thorax including the neck and cranial abdomen is provided for interpretation._x000D_
_x000D_
Severe heart enlargement is identified. The shape of the heart is consistent with left atrial and left ventricular dilation. Pulmonary vessels are within normal limits. There is a moderate bronchial pattern, more prominent in the caudal lobes. The caudal lung fields also have a mild increase in unstructured interstitial opacity. No pleural effusion is seen. In the VD view, mild compression of the caudal lobe bronchi by the large left atrium is suspected._x000D_
_x000D_
There is mild to moderate dynamic narrowing of the caudal cervical trachea. No laryngeal abnormalities are seen._x000D_
_x000D_
The cranial abdominal organs are unremarkable.</t>
  </si>
  <si>
    <t>There is severe left sided cardiomegaly. Chronic mitral valve regurgitation resulting in volume overload is most likely responsible. Other valve pathology should also be ruled out._x000D_
_x000D_
There is a bronchointerstitial pulmonary pattern, primarily involving the caudal lobes. The appearance is most compatible with inflammatory lower airway disease such as bronchitis, but early congestive heart failure with interstitial edema can appear similar. No pulmonary venous congestion is seen._x000D_
_x000D_
There is mild compression of the caudal lobe bronchi secondary to the cardiomegaly. There is also mild to moderate dynamic tracheal narrowing. These changes could also be contributing to the cough.</t>
  </si>
  <si>
    <t>Primary rule outs for this patient include early congestive heart failure vs. subclinical/compensated but severe cardiac disease with concurrent bronchitis._x000D_
_x000D_
Diuretic therapy vs. antibiotic therapy is indicated depending on CBC results and other clinical findings and suspicion._x000D_
_x000D_
Pimobendan therapy is indicated regardless, due to the severity of cardiomegaly. ACE inhibitor could also be considered.</t>
  </si>
  <si>
    <t xml:space="preserve">
1.Abdominal detail is normal._x000D_
2.The stomach is normal. The small bowel is diffusely gas- and fluid-filled without segmental small bowel dilation._x000D_
3.Splenic size, shape and margin are normal._x000D_
4.The liver is mildly enlarged.</t>
  </si>
  <si>
    <t>A three view study of the abdomen is provided for interpretation._x000D_
_x000D_
The stomach contains a small to moderate volume of amorphous and nodular appearing ingesta consistent with food. No suspicious foreign objects are identified. No dilation of the stomach or intestine is seen. The organs are within normal size and shape limits. Abdominal serosal detail is normal. There is severe spondylosis deformans involving the caudal lumbar spine.</t>
  </si>
  <si>
    <t>No significant abdominal abnormalities are identified._x000D_
The spondylosis is a degenerative change but generally considered incidental.</t>
  </si>
  <si>
    <t>No radiographic abnormalities that would explain the hyporexia are identified. Metabolic or systemic infectious disease should be ruled out.</t>
  </si>
  <si>
    <t>Patient Name: Sassy Marcie, Date of study: June 6, 2024.
Canine Abdomen (2 Images) - 1 Vd, 1 Lateral
There are no previous radiographs for comparison.
Findings:
Gastrointestinal tract: The stomach is normal in size and position. There is a small volume of gas within the fundus. The small intestines are diffusely within normal limits of diameter and distribution. The colon is filled with loosely formed feces and gas.
Liver: The liver is normal in size and shape.
Spleen: The spleen is normal in size and is smoothly marginated.
Urinary: The left kidney is normal in size, shape, and margination. The right kidney is obscured by superimposition of bowel. The urinary bladder is small in size and normal in opacity.
Peritoneal space: There is adequate serosal detail.
Musculoskeletal: The included skeletal and superficial soft tissue structures of the study are normal.
Caudal thorax: The cardiopulmonary structures and the caudal thorax are normal.</t>
  </si>
  <si>
    <t>The gastrointestinal tract is within normal limits. There is no evidence of a mechanical small intestinal obstruction. There is no evidence of a mineral/metal opaque foreign body. Gastroenteritis, colitis, and pancreatitis are prioritized as cause of the clinical signs.</t>
  </si>
  <si>
    <t>If clinical signs persist, recheck fasted abdominal radiographs or an abdominal ultrasound would be recommended. Positive contrast abdominal radiography could also be considered as barium can be both therapeutic and diagnostic.</t>
  </si>
  <si>
    <t>Patient Name: Rumi Quinn Tyksinski, Date of study: June 6, 2024.
Canine Thorax (4 Images) - 2 Vd, 2 Lateral
There are no previous radiographs for comparison.
Findings:
Cardiac silhouette: The cardiac silhouette is within normal limits of size and shape.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Cranial abdomen: There are two metal sutures superimposed with the ventral abdominal wall. The cranial abdomen is otherwise unremarkable.
Musculoskeletal: There are several anomalous thoracic vertebral bodies, this causes rib crowding and mild undulation of the spinal canal. There is variable spondylosis deformans of the thoracic spine and cranial lumbar spine. There is mild osteoarthritis of the shoulders.</t>
  </si>
  <si>
    <t>1. Unremarkable cardiopulmonary structures. There is no evidence of metastatic pulmonary nodules.
2. Congenitally anomalous vertebral bodies, consistent with breed.</t>
  </si>
  <si>
    <t>Recheck thoracic radiographs could be considered in 6-12 months, sooner if indicated.</t>
  </si>
  <si>
    <t xml:space="preserve">
1.No dilation of the small intestine is seen._x000D_
2.The gastric rugae are prominent._x000D_
3.Splenic size, shape and margin are normal._x000D_
4.Cranial abdominal detail is decreased._x000D_
5.Liver size is normal to upper limits of normal. Liver margin is normal.</t>
  </si>
  <si>
    <t>Three radiographs of the thorax, and three views of the abdomen are provided. The cardiac silhouette and pulmonary vessels are reduced in size. There is small volume pleural fluid. Faintly visible curved 7.5 cm soft tissue opacity in the cranioventral thorax on the lateral views. Lung aeration is reduced due to the effusion, but no soft tissue pulmonary nodules are appreciated. Normal tracheal diameter._x000D_
_x000D_
In the abdomen there is a poorly delineated, lobulated soft tissue opaque mass occupying the majority of the abdomen. This mass measures at least 20.7 cm, and causes caudal and rightward deviation of bowel loops (right laterality marker located on the left side of the patient). Small volume peritoneal fluid. The stomach and intestines are mildly gas filled. The gastric axis is in normal position on the lateral views, possibly shifted to the right on the VD view. Normal left kidney. The right kidney is obscured. No radiopaque urolithiasis. Broad-based fat opaque lipomatous 8.2 x 2.6 cm mass in the extra-abdominal left flank tissues is incidental.</t>
  </si>
  <si>
    <t>1. Large mid abdominal mass with mild effusion, most consistent with malignant neoplasia. Splenic hemangiosarcoma is the top differential. A hepatic mass is next on the differential list._x000D_
2. Cranial mediastinal mass, likely metastatic lymphadenopathy. Concurrent mild pleural effusion.
(amended on 06/07/2024 06:10)
3. Reduced cardiac silhouette and pulmonary vessel size consistent with hypovolemia.</t>
  </si>
  <si>
    <t>Prognosis is poor.</t>
  </si>
  <si>
    <t xml:space="preserve">
1.The spleen is mildly enlarged with a focal bulge in the splenic capsular margin._x000D_
2.There is reduced abdominal serosal detail._x000D_
3.The gastrointestinal tract is within normal limits except in a small number of cases where severe gastric distention mimics the finding of hepatomegaly or a liver mass._x000D_
4.The liver is enlarged with suspicion of asymmetric hepatomegaly or a liver mass.</t>
  </si>
  <si>
    <t xml:space="preserve">
1.The stomach is mild to moderately distended with mixed gas and fluid._x000D_
2.The duodenum is mildly distended._x000D_
3.Small intestinal bowel loops are normal in size and distribution._x000D_
4.The colon contains feces._x000D_
5.There is decreased detail in the cranial abdomen._x000D_
6.The liver and spleen are normal._x000D_
7.No abnormal AI findings reported.</t>
  </si>
  <si>
    <t>Three radiographs of the thorax and of the abdomen are provided. The cardiac silhouette is upper normal size. Pulmonary vessels are normal size. There are mild age-related changes in the lungs. No pleural effusion. Small volume fluid in the caudal esophagus is transient and incidental. Normal tracheal diameter._x000D_
_x000D_
In the abdomen the stomach contains a well delineated striated formed object measuring at least 8.7 x 3.5 cm. Small intestines are moderately filled with fluid and gas. Formed feces filled the distal colon. No effusion. Normal-sized liver, spleen, left kidney. The right kidney is obscured. No radiopaque cystic calculi.</t>
  </si>
  <si>
    <t>Textile/cloth gastric foreign material, of a size that is too large to pass successfully. Small intestinal functional ileus, likely due to stress/discomfort. Enteritis is given lesser consideration. There is no severe intestinal distention to suggest intestinal obstruction. The thorax is normal.</t>
  </si>
  <si>
    <t>Retrieval of gastric contents is recommended. Inducing vomiting may be successful. Gastroscopy or surgical retrieval may be necessary.</t>
  </si>
  <si>
    <t xml:space="preserve">
1.On the lateral projection, mild hepatomegaly with a smooth margin is present._x000D_
2.On the lateral projection, there is increased soft tissue opacity in the region of the spleen._x000D_
3.On the lateral projection, abdominal detail, particularly caudal to the stomach, is mildly decreased._x000D_
4.On the lateral projection, the small bowel is diffusely gas- and/or fluid-filled. No segmental small bowel dilation is noted._x000D_
5.On the lateral projection, a portion of the cecum and/or colon is gas-filled and has a rigid appearance.</t>
  </si>
  <si>
    <t>WHOLE-BODY (4 total radiographs for review). No previous for comparison._x000D_
_x000D_
- Marked left-sided cardiomegaly, characterized by straightening of the caudal cardiac margin and dorsal displacement of the caudal aspect of the thoracic trachea._x000D_
- Mildly distended pulmonary vasculature._x000D_
- Diffuse, mild, unstructured interstitial pattern that coalesces to alveolar in the right caudal lung lobe, where there are air bronchograms noted._x000D_
- Mild undulation of the trachea at the level of the thoracic inlet_x000D_
- The pleural space and remaining intrathoracic structures are normal._x000D_
- Peritoneal serosal detail is adequate_x000D_
- Consistent with the reported history, there is a rounded, mass like soft-tissue opacity superimposed over the right side of the liver._x000D_
- The stomach contains mild gas and gas-stippled soft-tissue opaque material_x000D_
- The small intestine contains mild multifocal gas and soft-tissue opaque material_x000D_
- The colon contains gas, soft-tissue/fluid and minimal formed fecal material._x000D_
- The kidneys and urinary bladder are of limited assessment_x000D_
- Mild bilateral glenohumeral osteoarthrosis.</t>
  </si>
  <si>
    <t>1. Marked left sided cardiomegaly with pulmonary vasculature congestion and unstructured interstitial to alveolar pattern in the right caudal lung lobe. Raising primary concern for left-sided congestive heart failure and cardiogenic pulmonary edema, secondary to degeneration of the mitral valve. I would consider initiation of therapy for left side of congestive heart failure including oxygen, diuretics and rechecking the thoracic radiographs once stable to reevaluate the appearance of the pulmonary vessels and parenchyma. Echocardiogram/ECG and cardiologist consultation are also recommended._x000D_
_x000D_
2. The appearance of the trach at the level of the thoracic inlet can suggest tracheal collapse,  However the clinical relevance of this to the current scenario is likely limited._x000D_
_x000D_
3. Consistent with the reported history, there is the impression of generalized hepatomegaly and a right-sided hepatic mass. DDx neoplasia (carcinoma, adenoma) vs. less likely non-neoplastic (e.g. abscess, granuloma). Consider abdominal ultrasonography for further assessment._x000D_
_x000D_
4. Mild bilateral glenohumeral osteoarthrosis._x000D_
_x000D_
5. Aerophagia.</t>
  </si>
  <si>
    <t>Four lateral radiographs of the abdomen are provided. The urinary bladder is minimally distended and soft tissue opaque. No evidence of medial iliac lymphadenomegaly. Formed feces fills the distal colon. Small bowel are mildly filled with soft tissue density and scant gas. Moderate volume soft tissue opaque ingesta in the stomach. Normal-sized liver, spleen, and kidneys. No lumbar spinal abnormalities.</t>
  </si>
  <si>
    <t>Urinalysis is recommended. If further evaluation of the urinary tract is desired, ultrasound would be recommended.</t>
  </si>
  <si>
    <t>6 images of the pelvis, pelvic limbs, and thoracolumbar spine are provided for review.  No fractures, luxations, or aggressive osseous lesions are seen.  Coverage of the femoral heads is adequate.  No mineralized intervertebral discs or overtly narrowed intervertebral disc spaces are seen.  The joint surfaces are smooth and regular.  Mild soft tissue is seen in the stifle joints bilaterally, although evaluation of the left stifle is limited due to obliquity on the lateral views.  The remaining soft tissue structures included are normal.</t>
  </si>
  <si>
    <t>Radiographically normal pelvis and thoracolumbar spine.  Mild bilateral stifle effusion suggestive of soft tissue injury such as to the cranial cruciate ligaments or menisci.</t>
  </si>
  <si>
    <t>ABDOMEN (5 total radiographs for review). No previous for comparison._x000D_
_x000D_
- Peritoneal serosal detail is adequate_x000D_
- The stomach contains mild gas and gas-stippled soft-tissue opaque material_x000D_
- The small intestine contains mild multifocal gas and soft-tissue opaque material_x000D_
- The colon contains gas, soft-tissue/fluid and minimal formed fecal material._x000D_
- The liver, spleen, kidneys and urinary bladder are normal._x000D_
- The caudal thorax is normal_x000D_
- No musculoskeletal abnormalities are noted.</t>
  </si>
  <si>
    <t xml:space="preserve">
1.Abdominal detail is normal._x000D_
2.Splenic size, shape and margin are normal._x000D_
3.The stomach contains a small amount of gas. Small bowel and colon are gas and fluid containing._x000D_
4.Liver size, shape and margin are normal.</t>
  </si>
  <si>
    <t xml:space="preserve">
If this patient is vomiting or anorexic, supportive care and repeat abdominal radiographs following no food for 12-15 hours, and access to water or IV fluid therapy is recommended. If ileus or partial obstruction is suspected, an abdominal ultrasound could be performed for further evaluation, or this study can be sent for further review._x000D_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</si>
  <si>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Two views of the thorax are provided for review.  The cardiovascular structures are normal.  There is a moderate bronchial pattern in all lung lobes.  The mediastinal and pleural structures are normal.  Cranial abdominal detail is adequate.</t>
  </si>
  <si>
    <t xml:space="preserve">
1.There is smoothly margined hepatomegaly._x000D_
2.Abdominal detail is decreased, particularly in the mid-abdomen, with a mild increase in soft tissue opacity in the region caudal to the stomach._x000D_
3.The stomach is caudally displaced by the hepatomegaly. The small bowel is normal._x000D_
4.The colon is gas filled and has a rigid appearance._x000D_
5.The ventral abdominal line is mildly pendulous._x000D_
6.The spleen is at the upper limits of normal for size on the VD projection.</t>
  </si>
  <si>
    <t>Three radiographs of the abdomen are provided. The cranial right quadrant has a hazy appearance on the VD projection, otherwise serosal detail is adequate. Small volume gas in stomach. Small intestines are diffusely moderately fluid-filled. Moderate volume of formed feces in the colon. A few punctate mineral densities in the colon are likely incidental. No other evidence of foreign material. Normal-sized liver, spleen, left kidney. The right kidney is obscured. Round 0.8 cm mineral density overlying the mid liver on the lateral views is not definitively seen on the VD projection and is likely incidental cholelith. No radiopaque urolithiasis.</t>
  </si>
  <si>
    <t>1. Hazy cranial right quadrant, most likely due to gastritis/pancreatitis. _x000D_
2. Small intestinal functional ileus, consider due to stress/discomfort and enteritis. There is no evidence of an obstructive process.</t>
  </si>
  <si>
    <t xml:space="preserve">
1.Mild to moderate hepatomegaly with smooth margins is likely present on the lateral projection._x000D_
2.Abdominal detail is satisfactory._x000D_
3.The ventral abdominal line is likely pendulous._x000D_
4.In most cases, there is a small quantity of ingesta in the stomach and the pylorus is caudally displaced by the hepatomegaly. Infrequently, the stomach is ingesta distended and overlying the liver creating the appearance of hepatomegaly._x000D_
5.No small intestinal obstruction is noted._x000D_
6.Splenic size, shape and margin are normal.</t>
  </si>
  <si>
    <t>5 images of the thorax are provided for review.  The trachea is dorsally deviated, indicating left ventricular enlargement.  A bulge is present in the region of the left atrium.  No pulmonary infiltrates are seen.  The pulmonary vasculature is normal in size.  The trachea narrowed in the cervical region.  The mediastinal and pleural structures are normal.  Cranial abdominal detail is adequate.</t>
  </si>
  <si>
    <t>Left-sided cardiomegaly without current evidence of cardiogenic pulmonary edema.  Echocardiography may be helpful in further staging.  Tracheal narrowing consistent with tracheal collapse, which may account for the reported cough.</t>
  </si>
  <si>
    <t>6 views of the thorax and abdomen are submitted for review.  The cardiac silhouette and pulmonary vasculature are within normal limits.  Mild to moderate generalized bronchointerstitial markings are noted throughout the lung fields.  There is mild thickening of the pleural fissure lines in the ventral thorax on the lateral views with subjective mild rounding of the lung lobes.  No intrathoracic lymphadenopathy is seen.  The trachea is normal in diameter._x000D_
In the abdomen, the stomach contains a mild to moderate amount of ingesta.  The small bowel is normal in uniform diameter.  A mild amount of stool is noted throughout the colon.  The liver, spleen, renal silhouettes, and urinary bladder are normal.  Serosal detail is adequate.  Moderate degenerative changes are noted in the thoracic and lumbar spine.  No aggressive bony changes are noted.</t>
  </si>
  <si>
    <t>The appearance of the lung fields is consistent with chronic inflammatory airway disease and/or incidental age-related change.  The mild rounding of the lung lobe margins and mild thickening of the pleural fissure lines could be indicative of chronic or previous inflammation and pleural fibrosis or possibly scant volume pleural effusion.  The significance is unknown._x000D_
Essentially radiographically normal postprandial abdomen.</t>
  </si>
  <si>
    <t xml:space="preserve">
1.No intestinal abnormalities are appreciated._x000D_
2.Moderate volume ingesta fills the stomach._x000D_
3.The cecum is gas filled._x000D_
4.The liver is enlarged._x000D_
5.Splenic size, shape and margin are normal._x000D_
6.The abdomen is pendulous.</t>
  </si>
  <si>
    <t>ABDOMEN (5 total radiographs for review). No previous for comparison._x000D_
_x000D_
- Peritoneal serosal detail is adequate_x000D_
- The stomach is normally positioned and contains mild gas and gas-stippled soft-tissue opaque material_x000D_
- The small intestine contains diffuse, mild gas and soft-tissue opaque material_x000D_
- The colon contains gas, soft-tissue/fluid and desiccated, formed fecal material._x000D_
- The liver, spleen, kidneys and urinary bladder are normal._x000D_
- The caudal thorax is normal_x000D_
- No musculoskeletal abnormalities are noted.</t>
  </si>
  <si>
    <t>1. A discrete radiographic cause for the reported clinical signs is not clearly identified. The appearance of the gastrointestinal tract can be compatible with a combination of aerophagia and nonspecific gastrointestinal functional ileus such as gastroenteritis, however radiographic sensitivity can be limited. You could consider abdominal CT and/or ultrasound for  further assessment in this case, if clinically indicated._x000D_
_x000D_
2. Moderate constipation.</t>
  </si>
  <si>
    <t xml:space="preserve">
1.The descending colon contains mainly fluid opaque material._x000D_
2.The colon is gas-filled._x000D_
3.The small intestines are homogenously fluid-filled, and mildly dilated._x000D_
4.The stomach has a normal axis._x000D_
5.There is a moderate amount of fluid and gas within the stomach._x000D_
6.Abdominal detail is normal._x000D_
7.The spleen is normal for size, shape and margin._x000D_
8.The hepatic silhouette is normal.</t>
  </si>
  <si>
    <t>WHOLE-BODY (3 total radiographs for review). A previous examination is available for comparison from 2019._x000D_
_x000D_
- Moderate left sided cardiomegaly, with straightening of the caudal cardiac margin and dorsal displacement of the caudal aspect of the thoracic trachea._x000D_
- Pulmonary vasculature normal._x000D_
- Diffuse, mixed, unstructured interstitial and bronchial pulmonary pattern, most notable in the left caudal lung lobe._x000D_
- The trachea, esophagus and remainder of the mediastinum is/are normal._x000D_
- The pleural space and remaining intrathoracic structures are normal._x000D_
- Rounded mineral opaque nodule superimposed over the right caudal lung lobe near the body of the T11 rib._x000D_
- Chronic, non-displaced right sided rib fractures (T13, T12)._x000D_
- Peritoneal serosal detail is adequate_x000D_
- Liver is moderately enlarged, with rounded margins._x000D_
- The stomach contains mild gas and gas-stippled soft-tissue opaque material_x000D_
- The small intestine contains mild multifocal gas and soft-tissue opaque material_x000D_
- The colon contains gas, soft-tissue/fluid and minimal formed fecal material._x000D_
- The spleen, kidneys and urinary bladder are normal.</t>
  </si>
  <si>
    <t>1. This is a challenging case. Although there is no clear cause for the reported bleeding from the mouth identified, the chronic coughing could be related to a combination of lower airway/airspace disease (e.g. bronchitis +/- interstitial fibrosis), compression of the airways by the left heart enlargement, and (even though no radiographic evidence of this is observed) tracheal collapse. I would recommend considering treating this patient for lower airway disease, performing echocardiography/ECG, palpating for tracheal collapse and also considering a head/thoracic CT for clarification_x000D_
_x000D_
2. Moderate left-sided cardiomegaly, without pulmonary vasculature congestion or congestive heart failure. Most likely compatible with degeneration of the mitral valve. Consider careful cardiac auscultation and echocardiography/ECG for further assessment._x000D_
_x000D_
3. Moderate generalized hepatomegaly. Most likely representing vacuolar (metabolic) hepatopathy. Hepatic congestion, hepatitis or neoplasia are possible, but less likely._x000D_
_x000D_
4. Chronic right-sided T13 and T12 rib fractures._x000D_
_x000D_
5. Small lung or rib associated mineralized granuloma or benign osseous lesion in the region of the right caudal lung lobe.</t>
  </si>
  <si>
    <t xml:space="preserve">
1.The liver is moderately enlarged with rounded, lobular margins._x000D_
2.The abdomen is pendulous._x000D_
3.Small-volume gas and soft tissue opacity are present in the stomach._x000D_
4.Round soft tissue density dorsal to the descending colon may represent end-on loop of small bowel._x000D_
5.No intestinal abnormalities are appreciated._x000D_
6.The spleen is normal size._x000D_
7.Serosal detail is adequate.</t>
  </si>
  <si>
    <t>Hepatomegaly with rounded, lobular margins. DDx: endocrine (diabetes mellitus, Cushings), and infiltrative origins (vacuolar hepatopathy -nodular hyperplasia-round cell infiltration-lymphoma-adenoma-adenocarcinoma) are most likely. Hemodynamic (right heart failure) should also be considered but is considered less likely as abdominal detail is normal. Infectious-inflammatory (hepatitis-viral-parasitic) is also considered less likely. The AI result for this case is most compelling for: Hepatomegaly secondary to Cushing's disease or infiltrative neoplasia.</t>
  </si>
  <si>
    <t xml:space="preserve">
Abdominal ultrasound is recommended._x000D_
Blood work to further assess the liver, if not already performed. Also consider pre- and post-prandial bile acids based on blood work results. Coagulation profile, platelet count and PCV prior to liver sampling._x000D_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</si>
  <si>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Patient Name : Dixie Belonga, Date of study: Jun 6, 2024
3 images are provided for review
Canine Abdomen (3 Images) - 2 Lateral, 1 Vd
There are no previous radiographs for comparison.
Findings:
Gastrointestinal tract: The stomach contains heterogeneous ingesta admixed with gas and is normal in position. The small intestines are diffusely within normal limits of diameter and are primarily gas-filled. There is a small volume of feces in the colon. The descending colon is primarily gas-filled.
Liver: The liver is normal in size and margination. On the right lateral view there is a focal bulge in the caudal ventral margin, which may represent the gallbladder.
Spleen: As noted, there is a soft tissue opaque, rounded mass in the left cranial abdomen. This mass is partially superimposed with the spleen and may be originating from it. The remaining margins of the spleen are normal.
Urinary: The kidneys are normal in size, shape, and margination. The urinary bladder is moderately distended and normal in opacity.
Peritoneal space: There is adequate serosal detail. 
Musculoskeletal: The included skeletal and superficial soft tissue structures of the study are normal.</t>
  </si>
  <si>
    <t>1. As reported there is a soft tissue opaque mass in the left cranial abdomen. The mass may be arising from the spleen or left limb of the pancreas. A mesenteric lymph node or granuloma cannot be excluded.
2. Moderate distention of the urinary bladder. A structural abnormality (i.e. bladder neoplasm) cannot be excluded as a cause of hematuria and pyuria.
3. The gastrointestinal tract is unremarkable. There is no evidence of a mechanical gastrointestinal obstruction or foreign body. Gastroenteritis, colitis, pancreatitis are considered as causes of decreased appetite and vomiting.</t>
  </si>
  <si>
    <t>An abdominal ultrasound is recommended to positively identify the organ of origin for the left cranial abdominal mass and to further evaluate the urinary system for causes of pyuria and hematuria. Ultrasound-guided fine-needle aspirates of the mass would be recommended for a cytologic diagnosis and to guide treatment recommendations.</t>
  </si>
  <si>
    <t xml:space="preserve">
1.The abdomen is pendulous secondary to intra-abdominal fat deposition and hepatomegaly._x000D_
2.The stomach is displaced caudally by the hepatomegaly. The small bowel is diffusely gas- and fluid-filled without segmental small bowel dilation._x000D_
3.The liver is enlarged but retains a smooth margin._x000D_
4.Resource: https://platform.v2.vetology.net/doc/cushings_1_x000D_
5.Pickwickian syndrome resource: https://platform.v2.vetology.net/doc/pickwickian_syndrome_x000D_
6.Splenic size, shape and margin are normal._x000D_
7.Abdominal detail is normal.</t>
  </si>
  <si>
    <t>4 images of the entire body are provided for review. The cardiovascular structures are normal. There is a marked bronchial pattern in all lung lobes. The pleural and mediastinal structures are normal. Abdominal serosal detail is adequate. The stomach contains a large amount of gas. The small intestines are normal in size. Gas and feces are present in the colon. The remaining abdominal organs are normal.</t>
  </si>
  <si>
    <t>Severe bronchial pulmonary pattern. Consider asthma, heartworm, lungworm, bronchitis. Consider empiric therapy versus further diagnostics such as heartworm testing, Baermann fecal, airway sampling. Radiographically normal abdomen.</t>
  </si>
  <si>
    <t xml:space="preserve">
1.There is mild hepatomegaly with smooth margins. No hepatic mass is identified._x000D_
2.The gastrointestinal tract is also unremarkable._x000D_
3.The spleen is unremarkable._x000D_
4.The serosal detail is normal.</t>
  </si>
  <si>
    <t>Prominent rugal folds suggestive of gastritis.  This does not rule out underlying pancreatitis, inflammatory bowel disease, discretion, etc.</t>
  </si>
  <si>
    <t>Study:_x000D_
Thoracic radiography: three images dated June 6, 2024_x000D_
_x000D_
Compared to prior study dated August 17, 2023_x000D_
_x000D_
Findings:_x000D_
There is unchanged mild left ventricular and left atrial enlargement. The pulmonary vasculature is normal in size. There is a mild diffuse bronchointerstitial pulmonic pattern. This finding is similar in severity to the prior examination. The pleural space is normal. There is no intrathoracic lymphadenopathy. The trachea is normal in diameter. There is no lobar bronchi narrowing. The stomach contains unstructured heterogeneous/granular soft tissue material presumed to be ingesta. The included abdomen is otherwise unremarkable. No skeletal abnormalities are present.</t>
  </si>
  <si>
    <t>1. Static mild left-sided cardiomegaly, indicative of mitral valve disease, without evidence of decompensation. Echocardiography should be considered for further evaluation._x000D_
2. The static mild diffuse bronchointerstitial pulmonary pattern is most likely a benign age-related change given the unchanged appearance from the prior examination._x000D_
3. There is no radiographic evidence of peritoneal effusion/ascites.</t>
  </si>
  <si>
    <t>Three radiographs of the abdomen are provided. Serosal detail is adequate in the peritoneal and retroperitoneal spaces. Moderate to large volume kibble-like soft tissue density fills the stomach. Small intestines are mildly filled. Formed feces fills the descending colon. The cecum is gas dilated. No radiopaque foreign material or urolithiasis. Normal-sized liver, kidneys, spleen. The caudal thorax is unremarkable.</t>
  </si>
  <si>
    <t>Normal postprandial abdomen. Gastric contents appears to be normal ingesta. Small radiolucent foreign material may be present, causing gastritis and intermittent pyloric outflow obstruction.</t>
  </si>
  <si>
    <t>Recommend fasted abdominal radiographs +/- positive contrast gastrogram to rule out a gastric foreign object. Abdominal ultrasound is another option, as long as the patient has been strictly fasted and there is minimal gas in the stomach at the time of imaging.</t>
  </si>
  <si>
    <t>Patient Name: Jacey Derfler, Date of study: Jun 6, 2024
8 images are provided for review
There are no previous radiographs for comparison.
Findings:
Cardiac silhouette: There is equivocal right-sided cardiomegaly on the ventrodorsal view. This appearance is not persistent on the lateral images and is considered artifactual likely due to patient positioning. The cardiac silhouette is normal in size and shape.
Pulmonary vessels: The pulmonary arteries and veins are normal in size and are symmetrical.
Pulmonary parenchyma: There is mild diffuse bronchial pattern. There is no evidence of pulmonary consolidation,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stomach is small in size and normal in position. The small intestine is diffusely within normal limits of diameter and distribution containing fluid and gas. The colon is normal in size and filled with feces and gas.
Liver: The liver is mildly enlarged with rounded caudal margins which extend beyond the costal arch.
Spleen: The spleen is normal in size with smooth margins.
Urinary: The kidneys are normal in size, shape, and margination. The urinary bladder is small in size and normal in opacity.
Peritoneal space: There is adequate serosal detail.
Musculoskeletal: Incidentally, there is moderate spondylosis deformans of T4-5. The included skeletal and superficial soft tissue structures of the study are otherwise within normal limits.</t>
  </si>
  <si>
    <t xml:space="preserve">1. Diffuse mild bronchial pulmonary pattern. Consider chronic bronchitis of allergic, infectious/inflammatory, parasitic, and irritant etiologies.
2. The cardiac silhouette is within normal limits. There is no evidence of congestive heart failure.
3. A thoracic mass is not identified. 
4. Mild hepatomegaly.  This is a nonspecific finding, differentials include metabolic disease, endocrine disease, inflammation, and less likely, infiltrative neoplasia.  </t>
  </si>
  <si>
    <t>-If a murmur can be auscultated or proBNP is elevated, an echocardiogram could be considered to further evaluate the heart.
-Airway sampling (respiratory PCR, bronchoalveolar lavage, transtracheal wash) could be considered to guide treatment for lower airway inflammation/bronchitis.
-Abdominal ultrasound with fine-needle aspirates of the liver could be considered if clinically indicated (i.e. elevated hepatic enzymes).</t>
  </si>
  <si>
    <t>ABDOMEN (3 total radiographs for review). No previous for comparison._x000D_
_x000D_
- Peritoneal serosal detail is adequate_x000D_
- There are mildly distended, homogeneously soft-tissue opaque tubular structures in the caudal abdomen cranially displacing multiple small intestinal segments._x000D_
- The stomach contains mild gas and gas-stippled soft-tissue opaque material_x000D_
- The small intestine contains mild multifocal gas and soft-tissue opaque material_x000D_
- The colon contains gas, soft-tissue/fluid and mild formed fecal material._x000D_
- The liver, spleen, kidneys and urinary bladder are normal._x000D_
- The caudal thorax is normal_x000D_
- There is mild multifocal spondylosis deformans._x000D_
- Thin/ill-defined and hypoplastic right rib of T13.</t>
  </si>
  <si>
    <t>1. There is the impression of mild-to-moderate uteromegaly, which considering the reported history could be compatible with endometritis/pyometra (although pyometra is typically a disease of diestrus and in this case the timing of the reproductive cycle seems atypical) or alternatively muco- or hydrometra. Early pregnancy changes are less likely. If readily available, I would consider abdominal ultrasonography for further assessment of the caudal abdomen to confirm the presence of distended, tubular uterine horns. Ultimately, surgical intervention (i.e. ovariohysterectomy) may be necessary in this case._x000D_
_x000D_
2. Mild multifocal spondylosis deformans._x000D_
_x000D_
3. Hypoplastic right rib of T13 (transitional TL segment).</t>
  </si>
  <si>
    <t>Patient Name : MOLLY PIERCE, Date of study: May 24, 2024
6 images are provided for review
Canine Abdomen (3 Images) - 2 Lateral, 1 Vd
Canine Thorax (3 Images) - 2 Lateral, 1 Vd
There are no previous radiographs for comparison.
Findings:
The radiological examination reveals several positive findings. There is evidence of heart failure, interstitial changes, and pulmonary nodules. Pleural effusion is also present along with signs of gastritis and pancreatitis. The RTM appears to be affected as well.
Focal abnormalities are noted in the caudodorsal lung region and perihilar area. Pericardial effusion is evident, as well as bronchiectasis and pulmonary vessel enlargement. Thoracic lymphadenopathy has been identified alongside esophagitis.
On a positive note, there are no indications of hypoplasia, cardiomegaly or ascites. Colitis, liver mass or microhepatia were not detected in the images reviewed. Small intestinal obstruction was ruled out along with splenic mass or splenomegaly.
There's no evidence of hepatomegaly nor right-sided or left-sided cardiomegaly observed during this examination.
However, pneumonia and bronchitis have been identified along with diseased lung tissue and pulmonary hypoinflation.</t>
  </si>
  <si>
    <t>1. Severe left-sided congestive heart failure with pulmonary edema and pleural effusion. 2. Gastritis, pancreatitis, and possible gastroenterocolitis such as from toxin ingestion or inflammatory bowel disease. 3. Esophagitis is likely due to reflux esophagitis from the underlying pneumonia/bronchitis or from chronic vomiting/gastric acid reflux disease. 4. Focal pulmonary nodules are suspicious for metastatic neoplasia such as from a primary carcinoma or less likely granulomatous/fungal disease given the lack of travel history and reported normal CBC/serum biochemistry results.</t>
  </si>
  <si>
    <t>Diuretic therapy for management of the pleural effusion and cardiogenic pulmonary edema, with oxygen supplementation if dyspnea is present.
Echocardiography to confirm pericardial effusion versus cardiac mass versus unlikely evolving dilated cardiomyopathy.
Thoracic fluid analysis/cytology may be beneficial in further evaluation of this patient's pericardial effusion.
Empirical antibiotic therapy for suspected pneumonia/bronchitis with repeat thoracic radiographs after diuresis to monitor response to therapy.
Abdominal ultrasonography may be beneficial in further evaluation of this patient's pancreatitis/gastritis if clinically indicated after stabilization.
Repeat CBC/serum biochemistry if not already performed.
Consider empirical deworming given the reported travel history.
Airway sampling via bronchoalveolar lavage/tracheal wash may be beneficial in further evaluation of this patient's cough/dyspnea/pneumonia once stable, especially if empirical antibiotic therapy fails to result in improvement on repeat thoracic radiographs.
Pulmonary nodule biopsy via CT-guided sampling may be necessary for a definitive diagnosis, especially if there is no response to empirical antibiotics and/or anti-inflammatory medication (if infectious/inflammatory lung disease is suspected).</t>
  </si>
  <si>
    <t>Three radiographs of the thorax, three views of the abdomen, and a VD view of the pelvis are provided. The cardiac silhouette and pulmonary vessels are normal size and shape. Fat deposition is seen ventral to the heart on the lateral views. The 1st right lateral view is a double exposure. No soft tissue pulmonary nodules or pleural effusion. Mottled appearance of the proximal aspect of the cranially positioned humerus is likely superimposed fascial planes._x000D_
_x000D_
In the abdomen the liver is mildly enlarged with rounded margins. The spleen is normal size. Possible irregular ventral splenic tail margins versus adjacent bowel loops. The gastrointestinal tract is mildly filled. No radiopaque urolithiasis. Normal-sized kidneys. There is mild degenerative change in the coxofemoral joints.</t>
  </si>
  <si>
    <t>1. Mild hepatomegaly, a nonspecific finding that may be steroid or other hepatopathy, acute inflammation, or neoplasia. This should be correlated with history and blood work._x000D_
2. Bilateral mild coxofemoral osteoarthritis._x000D_
3. Normal thorax.</t>
  </si>
  <si>
    <t>Ultrasound evaluation of the liver could be considered.</t>
  </si>
  <si>
    <t xml:space="preserve">
1.Soft tissue opacity extending caudoventral to the stomach may represent enlarged liver or splenic tail._x000D_
2.Cranial abdominal detail is decreased. This may be secondary to a confluence of soft tissues and/or regional inflammation or abdominal fluid._x000D_
3.No abnormal AI findings reported._x000D_
4.The gastric axis is caudally displaced.</t>
  </si>
  <si>
    <t>Three orthogonal thoracic radiographs dated 5th June 2024 are available for review. There are no previous radiographs available for comparison. The thoracic limbs are poorly protracted and some obliquity is present, limiting interpretation._x000D_
_x000D_
Thorax: _x000D_
Airway findings: No nodules, masses, or lymphadenomegaly is visible. The trachea has a normal position, shape and size. The pulmonary parenchyma is normal. _x000D_
_x000D_
Cardiovascular findings: The cardiac silhouette, and pulmonary vasculature is within normal limits._x000D_
_x000D_
Mediastinum and pleura: There is no evidence of pleural effusion, _x000D_
_x000D_
Included abdomen: No significant abnormalities are detected. _x000D_
_x000D_
Musculoskeletal system: A small subcutaneous mass is present at the caudal ventral abdomen consistent with the reported mammary mass.</t>
  </si>
  <si>
    <t>1. Negative metastasis check, normal thorax. The murmur reported is most likely a physiologic murmur, or a compensated valvular disease such as myxoid degeneration of the mitral valve.</t>
  </si>
  <si>
    <t>Computed tomography has a higher resolution capability to detect small pulmonary parenchyma nodules and may be considered._x000D_
In absence of clinical signs indicative of cardiac disease, conservative management may be considered, alternatively with an acute onset murmur, and signs of exercise intolerance, echocardiography may be considered._x000D_
FNA or surgical removal of the mammary mass is advised.</t>
  </si>
  <si>
    <t>Three views of the thorax are provided for review.  Abdomen and skull included in the study are not requested to be reviewed.  The cardiovascular structures are normal.  Several, variably sized, soft tissue nodules are present in multiple lung lobes.  The mediastinal and pleural structures are normal.  Cranial abdominal detail is adequate.</t>
  </si>
  <si>
    <t>Nodular pulmonary pattern consistent with metastatic neoplasia.</t>
  </si>
  <si>
    <t>CT could be considered in further staging ultrasound or CT-guided aspirates could be considered to confirm the diagnosis.</t>
  </si>
  <si>
    <t>Three orthogonal radiographs of the abdomen dated 5th June 2024 are available for review. There are no previous radiographs available for comparison. _x000D_
_x000D_
Intra-abdominal findings: The stomach is moderately dilated with gas, heterogenous soft tissue opaque material and gas loculations within soft tissue material. The small intestines are variably distended with fluid, and have a stacked appearance. Several segments of intestines contain bunched grapelike gas lucencies. These may be colonic, or colon and descending duodenum. The descending colon is empty. The urinary bladder is small. The hepatic silhouette is normal for age. The kidneys and spleen are poorly visible._x000D_
_x000D_
Extra-abdominal findings: No significant abnormalities are detected._x000D_
_x000D_
Included thorax: No significant abnormalities are detected.</t>
  </si>
  <si>
    <t>1. The findings are supportive of the reported diagnosis of diffuse parvovirus enteritis with a secondary ileus. There is no evidence for a radiopaque foreign body, or segmental dilation.</t>
  </si>
  <si>
    <t>Complete intensive care management is advised, with repeat radiographic examination as clinically indicated.</t>
  </si>
  <si>
    <t xml:space="preserve">
1.The hepatic silhouette is mildly enlarged, with smooth margins._x000D_
2.The spleen is positioned along the left body wall._x000D_
3.The small intestines contain an increased amount of gas for a feline patient._x000D_
4.The transverse colon is moderately gas dilated._x000D_
5.The descending colon contained some poorly formed faeces and gas._x000D_
6.The peritoneal serosal detail is normal._x000D_
7.The stomach is contains a mild amount of food material, and has a mildly caudally displaced axis.</t>
  </si>
  <si>
    <t>Four orthogonal radiographs of the abdomen dated 5th June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contains some gas and some heterogenous soft tissue opaque material in the fundus. There is appropriate gas in the pyloric region on the left lateral image. The small intestines are mainly empty, containing mainly fluid. The transverse and descending colon contain gas and fluid. The urinary bladder is small. The serosal detail is normal._x000D_
_x000D_
Extra-abdominal findings: There are multiple thoracic and lumbar vertebral abnormalities consistent with breed._x000D_
_x000D_
Included thorax: No significant abnormalities are detected.</t>
  </si>
  <si>
    <t>Study:_x000D_
Thoracic/abdominal radiography: three images dated_x000D_
_x000D_
Findings:_x000D_
The cardiac silhouette and pulmonary vasculature are normal in size. Incidental platelike atelectasis is present in the cranial dorsal lung field on both lateral projections. The pulmonary parenchyma is otherwise unremarkable. The pleural space is normal. There is no intrathoracic lymphadenopathy. The trachea is normal in diameter and course. The stomach contains minimal gas. The small intestines are normal in size, course and content. The colon contains formed fecal material. The liver and spleen are normal in size and margin. The kidneys are normal in size and contour. There are multiple indistinct mineral opacities in the left kidney. The urinary bladder is normal in size and opacity. The T 13 vertebra is transitional. The patient has six lumbar vertebrae. There is narrowing of the T 11-T 12, T 12-T 13 and L1-L2 through L4-L5 intervertebral disc spaces with sclerotic endplates and variable mild to severe spondylosis deformans.</t>
  </si>
  <si>
    <t>1.  T 11-T 12, T 12-T 13 and L1-L2 through L4-L5 intervertebral disc disease. Neurology consultation and MRI can be considered for further evaluation._x000D_
2. Unremarkable thorax. There is no radiographic evidence of heart disease. Consider echocardiography for further evaluation of the reported heart murmur._x000D_
3. Left nephrolithiasis versus nephrocalcinosis. The abdomen is otherwise unremarkable.</t>
  </si>
  <si>
    <t>Patient name: Mona Craddock _x000D_
ABDOMEN (2 views=ZZ90= 3 images, [1 Lateral, 2 VD]) _x000D_
Images are dated June 5, 2024._x000D_
There are no previous radiographs for comparison. _x000D_
 _x000D_
Liver: The liver is small with smooth margins._x000D_
_x000D_
Spleen: The spleen is normal in size and shape with smooth margins. _x000D_
_x000D_
Kidneys and urinary bladder: Both kidneys are normal in size and shape with smooth margins. The urinary bladder is moderately fluid distended. No radiopaque urinary calculi are detected. _x000D_
_x000D_
GI: The stomach contains a small volume of gas and amorphous soft tissue. No gastric enlargement is seen. Variably the small intestines contain fluid, gas, or finely granular soft tissue, while maintaining normal diameter and distribution.  One segment of small intestine, superimposing the dorsal abdomen/retroperitoneal space, ventral to L5 and caudal to the kidney, contains stippled mineral.  The cecum is gas filled.  Gas and formed feces are noted in the colon. _x000D_
_x000D_
Abdominal detail: Serosal detail is adequate.  _x000D_
_x000D_
MSK: Visible musculoskeletal structures are within normal limits. _x000D_
_x000D_
Caudal thorax: No abnormalities are detected in the visible cardiopulmonary structures of the thorax.</t>
  </si>
  <si>
    <t>1) Radiographically normal urinary tract without evidence of radiopaque urinary calculi.  A specific cause for urinary accidents is not identified.  _x000D_
2) Microhepatia.  Consistent with microvascular dysplasia or chronic hepatitis. Thoracic conformation should also be considered.</t>
  </si>
  <si>
    <t xml:space="preserve">Patient Name : Tinkerbell Horn, Date of study: Jun 5, 2024
4 images are provided for review
Canine Thorax (3 Images) - 1 VD and 2 Laterals
Canine Abdomen (3 Images) - 1 VD and 2 Laterals
There are no previous radiographs for comparison.
Image evaluation: The entire cranial thorax is not included on either lateral projection. 
Thorax:
Airway/pulmonary parenchyma: An approximate 1 cm soft tissue nodule is present in the left caudal lung lobe. No additional pulmonary nodules are noted within the visible lungs.
Cardiovascular: Right sided cardiomegaly is present with rounding to the right atrial region. On the lateral projections, the cranial pulmonary arteries are slightly small. The CVC is small. 
Mediastinum: Mild widening to the cranial mediastinum is present on the VD projection. The cranial mediastinum is normal on the lateral projection. 
Pleural space: Normal
Abdomen:
Liver: Microhepatia is present with the liver retaining a smooth margin. 
Spleen: Normal
Kidneys and urinary bladder: Both kidneys are at the lower limits of normal for size. Both kidneys retain a smooth margin. Focal mineralization overlies the left kidney on the VD projection. A normal urinary bladder silhouette is not visible on either lateral projection. 
GI: The stomach is gas filled. The gastric wall appears thickened on the right lateral projection. The gastric rugae are prominent. The small bowel is diffusely fluid distended. Tubular soft tissue structures are noted in the caudal abdomen and appear to extend through the pelvic canal. 
Mesentery: Caudoventral abdominal detail is focally decreased on the lateral projections. The remainder of the abdomen has normal abdominal detail.
Msk; The dog is thin. Diffuse osteopenia is present. </t>
  </si>
  <si>
    <t xml:space="preserve">Pertaining to the diarrhea:
1) Diffuse colonic wall thickening most suggestive of colitis. Appearance to the small bowel suggestive of enteritis and functional ileus vs. small intestinal obstruction secondary to caudal abdominal herniation. Gastritis.
2) Tubular soft tissue opacity in the caudal abdomen. DDx: herniated small bowel loop vs. uterine body enlargement.
Other: 
3) Bilateral chronic renal disease with a small right kidney. Vascular mineralization affecting the caudal abdomen. Renal secondary hyperparathyroidism suspected. Emaciation also consistent with chronic renal disease. Rule out systemic hypertension causing the CNS signs. 
4) No urinary bladder silhouette identified. DDx: empty bladder vs. bladder herniation. 
5) Right heart enlargement with rounding to the right atrium. DDx: pulmonary hypertension secondary to PTE associated with renal disease vs. right heart enlargement due to another cause including a right atrial or auricular mass. 
6) Left caudal lung lobe soft tissue pulmonary nodule (approximately 1 cm in diameter). DDx: primary pulmonary neoplasia vs. metastatic neoplasia vs. granuloma. 
7) Microhepatia. </t>
  </si>
  <si>
    <t xml:space="preserve">Bloodwork, urinalysis, systemic blood pressure evaluation. Abdominal ultrasound particularly to assess the kidneys, location of the urinary bladder and GI tract. 
Cardiac ultrasound is also recommended to assess for pulmonary hypertension. </t>
  </si>
  <si>
    <t xml:space="preserve">
1.No abnormal AI findings reported._x000D_
2.No abnormal AI findings reported._x000D_
3.The liver and spleen appear within normal limits._x000D_
4.The rugal folds in the stomach are prominent._x000D_
5.The stomach is not dilated or malpositioned.</t>
  </si>
  <si>
    <t>The AI result for this case is most compelling for: Gastroenteritis, which may be due to dietary indiscretion or infectious etiology. No obstruction is suspected. No intestinal abnormalities are identified.</t>
  </si>
  <si>
    <t>A three view thoracoabdominal study is provided for interpretation._x000D_
_x000D_
No laryngeal abnormalities are identified. There is mild to moderate dynamic narrowing of the trachea._x000D_
Severe heart enlargement is identified. The shape of the heart is consistent with left ventricular and left atrial distention. The pulmonary vessels are within normal limits. There is a slight increase in interstitial opacity in the right caudal lung field. The appearance is subtle and significance equivocal._x000D_
The liver is mildly enlarged. The other abdominal organs are within normal limits._x000D_
There is severe spondylosis and disc space narrowing involving L3-L4. L7 appears to be a transitional vertebra, incorporated as part of the sacrum.</t>
  </si>
  <si>
    <t>There is severe left sided cardiomegaly. No convincing evidence of heart failure is seen at this time. There is a minimal increase in interstitial opacity in the right caudal lobe of unknown significance. Although very early congestive heart failure cannot be entirely excluded, the radiographs are not diagnostic for this at this time._x000D_
_x000D_
There is narrowing of the trachea, but this is also not severe enough to be diagnostic for collapsing trachea. Collapsing trachea still cannot be excluded on the basis of survey radiographs._x000D_
_x000D_
The liver is enlarged._x000D_
_x000D_
There is evidence of chronic disc degeneration in the mid lumbar spine.</t>
  </si>
  <si>
    <t>Symptomatic therapy for the cough is recommended. Recheck radiographs are recommended in one to two weeks of coughing is not improved._x000D_
_x000D_
Pimobendan therapy is indicated in this patient due to the severity of cardiomegaly. ACE inhibitor could also be considered.</t>
  </si>
  <si>
    <t>Patient Name: Bandit Coyle, Date of study: Jun 5, 2024
Abdomen: 3 images are provided for review (2 lateral, 1 VD). 
There are no previous radiographs for comparison.
Findings:
Gastrointestinal tract: The stomach is empty and normal in position. The small intestines are diffusely within normal limits of diameter and are primarily gas-filled. The colon is at the upper limits of normal in size and filled with loosely formed feces.
Liver: The liver is normal in size and margination.
Spleen: The spleen is normal in size and shape.
Urinary: The urinary bladder is moderately distended with gas. The urethra is normal. The visible margins of the kidneys are normal.
Peritoneal space: There is adequate serosal detail.
Musculoskeletal: There is a faint curvilinear focus of mineralization dorsal to the L2-3 intervertebral disc space which is superimposed with the intervertebral foramen. There is in situ disc mineralization and mild intervertebral disc space narrowing of T10-11.</t>
  </si>
  <si>
    <t xml:space="preserve">1. The urinary bladder is distended with gas. In the absence of reported urinary catheterization or iatrogenic instillation, a gas producing urinary tract infection should be considered. Retrograde gas accumulation in the urinary bladder from incontinence is considered much less likely, especially in a male. The urinary bladder gas is limited to the intraluminal space and not the urinary bladder wall (as is seen with emphysematous cystitis). There is no evidence of a mineral calculus/stone. 
2. There is evidence of intervertebral disc degeneration at T10-11 and L2-3. A specific site of spinal cord compression cannot be determined radiographically.
3. The appearance of the colon is consistent with fecal retention. </t>
  </si>
  <si>
    <t xml:space="preserve">Complete evacuation of gas from the urinary bladder is recommended. A urinalysis with culture and sensitivity are recommended. </t>
  </si>
  <si>
    <t xml:space="preserve">Patient Name: Penny Zeek, Date of study: June 5, 2024
Canine Abdomen (2 Images) - 1 Lateral, 1 VD
There are no previous radiographs for comparison.
Findings:
Gastrointestinal tract: The stomach is filled with heterogeneous ingesta admixed with gas. There is a small volume of gravitationally dependent mineral debris in the body of the stomach. The small intestines are diffusely within normal limits of diameter and are cranially displaced by the enlarged urinary bladder. The colon is filled with loosely formed feces.
Liver: The liver is small in size and smooth margins.
Spleen: The spleen is within normal limits.
Peritoneal space: There is adequate serosal detail.
Urinary: The visible margins of the kidneys are normal. The urinary bladder is moderately enlarged. 
Musculoskeletal: The nipples are prominent. The included musculoskeletal and superficial soft tissue structures are otherwise normal. </t>
  </si>
  <si>
    <t>1. The appearance of the gastrointestinal tract is most consistent with a postprandial appearance. The gastric contents are thought to be intended ingesta however foreign material cannot be excluded. There is no evidence of a small intestinal mechanical obstruction.
2. The urinary bladder is moderately distended. A urinary bladder neoplasm cannot be excluded as a cause of possible hematuria.
3. Small liver may be a variation of normal. Hepatic cirrhosis cannot be excluded.</t>
  </si>
  <si>
    <t>Medical management is recommended. If clinical signs persist despite medical management, fasted recheck abdominal radiographs or an abdominal ultrasound would be recommended. Sonographic evaluation of the urinary bladder is recommended to screen for a structural abnormality (i.e. neoplasm). CBC, biochemistry, urinalysis are recommended if not already performed.</t>
  </si>
  <si>
    <t>Orthogonal radiographs of the thorax/abdomen are provided. The urinary bladder is mildly filled and contains numerous smoothly marginated round mineral opaque calculi measuring up to 1.6 cm. Large volume of formed feces fills the colon. The fecal column occupies the majority of the pelvic canal. Normal sized kidneys, spleen, liver. The stomach and small bowel are minimally filled. No osseous abnormalities. There is equivocal prominence of the left atrium. The lungs are clear. Pulmonary vessels are normal size. No pleural effusion.</t>
  </si>
  <si>
    <t>1. Cystic calculi, measuring up to a size that is too large to pass the urethra. The calculi may be harboring a nidus for recurrent cystitis._x000D_
2. Constipation._x000D_
3. Equivocal prominent left atrium suggestive of mitral valve regurgitation. This is of doubtful clinical significance today. Otherwise normal thorax.</t>
  </si>
  <si>
    <t>Consider diet modification in an effort to dissolve the calculi and prevent further formation. Surgical retrieval may be necessary.</t>
  </si>
  <si>
    <t>3 views of the torso are submitted for review._x000D_
In the thorax, the cardiac silhouette and pulmonary vasculature are within normal limits.  No pulmonary parenchymal abnormalities noted.  A somewhat rounded soft tissue bulge is noted in the caudal dorsal thorax, in the plane of the caudal intrathoracic esophagus.  No pleural effusion is noted.  No intrathoracic adenopathy is seen._x000D_
In the abdomen, the stomach contains a minimal amount of gas.  The small bowel and colon are within normal limits.  No organomegaly is seen.  Serosal detail is adequate._x000D_
No osseous abnormalities are noted.</t>
  </si>
  <si>
    <t>The soft tissue opacity in the caudal dorsal thorax is thought to be most consistent with a hiatal hernia.  The relationship of this to the clinical signs is unknown and this may be an incidental finding.  Otherwise, radiographically normal thorax and abdomen.</t>
  </si>
  <si>
    <t>Correlation with clinical signs for evidence of vomiting or regurgitation may be helpful.</t>
  </si>
  <si>
    <t>Five orthogonal radiographs of the abdomen dated 5th June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contains some granular food material and has a normal axis. The cranial duodenum is normal. The small intestines are variably filled with fluid and soft tissue opaque material as well as gas. No segmental dilation is noted. No radiopaque foreign body is present. The transverse and descending colon contain mainly fluid and gas. The urinary bladder is small. The serosal detail is normal._x000D_
_x000D_
Extra-abdominal findings: No significant abnormalities are detected._x000D_
_x000D_
Included thorax: No significant abnormalities are detected.</t>
  </si>
  <si>
    <t>The overall impression is one of enteritis/colitis.  This may be due to dietary indiscretion, or infectious-inflammatory causes. There is no evidence of a mineral opaque foreign body, or complete mechanical obstruction.  A partial obstruction by non-mineral opaque foreign material cannot be excluded.   Hemorrhagic gastroenteritis, or pancreatitis cannot be excluded.</t>
  </si>
  <si>
    <t>Three orthogonal radiographs of the abdomen dated 5th June 2024 are available for review. There are no previous radiographs available for comparison. _x000D_
_x000D_
Intra-abdominal findings: The hepatic silhouette is enlarged with rounded borders. The stomach contains some soft tissue opaque material and has a caudal displaced axis. The spleen is normal. The kidneys are partially obscured by gastrointestinal contents, but the visible aspect are normal. The small intestines are homogeneously filled with gas and fluid/soft tissue opaque material. The descending colon gradually contains more formed faeces. The urinary bladder is small. The serosal detail is normal._x000D_
_x000D_
Extra-abdominal findings: Some ventral spondylosis is present._x000D_
_x000D_
Included thorax: No significant abnormalities are detected.</t>
  </si>
  <si>
    <t>1.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origins._x000D_
2. The intestinal filling may be post-prandial. This needs to be correlated with last feeding. A mild enteritis due to dietary indiscretion, infectious- inflammatory origin is possible. Pancreatitis, IBD, food allergy is considered less likely.</t>
  </si>
  <si>
    <t xml:space="preserve">
1.There is a moderate amount of soft-tissue dense material present in the stomach._x000D_
2.The small intestines are predominantly fluid-filled._x000D_
3.No segmental small bowel dilation is identified._x000D_
4.Abdominal detail is satisfactory_x000D_
5.The liver is mildly enlarged with rounding to the caudoventral liver margin._x000D_
6.Splenic size, shape and margin are normal.</t>
  </si>
  <si>
    <t>Three radiographs of the thorax, and three views of the abdomen are provided. The cardiac silhouette and pulmonary vessels are normal size and shape. There are no abnormalities in the pulmonary parenchyma or pleural space. Normal cranial mediastinal width and tracheal diameter._x000D_
_x000D_
In the abdomen serosal detail is normal. The uterus is not identified. The urinary bladder is minimally filled. Small volume gas in the stomach and throughout the small bowel. Formed feces in the distal colon. Normal-sized liver, spleen, left kidney. The right kidney is obscured. The right patella is medially displaced.</t>
  </si>
  <si>
    <t>Normal thorax and abdomen. Medial patellar luxation on the right.</t>
  </si>
  <si>
    <t>Three radiographs of the thorax, three views of the abdomen, and a lateral view of each stifle are provided. Previous thorax/abdomen images dated 5/2/24 were reviewed. There is equivocal prominence of the left atrium as before. Cardiac to thoracic ratio and pulmonary vessel size is normal. No abnormalities in the pulmonary parenchyma. No pleural effusion. Normal tracheal diameter._x000D_
_x000D_
In the abdomen the urinary bladder is mildly filled and soft tissue opaque. No radiopaque cystic calculi. Normal-sized kidneys, spleen, liver. Large volume formed feces in the distal colon. The fecal column is upper normal size. The stomach and small bowel are minimally filled. No spinal abnormalities. The coxofemoral joints are congruent. Pelvic limb musculature is symmetric. The right patella is medially displaced. No definitive stifle joint effusion is appreciated. No popliteal lymphadenomegaly.</t>
  </si>
  <si>
    <t>1. Medial patellar luxation on the right. This and other soft tissue sprain/strain is the most likely cause for discomfort. A lateralized intervertebral disc lesion is also possible. Normal coxofemoral joints._x000D_
2. Possible mild constipation. No other abnormalities are identified to explain the anorexia._x000D_
3. Equivocal prominent left atrium suggestive of chronic mitral valve disease. This is of doubtful clinical significance today. Otherwise normal thorax.</t>
  </si>
  <si>
    <t>Supportive care with fluid supplementation and anti-inflammatories could be considered. If anorexia persists, routine blood work and abdominal ultrasound would be recommended.</t>
  </si>
  <si>
    <t>Eight orthogonal radiographs of the abdomen dated 5th June 2024 are available for review. There are no previous radiographs available for comparison. _x000D_
_x000D_
Intra-abdominal findings: The stomach contains some heterogenous soft tissue opaque material and has a normal axis. The duodenum is mildly gas and fluid dilated in the ventral dorsal image. The small intestines are diffusely, variably filled with fluid and gas. The caecum is mildly gas dilated. The transverse and descending colon is moderately gas dilated. The urinary bladder is small. The hepatic silhouette is mildly enlarged with mildly rounded borders. The spleen is normal in shape, size and position. The kidneys are partially obscured by gastrointestinal contents, but the visible aspect are normal._x000D_
_x000D_
Extra-abdominal findings: There is mild left coxofemoral cranial acetabular sclerosis._x000D_
_x000D_
Included thorax: No significant abnormalities are detected.</t>
  </si>
  <si>
    <t>1. The overall impression is one of enteritis/colitis.  This may be due to dietary indiscretion, or infectious-inflammatory causes. There is no evidence of a mineral opaque foreign body, or complete mechanical obstruction.  A partial obstruction by non-mineral opaque foreign material cannot be excluded.   Hemorrhagic gastroenteritis, or pancreatitis cannot be excluded._x000D_
2.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</si>
  <si>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An oblique lateral radiograph of the head, and three views of the thorax/abdomen are provided. Triangular 0.6 cm mineral density overlying the caudoventral mandible is superimposed hyoid bone. No mandibular or maxillary fracture is identified along the periphery. Fine detail evaluation in the remainder of the mandible/maxilla is limited by superimposed normal anatomy. No soft tissue swelling is appreciated. The temporomandibular joints are congruent. No cervical spinal abnormalities. The cardiac silhouette and pulmonary vessels are normal size and shape. There are no abnormalities in the pulmonary parenchyma or pleural space. No proximal thoracic limb abnormalities. In the abdomen there is no effusion. Small volume gas in the gastrointestinal tract. Normal-sized liver, spleen, left kidney. The right kidney is incompletely visible. The prostate is moderately enlarged consistent with the reproductive status of this patient. No radiopaque urolithiasis.</t>
  </si>
  <si>
    <t>Normal head, thorax, abdomen. A reason for discomfort is not identified. Small maxillary fractures are not definitively ruled out.</t>
  </si>
  <si>
    <t>Dedicated dental radiographs should be considered.</t>
  </si>
  <si>
    <t>7 images of the thorax and abdomen are provided for review. The cardiovascular structures are normal. There is a diffuse increase in peribronchial interstitial infiltrates. No pulmonary nodules or enlarged intrathoracic lymph nodes are seen. The pleural and mediastinal structures are normal. Abdominal serosal detail is adequate. The stomach contains a moderate amount of ingesta. The small intestines are normal in size. Gas and feces are present in the colon. Ovoid soft tissue is present ventral to L6-S1. The remaining abdominal organs are normal.</t>
  </si>
  <si>
    <t>Diffuse pulmonary infiltrates. Consider noncardiogenic edema, atypical pneumonia, hemorrhage, neoplasia,  ARDS/SIRS. Mild sublumbar lymphadenopathy=ZZ90= consider reactive or neoplastic.</t>
  </si>
  <si>
    <t>Airway sampling and abdominal ultrasound may be helpful.</t>
  </si>
  <si>
    <t xml:space="preserve">
1.The liver is moderately, generally enlarged with a convex ventral margin. On the VD projection, the liver margin extends caudally to the level of the spleen._x000D_
2.Resource: https://platform.v2.vetology.net/doc/liver_disease_x000D_
3.The spleen is caudally displaced by the hepatomegaly. The spleen is at the upper limits of normal for size._x000D_
4.The abdomen is pendulous._x000D_
5.There is adequate serosal margin detail._x000D_
6.The stomach contains a moderate amount of mottled soft tissue material mixed with gas. The gastric axis is caudally displaced by the hepatomegaly._x000D_
7.Small intestinal bowel loops are normal in size and distribution and have a mixed pattern with mottled content._x000D_
8.The colon contains feces and gas.</t>
  </si>
  <si>
    <t>Opposite lateral and ventrodorsal abdominal radiographs (3 images) dated June 5, 2024._x000D_
_x000D_
The liver and spleen are normal in size and shape. The left kidney is normal in size and shape. The right kidney is partially visible on the lateral views with no abnormalities appreciated. The urinary bladder is small and fluid opaque. The stomach is distended with a large amount of heterogeneous granular soft-tissue content, much of which is organized into ovoid structures that most closely resemble partially digested kibble. The material occupies all 3 major sections of the stomach on all views, although a small amount of gas occupies the pyloric antrum on the left lateral view. The descending duodenum is mildly distended with gas on the VD projection. The remaining small intestine has a mild and unremarkable variation in diameter most segments containing small amount of gas and fluid. The cecum contains gas. The colon contains unremarkable appearing stool and has a normal voice. A small round mineral opacity is present in the distal descending colon. Retroperitoneal and peritoneal detail are normal. No regional lymphadenopathy is evident._x000D_
No aggressive or clinically significant osseous pathology is identified.</t>
  </si>
  <si>
    <t>No evidence of a small intestinal mechanical obstruction. The gastric content most closely resembles normal kibble/food=ZZ90= clinically significant foreign material mixed in with the kibble/food is less likely but cannot be completely ruled out. The primary differential is gastritis/gastroenteritis.</t>
  </si>
  <si>
    <t>Supportive care with fluid rehydration, antiemetics, gastroprotectants/omeprazole, and bland diet.  General health profile (CBC, chemistry, UA, fecal) to screen for underlying causes.  Repeat fasted abdominal radiographs (12 hours NPO food and 4 hours NPO water) or ideally abdominal ultrasound if the patient fails medical management.</t>
  </si>
  <si>
    <t>Opposite lateral and ventrodorsal abdominal radiographs (3 images) dated June 5, 2024._x000D_
_x000D_
The liver and spleen are normal in size and shape. The left kidney is normal in size and shape. The right kidney is only partially with no abnormalities appreciated. The urinary bladder is small and fluid opaque. The stomach contains a moderate amount of gas and a similar amount of mobile soft-tissue/fluid content. The pyloric antrum is gas-filled on the left lateral view. The proximal duodenum is not clearly identified in the study. There is a moderate variation in small intestinal diameter with a few distended segments containing soft-tissue/fluid in the left central abdomen compared to the more empty segments or those containing a small amount of gas. The colon contains normal appearing stool and has a normal course. Retroperitoneal and peritoneal detail are normal. No regional lymphadenopathy is evident. The included caudal thorax and osseous structures are unremarkable.</t>
  </si>
  <si>
    <t>1. The moderate variation in small intestinal diameter is suspected to represent enteritis. A partial or complete mechanical obstruction cannot be completely ruled out, nor can a proximal duodenal obstruction be ruled out since it is not discernible in the study._x000D_
2. The mobile soft-tissue content in the stomach is suspected to represent fluid pooling from a functional gastric stasis +/- residual ingesta. Clinically significant foreign material mixed with normal ingesta and causing gastric irritation is less likely but cannot be ruled out.</t>
  </si>
  <si>
    <t>Options include abdominal ultrasound vs. upper GI barium study (5 ml/kg PO or via NG tube) vs. fluids, single antiemetic injection, and repeat abdominal radiographs after 12 hours NPO food and 4 hours NPO water._x000D_
CBC, Chem, UA, fecal, parvo testing.</t>
  </si>
  <si>
    <t>Eleven radiographs are provided, with images of the thorax, abdomen, pelvis, left stifle. There is incidental laryngeal mineralization. Tracheal diameter and position are normal. There is severe interstitial to alveolar pattern in the ventral lungs bilaterally. Caudal lungs are most significantly affected. No pleural effusion or esophageal dilation. Degenerative change in the elbows._x000D_
_x000D_
In the abdomen the liver is moderately enlarged. Normal-sized spleen and kidneys. The appearance of fat overlying the mid aspect of the kidneys on the lateral views is caused by pelvic fat deposition. No effusion. The gastrointestinal tract is moderately filled. Small round increased opacity ventral to L5-6 is end-on deep circumflex iliac vessels. There is a faintly mineral opaque ovoid 1.8 cm calculus in the urinary bladder. A 0.5 cm round mineral density overlying the plane of the urinary bladder trigone on the left lateral view. Both acetabula are shallow, the femoral heads are flattened, the femurs are craniodorsally displaced with respect to the acetabulum, and there is enthesophyte formation on the acetabular rims and femoral necks. Pelvic limb musculature is symmetric. Patella location is normal. There is moderate volume fluid in the cranial aspect of the left stifle joint.</t>
  </si>
  <si>
    <t>1. Bilateral ventral severe interstitial to alveolar pattern consistent with aspiration pneumonia._x000D_
2. Moderate hepatomegaly, consider hepatopathy or neoplasia._x000D_
3. Cystic calculus, of a size that is too large to pass the urethra. The smaller mineral density overlying the trigone on one of the lateral views may be additional cystic calculus versus superimposed granuloma/debris._x000D_
4. Bilateral hip dysplasia with luxation and osteoarthritis._x000D_
5. Moderate left stifle effusion most consistent with cranial cruciate ligament tear/rupture.</t>
  </si>
  <si>
    <t>A CBC, blood chemistry profile, antibiotics, and palpation for left stifle instability is recommended. Ultrasound evaluation of the abdomen should be considered.</t>
  </si>
  <si>
    <t xml:space="preserve">
1.The abdomen is mildly pendulous._x000D_
2.The stomach is displaced by the cranial abdominal mass or infrequently, the cranial abdominal mass could represent a severely distended stomach._x000D_
3.The intestinal tract is displaced by the cranial abdominal mass. The displaced bowel is diffusely gas- and fluid-filled but no segmental bowel dilation is noted._x000D_
4.Abdominal detail is decreased, particularly in the cranial abdomen. DDx: soft tissue mass only vs. mass and mesenteric inflammation and/or regional abdominal fluid._x000D_
5.A soft tissue mass is identified in the cranial abdomen. The liver is enlarged and mass-like, with caudal displacement of the gastric axis._x000D_
6.A soft tissue mass in the splenic region has been identified. This could represent confluence of a single cranial abdominal mass vs. two separate masses affecting the liver and spleen.</t>
  </si>
  <si>
    <t>A three view study of the thorax is provided for interpretation._x000D_
_x000D_
The cardiovascular structures are within normal limits. There is a mild bronchial pattern. No pulmonary nodules or pleural effusion are identified. No thoracic lymphadenopathy is seen. There is mild dynamic narrowing of the cervical trachea, and moderate redundant dorsal tracheal membrane. The cranial abdominal organs are within normal limits. No destructive or productive bone lesions are seen.</t>
  </si>
  <si>
    <t>The mild bronchial pattern is within the limits of what might be seen as a breed associated lung pattern. Bronchitis should still be ruled out if relevant clinical signs are present._x000D_
No evidence of neoplasia is identified.</t>
  </si>
  <si>
    <t>No specific recommendations.</t>
  </si>
  <si>
    <t xml:space="preserve">
1.The colon is gas filled and a portion of the colon has a rigid appearance._x000D_
2.Splenic size is at the upper limits of normal to mildly enlarged but no mass is noted in the region of the spleen._x000D_
3.Cranial abdominal detail is mildly decreased. DDx: confluence of soft tissue structures vs. less suspected, regional inflammation._x000D_
4.Liver size is at the upper limits of normal to mildly enlarged but no mass is noted in the region of the liver._x000D_
5.The stomach contains a small amount of gas and ingesta. The small bowel is diffusely gas- and fluid-filled without segmental small bowel dilation.</t>
  </si>
  <si>
    <t>Opposite lateral and ventrodorsal whole body radiographs (3 images) dated June 5, 2024._x000D_
_x000D_
_x000D_
There are multiple small pulmonary nodules distributed throughout the lungs, the largest located in the right caudal lung lobe and measuring 0.76 cm in diameter. No intrathoracic lymphadenopathy is present. The cardiac silhouette, pulmonary vasculature, and great vessels are within normal limits. The pleural space and diaphragm are normal. No mediastinal abnormalities are appreciated. The trachea is normal in diameter and course with gas filling its lumen. _x000D_
_x000D_
The liver is mildly enlarged, and there are small mineral opaque stones in the gallbladder. The spleen is mildly enlarged. The left kidney is normal in size and shape. The right kidney is only partially visible with no overt abnormalities appreciated. The urinary bladder is small and fluid opaque. The stomach contains a scant volume of gas. The small intestine is mostly empty/collapsed aside from some gas-filled segments. The cecum and colon diffusely contains gas. Retroperitoneal and peritoneal detail are adequate. The superficial inguinal lymph nodes appear mildly enlarged, measuring approximately 0.7 cm in short axis diameter. No sublumbar lymphadenopathy is detected._x000D_
_x000D_
Chronic disc space collapse affects T13 through L2. No aggressive osseous lesions are identified.</t>
  </si>
  <si>
    <t>1. Multiple pulmonary nodules are highly concerning for metastatic neoplasia. The primary site is unknown. Fungal granulomatous disease or abscessation is unlikely._x000D_
2. Mild splenomegaly. Differentials include infiltrative round cell neoplasia vs. benign causes (lymphoid hyperplasia, extramedullary hematopoiesis, sedation if applicable) vs. least likely infectious splenitis (usually tickborne, such as Ehrlichiosis)._x000D_
3. Mild hepatomegaly is a more nonspecific finding and often represents a benign metabolic/vacuolar hepatopathy. However, infiltrative round cell neoplasia cannot be ruled out._x000D_
4. Gallbladder cholelithiasis._x000D_
5. Gastroenteritis and colitis._x000D_
6. Chronic T13-L1 intervertebral disc disease._x000D_
7. Suspect superficial inguinal lymphadenopathy. This is concerning for multicentric/metastatic neoplasia vs. benign reactivity from regional inflammation or infection vs. infectious lymphadenitis.</t>
  </si>
  <si>
    <t>Rectal exam, cervical patient, and abdominal ultrasound to workup primary location and further examine the liver, spleen, and remaining abdominal viscera. Fungal titers.</t>
  </si>
  <si>
    <t xml:space="preserve">
1.The spleen is within normal limits._x000D_
2.Abdominal detail is questionably decreased, although this may be due to artifact._x000D_
3.The gastrointestinal tract is unremarkable containing only small volumes of gas and fluid with a moderate volume of fecal material within the colon._x000D_
4.Resource: https://platform.v2.vetology.net/doc/liver_disease_x000D_
5.There is mild hepatomegaly.</t>
  </si>
  <si>
    <t>A lateral neck view and orthogonal views of the thorax and abdomen are provided for interpretation. There are 8 images total._x000D_
_x000D_
No laryngeal/pharyngeal or tracheal abnormalities are identified._x000D_
Moderate to severe alveolar infiltrates are present involving the left cranial lung lobe, right middle lobe, and right caudal lobe. Distribution is more ventral. The other lung fields have a mild bronchointerstitial pattern. Cardiovascular structures are unremarkable._x000D_
There is mild liver enlargement. Detail in the abdomen and retroperitoneal space is slightly reduced._x000D_
There is moderate ventral subluxation and severe spondylosis involving L7-S1._x000D_
There is also severe spondylosis in the cranial lumbar spine, and possible disc mineralization at L1-L2.</t>
  </si>
  <si>
    <t>The pulmonary changes are consistent with multiregional pneumonia, primarily involving some lobes and sparing others. Aspiration is a possible cause._x000D_
_x000D_
The liver is mildly enlarged. Clinical relevance of this finding is variable. Correlation with labwork and clinical signs is recommended._x000D_
_x000D_
Detail is slightly reduced in the abdomen and retroperitoneal area. This is a subtle change, and possibly artifactual. Clinical significance is unknown. Inflammatory disease is suspected.
(amended on 06/05/2024 12:34)
There is moderate to severe lumbosacral degeneration.</t>
  </si>
  <si>
    <t>Antiobiotic therapy for pneumonia and supportive care is recommended._x000D_
_x000D_
Recheck radiographs of the thorax (three views) is recommended in 1-2 weeks depending on clinical response._x000D_
Recheck radiographs of the abdomen are also suggested at that time, or sooner if clinical condition worsens.</t>
  </si>
  <si>
    <t>Patient name:  Teak Shockley _x000D_
ABDOMEN (2 views; 2 images, [1 Lateral, 1 VD]) _x000D_
Images are dated June 5, 2024._x000D_
There are no previous radiographs for comparison. _x000D_
 _x000D_
Liver: The liver is normal in size and shape with smooth margins._x000D_
_x000D_
Spleen: The spleen is normal in size and shape with smooth margins. _x000D_
_x000D_
Kidneys and urinary bladder: Both kidneys are normal in size and shape with smooth margins. The urinary bladder is mildly fluid distended. No radiopaque urinary calculi are detected. _x000D_
_x000D_
GI: The stomach contains a moderate volume of gas and amorphous soft tissue contents. No gastric enlargement is seen. The small intestines are almost entirely empty with scant gas bubbles detected.  No intestinal dilation observed.  Gas is noted in the colon without causing enlargement. _x000D_
_x000D_
Abdominal detail: Serosal detail is adequate. _x000D_
_x000D_
MSK: Visible musculoskeletal structures are within normal limits. _x000D_
_x000D_
Caudal thorax: No abnormalities are detected in the visible cardiopulmonary structures of the thorax.</t>
  </si>
  <si>
    <t>The nature of residual gastric content is undetermined and cannot be distinguished as food or foreign material. No evidence of mechanical obstruction.  Gastroenteritis and pancreatitis are possible.</t>
  </si>
  <si>
    <t>Medical management is recommended. Consider fasted repeat abdominal radiographs or abdominal ultrasound if clinical signs persist of worsen.</t>
  </si>
  <si>
    <t>Opposite lateral and ventrodorsal abdominal radiographs (4 images) dated June 5, 2024._x000D_
_x000D_
The liver and spleen are normal in size and shape. Both kidneys are normal in size and shape. The urinary bladder is small and fluid opaque. The stomach is distended with a large amount of gas and mobile soft-tissue/fluid content. The pyloric antrum is gas-filled on the left lateral view. The small intestine is unremarkable in diameter and course with most segments empty/collapse in the minority containing a small amount of fluid and gas. The cecum and colon contains gas and some poorly formed stool. Retroperitoneal and peritoneal detail are normal. No regional lymphadenopathy is evident. No osseous abnormalities are identified.</t>
  </si>
  <si>
    <t>Non-obstructive gastroenteritis +/- colitis.  Focal gastric content to represent residual ingesta or fluid pooling from a functional gastric stasis vs. mixture of ingesta and foreign material causing gastric irritation. Rule out dietary indiscretion or toxin vs. food allergy/intolerance vs. GI infectious vs. systemic/extra GI causes (liver or kidney injury/disease, endocrine disorder, systemic infection).</t>
  </si>
  <si>
    <t>Supportive care with fluid rehydration, antiemetics, gastroprotectants/omeprazole, antidiarrheal with probiotic, and bland diet.  General health profile (CBC, chemistry, UA, 4Dx, fecal) to screen for underlying causes.  Repeat fasted abdominal radiographs or ideally abdominal ultrasound if the patient fails medical management.</t>
  </si>
  <si>
    <t xml:space="preserve">
1.Splenic size, shape and margin are normal._x000D_
2.Liver size, shape and margin are normal._x000D_
3.The stomach contains gas and a minimal amount of fluid/soft tissue material. The stomach is minimally distended._x000D_
4.The small bowel contains small volumes of gas and fluid. No segmental small bowel dilation is noted._x000D_
5.There is gas within the colon._x000D_
6.Abdominal detail is normal.</t>
  </si>
  <si>
    <t>A three view study of the abdomen is provided for interpretation._x000D_
_x000D_
The abdomen is distended, with overall increased opacity and poor serosal detail consistent with free abdominal fluid. No mass effect is seen. No organ enlargement is identified, although organ margins cannot be reliably evaluated due to the poor detail. The visible gastrointestinal structures are unremarkable. The heart is partially included, and appears to be within normal size and shape limits._x000D_
There is mild spondylosis involving L4-L5. No fractures or destructive/productive bone lesions are identified.</t>
  </si>
  <si>
    <t>The appearance of the abdomen is consistent with severe ascites. Considering the history of hypoproteinemia, transudative effusion secondary to the hypoproteinemia would be a primary differential._x000D_
Abdominal hemorrhage, chylothorax, peritonitis, or neoplasia should also still be ruled out. No specific anatomic explanation for the ascites is identified.</t>
  </si>
  <si>
    <t>Fluid analysis is recommended._x000D_
Follow up imaging of the abdomen with ultrasound or CT is recommended.</t>
  </si>
  <si>
    <t>A lateral radiograph of the thorax, and three views of the abdomen are provided. The cardiac silhouette and pulmonary vessels are normal size and shape. There is a mild bronchial pattern throughout the lungs. Small round soft tissue density overlying the caudodorsal heart is end-on pulmonary vessel. No pleural effusion. Normal tracheal diameter. Soft tissue thickening dorsal to the scapulae is likely recent subcutaneous fluid administration site._x000D_
_x000D_
In the abdomen the stomach contains small volume gas. Small intestines are diffusely mildly filled with fluid and gas. The colon is gas-filled. No radiopaque foreign material. Normal-sized liver, spleen, and kidneys. No radiopaque urolithiasis. The prostate is equivocally visible and not significantly enlarged.</t>
  </si>
  <si>
    <t>1. Mild bronchial pattern, more than expected for a young patient. This is suggestive of chronic airway inflammation. In the absence of a cough, significance is doubtful. Otherwise normal thorax._x000D_
2. Normal abdomen. There is no evidence of foreign material or an obstructive process.</t>
  </si>
  <si>
    <t>An upper GI series should be considered. Abdominal ultrasound is another option, as long as the patient has been strictly fasted and there is minimal gas in the stomach at the time of imaging.</t>
  </si>
  <si>
    <t>A lateral radiograph of the thorax, and three views of the abdomen are provided. The cardiac silhouette and pulmonary vessels are normal size and shape. The lungs are clear. Small round soft tissue densities overlying the caudal thorax on the edge of the VD abdominal view are either superimposed nipples or end-on pulmonary vessels. Scant gas in the cervical esophagus is incidental. Adequate tracheal diameter._x000D_
_x000D_
In the abdomen there is scant amorphous soft tissue density and small volume gas in the stomach. Small intestines are mildly filled with fluid, stippled soft tissue density, and scant gas. There is gas in the cecum, and moderate volume formed feces in the colon. Normal-sized liver, kidneys, spleen. No radiopaque urolithiasis. The prostate is not visible. No osseous abnormalities.</t>
  </si>
  <si>
    <t>Amorphous soft tissue density in the stomach may be residual ingesta. Foreign material causing gastritis and intermittent pyloric outflow obstruction is not ruled out. There is no significant small intestinal distention to suggest intestinal obstruction. The thorax is normal.</t>
  </si>
  <si>
    <t>Recommend strictly fasted abdominal ultrasound. If not available, and upper GI series is another option.</t>
  </si>
  <si>
    <t xml:space="preserve">
1.The stomach contains small volume gas and equivocal scant soft tissue density._x000D_
2.Small intestines are minimally distended. No evidence of obstruction._x000D_
3.No abnormal AI findings reported._x000D_
4.The liver and spleen are normal size and shape._x000D_
5.Abdominal detail is normal.</t>
  </si>
  <si>
    <t>Opposite lateral and ventrodorsal thoracic and abdominal radiographs (6 images) dated June 5, 2024._x000D_
_x000D_
_x000D_
A large lobular soft-tissue opacity is surrounding the perihilar region and dorsal to the carina, consistent with tracheobronchial lymphadenopathy. Additionally, there is abnormal soft tissue opacity in the cranial mediastinum just ventral to the trachea, consistent with cranial mediastinal lymphadenopathy. A small pulmonary nodule is suspected in the caudal segment of left cranial lung lobe and superimposed with the cardiac silhouette on the right lateral view, measuring 1.3 cm in diameter. A large mass is associated with the caudomedial thorax=ZZ90= it is unclear if this is a mass of pulmonary origin (such as the accessory lung lobe) vs. the mediastinum. The mass border effaces with the cupula of the diaphragm. The pleural space is unremarkable. The cardiovascular structures that are visible are unremarkable._x000D_
_x000D_
The liver is relatively small in size, resulting in a cranial shift in the gastric axis. The stomach contains a mild amount of gas and heterogeneous soft-tissue content. The small intestine has a mild and not in diameter with the more distended segments containing gas. The colon contains unremarkable appearing stool mixed and has a normal course. Both kidneys are best visualized on the VD projection and are normal in size and shape. The spleen is unremarkable. Peritoneal detail is adequate. No regional lymphadenopathy is evident. _x000D_
_x000D_
There is multifocal spondylosis deformans. Both hips are incongruent with mild periarticular bony remodeling and variable joint laxity with the left hip more subluxated. No aggressive osseous lesions are identified. The small spherical metal ballistic foreign body is present in the right craniodorsal abdomen.</t>
  </si>
  <si>
    <t>1. Tracheobronchial and cranial mediastinal lymphadenopathy represents either malignant neoplasia or fungal lymphadenopathy._x000D_
2. Large mid-caudal thoracic soft-tissue mass. I suspect this mass is of right accessory lung lobe origin, although I cannot completely rule out a mediastinal lesion. This is concerning for either malignant neoplasia or fungal granulomatous disease._x000D_
3. Possible nodule in the left cranial lung lobe. Differentials are the same as above._x000D_
4. Unremarkable abdomen._x000D_
5. Hip dysplasia with mild osteoarthritis and laxity/subluxation._x000D_
6. Multifocal spondylosis deformans.</t>
  </si>
  <si>
    <t>Fungal titers. Thoracic CT. Parasternal and thoracic inlet ultrasound may provide a window visibility of the pathology, although the location makes ultrasound-guided fine needle aspirates less likely to be possible.</t>
  </si>
  <si>
    <t>ABDOMEN (2 total radiographs for review). No previous for comparison._x000D_
_x000D_
- Peritoneal serosal detail is adequate_x000D_
- The stomach contains mild gas and gas-stippled soft-tissue opaque material_x000D_
- The small intestine contains mild multifocal gas and soft-tissue opaque material_x000D_
- The cecum is distended with gas, and the colon contains gas, soft-tissue/fluid and minimal formed fecal material._x000D_
- The liver, spleen, kidneys and urinary bladder are normal._x000D_
- The caudal thorax is normal_x000D_
- No musculoskeletal abnormalities are noted.</t>
  </si>
  <si>
    <t xml:space="preserve">
1.Abdominal detail is normal._x000D_
2.Liver size, shape and margin are normal._x000D_
3.The GI tract is normal._x000D_
4.Splenic size, shape and margin are normal.</t>
  </si>
  <si>
    <t>Patient Name: Jojo Cortez, Date of study: Jun 4, 2024
8 images are provided. As requested, the abdomen is interpreted (3 laterals, 2 VDs). The last lateral image is acquired following enema administration.
There are no previous radiographs for comparison.
Findings:
Gastrointestinal tract: The stomach is empty and normal in position. The small intestines are diffusely within normal limits of size and are gas and fluid-filled. The descending colon contains a small volume of formed feces. The colon is normal in size. There is additional soft tissue opacity within the colon following enema administration.
Liver: The liver is mildly enlarged with rounded caudal margins which extend beyond the costal arch.
Spleen: The spleen is normal in size and margination.
Urinary: The kidneys are normal in size and shape. The urinary bladder is mildly distended and normal in opacity.
Peritoneal space: There is adequate serosal detail. Metal sutures are noted caudal to the kidneys, dorsal to the urinary bladder, and superimposed with the ventral abdominal wall.
Musculoskeletal: There is mild spondylosis deformans of L7-S1.</t>
  </si>
  <si>
    <t>1. Mild hepatomegaly.  This is a nonspecific finding, differentials include metabolic disease, endocrine disease, inflammation, and less likely, infiltrative neoplasia.
2. The gastrointestinal tract is within normal limits. There is no evidence of obstipation or constipation. There is no evidence of a mechanical obstruction or mineral/metal opaque foreign material.
3. Mild spondylosis deformans, likely incidental.</t>
  </si>
  <si>
    <t xml:space="preserve">An abdominal ultrasound with fine-needle aspirates or biopsy of the liver are recommended. </t>
  </si>
  <si>
    <t>Study:_x000D_
Thoracic radiography: three images dated June 5, 2024_x000D_
_x000D_
Findings:_x000D_
The cardiac silhouette and pulmonary vasculature are normal in size. There is a mild generalized bronchial pulmonary pattern. The pleural space is normal. There is no intrathoracic lymphadenopathy. The trachea is normal in diameter and course. The included abdomen is unremarkable. No skeletal abnormalities are present._x000D_
_x000D_
Human digits are present in the primary beam on the VD view.</t>
  </si>
  <si>
    <t>1. The mild generalized bronchial pulmonary pattern may indicate allergic, inflammatory, infectious, parasitic or irritant bronchitis. Infectious respiratory disease PCR testing, airway sampling, heartworm testing and Baermann fecal flotation can be considered for further evaluation._x000D_
2. Normal diameter of the trachea does not exclude the possibly of dynamic airway disease/tracheal collapse.</t>
  </si>
  <si>
    <t xml:space="preserve">
1.Portions of the colon are gas filled and have a rigid appearance._x000D_
2.Splenic size, shape and margin are normal._x000D_
3.Abdominal detail caudal to the stomach is mildly decreased on the lateral projection._x000D_
4.The small intestine contains a mild volume of gas, fluid or is empty._x000D_
5.Overall, the small intestine is normal in diameter however portions of the small bowel have a rigid appearance._x000D_
6.The liver is mildly enlarged but with a smooth, well-defined margin.</t>
  </si>
  <si>
    <t>4 images of the thorax and abdomen are provided for review.  The cardiovascular structures are normal.  Alveolar opacity is present in the right cranial and cranial subsegment of left cranial lung lobes.  Scant gas is present within the esophagus.  The mediastinal and pleural structures are normal.  Abdominal serosal detail is adequate in all quadrants.  The stomach contains a small amount of ingesta.  The small intestines are normal in size.  Gas and feces are present in the colon.  The urinary bladder is small.  The remaining abdominal organs are normal.</t>
  </si>
  <si>
    <t>Radiographically normal abdomen on the view provided.  Alveolar pulmonary pattern concerning for aspiration type pneumonia.  Minimal esophageal gas is consistent with aerophagia.</t>
  </si>
  <si>
    <t xml:space="preserve">Patient Name : Carie Tyrrell, Date of study: Jun 5, 2024
3 images are provided for review
There are no previous radiographs for comparison.
Bones/Joints:
Minimal osteophytes are at the right lateral tibial condyle.   Minimal osteophytes are at the left lateral tibial condyle.  The infrapatellar fat pads are well-defined.Bilaterally, the femoral trochlear ridges are subjectively shallow.  The patellas are in a subjectively normal position.
The coxofemoral joints have no obvious osteoarthrosis.  There is adequate coverage of the femoral heads by the acetabulums.
There is no evidence of medullary sclerosis, osteolysis, endosteal scalloping, or periosteal proliferation.
Soft tissues:  The soft tissues of the right distal Achilles tendon, just proximal to the calcaneal tuberosity, are focally enlarged and thickened.  The remaining included soft tissues are normal.
</t>
  </si>
  <si>
    <t>1. Suspected trauma to the right distal Achilles tendon without obvious avulsion fracture.
2. Bilateral femoral trochlear hypoplasia without current patella luxation.
3. Minimal bilateral stifle joint osteoarthrosis.</t>
  </si>
  <si>
    <t xml:space="preserve">Empirical therapy and supportive care for suspected trauma to the right achilles tendon insertion.  Orthopedist consultation, especially if clinical signs fail to improve or worsen in the face of empirical therapy/supportive care.  Monitoring as directed, or sooner if signs fail to improve or worsen.  </t>
  </si>
  <si>
    <t>Four radiographs of the thorax, and three views of the abdomen are provided. There is equivocal prominence of the left atrium. Cardiac to thoracic ratio and pulmonary vessel size is normal. No abnormalities in the pulmonary parenchyma. Small volume fat deposition in the cranial mediastinum. Severe narrowed cervical trachea. No pleural effusion._x000D_
_x000D_
In the abdomen there is no effusion or organomegaly. The gastrointestinal tract is minimally filled. No radiopaque urolithiasis. Osseous structures are unremarkable.</t>
  </si>
  <si>
    <t>1. Equivocal prominent left atrium suggestive of acquired mitral valve disease. There is no pulmonary venous congestion or pulmonary edema. This is of doubtful clinical significance today. No other intrathoracic abnormalities._x000D_
2. Cervical tracheal collapse._x000D_
3. Normal abdomen.</t>
  </si>
  <si>
    <t>Recommend utilization of a body harness in place of a neck lead. No other specific recommendations based on this study.</t>
  </si>
  <si>
    <t>7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variable in diameter with several dilated segments containing mineral structures.  Gas and a small mineral structure are present in the colon.  The urinary bladder is small.  The remaining abdominal organs are normal.</t>
  </si>
  <si>
    <t>Segmental small intestinal dilation concerning for mechanical obstruction.  Multiple mineral opaque intestinal and colonic foreign bodies.  Radiographically normal thorax for patient of this age.</t>
  </si>
  <si>
    <t>Consider abdominal exploratory versus repeat radiographs following fasting and supportive therapy to monitor for progression of material through the intestinal tract.</t>
  </si>
  <si>
    <t xml:space="preserve">
1.No abnormal AI findings reported._x000D_
2.On the lateral projection, the liver is asymmetrically enlarged and causing caudal displacement of the gastric axis. There is also increased soft tissue opacity caudal to the stomach in the region of the spleen._x000D_
3.The caudal ventral aspect of the liver is rounded, with lobulated margins immediately ventral to the pylorus._x000D_
4.The spleen and left kidney are normal size._x000D_
5.The stomach and small bowel are minimally filled._x000D_
6.Gas is present in the cecum, with small-volume formed feces in the distal colon.</t>
  </si>
  <si>
    <t>Three radiographs of the thorax, and three views of the abdomen are provided. The cardiac silhouette is normal size and shape. The cardiac apex is shifted to the left on the VD projection due to thoracic conformation. There is soft tissue opacity with air bronchograms and lobar sign in the right middle lung lobe. Small area of alveolar pattern in the caudal segment of the left cranial lung lobe. No pleural effusion. Faint bronchial markings is normal for the age of this patient. Curvilinear increased opacities overlying the caudodorsal thorax on the left lateral view is caused by superimposed skin folds. Normal tracheal diameter. Scant gas in the esophagus is incidental._x000D_
_x000D_
In the abdomen the cranial right quadrant has a hazy appearance on the VD projection, otherwise serosal detail is adequate. The liver is prominent. Normal-sized spleen and kidneys. The stomach and small bowel are minimally filled. Formed feces fills the distal colon. No radiopaque urolithiasis. Narrowed L3-4 intervertebral disc space is of doubtful clinical significance today.</t>
  </si>
  <si>
    <t>1. Aspiration pneumonia._x000D_
2. Hazy cranial right quadrant, suggestive of gastritis/pancreatitis._x000D_
3. Mild hepatomegaly, a nonspecific finding that may be steroid or other hepatopathy, acute inflammation, or least likely neoplasia.</t>
  </si>
  <si>
    <t>Antibiotics are recommended for aspiration pneumonia. Abdominal ultrasound should be considered.</t>
  </si>
  <si>
    <t>Two lateral radiographs of the thorax, and two lateral views of the abdomen are provided. There is moderate cardiomegaly. Cranial pulmonary veins are enlarged. There is a severe interstitial to alveolar pattern in the perihilar region and radiating distally. Fat deposition separates the heart and lungs from the sternum. No definitive pleural effusion. Adequate tracheal diameter._x000D_
_x000D_
In the abdomen serosal detail is adequate. The liver is prominent with rounded margins. Normal-sized spleen and kidneys. Small volume gas in the stomach. Normal rugal folds are visible. Small and large bowel are minimally filled. There is gas in the cecum. No radiopaque foreign material or urolithiasis.</t>
  </si>
  <si>
    <t>1. Moderate cardiomegaly consistent with dilated cardiomyopathy. There is pulmonary venous congestion and pulmonary edema indicating left-sided heart failure._x000D_
2. Mild hepatomegaly, consider venous congestion primarily. Acute inflammation, hepatopathy, or neoplasia are next on the differential list. This should be correlated with history and blood work._x000D_
3. No gastrointestinal abnormalities are appreciated. There is no evidence of an obstructive process.</t>
  </si>
  <si>
    <t>Diuretic administration and an echocardiogram are recommended. When obtaining follow-up radiographs, recommend obtaining both laterals and a dorsoventral projection (with the patient in sternal recumbency) instead of a VD view. This will not only allow for improved patient comfort, but also maximum dorsal lung aeration to help rule in/out pulmonary edema.</t>
  </si>
  <si>
    <t>Findings:
The examination reveals minimal bronchiectasis. There is severe enlargement of the right atrium. An equivocal miliary pattern is observed in the pulmonary fields, which appears to be minimal.</t>
  </si>
  <si>
    <t>1. Severe right-sided cardiomegaly.
2. Minimal bronchiectasis and equivocal pulmonary nodules.</t>
  </si>
  <si>
    <t>Echocardiography, ECG and blood pressure for further evaluation.</t>
  </si>
  <si>
    <t>Six orthogonal survey radiographs of the thorax and abdomen dated 5th June 2024 are available for review. There are no previous radiographs available for comparison. _x000D_
_x000D_
Thorax: _x000D_
Airway findings: No nodules, masses, or lymphadenomegaly is visible. The trachea has a normal position, shape and size. The pulmonary parenchyma has a diffuse bronchial opacification._x000D_
_x000D_
Cardiovascular findings: The cardiac silhouette, and pulmonary vasculature is within normal limits._x000D_
_x000D_
Mediastinum and pleura: There is no evidence of pleural effusion, _x000D_
_x000D_
Abdomen: The hepatic silhouette is normal in size with smooth borders. The spleen is normal in shape, size and position. The kidneys are partially obscured by gastrointestinal contents, but the visible aspect are normal. The stomach contains a moderate amount of kibble with a normal axis. The small intestines are distributed evenly and are within normal limits for shape, size and contents. The ascending, transverse and descending colon have a normal position and contain gradually more formed faeces. The urinary bladder is small. The serosal detail is normal._x000D_
_x000D_
Musculoskeletal findings: No significant abnormalities are detected.</t>
  </si>
  <si>
    <t>1. Negative metastasis check. _x000D_
2. Diffuse mild bronchial pattern: Primary consideration should be given to normal ageing/fibrosis from previous disease. Allergic bronchitis, chronic bacterial /viral bronchitis +/- parasitic bronchitis should also be considered. Less likely are hyperardenocorticism, neoplasia (such a lymphoma) or idiopathic pulmonary fibrosis._x000D_
3. The murmur reported is most likely a physiologic murmur, or a compensated valvular disease such as myxoid degeneration of the mitral valve.</t>
  </si>
  <si>
    <t>Respiratory workup including CBC, serum chemistry, urinalysis, Baermann faecal testing, 4DX, +/- respiratory panel as indicated may be considered.  _x000D_
In absence of clinical signs indicative of cardiac disease, conservative management may be considered, alternatively with an acute onset murmur, and signs of exercise intolerance, echocardiography may be considered.   _x000D_
Complete bloodwork, thoracic CT and abdominal ultrasound may be considered for further staging.</t>
  </si>
  <si>
    <t>Patient Name : Titan Lapps, Date of study: May 28, 2024
2 images are provided for review
There are no previous radiographs for comparison.
Findings:
The examination revealed no evidence of ascites, colitis, gastritis, hepatomegaly, liver mass, microhepatia, pancreatitis or small intestinal obstruction. Similarly, there were no signs of a splenic mass or splenomegaly. 
Pneumonia was minimally present while bronchitis was not detected. Bronchiectasis was positively identified; however the presence of cardiomegaly was obscured.
There were no indications of diseased lung tissue or esophagitis. Focal caudodorsal lung and focal perihilar regions showed no abnormalities. The patient also tested negative for hypoplastic conditions and interstitial abnormalities.
No left-sided cardiomegaly was observed and there were no signs of pericardial effusion or heart failure. Pleural effusion and pulmonary hypoinflation were also absent in the findings.
There were no detectable pulmonary nodules nor any enlargement in the pulmonary vessels. The RTM test came back negative as did the right-sided cardiomegaly test.
Lastly, there was an absence of thoracic lymphadenopathy in this examination.</t>
  </si>
  <si>
    <t>1. No evidence of left-sided cardiomegaly, pulmonary hypertension or heart failure.
2. No signs of a splenic mass or splenomegaly.
3. No signs of ascites, colitis, gastritis, hepatomegaly, microhepatia, pancreatitis or small intestinal obstruction.
4. No evidence of pneumonia, bronchitis or pulmonary hypoinflation.
5. No signs of pleural effusion or pericardial effusion.
6. No signs of esophageal disease.
7. No signs of hypoplastic conditions or interstitial abnormalities.</t>
  </si>
  <si>
    <t>Consider echocardiography, ECG and blood pressure for further evaluation.  Monitoring as directed or sooner if clinical signs acutely change, fail to improve or worsen.</t>
  </si>
  <si>
    <t>Orthogonal survey radiographs of the abdomen, followed by an upper GI series spanning two hours is provided. These images were obtained on June 4, 2024. Additional orthogonal radiographs of the abdomen dated June 5, 2020 for are also available. On the survey images obtained on June 4, there is small volume gas in the stomach and normal rugal folds are visible. Small intestines are minimally filled. There is gas in the cecum and moderate volume semi-formed feces in the distal colon. No radiopaque foreign material or effusion. Normal-sized liver, spleen, kidneys. The caudal thorax is unremarkable. On the upper GI series, there is small to moderate volume of barium in the stomach on the initial images. Barium extends throughout the majority of the small intestines at one hour. At two hours, barium continues to be present throughout the small intestines and has reached the proximal colon. All of the intestines are minimally distended and no filling defects are present. There is gradual reduction in the barium in the stomach on the one and two hour images. On the follow-up images dated June 5, 2024, scant barium is seen in the rectum. No barium remains in the stomach or small bowel. The stomach contains a large amount of granular soft tissue density stippled with gas. Serosal detail remains adequate.</t>
  </si>
  <si>
    <t>This study demonstrates a normal upper GI series, with no evidence of foreign material or an obstructive process.</t>
  </si>
  <si>
    <t>If vomiting persists, gastroscopy should be considered.</t>
  </si>
  <si>
    <t xml:space="preserve">
1.In the abdomen the stomach contains small volume gas, soft tissue and mildly prominent rugae._x000D_
2.No abnormal AI findings reported._x000D_
3.The liver and spleen are normal size._x000D_
4.The cranial right quadrant has a hazy appearance on the VD projection otherwise serosal detail is adequate._x000D_
5.View pancreatitis resource: https://platform.v2.vetology.net/doc/pancreatitis_x000D_
6.Small intestines are minimally filled._x000D_
7.The colon contains gas and scant semiformed feces.</t>
  </si>
  <si>
    <t>Study:_x000D_
Thoracic and abdominal radiography: six images dated June 6, 2024_x000D_
_x000D_
Findings:_x000D_
The cardiac silhouette and pulmonary vasculature are normal in size. There is a mild generalized bronchial pulmonary pattern. On the VD view, there is an indistinct rounded soft tissue opacity in the left seventh intercostal space. This finding is not visualized on the right lateral projection.. The pleural space is normal. There is no intrathoracic lymphadenopathy. The trachea is normal in diameter and course. The larynx is unremarkable. There is no esophageal dilation. There is an approximately 8.5 cm diameter round soft tissue opaque mass in the midabdomen. The stomach contains a small amount of unstructured heterogeneous soft tissue material presumed to be ingesta. The small intestines are normal in size and content. The colon contains formed fecal material. The liver is normal in size and margin. The renal silhouettes are normal in size and contour. The urinary bladder is normal in size and opacity. There is no prostatomegaly. Mild periarticular bone formation is present at the caudodistal aspect of the humeral head bilaterally.</t>
  </si>
  <si>
    <t>1. Mid abdominal mass. A splenic mass is prioritized. Rule out neoplasia, hyperplasia or hematoma. Abdominal sonography plus/minus splenectomy can be considered._x000D_
2. The mild generalized bronchial pulmonary pattern may indicate allergic, inflammatory, infectious, parasitic or irritant bronchitis. Airway sampling, heartworm testing and Baermann fecal flotation can be considered for further evaluation._x000D_
3. The indistinct round opacity in the left seventh intercostal space on the VD view may represent atelectasis or may be a superimposition artifact given the lack of repeatability on the right lateral projection. Pneumonia or an evolving pulmonary nodule (neoplasia or granuloma) is considered less likely._x000D_
4. Mild bilateral shoulder osteoarthrosis.</t>
  </si>
  <si>
    <t xml:space="preserve">
1.On the lateral projection, the liver is at the upper limits of normal for size to mildly enlarged, but has smooth margins._x000D_
2.No segmental small intestinal dilation is noted._x000D_
3.The colon contains a moderate amount of heterogeneous soft tissue material._x000D_
4.On the VD projection, the spleen appears normal. On the lateral projection, the increase in soft tissue opacity and mild bowel displacement away from the region caudal to the stomach raises concern for a small mass effect, potentially due to splenic or pancreatic pathology._x000D_
5.A mild increase in soft tissue opacity and mild displacement of the bowel away from this region is noted caudal to the stomach on the lateral projection._x000D_
6.The stomach contains a mild amount of gas.</t>
  </si>
  <si>
    <t>Four orthogonal radiographs of the abdomen dated 4th June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is empty, with a normal axis. A small amount of granular material is present in the region of the fundus. The rugal folds are subjectively prominent. There is appropriate gas in the pyloric region on the left lateral image. The small intestines are diffusely mildly distended with an increased amount of gas and fluid. The descending colon contains formed faeces. The urinary bladder is normal. The serosal detail is normal._x000D_
_x000D_
Extra-abdominal findings: No significant abnormalities are detected. The patient is overweight._x000D_
_x000D_
Included thorax: No significant abnormalities are detected.</t>
  </si>
  <si>
    <t>The overall impression is one of gastroenteritis.  This may be due to dietary indiscretion, or infectious-inflammatory causes. There is no evidence of a mineral opaque foreign body, or complete mechanical obstruction.  A partial obstruction by non-mineral opaque foreign material cannot be excluded.   Pancreatitis cannot be excluded.</t>
  </si>
  <si>
    <t xml:space="preserve">
1.Mild microhepatia is present on the VD projection but liver size is normal on the lateral projection making this more likely an image artifact than true microhepatia._x000D_
2.The spleen is prominent but retains a smooth margin._x000D_
3.Serosal detail is normal._x000D_
4.The stomach and small bowel are unremarkable.</t>
  </si>
  <si>
    <t>Spleen at the upper limits of normal to mildly enlarged. This is likely to be a benign anatomic variant, but could also be secondary to inflammatory disease in the abdomen. Microhepatia on the VD projection that is not corroborated on the lateral projection. Image artifact is suspected over true microhepatia.</t>
  </si>
  <si>
    <t xml:space="preserve">
Virtual Radiologist Case Difficulty: MODERATE_x000D_
Virtual Radiologist Confidence: MODERATE_x000D_
CBC and serum chemistry profile +/- liver function tests._x000D_
Abdominal ultrasound to assess the liver if there is clinical and/or biochemical concern for a hepatopathy.</t>
  </si>
  <si>
    <t>Patient Name: Jazmin Sandra  Crespo Navarro, Date of study: Jun 4, 2024
6 images are provided for review (4 lateral, 2 VD).
There are no previous radiographs for comparison.
Findings:
Cardiac silhouette: There is mild enlargement and rounding of the left atrium.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There is an ovoid cluster of mineral opaque feces at the level of the ascending colon/cecum. Punctate/small mineral foci are scattered throughout several small intestinal loops in the caudal abdomen. The small intestines are diffusely within normal limits of diameter and are primarily soft tissue opaque. The stomach contains a small volume of gas and fluid. There are several punctate mineral foci in the fundus of the stomach.
Liver: The liver is within normal limits of size and shape.
Spleen: The spleen is normal in size and margination.
Urinary: The kidneys are normal in size, shape, and margination. The urinary bladder is small in size and normal in opacity. Mineral opaque calculi are not identified.
Peritoneal space: There is adequate serosal detail.
Musculoskeletal: The included musculoskeletal and superficial soft tissue structures of the study are normal.</t>
  </si>
  <si>
    <t xml:space="preserve">1. Mild left atrial enlargement. The primary differential diagnosis is myxomatous mitral valvular disease and insufficiency. There is no evidence of heart failure.
2. The lower airways and lungs are normal. Chronic bronchitis and dynamic tracheal disease cannot be excluded as causes of cough. 
-Differentials for chronic bronchitis including allergic, infectious/inflammatory, and irritant etiologies.
3. Scattered small intestinal, colonic, and cecal mineral foci are most likely due to dietary indiscretion and passage of ingested bone fragments/gravel/mineralized feces. There is no evidence of a mechanical obstruction. </t>
  </si>
  <si>
    <t>Medical management supportive care is recommended for the mineral opaque ingesta/feces. If vomiting persists or worsens despite treatment, recheck fasted abdominal radiographs or an abdominal ultrasound would be recommended.
Airway sampling could be considered to guide treatment for chronic bronchitis if clinically suspected (respiratory PCR, lavage, wash).
Lateral cervical thoracic radiographs acquired at peak inspiration and peak expiration could be considered to further evaluate the trachea (versus tracheal fluoroscopy or bronchoscopy).
An echocardiogram, EKG, and blood pressure are recommended to further evaluate the heart.</t>
  </si>
  <si>
    <t xml:space="preserve">
1.On the VD projection, the spleen is at the upper limits of normal or superimposed with the left kidney. This finding does NOT repeat on the lateral projection._x000D_
2.Serosal detail is suboptimal but could be typical of a young patient._x000D_
3.On the VD projection, the liver is at the upper limits of normal to minimally enlarged, This finding does NOT persist on the lateral projection._x000D_
4.There is either prominent gastric rugae or amorphous soft tissue dense ingesta in the stomach compatible with normal food._x000D_
5.There is mild dilation of the small bowel, particularly on the lateral projection. This finding is less pronounced on the VD projection. No segmental small bowel dilation is noted._x000D_
6.There is either prominent gastric rugae or amorphous soft tissue dense ingesta in the stomach compatible with normal food._x000D_
7.No large bowel abnormalities are noted.</t>
  </si>
  <si>
    <t>Opposite lateral and ventrodorsal whole body radiographs (4 images) dated June 4, 2024._x000D_
_x000D_
_x000D_
The cardiac silhouette has a soft tissue bulge in the region atrium on the lateral views, and a double opacity in the region of left atrium projection. The pulmonary vasculature and great vessels are within normal limits. The lungs have mild generalized bronchointerstitial pulmonary changes. No pulmonary nodules or masses are identified. The trachea is normal in diameter and course with gas filling its lumen. The pleural space, mediastinum, and diaphragm are normal._x000D_
_x000D_
The liver is moderately enlarged with multiple rounded lobe margins. The splenic head has a rounded appearance on the VD views. The stomach contains a small volume of gas and fluid. The small intestine is uniformly normal in diameter and course with most segments small volume of gas. The colon contains unremarkable appearing stool and has a normal course. Both kidneys are normal in size and shape. The urinary bladder is fairly distended with homogeneous fluid opacity. Retroperitoneal and peritoneal detail are normal. No regional lymphadenopathy is evident._x000D_
_x000D_
Chronic disc space collapse affects T11-T12. No aggressive osseous lesions are identified. A small round free osseous body is suspected in the cranial aspect of the left stifle.</t>
  </si>
  <si>
    <t>1. Left atrial enlargement (mild-moderate) is consistent with myxomatous mitral valve disease. There is no evidence of heart failure._x000D_
2. The mild bronchointerstitial pulmonary changes represent chronic bronchitis ( allergic/inflammatory vs. infectious [bacterial or parasitic] vs. chronic inhaled irritants.) vs. incidental age-associated changes of no clinical consequence. Other causes for the coughing also cannot be ruled out and include dynamic tracheal collapse not captured in this study vs. upper airway disease._x000D_
3. Moderate hepatomegaly. Rule out a benign metabolic/vacuolar hepatopathy vs. less likely inflammatory or infiltrative neoplastic conditions._x000D_
4. Possible splenic mass associated with the head of the spleen on the VD view vs. incidental splenic folding. _x000D_
5. Chronic T11-T12 IVDD.</t>
  </si>
  <si>
    <t>Sedated upper airway exam, pharyngeal PCR swab infectious panel, +/- fluoroscopic airway study or tracheoscopy. If normal:_x000D_
Airway sampling may be needed for definitive diagnosis (bronchoalveolar lavage or transtracheal wash).  Heartworm testing and fecal parasite screening (float and Baermann) +/- empirical deworming.  Empirical antibiotic or anti-inflammatory steroidal therapy (fluticasone inhaler=ZZ90= systemic steroids are contraindicated in cardiac patients) is reasonable to consider.  Internal medicine consultation if the patient remains clinical despite treatment and the cause remains unknown._x000D_
Consider scheduling an echocardiogram and initiating pimobendan therapy._x000D_
Hepatic lab work and ultrasound to further assess the hepatomegaly and examine the spleen further.</t>
  </si>
  <si>
    <t>Study:_x000D_
Thoracic/abdominal radiography: three images dated June 4, 2024_x000D_
_x000D_
Findings:_x000D_
The cardiac silhouette and pulmonary vasculature are normal in size. The pulmonary parenchyma is unremarkable. The pleural space is normal. There is no intrathoracic lymphadenopathy. The esophagus is superimposed with the dorsal aspect of the cervical trachea lumen on the right lateral projection. The trachea is normal in diameter and course. There is a small volume of gas in the esophagus. The stomach contains multiple small mineral opacities. The small intestines are normal in size, course and content. The colon contains gas and a small amount of formed fecal material. The liver and spleen are normal in size and margin. The kidneys are normal in size and contour. The urinary bladder is normal in size and opacity. There is no prostatomegaly. There is mild to moderate bilateral elbow periarticular bone formation, worse on the right. There is moderate T5-T6, mild T6-T7 and moderate L4-L5 spondylosis deformans. There is mild bilateral stifle periarticular bone formation. The patient is of overweight body condition.</t>
  </si>
  <si>
    <t>1. Unremarkable thorax. There is no radiographic evidence of cardiopulmonary disease. A cause of coughing is not evident. Lack of a definitive bronchial pulmonary pattern does not exclude the possibility of allergic/inflammatory, infectious, irritant or parasitic bronchitis. Normal diameter of the trachea does not exclude the possibility of dynamic airway disease. Fluoroscopy can be considered to further evaluate for possible dynamic airway disease given the reported tracheal sensitivity on physical exam._x000D_
2. The mineral material in the stomach may indicate dietary indiscretion or may be an incidental finding depending on the contents of the patient=ZZ91=s normal diet and treats. There is no evidence of small intestinal mechanical obstruction. Repeat fasted radiography can be considered to ensure gastric emptying. Alternatively, sonography can be considered if clinical signs persist or worsen in spite of medical management._x000D_
3. Mild to moderate bilateral elbow osteoarthrosis, worse on the right._x000D_
4. Mild bilateral stifle osteoarthrosis.</t>
  </si>
  <si>
    <t>Patient Name: Little saldivar, Date of study: Jun 4, 2024
6 images are provided for review
There are no previous radiographs for comparison.
Findings:
Cardiac silhouette: There is mild rounding and enlargement of the right side of the cardiac silhouette. There is no evidence of left atrial enlargement.
Pulmonary vessels: The pulmonary arteries and veins are within normal limits.
Pulmonary parenchyma: There is a caudodorsal distributed interstitial to alveolar pattern.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There is a small volume of heterogeneous ingesta in the fundus of the stomach. There is also a small volume of gas. The small intestines are diffusely within normal limits of diameter and distribution and are primarily gas and fluid-filled. The colon is unremarkable.
Liver: The liver is moderately enlarged with a ovoid/rounded nodule extending from the caudal ventral margin on the right lateral views.
Spleen: The spleen is within normal limits of size and margination.
Urinary: The kidneys are normal in size, shape, and margination. The urinary bladder is mildly distended and normal in opacity.
Peritoneal space: There is adequate serosal detail.
Musculoskeletal: There is mild spondylosis of the mid mid thoracic spine, caudal thoracic spine, and mid lumbar spine. The patient's body habitus is excessive.</t>
  </si>
  <si>
    <t>1. Caudodorsally distributed pulmonary disease, noncardiogenic pulmonary edema is the primary differential. This is likely secondary to the reported seizure activity. 
-There is no evidence of aspiration. 
2. Mild right-sided cardiomegaly. Differentials include tricuspid valve insufficiency, heartworm disease, and pulmonary hypertension.
3. Moderate hepatomegaly with rounded nodule. Differentials include nodular hyperplasia, lymphoid hyperplasia, EMH, metabolic disease, and endocrine disease. Infiltrative neoplasia cannot be excluded.</t>
  </si>
  <si>
    <t>-Medical management and supportive care for noncardiogenic pulmonary edema is recommended. Oxygen therapy would likely be beneficial. Recheck three-view thoracic radiographs would be recommended to monitor for resolution or progression.
-Further investigation for the reported seizures is warranted. Consultation with a neurologist may be of benefit.
-An abdominal ultrasound with fine-needle aspirate/biopsy of the liver recommended.
-An echocardiogram could be considered if a murmur can be auscultated or proBNP is elevated. Heartworm testing should be considered.</t>
  </si>
  <si>
    <t xml:space="preserve">
1.Resource: https://platform.v2.vetology.net/doc/liver_disease_x000D_
2.The spleen is mildly enlarged but no splenic mass is noted and abdominal detail is normal._x000D_
3.Abdominal detail is normal._x000D_
4.The gastrointestinal tract is minimally filled. No segmental small bowel dilation is noted._x000D_
5.In the abdomen, the liver is moderately enlarged but retains smooth margins. No liver mass is identified.</t>
  </si>
  <si>
    <t>4 images of the abdomen are provided for review.  Serosal detail is adequate in all quadrants.  The liver margins are rounded and extend beyond the costal arch, causing caudal displacement of the gastric axis.  The stomach contains a moderate amount of ingesta.  The small intestines are normal in size.  Gas and feces are present in the colon.  The urinary bladder is currently distended.  The remaining abdominal organs are normal.  Coverage of the femoral heads by the acetabular rims is reduced bilaterally.  Marked osteophyte formation is seen in the femoral necks and acetabular rims.  Fat is seen in the subcutaneous tissues along the dorsum and adjacent to the tail base.</t>
  </si>
  <si>
    <t>Hepatomegaly=ZZ90= this is a nonspecific finding that may be seen with congestion, vacuolar hepatopathy, inflammation, neoplasia, etc.  Abdominal ultrasound may be helpful in further evaluation if biochemically indicated.  Severe bilateral coxofemoral DJD with subluxation.  Consider supportive therapy versus surgical consultation.  Obesity.</t>
  </si>
  <si>
    <t>WHOLE-BODY (2 total radiographs for review). No previous for comparison._x000D_
_x000D_
- The cardiac silhouette (VHS: 10.3) is within normal limits for size, shape and margins. The pulmonary vasculature normal._x000D_
- The pulmonary parenchyma is normal_x000D_
- The trachea, esophagus and remainder of the mediastinum is/are normal._x000D_
- The pleural space and remaining intrathoracic structures are normal._x000D_
- Peritoneal serosal detail is adequate_x000D_
- The stomach contains mild gas and gas-stippled soft-tissue opaque material_x000D_
- The small intestine contains mild multifocal gas and soft-tissue opaque material_x000D_
- The colon contains gas, soft-tissue/fluid and minimal formed fecal material._x000D_
- The liver, spleen, kidneys and urinary bladder are normal._x000D_
- No musculoskeletal abnormalities are noted.</t>
  </si>
  <si>
    <t>1. A discrete cause for the reported decreased appetite, soft stool and vomiting is not clearly identified. The material in the stomach may be normal food and/or foreign material. The small intestine and colon could be compatible with a functional ileus (e.g. enterocolitis). No evidence of small intestinal mechanical obstruction. If indicated, consider abdominal ultrasonography for further assessment._x000D_
_x000D_
2. Radiographically unremarkable cardiac silhouette (VHS: 10.3) does not necessarily excluded cardiac disease in this patient and given the reported murmur, you may consider echocardiography/ECG regardless.</t>
  </si>
  <si>
    <t xml:space="preserve">
1.A minimal quantity of soft tissue dense ingesta is visible in the stomach and there is mild prominence to the gastric rugae._x000D_
2.The small bowel is diffusely gas- and fluid-filled but without segmental bowel dilation._x000D_
3.No intestinal plication is seen._x000D_
4.The liver is normal._x000D_
5.On the VD projection, an increase in soft tissue opacity is noted in the left lateral abdomen. This is attributed to superimposition of the spleen and left kidney. The spleen appears normal on the lateral projection making splenomegaly a secondary consideration._x000D_
6.Serosal detail in the cranial abdomen is mildly decreased on the lateral projection.</t>
  </si>
  <si>
    <t>Three radiographs of the thorax are provided. There is moderate generalized cardiomegaly. Subsequent dorsal deviation of the caudal thoracic trachea and mainstem bronchi. The left mainstem bronchus is compressed. The cranial pulmonary vein is prominent on the right lateral view. The right caudal pulmonary artery is enlarged. The proximal aspect of the perihilar pulmonary vessels is obscured due to a moderate interstitial pattern. No other pulmonary parenchymal abnormalities. No pleural effusion. Tracheal diameter is adequate. The cranial abdomen is unremarkable.</t>
  </si>
  <si>
    <t>Moderate generalized cardiomegaly consistent with acquired mitral and tricuspid valve disease. There is pulmonary venous congestion and pulmonary edema indicating left-sided heart failure. Enlarged right caudal pulmonary artery is concerning for pulmonary hypertension. Heartworm disease is next on the differential list. Mainstem bronchial compression may be contributing to the cough.</t>
  </si>
  <si>
    <t>Recommend testing for heartworms, diuretic administration, and an echocardiogram.</t>
  </si>
  <si>
    <t>Six radiographs of the thorax/abdomen, and a VD view of the pelvis are provided. The cardiac silhouette and pulmonary vessels are normal size and shape. There are no abnormalities in the pulmonary parenchyma or pleural space. Normal tracheal diameter. No cervical spinal abnormalities are appreciated. Narrowed T10-11 intervertebral disc space is a normal anatomic variant. The T11-12 intervertebral disc space, and L3-4 intervertebral foramen are reduced in size. Vertebral alignment is normal. In the abdomen there is no effusion or organomegaly. No radiopaque urolithiasis. The gastrointestinal tract is mildly filled. Thin mineral density dorsal to the ilial wings is normal a apophysis. The coxofemoral joints are congruent. Patellar location is normal.</t>
  </si>
  <si>
    <t>1. The appearance of T11-12 and L3-4 are both suggestive of intervertebral disc protrusion/extrusion. Such a lesion at these or another site is the most likely cause for the clinical signs._x000D_
2. Normal thorax, abdomen, pelvis.</t>
  </si>
  <si>
    <t>If the patient does not improve with anti-inflammatories and the patient continues to have no pain with spinal palpation or neurologic deficits, routine blood work and abdominal ultrasound would be recommended.</t>
  </si>
  <si>
    <t>3 views of the spine are provided for review.  No fractures, luxations, or aggressive osseous lesions are seen.  There is consistent narrowing of the intervertebral disc spaces and spondylosis deformans at L1-5.  The soft tissue structures included are normal.</t>
  </si>
  <si>
    <t>Lumbar changes consistent with chronic intervertebral disc herniations.  This does not rule out intervertebral disc herniation at another site or other causes of spinal cord compression.</t>
  </si>
  <si>
    <t xml:space="preserve">
1.The spleen is mildly enlarged overall with smooth, well-defined margins and homogeneous soft tissue._x000D_
2.No abnormal AI findings reported._x000D_
3.The liver and peritoneal serosal detail are normal._x000D_
4.The stomach is normal. Small intestinal bowel loops are normal in size and distribution and have a mixed pattern. No signs of obstruction.</t>
  </si>
  <si>
    <t>Mild splenomegaly. This may be normal variant, or due to extramedullary hematopoiesis, lymphoid hyperplasia, splenitis, or unlikely neoplasia. The appearance of the GI tract is likely related to normal ingesta in the absence of GI symptoms. However, if GI symptoms are present, gastroenteritis/colitis secondary to dietary indiscretion or infectious etiology could be considered. No evidence of obstruction.</t>
  </si>
  <si>
    <t xml:space="preserve">
Virtual Radiologist Case Difficulty: MODERATE_x000D_
Virtual Radiologist Confidence: MODERATE_x000D_
Based on clinical signs and blood work, consider abdominal ultrasonography and screening for causes of mild splenomegaly, such as tick-borne illness._x000D_
If GI signs are present, supportive and symptomatic therapy for gastroenteritis/colitis can be considered. Repeat radiographs to assess for passage of gastric contents or obstruction, and abdominal ultrasound could be performed for further evaluation.</t>
  </si>
  <si>
    <t>Four orthogonal survey radiographs of the thorax and abdomen dated 4th June 2024 are available for review. There are no previous radiographs available for comparison. These images are submitted for assessment of the vertebral column._x000D_
_x000D_
Vertebral column: The thoracic vertebral column is normal. There is mild narrowing at T12-13 with smooth vertebral endplates. Minimal spondylosis is present. There is mild narrowing of the L1-L2 intervertebral disc, with smooth vertebral endplates. Some narrowing is suspected from L2-L5, however this is most likely due to obliquity.</t>
  </si>
  <si>
    <t>T12-13 and L1-L2 intervertebral disc disease. This may cause some back pain. Herniation of mineralised disc material is not seen. Intervertebral disk protrusion or other spinal cord pathology including embolic (FCE), high velocity disk, inflammatory or neoplastic disease or degenerative myelopathy is not excluded by a normal appearance.</t>
  </si>
  <si>
    <t xml:space="preserve">
1.The stomach contains small volume gas and equivocal scant soft tissue density._x000D_
2.Small intestines are minimally distended. No evidence of obstruction._x000D_
3.The liver and spleen are normal size and shape._x000D_
4.Abdominal detail is normal._x000D_
5.No abnormal AI findings reported.</t>
  </si>
  <si>
    <t>Study:_x000D_
Spinal radiography: seven images dated June 4, 2024_x000D_
_x000D_
Findings:_x000D_
The dens is intact and well defined. The atlantoaxial joint space is normal. There is no intervertebral disc space or foraminal narrowing in the cervical, thoracic or lumbar spine there is no evidence of discospondylitis or aggressive osseous disease. There are no vertebral fractures or luxations. Mild periarticular new bone formation is present at the caudodistal aspect the humeral head bilaterally. The included appendicular skeletal structures are otherwise unremarkable. The included thorax and abdomen are normal.</t>
  </si>
  <si>
    <t>1. The spine is unremarkable. A cause of the reported cervical pain is not evident. The lack of any apparent intervertebral disc space narrowing does not exclude the possibility of intervertebral disc disease. Neurology consultation and MRI can be considered for further evaluation if the patient=ZZ91=s clinical signs persist or worsen in spite of continued pain management and activity restriction._x000D_
2. Mild bilateral shoulder osteoarthrosis.</t>
  </si>
  <si>
    <t xml:space="preserve">
1.Liver size, shape and margin are normal._x000D_
2.Abdominal detail is normal._x000D_
3.Splenic size, shape and margin are normal._x000D_
4.The stomach contains gas and ingesta or prominent rugae, suggestive of gastritis. The small bowel is diffusely fluid filled but without segmental small bowel dilation.</t>
  </si>
  <si>
    <t>Study:_x000D_
Abdominal radiography: six images dated January 4, 2024_x000D_
_x000D_
Findings:_x000D_
The serosal detail is normal. The stomach contains gas with the pylorus appropriately gas-filled on the left lateral image. There is a small amount of ill-defined unstructured soft tissue material in some small intestinal segments in the caudal abdomen. The colon contains formed fecal material. The liver is normal in size and margin. The spleen is prominent be considered within normal limits for patient signalment. The kidneys are normal in size and contour. The urinary bladder is normal in size and opacity. There is no prostatomegaly. There is severe gas dilation of the included portion of the esophagus in the caudal thorax. There is mild T 11-T 12, L1-L2 and L6-L7 spondylosis deformans.</t>
  </si>
  <si>
    <t>1. Megaesophagus. Recommend three view thoracic radiography plus/minus an esophagogram for further evaluation._x000D_
2. The small amount of soft tissue material in the small intestines in the caudal abdomen may represent ingesta. Foreign material cannot be completely excluded. Repeat fasted radiography can be considered to ensure gastrointestinal emptying. Alternatively, sonography can be considered if clinical signs persist or worsen in spite of medical management.</t>
  </si>
  <si>
    <t xml:space="preserve">
1.No dilation of the small intestine is seen._x000D_
2.The gastric rugae are prominent._x000D_
3.Cranial abdominal detail is decreased._x000D_
4.Splenic size, shape and margin are normal._x000D_
5.Liver size is normal to upper limits of normal. Liver margin is normal.</t>
  </si>
  <si>
    <t>A three view thoracoabdominal study is provided for interpretation._x000D_
_x000D_
The spleen appears thickened and rounded in the right lateral view, and in the VD view there is a round soft tissue shadow in the left cranial abdomen in the range of 4 cm that is suspicious for a mass involving the spleen. The liver is at the small end of acceptable size range. The other organs are within normal limits. No abnormalities are identified involving the gastrointestinal tract. Serosal detail in the abdomen is slightly reduced._x000D_
_x000D_
There is an ill defined focal opacity in the cranioventral thorax on midline. The appearance is suspicious for mild sternal lymph node enlargement. No pulmonary infiltrates or pleural effusion are identified. The cardiovascular structures are within normal limits._x000D_
_x000D_
No spinal abnormalities are identified. The pelvis and hips are within normal limits.</t>
  </si>
  <si>
    <t>A left cranial abdominal mass is suspected, likely involving the spleen. Neoplasia should be ruled out as the primary differential. No abnormalities are identified involving the GI tract._x000D_
_x000D_
There is a subtle shadow in the cranioventral thorax which is suspected to be a mildly enlarged sternal lymph node. This is not definitive. Sternal lymph enlargement can occur secondary to cranial abdominal disease, including inflammatory or neoplastic pathologies involving the liver, spleen, or pancreas.</t>
  </si>
  <si>
    <t>Follow up imaging with ultrasound or CT of the abdomen._x000D_
_x000D_
CBC, serum chemistry, and urinalysis._x000D_
_x000D_
Supportive care and symptomatic therapy.</t>
  </si>
  <si>
    <t xml:space="preserve">
1.Abdominal detail is normal._x000D_
2.No abnormal AI findings reported._x000D_
3.The stomach is mildly gas and fluid filled with some soft tissue density material. The small bowel is gas and fluid-containing. No obvious obstruction._x000D_
4.The liver is at the upper limits of normal for size and retains a smooth margin. The spleen appears within normal limits.</t>
  </si>
  <si>
    <t>Three orthogonal radiographs of the abdomen dated 4th June 2024 are available for review. There are no previous radiographs available for comparison. _x000D_
_x000D_
Intra-abdominal findings: The stomach contains a moderate amount of granular food material and has a normal axis. There is no clear gas in the region of the pylorus on the left lateral image. The descending duodenum is mild to moderately distended with gas and fluid/soft tissue opaque material. The small intestines are diffusely filled/mildly distended with mainly gas and granular soft tissue opaque material. The descending colon contains only gas. The urinary bladder is small.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 The patient is obese. _x000D_
_x000D_
Included thorax: No significant abnormalities are detected.</t>
  </si>
  <si>
    <t>The overall impression is one of gastroenteritis/colitis.  This may be due to dietary indiscretion, or infectious-inflammatory causes. The food within the stomach is likely due to a recent meal. This needs to be correlated with timing of last feeding and emesis. There is no evidence of a mineral opaque foreign body, or complete mechanical obstruction. Pancreatitis is possible in light of the distended duodenum. Hemorrhagic gastroenteritis, or pancreatitis cannot be excluded.</t>
  </si>
  <si>
    <t>Additional history- cPL was abnormal, and very large gallbladder noted on ultrasound._x000D_
_x000D_
Three radiographs of the thorax, and four views of the abdomen are provided. The cardiac silhouette and pulmonary vessels are normal size and shape. There is a small area of increased opacity overlying the cranioventral heart and caudoventral heart on the left lateral view. Mild age-related changes are present in the remaining lungs. Small round soft tissue density caudal to the tracheal bifurcation on the left lateral view is likely end-on pulmonary vessel. Transiently fluid and gas dilated esophagus, incidental. Normal tracheal diameter. Fat deposition in the cranial mediastinum._x000D_
_x000D_
In the abdomen the liver and spleen are enlarged. The splenic head is folded upon itself, causing a round soft tissue contour in the cranial left quadrant on the VD view. Caudoventral hepatic margins are rounded. Peritoneal and retroperitoneal detail is adequate. The stomach contains small volume gas, formed soft tissue density, and a bent metal opaque wire-like 1.6 cm object. Small intestines are minimally filled. There is gas in the cecum. Moderate volume formed feces in the distal colon. The urinary bladder is distended and soft tissue opaque. No significant osseous abnormalities.</t>
  </si>
  <si>
    <t>1. Wire gastric foreign object. This is of a size that should be able to pass successfully, unless attached to other material. The soft tissue density in the stomach may be residual ingesta and/or foreign material causing gastritis and pyloric outflow obstruction. There is no evidence of small bowel obstruction. Pancreatitis remains possible. _x000D_
2. Hepatomegaly, likely steroid hepatopathy. Acute inflammation or neoplasia or next on the differential list. Distended gallbladder could be contributing to the rounded hepatic contour seen on the lateral views. I am less concerned about potential biliary obstruction based on lack of associated blood work abnormalities. Evidence of biliary obstruction would be evident on ultrasound as well._x000D_
3. Mild splenomegaly, consider venous congestion/sedation, inflammation, or neoplasia._x000D_
4. Probable mild aspiration pneumonia. Otherwise normal thorax.</t>
  </si>
  <si>
    <t>If vomiting persists and gastric contents is unchanged based on follow-up fasted imaging (radiographs or ultrasound), gastroscopy would be recommended. Surgical retrieval would be a 2nd option. Recommend antibiotics for probable aspiration pneumonia, and testing for Cushing=ZZ91=s.</t>
  </si>
  <si>
    <t>3 images of the thoracolumbar spine are provided for review.  No fractures, luxations, or aggressive osseous lesions are seen.  No mineralized intervertebral discs or overtly narrowed intervertebral disc spaces are seen.  Mineral structures are present in the stomach, small intestine, and colon.  The remaining soft tissue structures included are normal.</t>
  </si>
  <si>
    <t>Gastrointestinal mineral foreign body.  Consider referred abdominal pain as a cause for the reported spinal pain.  Radiographically normal thoracolumbar spine.  This does not rule out intervertebral disc herniation or other causes of spinal cord compression.</t>
  </si>
  <si>
    <t>Three radiographs of the thorax and five views of the abdomen are provided. The cardiac silhouette and pulmonary vessels are normal size and shape. There are no abnormalities in the pulmonary parenchyma. The lungs appear more opaque on the VD view due to partial expiration. No pleural effusion. Normal tracheal diameter and position. The esophagus is unremarkable._x000D_
_x000D_
In the abdomen serosal detail is normal. There is small volume soft tissue density and gas in the stomach and descending duodenum. Small bowel are minimally filled. There is gas in the cecum, and formed feces fills the descending colon. No organomegaly. Osseous structures are normal for the young age of this patient.</t>
  </si>
  <si>
    <t>Normal thorax and abdomen. A reason for coughing is not identified. Infectious airway disease is the most likely diagnosis. Inhaled irritants is next on the differential list. There is no evidence of aspiration pneumonia. Gastric contents appears to be residual ingesta. Foreign material is given lesser consideration in the absence of more frequent/persistent vomiting.</t>
  </si>
  <si>
    <t>If vomiting persists, repeat fasted abdominal radiographs +/- positive contrast gastrogram should be considered to rule out gastric foreign material.</t>
  </si>
  <si>
    <t xml:space="preserve">
1.Abdominal detail is normal._x000D_
2.Gas containing stomach with segmental gas distension involving bowel loops._x000D_
3.Splenic size, shape and margin are normal._x000D_
4.Liver size, shape and margin are normal.</t>
  </si>
  <si>
    <t>Two views of the abdomen are provided for review.  Serosal detail is adequate in all quadrants.  The stomach contains a moderate amount of mottled soft tissue material.  The small intestines are normal in size.  Gas and feces are present in the colon.  The cecum is gas-filled.  The urinary bladder is small.  The remaining abdominal organs are normal.</t>
  </si>
  <si>
    <t>A three view study of the abdomen is provided for interpretation._x000D_
_x000D_
There is a mildly defined mixed opacity shadow with round margins in the caudal dorsal thorax on midline. This is seen in all three views=ZZ90= the appearance is consistent with hiatal hernia._x000D_
In the right lateral view, there is an ill defined soft tissue opacity in the pyloric region, but this is not confirmed in the other two views and may be artifactual. There is one segment of mildly to moderately gas distended small intestine in the right mid abdomen that shows up in all three views. This appears to terminate cranially at an area of mild fluid distention. The rest of the small intestine has mildly increased gas, but no dilation or plication seen. Serosal detail in the abdomen is normal. The other organs are within normal limits.</t>
  </si>
  <si>
    <t>There is a hiatal hernia, but this would not likely explain all the clinical signs. It might account for or least contribute to the inappetance and vomiting. Additional rule outs for this radiographic appearance would include paraesophageal herniation, gastroesophageal intussusception, mediastinal abscess, and esophageal neoplasia._x000D_
_x000D_
There is one repeatably mildly gas distended small intestinal loop in the right mid abdomen. The overall appearance is not convincing for an obstructive pattern, but there is still potential for radiolucent foreign material or intussusception as a cause of the clinical signs and dilated bowel segment in this patient._x000D_
_x000D_
Hemorrhagic gastroenteritis with hiatal hernia is suspected. A previously asymptomatic hiatal hernia may be more prominent secondary to the vomiting. Less likely possibilities that should still be considered would include radiolucent foreign material causing partial obstruction, and intussusception.</t>
  </si>
  <si>
    <t>Supportive care and symptomatic therapy for hemorrhagic gastroenteritis is recommended._x000D_
Recheck radiographs are recommended in 8 to 12 hours._x000D_
Abdomen ultrasound or a barium upper GI study is recommended if clinical signs are not improving over the next 24 hours.</t>
  </si>
  <si>
    <t>Orthogonal radiographs of the abdomen, and an upper GI series spanning approximately 1.5 hours is provided. On the survey images there is small volume gas and small volume amorphous soft tissue density in the stomach. Small intestines are diffusely mildly filled with gas and scant soft tissue density. The cecum and colon are dilated with gas and semi-formed feces. No effusion. Normal-sized liver and spleen. The kidneys are incompletely visible. On the upper GI series, there is moderate volume contrast in the stomach on the initial images. At 1.5 hours, the majority of contrast is located in the jejunum. There is contrast within a loop of bowel in the cranial right quadrant that also contains granular filling defects. It is unclear if this a portion of the duodenum or proximal colon. Small volume contrast remains within the stomach on the final images.</t>
  </si>
  <si>
    <t>The loop of bowel containing a mixture of granular filling defects and contrast may represent normal proximal colon. Foreign material within duodenum causing partial obstruction is not ruled out. No other definitive abnormalities are present on this study.</t>
  </si>
  <si>
    <t>Recommend continue the study, monitoring for complete gastric emptying and to determine if the contrast is located in the colon versus small bowel.</t>
  </si>
  <si>
    <t xml:space="preserve">
1.Liver size, shape and margin are normal._x000D_
2.The small intestine is uniform in diameter containing both fluid and gas. No segmental small bowel dilation is noted._x000D_
3.The stomach is minimally distended._x000D_
4.There is formed fecal material within the colon._x000D_
5.Cranial abdominal detail is mildly decreased.  If this is the only finding, this is more likely due to normal overlying structures or radiographic technique. If this finding is part of a larger group of findings, cranial abdominal inflammation becomes a stronger consideration._x000D_
6.Splenomegaly is present but a splenic mass is NOT detected.</t>
  </si>
  <si>
    <t>Two radiographs of the abdomen dated 4th June 2024 are available for review. There are no previous radiographs available for comparison. _x000D_
_x000D_
Intra-abdominal findings: The stomach is mainly empty, with a normal axis. The rugal folds are subjectively thickened. The small intestines are homogenously filled with a mixture of fluid/soft tissue opaque material and some gas loculations. The transverse and descending colon contains gas and poorly formed faeces. The hepatic silhouette is normal in size with smooth borders. Some mineral opaque material is visible in the region of the gallbladder. The spleen is normal in shape, size and position. The kidneys are partially obscured by gastrointestinal contents, but the visible aspect are normal. The urinary bladder is small. The serosal detail is normal._x000D_
_x000D_
Extra-abdominal findings: No significant abnormalities are detected._x000D_
_x000D_
Included thorax: The caudal vena cava is tapering.</t>
  </si>
  <si>
    <t>1. 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Hemorrhagic gastroenteritis, or pancreatitis cannot be excluded._x000D_
2. Likely incidental mineralised gallbladder sludge._x000D_
3. Dehydration.</t>
  </si>
  <si>
    <t>Three radiographs of the abdomen are provided. There is no peritoneal or retroperitoneal effusion. Small volume gas in the stomach. Equivocal scant amorphous soft tissue density in the stomach. Small and large bowel are minimally filled. Small volume of formed feces in the distal colon. Soft tissue density ventral to the pylorus may be normal splenic tail or prominent liver. Normal-sized kidneys. No radiopaque cystic calculi. The caudal thorax is unremarkable.</t>
  </si>
  <si>
    <t>1. Equivocal scant amorphous soft tissue density in the stomach may be residual ingesta or collapsed rugal folds. Foreign material is given lesser consideration. No other abnormalities are identified to explain the clinical signs. Gastritis secondary to dietary indiscretion or diet change should be considered._x000D_
2. Possible prominent liver versus normal splenic tail. Differentials for hepatomegaly are varied and may be due to steroid or other hepatopathy, acute inflammation, or least likely neoplasia. This should be correlated with history and blood work.</t>
  </si>
  <si>
    <t>If clinical signs persist despite supportive care, strictly fasting abdominal ultrasound should be considered.</t>
  </si>
  <si>
    <t>Three radiographs of the thorax, and an oblique lateral radiograph of the head are provided. The tympanic bullae are normally thin-walled and air-filled. The nasopharynx and common pharyngeal region are also air-filled. No thyroid or laryngeal apparatus abnormalities. No skull lysis or osseous proliferation is appreciated. There is severe narrowed cervical trachea on the right lateral view. The cardiac silhouette is normal size. A mild bronchial pattern is present. No pleural effusion. The viewable abdomen is unremarkable.</t>
  </si>
  <si>
    <t>1. Severe, dynamic cervical tracheal collapse. This is the most likely cause for the cough._x000D_
2. Mild bronchial pattern may be normal age-related change and/4 chronic airway inflammation such as bronchitis which could be contributing to the cough._x000D_
3. No skull abnormalities.</t>
  </si>
  <si>
    <t>Recommend weight management as needed, utilization of a body harness in place of a neck lead, and symptomatic treatment for the cough. This patient may benefit from Cerenia administration.</t>
  </si>
  <si>
    <t>Five radiographs of the thorax/abdomen are provided. Cardiovascular structures are normal size. There are no abnormalities in the pulmonary parenchyma or pleural space. Mild congenital vertebral malformations in the mid thoracic spine, likely incidental. Narrowed T12-13, T13-L1 intervertebral disc spaces. Mineralized intervertebral disc material in situ at L1-2, L4-5, incidental. No endplate lysis or vertebral fracture. No rib fractures. In the abdomen there is no effusion or organomegaly. The gastrointestinal tract is mildly filled. The cecum is gas dilated. No coxofemoral joint abnormalities.</t>
  </si>
  <si>
    <t>The appearance of T12-13 and T13-L1 are both suggestive of intervertebral disc protrusion/extrusion. Such a lesion at these or another site is the most likely cause for the clinical signs. No abdominal or thoracic abnormalities.</t>
  </si>
  <si>
    <t>If the patient does not rapidly improve with current treatment, consultation with a neurologist and advanced spinal imaging with MRI would be recommended.</t>
  </si>
  <si>
    <t xml:space="preserve">
1.Serosal detail is normal._x000D_
2.The colon is unremarkable._x000D_
3.The stomach is unremarkable._x000D_
4.The small intestines contain gas and fluid and are normal in diameter._x000D_
5.The liver is normal in size with smooth serosal margins._x000D_
6.The spleen is smoothly margined and at the upper limits of normal for size to mildly enlarged on the lateral projection.</t>
  </si>
  <si>
    <t xml:space="preserve">Patient Name: Yoda Vega, Date of study: Jun 4, 2024
6 images are provided for review (2 VDs and 4 Laterals).
There are no previous radiographs for comparison.
Image evaluation: A mottled radiographic artifact is present on all images of the thorax and abdomen and compromises evaluation. 
Thorax:
Airway/pulmonary parenchyma: Pulmonary hypoinflation is present on all projections. A diffuse bronchial pattern with a less severe interstitial component affects the entire lungs. Lobar bronchial dilation and variable lobar bronchial diameter (varicose bronchiectasis) are present. A focal alveolar infiltrate overlies the caudal aspect of the heart and cardiodiaphragmatic angle on the left lateral projection. The bronchi associated with this alveolar infiltrate are closely positioned which is more consistent with atelectasis than consolidation. 
Cardiovascular: Cardiomegaly is present with predominately right heart enlargement and CVC distention on the lateral projections. On the VD projection, the caudal pulmonary arteries and veins are distended but taper normally. 
Mediastinum: Widening to the cranial mediastinum is present on the VD projection which is attributed to fat deposition. On the VD projection, a soft tissue opacity is noted left lateral to the descending aorta in the region of the caudal thoracic esophagus/esophageal hiatus. 
Pleural space: Normal
Abdomen:
Liver: The liver is mildly enlarged but retains a smooth margin. 
Spleen: Normal
Kidneys and urinary bladder: On the right lateral projection time stamped 11:23:12 AM, an oval soft tissue structure is noted between the more dorsally positioned kidney and a small urinary bladder. This structure is thought to represent a ventrally positioned kidney. The visible renal margin appears smooth bilaterally. Renal size is at the upper limits of normal to mildly enlarged. The urinary bladder is mildly distended. No radiopaque nephroliths or conclusive cystic calculi are noted. 
GI: On the lateral projection time stamped 11:23:12 AM, a tubular soft tissue viscus overlies the dorsal aspect of the urinary bladder. No gas is noted within this structure making a visible uterine body and uterine horn most likely. The stomach is mildly gas filled and has prominent rugae. The small bowel is gas- and fluid filled without segmental bowel dilation. Portions of the colon are gas distended but the location of the gas is variable. The non-distended portions of the colon are empty. 
Abdominal detail: The retroperitoneal space has a streaked appearance on the lateral projections time stamped 11:22:38 AM and 11:23:12 AM. Mid abdominal detail is also mildly decreased on the lateral projection time stamped 11:23:12 AM but this appearance may be secondary to overlying image artifact. 
Msk: Congenital malformations of the thoracic and caudal spine are present consistent with block and butterfly vertebrae. Ventral spondylosis also affects the mid- and caudal thoracic spine. L-S disc space narrowing with ventral spondylosis is also present. No overt end-plate or vertebral lysis is noted. </t>
  </si>
  <si>
    <t>1) Renomegaly +/- retroperitoneal fluid. Active pyelonephritis is suspected based on the renal enlargement and patient history. Concurrent hepatomegaly and pulmonary infiltrate. A component of uremic pneumonitis may be contributing to the pulmonary pattern. Leptospirosis should also be ruled out.
2) Soft tissue opaque viscus in the caudal abdomen dorsal to the urinary bladder. DDx: fluid filled uterine body +/- uterine horn vs. caudally positioned small bowel loop. Stump pyometra should be ruled out as the cause for the patient history and clinical signs.
3) Chronic bronchitis and right sided cardiomegaly with suspected pulmonary hypertension secondary to cor pulmonale vs. PTE associated with ATIII loss from renal disease. CVC distention. A component of right heart failure may be responsible for the hepatomegaly and decreased abdominal detail. 
4) Evidence of gastritis +/- colitis. Uremic gastritis suspected.</t>
  </si>
  <si>
    <t xml:space="preserve">Assess for leptospirosis. Abdominal ultrasound to assess the kidneys and for stump pyometra. Urinalysis with culture. Treatment for uremic gastritis and renal failure. Referral to a specialty hospital for continued care. 
After evaluating the abdomen and empirical therapy based on additional diagnostics +/- empirical therapy for gastritis, a cardiologist evaluation (cardiac ultrasound, ECG and systemic blood pressure evaluation) are recommended. </t>
  </si>
  <si>
    <t>Orthogonal views of the lumbar spine and pelvis and lateral views of both hind limbs are provided._x000D_
_x000D_
No abnormalities are identified involving the lumbar spine or the surrounding soft tissues._x000D_
Both femoral heads appear mildly to moderately flattened. No subluxation or acetabular remodeling changes are seen._x000D_
There is a dermal nodule on the cranial aspect of the left stifle. No bony abnormalities are seen involving the stifle joints. The tarsal joints are also unremarkable.</t>
  </si>
  <si>
    <t>The flattening of the femoral heads is likely associated with chondrodystrophic breed genetics combination with chronic remodeling change. Relevance to the recent onset of left hind limb clinical signs is probably limited. Soft tissue injury not visible in the radiographs should be ruled out._x000D_
No abnormalities are seen involving the stifle or tarsal joints._x000D_
No spinal abnormalities are identified.</t>
  </si>
  <si>
    <t>Restricted activity and anti-inflammatory therapy for possible soft tissue injury is recommended.</t>
  </si>
  <si>
    <t>3 views of the thorax are provided for review.  The trachea is dorsally deviated, indicating left ventricular enlargement.  There is straightening of the caudal cardiac waist in the region of the left atrium.  No pulmonary infiltrates are seen.  The trachea is normal in diameter.  The pulmonary vasculature is normal in size.  The mediastinal and pleural structures are normal.  Cranial abdominal detail is adequate.</t>
  </si>
  <si>
    <t>Mild left-sided cardiomegaly without current evidence of cardiogenic pulmonary edema.  A specific cause for the reported cough is not identified.</t>
  </si>
  <si>
    <t>Fluoroscopy or bronchoscopy could be considered to rule out dynamic tracheal collapse.</t>
  </si>
  <si>
    <t>A three view study of the abdomen is provided for interpretation._x000D_
_x000D_
Rugal folds in the stomach are prominent. No foreign bodies are identified. No dilation of the stomach or intestine is seen. The other abdominal organs are within normal limits. Serosal detail is normal.</t>
  </si>
  <si>
    <t>The gastric changes are mild but would be compatible with gastritis. No foreign bodies or obstructive pattern are identified.</t>
  </si>
  <si>
    <t>Symptomatic therapy for possible gastritis is recommended._x000D_
Metabolic or systemic infectious disease should also be ruled out with appropriate labwork.</t>
  </si>
  <si>
    <t>Abdomen: There is mild diffuse hepatomegaly with rounding of the caudal ventral margins.  There is a moderate amount of heterogeneous soft tissue opacity within the gastric lumen.  There are no abnormalities involving the small intestines.  Both kidneys have nephroliths.  Serosal detail is normal.  There is mild amount of fecal material throughout the colon and rectum without evidence of overt distention.  The spleen is unremarkable.  There are no abnormalities involving the visible portions of the thorax.</t>
  </si>
  <si>
    <t>Mild diffuse hepatomegaly.  Differential considerations are numerous however may include variation of normal, hepatopathy, or hepatitis._x000D_
_x000D_
Bilateral nephroliths.</t>
  </si>
  <si>
    <t xml:space="preserve">
1.The abdomen is mildly pendulous._x000D_
2.The stomach contains fluid and some gas._x000D_
3.The small intestine is diffusely fluid filled._x000D_
4.There is increased soft tissue opacity in the splenic region. DDx: secondary to caudal extension of the liver vs. loss of detail due to abdominal fluid vs. splenomegaly or a splenic mass._x000D_
5.The liver is enlarged with rounded borders._x000D_
6.There is poor detail identified in the abdomen. DDx: secondary to hepatomegaly causing crowding of the abdominal organs and/or abdominal fluid.</t>
  </si>
  <si>
    <t>Three radiographs of the abdomen are provided. There is no effusion. The stomach contains small volume of formed soft tissue opacity and gas. Thin curved wire-like 2.5 cm mineral density overlying the ventral right liver is incidental chronic migrated gastric foreign material. Small and large bowel are minimally filled. The cecum is gas-filled. Normal size liver, spleen, kidneys. Metal opaque 0.8 cm pellet lateral to the left pelvis is incidental. Mild bronchial pattern is noted in the caudal thorax.</t>
  </si>
  <si>
    <t>Soft tissue density in the stomach may be residual ingesta versus foreign material causing gastritis and pyloric outflow obstruction. No other abnormalities are identified to explain the vomiting. The abdomen is otherwise normal.</t>
  </si>
  <si>
    <t>Recommend routine blood work and supportive care, repeat abdominal radiographs +/- positive contrast gastrogram following a confirmed test to rule out gastric foreign material.</t>
  </si>
  <si>
    <t xml:space="preserve">
1.On the VD projection, there is increased soft tissue opacity in the left mid-abdomen. On the lateral projection, mild splenomegaly is present._x000D_
2.Abdominal detail is normal._x000D_
3.The gastrointestinal tract is unremarkable._x000D_
4.The liver is normal.</t>
  </si>
  <si>
    <t>Three radiographs of the thorax are provided. The abdomen is included on the lateral views. There is mild left atrial and auricular enlargement. Pulmonary vessels are normal sized. There is a mild bronchial pattern. No pleural effusion or soft tissue pulmonary nodules. The trachea is normal diameter. In the abdomen there is no effusion or organomegaly. Formed feces fills the distal colon. The stomach and small bowel are minimally filled. No osseous abnormalities.</t>
  </si>
  <si>
    <t>1. Mild bronchial pattern, consider normal age-related change versus airway inflammation such as infectious airway disease or allergic bronchitis. No other abnormalities are identified to explain the cough._x000D_
2. Mild left atrial and auricular enlargement consistent with acquired mitral valve disease. There is no pulmonary venous congestion or pulmonary edema. This is of doubtful clinical significance today._x000D_
3. Normal abdomen.</t>
  </si>
  <si>
    <t>Three radiographs of the thorax and three views of the abdomen are provided. There is moderate left-sided cardiomegaly. Cranial pulmonary vessels are normal size. Caudal pulmonary vessels are obscured by a diffuse severe interstitial pattern that is present in the perihilar region and radiates distally. Caudal thoracic trachea and mainstem bronchi are deviated dorsally by the enlarged heart. Possible scant pleural fluid. No soft tissue pulmonary nodules. Adequate tracheal diameter._x000D_
_x000D_
In the abdomen serosal detail is adequate. Normal-sized liver, spleen. The kidneys are incompletely visible. The gastrointestinal tract is minimally filled. No radiopaque urolithiasis. Narrowed L4-5 intervertebral disc space, of doubtful clinical significance today.</t>
  </si>
  <si>
    <t>1. Moderate left-sided cardiomegaly consistent with acquired mitral valve disease. There is pulmonary edema indicating left-sided heart failure._x000D_
2. Normal abdomen.</t>
  </si>
  <si>
    <t>Treatment for heart failure and an echocardiogram are recommended.</t>
  </si>
  <si>
    <t xml:space="preserve">
1.A portion of the colon is gas filled and rigid._x000D_
2.The stomach contains a small amount of air and either has prominent gastric rugae or contains a small amount of soft tissue material._x000D_
3.The small intestinal tract contains normal volumes of fluid, gas and ingesta._x000D_
4.Liver size is normal and retains a smooth margin._x000D_
5.Splenic size, shape and margin are normal._x000D_
6.Abdominal detail is normal.</t>
  </si>
  <si>
    <t>Five radiographs of the abdomen are provided. Images dated 3/2/21 are available for comparison. Serosal detail is adequate. The stomach contains small volume fluid and gas. Small intestines are diffusely mildly filled with gas and scant fluid. There is a loop of mildly blanched small intestine in the mid ventral abdomen on the 1st lateral view but is not persistent on any of the other images. Small volume of formed feces in the colon. No radiopaque foreign material is appreciated. Normal-sized kidneys, liver, spleen. Normal caudal thorax.</t>
  </si>
  <si>
    <t>Normal abdomen. There is no evidence of an obstructive process. Small radiolucent gastric foreign material remains possible.</t>
  </si>
  <si>
    <t>Recommend supportive care. If the patient does not rapidly improve, fasting abdominal ultrasound would be recommended.</t>
  </si>
  <si>
    <t>Opposite lateral and ventrodorsal abdominal radiographs (3 images) dated June 4, 2024._x000D_
_x000D_
_x000D_
The liver is normal in size and shape. There is increased rounding of the ventral splenic tail margin on the left lateral view. The left kidney is normal in size and shape. The right kidney is not clearly visible due to superimposed viscera. The urinary bladder is mildly distended with fluid opacity. The stomach contains a moderate amount of heterogeneous soft-tissue content mixed with gas. The small intestine is unremarkable in size, course, and content (primarily gas and fluid). The cecum contains gas. The colon contains unremarkable appearing stool and has a normal course. Retroperitoneal and peritoneal detail are normal. No regional lymphadenopathy is evident. No osseous abnormalities are identified. The included caudal thorax is unremarkable.</t>
  </si>
  <si>
    <t>1. No evidence of a small intestinal mechanical obstruction._x000D_
2. The gastric content is of unknown clinical relevance and could represent normal ingesta vs. an admixture of ingesta and foreign material._x000D_
3. Ventral rounding of the splenic tail margin on the left lateral view is concerning for a splenic mass, which can be benign or malignant.</t>
  </si>
  <si>
    <t>Abdominal ultrasound to further scrutinize the spleen, gastric content, and look for evidence of visceral metastasis in the remainder of the abdomen. Three-view thoracic radiographs.</t>
  </si>
  <si>
    <t xml:space="preserve">
1.Liver and spleen appear within normal limits._x000D_
2.No abnormal AI findings reported._x000D_
3.Small-to-moderate volume ingesta in the stomach._x000D_
4.Small intestines and colon are minimally filled without compelling evidence for obstruction._x000D_
5.Peritoneal detail is normal.</t>
  </si>
  <si>
    <t>Opposite lateral and ventrodorsal abdominal radiographs (4 images) dated June 4, 2024._x000D_
_x000D_
The stomach is distended with gas and some mobile soft-tissue/fluid content. There is an ovoid shaped mineral opacity in the stomach is well in the region of the pyloric antrum. There are multiple dilated small bowel segments with a bunched appearance with tight hairpin terms in the right cranial abdominal quadrant, consistent with plication. This contrast from the remaining small bowel that is mildly distended with fluid and gas and has a more normal course. The colon contains gas. The urinary bladder is small in size. The liver, spleen, and kidneys are unremarkable. Peritoneal detail is normal. No osseous abnormalities are identified. The included caudal thorax is unremarkable.</t>
  </si>
  <si>
    <t>Small intestinal linear foreign body obstruction anchored in the pylorus.</t>
  </si>
  <si>
    <t>Exploratory laparotomy for foreign body retrieval.</t>
  </si>
  <si>
    <t xml:space="preserve">
1.Splenic size, shape and margin are normal._x000D_
2.The stomach contains a mild amount of gas and soft tissue material._x000D_
3.The serosal detail is adequate._x000D_
4.The liver size is at the lower limits of normal to slightly small._x000D_
5.No small intestinal segmental dilation is noted.</t>
  </si>
  <si>
    <t>2 views of the abdomen are provided for review. Serosal detail is adequate. The stomach contains a moderate amount of gas and fluid. The rugal folds are prominent. The small intestines are normal in size. Gas and fluid are present in the colon. The remaining abdominal organs are normal.</t>
  </si>
  <si>
    <t>Moderate gastric distension and prominent rugal folds suggestive of gastritis. This does not rule out underlying pancreatitis, dietary indiscretion, etc.</t>
  </si>
  <si>
    <t xml:space="preserve">
1.The spleen is normal for size, shape and margin._x000D_
2.Abdominal detail is normal._x000D_
3.The stomach has a normal axis._x000D_
4.The hepatic silhouette is normal._x000D_
5.There is a moderate amount of fluid and gas within the stomach._x000D_
6.The colon is gas-filled._x000D_
7.The descending colon contains mainly fluid opaque material._x000D_
8.The small intestines are homogenously fluid-filled, and mildly dilated.</t>
  </si>
  <si>
    <t>6 images of the abdomen are presented for review.  Serosal detail is adequate in all quadrants.  The stomach contains a small amount of ingesta.  The small intestines are normal in size, although multiple segments contain mottled soft tissue material.  Gas and feces are present in the colon.  The urinary bladder is small.  The remaining abdominal organs are normal.  The thoracic structures included are normal.</t>
  </si>
  <si>
    <t>The appearance of the small intestines may be normal, particularly if the patient was recently fed.  However, a gravel sign secondary to chronic partial obstruction from infiltrative neoplasia is also a consideration for this appearance.</t>
  </si>
  <si>
    <t>Three radiographs of the thorax, two VD views of the pelvis, and a lateral view of each stifle are provided. The cardiac silhouette and pulmonary vessels are normal size and shape. There are no abnormalities in the pulmonary parenchyma or pleural space. Normal cranial mediastinal width and tracheal diameter. The coxofemoral joints are congruent and without degenerative change. Both patellas are medially displaced. Pelvic limb musculature is mildly reduced on the left. There is moderate volume fluid in the cranial aspect of the left stifle joint. Suspect small volume fluid in the right stifle. Soft tissue thickening cranial to the distal right femur on the lateral projection is likely due to patellar luxation at the time of imaging. Punctate mineral density overlies the cranial aspect of the right stifle joint. Ovoid lucency in the cranial aspect of both tibial tuberosities is a normal variant.</t>
  </si>
  <si>
    <t>1. Moderate left stifle effusion most consistent with cranial cruciate ligament tear/rupture. Suspect mild right stifle effusion and small osseous fragment overlying the stifle joint suggestive of partial cranial cruciate ligament tear. This is of doubtful clinical significance today._x000D_
2. Bilateral medial patellar luxation._x000D_
3. Normal coxofemoral joints and thorax.</t>
  </si>
  <si>
    <t>Opposite lateral and ventrodorsal whole-body radiographs (3 images) dated June 4,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unremarkable in size and shape. Both kidneys are normal in size and shape. The urinary bladder is small and partially intrapelvic in location. The stomach contains gas. The small intestine has a mild variation in diameter with the more distended segments containing gas in the cranial abdomen. The descending duodenum contains a small amount of gas on the VD projection, and has the impression of a prominent appearing wall. The colon contains normal appearing stool mixed with gas. The cecum is gas-filled. Retroperitoneal and peritoneal detail are normal. No regional lymphadenopathy is evident._x000D_
_x000D_
No aggressive osseous pathology is identified. The caudal articular processes of T9 through T11 are small with incomplete articulation to the associated cranial articular process.</t>
  </si>
  <si>
    <t>1. No evidence of a gastrointestinal mechanical obstruction or residual foreign material in the G.I. tract._x000D_
2. Normal thorax._x000D_
3. T9 through T11 caudal articular process hypoplasia. This is a common finding in this dog breed, and clinical relevance is unknown and ranges from no clinical signs to a constrictive =ZZ92=pug=ZZ92= myelopathy.</t>
  </si>
  <si>
    <t>Simple clinical monitoring. Repeat imaging as indicated.</t>
  </si>
  <si>
    <t>Opposite lateral and ventrodorsal thoracic and abdominal radiographs (6 images) dated June 4,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normal in size and shape. The stomach contains gas and has prominent rugal folds. The small intestine is diffusely and mildly distended with fluid and has broad ropelike turns in its course to give it a subjectively turgid appearance. The cecum contains gas. The colon contains poorly formed stool mixed with gas and has evidence of corrugation in its wall. Both kidneys are normal in size and shape, and both kidneys have irregular radiating lines of mineralization within the renal pelvic region. The urinary bladder is small and fluid opaque. Retroperitoneal and peritoneal detail are normal. No regional lymphadenopathy is evident. There is no radiographic evidence of uterine distention._x000D_
_x000D_
No osseous abnormalities are identified.</t>
  </si>
  <si>
    <t>1. Non-obstructive gastroenteritis +/- colitis.  Rule out dietary indiscretion or toxin vs. food allergy/intolerance vs. flareup of a chronic enteropathy (ex: IBD) vs. GI infectious vs. systemic/extra GI causes (liver or kidney injury/disease, pancreatitis, endocrine disorder, systemic infection, non-GI neoplasia)._x000D_
2. Normal thorax._x000D_
3. Nonobstructive nephrolithiasis.</t>
  </si>
  <si>
    <t>Supportive care with fluid rehydration, antiemetics, gastroprotectants/omeprazole, and bland diet.  Repeat fasted abdominal radiographs or ideally abdominal ultrasound if the patient fails medical management.</t>
  </si>
  <si>
    <t>3 views of the abdomen are provided for review and compared with the study dated 5/30/2024.  Serosal detail is adequate in all quadrants.  The stomach contains a small amount of gas and the rugal folds are prominent.  Previous gastric contents have resolved.  The small intestines are normal in size.  Gas and feces are present in the colon.  The urinary bladder is small.  The remaining abdominal organs are normal.</t>
  </si>
  <si>
    <t>Based on the lack of improvement, abdominal ultrasound could be considered in further evaluation.</t>
  </si>
  <si>
    <t xml:space="preserve">
1.The liver and spleen appear within normal limits for size and contour._x000D_
2.No abnormal AI findings reported._x000D_
3.No abnormal AI findings reported._x000D_
4.The stomach is minimally distended._x000D_
5.The small intestinal tract is gas and fluid filled. No evidence of obstruction._x000D_
6.Resource: https://platform.v2.vetology.net/doc/gi_protectants_1</t>
  </si>
  <si>
    <t>Name: Pony Davis_x000D_
Study date: June 4, 2024_x000D_
Vertebral column radiography: 3 images (2 lateral, 1VD)_x000D_
There are no previous radiographs for comparison._x000D_
_x000D_
The patient is rotated with respect to the x-ray beam in all views.  _x000D_
_x000D_
Spine: Seven (7) cervical, thirteen (13) thoracic, and seven (7) lumbar vertebrae are present. The 7th lumbar vertebra is transitional.  The atlas is only partially imaged but the spinous process of C2 overlap of the dorsal arch of C1 appears decreased (0.2cm).  The dens appears normal in size and position on the single lateral view it is visible. Intervertebral disc spaces appear normal and uniform in width but there is obliquity.  Vertebral body end plates are smooth. _x000D_
_x000D_
Soft tissues: No abnormalities are detected in the visible cardiopulmonary or abdominal organs.</t>
  </si>
  <si>
    <t>Suspect decreased C1/C2 overlap is most likely positional artefact, as rotation and angulation is present. Atlantoaxial instability cannot be excluded.  Otherwise unremarkable thoracolumbar vertebral column.  Occult intracranial (e.g. meningitis), intervertebral disc disease (e.g. disc herniation) or musculotendinous injury (e.g. strain or sprain) are also possible.  There is no evidence of aggressive osseous disease or discospondylitis.</t>
  </si>
  <si>
    <t>Recommend collimation centered on one region of the spine for optimal evaluation. Suspect narrowing at the lumbar intervertebral disc spaces is most likely due to obliquity, as well as suspect narrowing at the caudal cervical vertebral column._x000D_
Full neurologic examination if not already performed. Considering fever, tickborne disease needs to be excluded, as reported. If no response to therapy, patient has proprioceptive deficits or is worsening in general, referral to a neurologist for discussion regarding feasibility of MRI vs. CT of the spine can be considered</t>
  </si>
  <si>
    <t xml:space="preserve">
1.Liver size, shape and margin are normal._x000D_
2.Abdominal detail is normal._x000D_
3.Gas containing stomach with segmental gas distension involving bowel loops._x000D_
4.Splenic size, shape and margin are normal.</t>
  </si>
  <si>
    <t>Three radiographs of the thorax are provided. The cardiac silhouette and pulmonary vessels are normal size and shape. There are no abnormalities in the pulmonary parenchyma. No pleural effusion. Redundant dorsal trachealis membrane causes moderate narrowed cervical trachea on the right lateral view. The cranial abdomen is unremarkable.</t>
  </si>
  <si>
    <t>1. Cervical tracheal collapse._x000D_
2. No intrathoracic abnormalities. There is no evidence of residual pneumonia.</t>
  </si>
  <si>
    <t xml:space="preserve">
1.No abnormal AI findings reported._x000D_
2.The small intestine is a uniform population size and is diffusely of soft tissue opacity with a small amount of gas throughout._x000D_
3.The colon contains a moderate amount of formed, heterogenous fecal material caudally._x000D_
4.The spleen is normal._x000D_
5.The liver is moderately enlarged with sharp, caudal margins._x000D_
6.The gastric lumen contains a mild amount of soft tissue and gas opacity.</t>
  </si>
  <si>
    <t>A three view thoracoabdominal study is provided for interpretation._x000D_
_x000D_
Several of the small intestinal loops in the mid abdomen have a thickened appearance. No foreign bodies or obstructive pattern are seen. There is a slight reduction in abdominal serosal detail. No mass lesions or organomegaly are identified._x000D_
The cardiovascular structures are within normal limits. No pulmonary infiltrates or pleural effusion are seen._x000D_
There is moderate chronic remodeling involving the left femoral head and neck and mild chronic remodeling involving the right femoral head and neck.</t>
  </si>
  <si>
    <t>The thickened appearance to the intestines would be compatible with severe enteritis or infiltrative disease including intestinal neoplasia. There is a slight reduction in detail in the abdomen that could be the result of slight ascites or marked peritoneal inflammation._x000D_
Primary rule outs for this patient include intestinal neoplasia, severe enteritis including infectious causes, and peritonitis.</t>
  </si>
  <si>
    <t>Follow up imaging such as ultrasound of the abdomen is recommended._x000D_
_x000D_
Supportive care and symptomatic therapy for gastroenteritis/pancreatitis is recommended. Infectious causes should be ruled out.</t>
  </si>
  <si>
    <t xml:space="preserve">
1.The stomach contains small volume gas and scant amorphous soft tissue density material. Diffuse, mildly filled small bowel without evidence of obstruction._x000D_
2.Abdominal detail is normal._x000D_
3.Splenic size, shape and margin are normal._x000D_
4.Liver size, shape and margin are normal.</t>
  </si>
  <si>
    <t>3 images of the abdomen are provided for review.  Serosal detail is adequate in all quadrants.  The stomach contains a moderate amount of mottled soft tissue material.  The small intestines are normal in size, although gas-filled segment in the right mid to caudal abdomen is larger than other segments.  Gas is present in the colon and cecum.  The urinary bladder is small.  The remaining abdominal organs are normal.</t>
  </si>
  <si>
    <t>Material within the stomach may represent residual ingesta or foreign material.  Variable small intestinal diameter may indicate enteritis or early/partial obstruction.</t>
  </si>
  <si>
    <t>Consider repeat radiographs following strict fasting to determine if gastric contents and intestinal changes persist.</t>
  </si>
  <si>
    <t xml:space="preserve">
1.Liver size, shape and margin are normal._x000D_
2.The gastric wall is prominent but is uniform along the entire margin._x000D_
3.The small bowel is gas- and fluid-filled with normal intestinal diameter._x000D_
4.The stomach is mildly gas-filled._x000D_
5.Splenic size, shape and margin are normal._x000D_
6.Abdominal detail is normal.</t>
  </si>
  <si>
    <t>3 views of the abdomen are provided for review.  Serosal detail is adequate in all quadrants.  The stomach contains a small amount of gas and the rugal folds are prominent.  An ovoid soft tissue structures are variably seen within the stomach.  The small intestines are normal in size.  Gas and feces are present in the colon.  The urinary bladder is small.  The remaining abdominal organs are normal.</t>
  </si>
  <si>
    <t>Prominent rugal folds suggestive of gastritis.  The gastric structure may represent residual ingesta or foreign material.</t>
  </si>
  <si>
    <t>If the patient has been fasted, a foreign body is likely.  Otherwise, consider repeat radiographs following strict fasting to determine if gastric contents persist.</t>
  </si>
  <si>
    <t xml:space="preserve">
1.There is a mildly reduced cranial abdominal serosal detail._x000D_
2.The spleen is visible and within normal limits._x000D_
3.The liver is normal in shape, size and opacity._x000D_
4.The ascending, transverse and descending colon contain gradually more formed faeces._x000D_
5.The small intestines are mildly dilated with a mixture of gas and fluid, and have a mild turgid appearance._x000D_
6.The stomach has a normal axis, with subjectively thickened mucosal folding.</t>
  </si>
  <si>
    <t>Patient Name: Baxter MacGlashing, Date of study: Jun 3, 2024
Abdomen: 3 images are provided for review (2 lateral, 1 VD). 
There are no previous radiographs for comparison.
Findings:
Gastrointestinal tract: The stomach contains a small volume of gas and is normal in position. There are multiple distended loops of small intestine (2.6 times the height of L5). The small intestine contains fluid or gas except in the left caudal abdomen where there is a soft tissue to mineral opaque, heterogeneous ovoid focus. The colon is nearly empty.
Liver: The liver is normal in size and margination.
Spleen: The spleen is normal in size with smooth margins.
Urinary: The visible margins of the kidneys are normal. The urinary bladder is small in size.
Peritoneal space: There is adequate serosal detail.
Musculoskeletal: The included skeletal and superficial soft tissue structures are normal.</t>
  </si>
  <si>
    <t>There is a soft tissue to mineral opaque focus in the left caudal abdomen and several enlarged small intestinal loops, consistent with an obstructive foreign body.</t>
  </si>
  <si>
    <t>Exploratory laparotomy should be considered based on the combination of exam and radiographic findings. If the patient is deemed clinically stable and appears to be improving, aggressive fluid therapy with recheck fasted radiographs in 8 to 12 hours could be considered to monitor for progression/resolution of the obstructive foreign material, recognizing that laparotomy may still be recommended if the foreign material does not pass into the colon. Repeated radiographs would be recommended sooner if the patient deteriorates or fails to improve.</t>
  </si>
  <si>
    <t xml:space="preserve">
1.Abdominal detail is normal._x000D_
2.There is a moderate amount of fluid and gas within the stomach._x000D_
3.The stomach has a normal axis._x000D_
4.The small intestines are homogenously fluid-filled, and mildly dilated._x000D_
5.The hepatic silhouette is normal._x000D_
6.The spleen is normal for size, shape and margin._x000D_
7.The colon is gas-filled._x000D_
8.The descending colon contains mainly fluid opaque material.</t>
  </si>
  <si>
    <t>Thorax: There is a pulmonary nodule (2.10 cm in diameter) involving the left caudal lung lobe.  There are at least 4 pulmonary nodules (largest 1.55 cm) within the right caudal lung lobe.  There appeared to be small pulmonary nodules within the cranial thorax.  The cardiac silhouette and pulmonary vasculature are unremarkable._x000D_
_x000D_
Abdomen: With a moderate amount of mineral opaque and soft tissue opacity within its lumen.  This is suspected to be the colon.  There appears to be a large diverticulum associated with this segment of bowel.  The distal portion of this bowel has a tapered appearance (somewhat apple core shape) which may indicate a bowel wall mass.  The liver, spleen, and urinary tract are unremarkable.  Serosal detail is normal.</t>
  </si>
  <si>
    <t>Numerous pulmonary nodules.  Pulmonary metastatic disease is the primary differential._x000D_
_x000D_
Possible colonic wall mass._x000D_
_x000D_
Possible large diverticulum associated with the colon.</t>
  </si>
  <si>
    <t xml:space="preserve">
1.Splenic size, shape and margin are normal._x000D_
2.Abdominal detail is normal._x000D_
3.The ascending, transverse and descending colon are in a normal position and contain gradually more formed faeces._x000D_
4.The liver is mildly enlarged but retains a smooth margin._x000D_
5.The stomach is normal._x000D_
6.The small intestinal tract is diffusely gas- and fluid-filled. No segmental small bowel dilation is noted.</t>
  </si>
  <si>
    <t>Three radiographs of the thorax, and three views of the abdomen are provided. The cardiac silhouette and pulmonary vessels are normal size. There is a mild bronchial pattern and several pulmonary osteomas, consistent with age. No pleural effusion. Fat deposition in the cranial mediastinum. The patient is overweight, with moderate volume subcutaneous fat. Possible redundant dorsal trachealis membrane in the cervical region on the left lateral view._x000D_
_x000D_
In the abdomen the liver is mildly enlarged with smooth margins. Normal-sized spleen and kidneys. The gastrointestinal tract is moderately filled. No radiopaque urolithiasis or abdominal effusion. Osseous structures are unremarkable.</t>
  </si>
  <si>
    <t>1. Mild hepatomegaly, a nonspecific finding that may be steroid or other hepatopathy. Otherwise normal abdomen. _x000D_
2. Possible dynamic cervical tracheal collapse. No intrathoracic abnormalities. A reason for labored breathing is not identified.</t>
  </si>
  <si>
    <t>A CBC and a chemistry profile are recommended to rule out a metabolic abnormality.</t>
  </si>
  <si>
    <t>8 images of the spine are provided for review.  No fractures, luxations, or aggressive osseous lesions are seen.  Hemivertebrae are present in the thoracic spine, most pronounced at T8 and T12.  Hemivertebrae also seen throughout the sacrocaudal spine.  There is spondylosis deformans of the lumbosacral space.  No mineralized intervertebral discs or consistently narrowed intervertebral disc spaces are seen.  The soft tissue structures included are normal.</t>
  </si>
  <si>
    <t>Congenital hemivertebrae.  Degenerative change of the lumbosacral space.  This does not rule out intervertebral disc herniation, tethered cord syndrome, or other causes of spinal cord compression.</t>
  </si>
  <si>
    <t>Orthogonal radiographs of the thorax, and three views of the abdomen are provided. The cardiac silhouette and pulmonary vessels are normal size and shape. Curved soft tissue contour overlying the caudal ventral heart on the right lateral views is not seen on the other projections and is likely superimposed superficial lipomatous lesion seen along the left lateral extrathoracic tissues on the VD projection. Faint bronchial markings is normal for the age of this patient. There is no pleural effusion or soft tissue pulmonary nodules._x000D_
_x000D_
In the abdomen there is moderate volume pleural fluid. Smoothly irregular cranioventral 8.4 cm soft tissue opaque mass on the right lateral view, and a 10.6 cm soft tissue opaque mass in the cranial left quadrant on the VD projection. No gastric axis deviation. The gastrointestinal tract is mildly filled. No radiopaque cystic calculi. Osseous structures are unremarkable.</t>
  </si>
  <si>
    <t>1. Cranioventral left abdominal mass with moderate effusion. Neoplasia originating from the spleen such as hemangiosarcoma is most likely. Hemangioma or hematoma are given secondary consideration. The effusion may be hemorrhagic._x000D_
2. Normal thorax.</t>
  </si>
  <si>
    <t>Peritoneocentesis could be considered to confirm that the effusion is hemorrhagic. If no evidence of other intra-abdominal neoplasia was identified on recent abdominal ultrasound, splenectomy is recommended.</t>
  </si>
  <si>
    <t>4 images of the thorax are provided for review.  2 images of the abdomen are not requested to be reviewed.  The trachea is dorsally deviated, indicating left ventricular enlargement.  A bulge is present in the region of the left atrium.  The cardiac silhouette is also widened with rounding of the right ventricular margin.  Thin pleural fissure lines are present.  Interstitial to alveolar opacity is present in the caudal lung lobes near the hilus.  The mediastinal structures are normal.  Cranial abdominal detail is adequate.</t>
  </si>
  <si>
    <t>Generalized cardiomegaly.  Interstitial to alveolar pulmonary pattern consistent with cardiogenic pulmonary edema.  The mild pleural effusion suggests a component of right-sided failure also.</t>
  </si>
  <si>
    <t xml:space="preserve">
1.The liver is enlarged with concern for asymmetric enlargement or a liver mass on the lateral projection(s)._x000D_
2.There is increased soft tissue opacity in the mid-abdomen concerning for splenomegaly, splenic mass or soft tissue mass of another origin but residing in the region of the spleen._x000D_
3.Abdominal detail on the lateral projection is decreased. DDx: organ crowding vs. mesenteric inflammation and/or abdominal fluid._x000D_
4.The gastric rugae are prominent._x000D_
5.The small bowel is diffusely gas- and fluid-filled but without segmental small bowel dilation._x000D_
6.A segment of the colon is gas filled and has a rigid appearance.</t>
  </si>
  <si>
    <t>A three view thoracoabdominal study is provided for interpretation._x000D_
_x000D_
There is moderate dynamic narrowing of the cervical trachea. No laryngeal abnormalities are identified. No esophageal abnormalities are seen. The cardiovascular structures are within normal limits. No pulmonary infiltrates or pleural effusion are identified._x000D_
_x000D_
There is mild rounding of the spleen margins. In size overall is still within normal limits. The other abdominal organs are unremarkable.</t>
  </si>
  <si>
    <t>No findings that would explain the presenting complaint are identified._x000D_
_x000D_
The narrowing of the trachea is suspected to be the result of chondromalacia and tracheal collapse._x000D_
Radiolucent for material in the esophagus causing compression of the trachea in this area cannot be excluded, but would be more likely to manifest as coughing rather than sneezing._x000D_
The thorax is unremarkable._x000D_
_x000D_
Rounding of the spleen margins is likely to be a benign change, although neoplasia cannot be entirely excluded.</t>
  </si>
  <si>
    <t>The tracheal changes are suspected to be the result of breed associated tracheal collapse. Radiolucent foreign material in the cervical esophagus cannot be excluded. Depending on the level of clinical concern for esophageal foreign body, esophagram should be considered.</t>
  </si>
  <si>
    <t xml:space="preserve">
1.The small bowel is diffusely gas- and fluid filled however no segmental small bowel dilation is noted._x000D_
2.Mid-abdominal detail is mildly decreased on the lateral projection._x000D_
3.The abdomen is pendulous._x000D_
4.The stomach contains a mild quantity of soft tissue opaque material and gas._x000D_
5.The liver is mildly to moderately enlarged but retains a relatively smooth margin._x000D_
6.Splenic size, shape and margin are normal.</t>
  </si>
  <si>
    <t>Three radiographs of the thorax, and orthogonal views of the abdomen are provided. The cardiac silhouette is normal size and shape. Pulmonary vessels are normal size. Fat deposition noted adjacent to the heart and extending into the cranial mediastinum. Mild unstructured interstitial pattern is consistent with age, partial expiration, and superimposed subcutaneous fat. The patient is overweight, with moderate volume subcutaneous fat. There is no pleural effusion. Redundant dorsal trachealis membrane causes severe narrowed cervical trachea. Smoothly contoured around 4.3 cm soft tissue opaque mass dorsal to the caudal cervical spine on the left lateral view, presumably the reported mass lesion._x000D_
_x000D_
In the abdomen there is no effusion. Soft tissue opacity in the cranioventral abdomen may be prominent liver or normal splenic tail. No gastric axis deviation. Small volume of formed feces in the colon. The stomach and small bowel are minimally filled. Normal size kidneys. No radiopaque urolithiasis. Both patellas are medially displaced.</t>
  </si>
  <si>
    <t>1. Caudodorsal left cervical soft tissue mass, concerning for neoplasia. This appears more opaque than fat therefore a lipoma is given lesser consideration._x000D_
2. Severe cervical tracheal collapse. No intrathoracic abnormalities._x000D_
3. Possible mild hepatomegaly versus normal splenic tail. Differentials for hepatomegaly are varied and include steroid or other hepatopathy, acute inflammation, neoplasia. This should be correlated with history and blood work._x000D_
4. Bilateral medial patellar luxation.</t>
  </si>
  <si>
    <t>Cytology/histopathology of the mass is recommended. There is no contraindication for general anesthesia based on this study.</t>
  </si>
  <si>
    <t xml:space="preserve">
1.The colon contains a combination of gas and granular fecal material._x000D_
2.Resource: https://platform.v2.vetology.net/doc/cushings_1_x000D_
3.The liver is enlarged._x000D_
4.The gastric axis is caudally displaced by the hepatomegaly and the gastric lumen contains amorphous, soft-tissue-opaque material, most consistent with food._x000D_
5.The small intestines are displaced caudally by the hepatomegaly and contain a combination of gas-filled and fluid-filled/collapsed, and all are within normal limits for diameter._x000D_
6.The spleen is caudally displaced by the hepatomegaly but retains a smooth margin._x000D_
7.Abdominal detail is decreased.</t>
  </si>
  <si>
    <t>Four orthogonal vertebral column radiographs, pelvic extended vd, and mediolateral pelvic limb survey radiographs dated 3rd June 2024 are available for review. These images are submitted for assessment of the vertebral column._x000D_
_x000D_
Vertebral column: There is in situ mineralisation of the nucleus pulposus at T10-T11. No mineralised material is seen dorsal to the intervertebral disc space. There is physiologic narrowing of the anteclinal vertebra at T11-T12. There is minor narrowing of the intervertebral disc space at T12-T13, with normal vertebral and plates. No mineralised material is seen within or dorsal to the intervertebral disc spaces. The lumbar vertebral column is normal. Both sacroiliac joints are normal.</t>
  </si>
  <si>
    <t>Mild T12-T13 intervertebral disc narrowing. No evidence of mineralised intervertebral disc extrusion. Occult intervertebral disk protrusion or other spinal cord pathology including embolic (FCE), high velocity disk, inflammatory or neoplastic disease or degenerative myelopathy is not excluded by a normal appearance.</t>
  </si>
  <si>
    <t>Full neurologic examination if not already performed. If no proprioceptive deficits or patients back pain is mild, consider treating for intervertebral disk disease/arthritis (exercise restriction, NSAIDs with supportive bloodwork, +/- multimodal analgesia). If no response to therapy, patient has significant proprioceptive deficits or is worsening in general, referral to a neurologist for discussion regarding feasibility of MRI vs. CT of the spine can be considered</t>
  </si>
  <si>
    <t xml:space="preserve">
1.No abnormal AI findings reported._x000D_
2.The liver is mildly enlarged._x000D_
3.The spleen is within normal limits._x000D_
4.The stomach contains fluid and ingesta. No small bowel segmental dilation is noted.</t>
  </si>
  <si>
    <t>GI findings likely represent a normal post-prandial GI tract. However, in a patient with GI signs, gastric foreign material or delayed gastric emptying secondary to GI disease becomes a stronger consideration. No small intestinal obstruction is noted. Mild to moderate hepatomegaly. This is a nonspecific finding that may be due to steroid or endocrine hepatopathy. Less likely considerations include infiltrative neoplasia, or acute inflammation.</t>
  </si>
  <si>
    <t xml:space="preserve">
Virtual Radiologist Case Difficulty: MODERATE_x000D_
Virtual Radiologist Confidence: MODERATE_x000D_
If GI signs are present, withhold food for 12-15 hours (water should be accessible or IV fluid therapy administered) followed by repeat abdominal radiographs to assess for retention of gastric contents. If the gastric contents persist after withholding food or if there is non-productive vomiting, the concern for gastric foreign material increases._x000D_
Hepatomegaly may be evaluated with blood work, and an abdominal ultrasound.</t>
  </si>
  <si>
    <t>Abdomen: There is a thin disc-shaped mineral metallic opacity within the gastric lumen.  The remainder of the gastrointestinal tract is unremarkable.  There is no evidence of a gastrointestinal obstructive process.  The remainder of the abdomen is unremarkable.  There are no abnormalities involving the thorax.</t>
  </si>
  <si>
    <t>Small nonobstructive mineral opaque gastric foreign body.</t>
  </si>
  <si>
    <t>Three radiographs of the thorax, and three views of the abdomen are provided. Radiographs dated 10/4/22 are available for comparison. The cardiac silhouette and pulmonary vessels are normal size and shape. There are faint bronchial markings and punctate pulmonary osteomas in the lungs, consistent with age. There is no pleural effusion. Tracheal diameter and position are normal. Punctate mineral density dorsal to the cranial cervical trachea is incidental laryngeal mineralization._x000D_
_x000D_
In the abdomen the liver is mildly enlarged with smooth margins. This was not present on the previous study. Serosal detail is adequate. The gastrointestinal tract is moderately filled. Normal size spleen and left kidney. The right kidney is incompletely visible. No radiopaque cystic calculi. Mild degenerative change in the coxofemoral joints.</t>
  </si>
  <si>
    <t>1. Normal thorax. A reason for acute cough is not identified. Inhaled irritants/allergens or infectious airway disease should be considered. Although no tracheal abnormalities are present on this study, dynamic collapse is not definitively ruled out, as it may not be detected on a static radiographic study._x000D_
2. Mild hepatomegaly, a new development. This is a nonspecific finding that may be due to steroid hepatopathy. Acute inflammation or hepatic neoplasia are given lesser consideration. This should be correlated with the patient=ZZ91=s clinical signs blood work.</t>
  </si>
  <si>
    <t>Study:_x000D_
Thoracic/abdominal radiography: three images dated June 3, 2024_x000D_
_x000D_
Findings:_x000D_
There is mild left ventricular and left atrial enlargement as evidenced by dorsal deviation of the trachea and straightening of the caudal cardiac waist.. The pulmonary vasculature is normal in size. The pulmonary parenchyma is unremarkable. The pleural space is normal. There is no intrathoracic lymphadenopathy. The trachea is normal in diameter. The stomach contains heterogeneous soft tissue material presumed to be ingesta. The small intestines are normal in size, course and content. The colon contains formed fecal material with a normal diameter. The liver is normal in size and margin. Multiple indistinct small mineral opacities are present in the right liver. The spleen is normal in size and shape. The renal silhouettes are normal in size and contour. The urinary bladder is normal in size and opacity. The prostate is intrapelvic and poorly visualized appear is moderately enlarged with with smooth margins. There is narrowing of the T 11-T 12 through L4-L5 intervertebral disc spaces with sclerotic endplates and moderate spondylosis deformans. There is moderate bilateral remodeling/thickening of the femoral head and neck.</t>
  </si>
  <si>
    <t>1. Mild left-sided cardiomegaly, indicative of mitral valve disease, without evidence of decompensation. Echocardiography should be considered for further evaluation._x000D_
2. A cause of coughing is not evident. Lack of a definitive bronchial pulmonary pattern does not exclude the possibility of allergic/inflammatory, infectious, irritant or parasitic bronchitis. Normal diameter of the trachea does not exclude the possibility of dynamic airway disease. Infectious respiratory disease PCR testing, fluoroscopy, airway sampling plus/minus heartworm testing and Baermann fecal flotation can be considered to further evaluate the reported respiratory signs._x000D_
3. The mineral opacities in the right liver may indicate cholelithiasis and/or biliary mineralization. Hepatic parenchymal mineralization is less likely._x000D_
4. In the absence of any urinary signs, the prostatomegaly likely indicates benign prostatic hyperplasia given the intact status the patient._x000D_
5. Multifocal thoracolumbar intervertebral disc sees._x000D_
6. Moderate bilateral coxofemoral osteoarthrosis.</t>
  </si>
  <si>
    <t xml:space="preserve">
1.No abnormal AI findings reported._x000D_
2.Small intestines are mildly filled with a mixture of fluid and gas._x000D_
3.No segmental small intestinal distention is present._x000D_
4.Moderate volume soft tissue opacity and/or gas fills the stomach._x000D_
5.The liver and spleen are normal size._x000D_
6.No effusion is present.</t>
  </si>
  <si>
    <t>Five radiographs of the thorax and abdomen are provided._x000D_
_x000D_
The liver is moderately markedly enlarged. The other abdominal organs are within normal size and shape limits. No mass lesions are seen in the abdomen. The sublumbar area is unremarkable._x000D_
_x000D_
The cardiovascular structures are within normal limits. No pulmonary infiltrates or pleural effusion are seen._x000D_
_x000D_
There is severe spondylosis deformans throughout the thoracic and lumbar spine. The spondylosis is most severe in the cranial lumbar region. No significant disc space narrowing or spinal subluxation is identified. No destructive bone lesions are seen.</t>
  </si>
  <si>
    <t>There is severe spondylosis deformans, most prominent in the thoracolumbar region. This is often an incidental finding, so relevance to the clinical signs is unknown. Associated nerve root impingement is possible, but not considered likely. Other causes for the pain that are not visible in the radiographs should still be ruled out._x000D_
_x000D_
The liver is markedly enlarged. Diffuse hepatic pathology including neoplasia, hepatitis, and metabolic or endocrine associated hepatopathies should be ruled out.</t>
  </si>
  <si>
    <t>More advanced imaging of the spine is recommended, MRI would be ideal but CT could also be considered._x000D_
_x000D_
CBC and serum chemistry is recommended._x000D_
Follow up imaging of the liver with ultrasound should be considered, but relevance of the hepatomegaly to the presenting complaint is unknown.</t>
  </si>
  <si>
    <t xml:space="preserve">
1.No intestinal abnormalities are appreciated._x000D_
2.The liver is enlarged._x000D_
3.Splenic size, shape and margin are normal._x000D_
4.Moderate volume ingesta fills the stomach._x000D_
5.The cecum is gas filled._x000D_
6.The abdomen is pendulous.</t>
  </si>
  <si>
    <t>Orthogonal radiographs of the thorax, abdomen, and to VD views of the pelvis/proximal pelvic limbs are provided. The cardiac silhouette is reduced in size. No abnormalities in the pulmonary parenchyma. No pleural effusion or intrathoracic lymphadenomegaly._x000D_
_x000D_
In the abdomen serosal detail is adequate. Moderate volume soft tissue opaque ingesta in the stomach. Small bowel and colon are minimally filled. Normal-sized liver, spleen, kidneys. The urinary bladder is mildly filled and soft tissue opaque. No definitive narrowed lumbar intervertebral disc spaces. The coxofemoral joints are congruent. Pelvic limb musculature is reduced bilaterally. Patellar location is normal. Mottled appearance of both tibial tuberosities is symmetric and likely normal trabecular variant.</t>
  </si>
  <si>
    <t>Reduced cardiac silhouette size, most likely hypovolemia. Hypoadrenocorticism can also cause this appearance. Otherwise normal thorax, abdomen, proximal pelvic limbs. A reason for weakness and pain is not identified. An intervertebral disc protrusion/extrusion remains possible.</t>
  </si>
  <si>
    <t>A three view study of the thorax is provided for interpretation._x000D_
_x000D_
The abdominal organs are all within normal size and shape limits. No mass lesions/mass effect are seen. Serosal detail in the abdomen is normal. The gastrointestinal tract is unremarkable. The patient has mildly overweight body condition overall. There is mild to moderate chronic remodeling involving both hip joints.</t>
  </si>
  <si>
    <t>No significant abdominal abnormalities are identified. The cause of the report anorexia is not apparent in the radiographs, and there is no evidence of ascites, mass, or organomegaly.</t>
  </si>
  <si>
    <t>Metabolic or systemic infectious disease should be ruled out as a cause of the clinical signs._x000D_
Recheck labwork is recommended, with CBC, serum chemistry including pancreatic specific lipase, and urinalysis.</t>
  </si>
  <si>
    <t>Four orthogonal radiographs of the abdomen dated 31st May 2024 are available for review. There are no previous radiographs available for comparison. _x000D_
_x000D_
Intra-abdominal findings: The hepatic silhouette is mildly enlarged with rounded borders. The tail of the spleen is quite large with smooth borders. The head of the spleen is normal. The kidneys are partially obscured by gastrointestinal contents, but the visible aspect are normal. The stomach has a mildly caudally displaced axis. The small intestines are distributed evenly and are within normal limits for shape, size and contents. The ascending, transverse and descending colon have a normal position and contain gradually more formed faeces. The urinary bladder is small. No radiopaque material seen superimposed on the urinary bladder. The serosal detail is normal._x000D_
_x000D_
Extra-abdominal findings: There is mild lumbar spondylosis deformans. The patient is obese._x000D_
_x000D_
Included thorax: No significant abnormalities are detected.</t>
  </si>
  <si>
    <t>1. Splenomegaly: differential diagnoses include passive congestion from sedation (if administered), splenitis, extramedullary hematopoiesis, lymphoid hyperplasia, or neoplasia (haematoma, haemangioma, haemangiosarcoma, metastatic neoplasia)._x000D_
2.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</si>
  <si>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Complete bloodwork is advised. urinalysis and culture is advised. Depending on outcome, a complete abdominal ultrasonographic examination is advised, with a view to FNA of abnormal organs, after complete blood work, and a normal coagulation panel.</t>
  </si>
  <si>
    <t>Five orthogonal survey radiographs of the thorax and abdomen dated 3rd June 2024 are available for review. There is variable obliquity in the images, limiting interpretation. _x000D_
_x000D_
Vertebral column: The cervical vertebral column is severely obliqued. The thoracic vertebral column is normal. There is minimal spondylosis at L1-L2, L2-L3 and L3-L4 with smooth vertebral endplates and normal intervertebral disc width. The lumbosacral junction is normal. The included aspects of the coxofemoral joints are normal.</t>
  </si>
  <si>
    <t>Normal thoracic and lumbar vertebral column. Occult intervertebral disc disease such as intervertebral disk protrusion or other spinal cord pathology including embolic (FCE), high velocity disk, inflammatory or neoplastic disease or degenerative myelopathy is not excluded by a normal appearance.</t>
  </si>
  <si>
    <t>Consider repeat orthogonal send radiographs of the cervical vertebral column._x000D_
Full neurologic examination if not already performed. If no proprioceptive deficits, consider treating for intervertebral disk disease/arthritis (exercise restriction, NSAIDs with supportive bloodwork, +/- multimodal analgesia). If no response to therapy, patient has significant proprioceptive deficits or is worsening in general, referral to a neurologist for discussion regarding feasibility of MRI vs. CT of the spine can be considered</t>
  </si>
  <si>
    <t xml:space="preserve">
1.On the lateral projection, the liver is mildly enlarged, extending beyond the costal arch and has rounded serosal margins._x000D_
2.Splenic size, shape and margin are normal._x000D_
3.The abdomen is mildly pendulous but abdominal detail is normal._x000D_
4.The stomach contains a mild amount of gas and amorphous, food material._x000D_
5.No dilated loops of small bowel are noted._x000D_
6.The colon contains gas and formed feces.</t>
  </si>
  <si>
    <t>Patient name: Roxy Coles _x000D_
ABDOMEN (3 views=ZZ90= 3 images, [2 Lateral, 1 VD]) _x000D_
Images are dated June 3, 2024._x000D_
There are no previous radiographs for comparison. _x000D_
 _x000D_
Liver: The liver is normal in size and shape with smooth margins._x000D_
_x000D_
Spleen: The spleen is normal in size and shape with smooth margins. _x000D_
_x000D_
Kidneys and urinary bladder: the kidneys are not well seen but visible margins are smooth and enlargement is not suspected. The urinary bladder is not delineated. No radiopaque urinary calculi are detected. _x000D_
_x000D_
GI: The stomach contains a moderate volume of gas and fluid.  No gastric enlargement is seen. Diffusely the small intestines contain fluid while maintaining normal diameter and distribution. No distinct radiopaque gastrointestinal foreign material is detected. Gas and scant non-formed feces are noted in the colon. _x000D_
_x000D_
Reproductive:  The uterus is not distinctly identified apart from the small intestines. Enlargement is possible.  _x000D_
_x000D_
Abdominal detail: Serosal detail is adequate. _x000D_
_x000D_
MSK: Visible musculoskeletal structures are within normal limits. _x000D_
_x000D_
Caudal thorax: No abnormalities are detected in the visible cardiopulmonary structures of the thorax.</t>
  </si>
  <si>
    <t>1) Appearance of gastrointestinal tract could indicate gastroenteritis +/- colitis as the cause of vomiting and diarrhea._x000D_
2) A distinctly enlarged uterus is not detected but early pyometra cannot be ruled out._x000D_
3) Lack of bladder visualization attributed to recent voiding or superimposition of other organs. Correlate with history / exam findings.</t>
  </si>
  <si>
    <t>CBC, serum chemistry, urinalysis, and fecal/giardia testing recommended.  _x000D_
_x000D_
A compression radiograph of the caudal abdomen (wooden spoon), or abdominal ultrasound may be considered to further evaluate the urinary bladder and uterus.</t>
  </si>
  <si>
    <t>Six orthogonal survey radiographs of the thorax and abdomen dated 3rd June 2024 are available for review. There are no previous radiographs available for comparison. _x000D_
_x000D_
Thorax: _x000D_
Airway findings: The cervical and thoracic trachea have a normal size, outline and position. The carina, tracheal bifurcation and mainstem bronchi are normal. The tracheal bifurcation is normal. Throughout the lung parenchyma there is a mild bronchointerstitial opacification. Some rounding of the peripheral lung lobes is present._x000D_
_x000D_
Cardiovascular findings: The cardiac silhouette is within normal limits for shape and size. The pulmonary vasculature is normal. The caudal right pulmonary artery is not thickened but slightly truncated. The mainstem vessels are normal. _x000D_
_x000D_
Mediastinum and pleural space: Some thickened pleural fissure lines are present._x000D_
_x000D_
Abdomen: There is minimal smoothly marginated hepatomegaly. The stomach has mildly caudal displaced axis. There is some gas and mild fluid distension of the cranial duodenum. The small intestines are homogenously fluid-filled, within upper normal limits for size. The descending colon contains poorly formed faeces with mineral opacities. The urinary bladder is small. The kidneys are partially obscured by gastrointestinal contents, but the visible aspect are normal. The spleen is normal. The serosal detail is normal._x000D_
_x000D_
Musculoskeletal findings: Three airgun pellets are present in the thoracic wall.</t>
  </si>
  <si>
    <t>1. The overall impression is one of mild gastroenteritis/colitis.  This may be due to dietary indiscretion, or infectious-inflammatory causes. There is no evidence of a mineral opaque foreign body, or complete mechanical obstruction. Pancreatitis is possible._x000D_
2. The mild bronchointerstitial opacification may be due to previous heartworm disease causing some pulmonary fibrosis. Current infectious-inflammatory lower airway disease (viral-bacterial, parasitic, fungal bronchitis/bronchopneumonia) cannot be excluded._x000D_
3.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</si>
  <si>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Correlate with any respiratory signs._x000D_
Supportive management including rehydration, gastroprotectants,  full blood work, faecal analysis if clinically indicated is advised, if not already performed. Consider abdominal ultrasonography depending on clinical response.</t>
  </si>
  <si>
    <t xml:space="preserve">
1.Serosal detail in the cranial abdomen is mildly decreased on the lateral projection._x000D_
2.A minimal quantity of soft tissue dense ingesta is visible in the stomach and there is mild prominence to the gastric rugae._x000D_
3.On the VD projection, an increase in soft tissue opacity is noted in the left lateral abdomen. This is attributed to superimposition of the spleen and left kidney. The spleen appears normal on the lateral projection making splenomegaly a secondary consideration._x000D_
4.The liver is normal._x000D_
5.The small bowel is diffusely gas- and fluid-filled but without segmental bowel dilation._x000D_
6.No intestinal plication is seen.</t>
  </si>
  <si>
    <t>Three radiographs of the thorax/abdomen are provided. The cardiac silhouette and pulmonary vessels are normal size. There are no abnormalities in the pulmonary parenchyma. No esophageal dilation. In the abdomen serosal detail is adequate. There is scant gas in the stomach. The duodenum is moderately dilated with fluid and gas. Remaining small bowel are mildly filled with would and gas. Mild widened gastroduodenal angle. Formed feces in the distal colon. Punctate metal focus in the distal colon is likely incidental. No other foreign material is appreciated. Normal size liver, spleen, left kidney. The right kidney is obscured. No radiopaque urolithiasis. The right patella is medially displaced.</t>
  </si>
  <si>
    <t>1. The appearance of the cranial right quadrant and duodenum is suggestive of gastroenteritis/pancreatitis. This is the most likely cause for the clinical signs. There is no convincing evidence of an obstructive process._x000D_
2. Medial patellar luxation on the right._x000D_
3. Normal thorax.</t>
  </si>
  <si>
    <t>If gastrointestinal signs persist despite supportive care, abdominal ultrasound would be recommended.</t>
  </si>
  <si>
    <t xml:space="preserve">
1.No abnormal AI findings reported._x000D_
2.Rugal folds in the stomach appears slightly swollen._x000D_
3.No segmental dilation of the small intestine is seen._x000D_
4.The colon contains gas and has a rigid appearance._x000D_
5.The liver and spleen are normal._x000D_
6.Serosal detail in the abdomen is normal. The abdomen is slightly tucked.</t>
  </si>
  <si>
    <t xml:space="preserve">Patient Name: Max Maria Rivas, Date of study: Jun 3, 2024
5 images are provided for review
Canine Thorax (2 Images) - 1 Lateral, 1 Vd
Canine Abdomen (3 Images) - 2 Lateral, 1 Vd
There are no previous radiographs for comparison.
Image evaluation: The thoracic radiographs are overexposed, and a full right lateral projection is not included in this study. 
Thorax:
Airway/pulmonary parenchyma: The lungs are hypoinflated secondary to abdominal distention. A mild, diffuse bronchial pattern is present along with central bronchial dilation on the lateral projections. No soft tissue pulmonary nodules are noted. 
Cardiovascular: Normal
Mediastinum: Obliquity does impact evaluation of the cranial thorax on the VD projection, but no overt mediastinal enlargement is noted. No hilar or tracheobronchial lymph node enlargement is noted. Gas opacities overlie the cranial mediastinum on the lateral projection, ventral to the trachea. Fluid is present in the caudal thoracic esophagus. 
Pleural space: Normal
Abdomen:
Liver: The liver is mildly to moderately enlarged but retains a smooth margin. No discrete hepatic mass is noted. 
Spleen: A soft tissue mass effect is present in the left lateral abdomen, in the splenic region. The bowel is displaced away from this region. On the VD projection, a round soft tissue mass approximately 4 cm in diameter is caudal to the left kidney and confluent with the caudal splenic margin. 
Kidneys and urinary bladder: The left kidney is visible only on the VD projection. Renal asymmetry appears to be present with the left kidney being larger than the right kidney. Retroperitoneal detail is normal. The urinary bladder silhouette is not visible in the caudal abdomen. 
GI: Small bowel loops in the caudal abdomen are mildly gas distended and have a rigid appearance. On the left lateral projection, a tubular soft tissue opacity overlies the mid-abdomen with a gas opacity along the margin of the structure. No other viscus appearing structures are noted in the mid-abdomen on this projection. 
Abdominal detail: Abdominal detail is diffusely decreased with a wispy appearance consistent with abdominal fluid. No free abdominal air is noted. 
Msk: The medullary bone of the right humerus and both femurs is mottled. Spinous process alignment abruptly changes between T8 and T10 on the VD projections. T-L disc space narrowing is present. There is a mottled appearance to the lamina of the caudal thoracic and cranial lumbar vertebrae. </t>
  </si>
  <si>
    <t xml:space="preserve">1) Left mid-abdominal mass. Splenic origin suspected. Potential left renal involvement. With the vertebral and long bone appearance, rule out multiple myeloma. Lymphadenopathy, pancreatic or retained testicle on the left creating the mass caudal to the left kidney are lesser considerations and would not explain the osseous changes. 
2) Hepatomegaly. DDx: infiltrative neoplasia or less likely, fat deposition. 
3) Shift in spinous process alignment on the VD projection concerning for vertebral malalignment which could be acute and secondary to bone weakening from infiltrative disease vs. chronic.
4) Tubular soft tissue structure in the mid-abdomen. This could represent the ascending colon or less likely, dilated small bowel. 
5) Hypoinflation secondary to abdominal distention. </t>
  </si>
  <si>
    <t xml:space="preserve">Bloodwork and urinalysis to assess for evidence of multiple myeloma. With the concern for caudal thoracic spinal instability, neurologist consultation is recommended. If abdominal ultrasound is performed, to further assess for a mass and/or mesenteric lymphadenopathy +/- FNA, the ultrasound should be performed in lateral recumbency. </t>
  </si>
  <si>
    <t xml:space="preserve">
1.Increased soft tissue opacity and a mild mass effect is noted in the splenic region._x000D_
2.Mid-abdominal detail is decreased on the lateral projection._x000D_
3.The stomach contains a mild quantity of soft tissue opaque material and gas._x000D_
4.The small bowel is diffusely gas- and fluid filled however no segmental small bowel dilation is noted._x000D_
5.The liver is mildly enlarged. This enlargement is asymmetric on the VD projection.</t>
  </si>
  <si>
    <t>Three orthogonal survey radiographs of the thorax and abdomen dated 3rd June 2024 are available for review. There are no previous radiographs available for comparison. _x000D_
_x000D_
Thorax: _x000D_
Airway findings: No nodules, masses, or lymphadenomegaly is visible. The trachea has a normal position, shape and size. The pulmonary parenchyma is normal. _x000D_
_x000D_
Cardiovascular findings: The cardiac silhouette, and pulmonary vasculature is within normal limits._x000D_
_x000D_
Mediastinum and pleura: There is no evidence of pleural effusion, _x000D_
_x000D_
Included abdomen: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Musculoskeletal system: There is a large pendulous cutaneous mass ventral to the mid abdomen, with dystrophic mineralisation.</t>
  </si>
  <si>
    <t>1. Negative metastasis check, normal thorax._x000D_
2. Mammary mass, as reported, most likely adenocarcinoma.</t>
  </si>
  <si>
    <t>Computed tomography has a higher resolution capability to detect small pulmonary parenchyma nodules and may be considered._x000D_
Wide surgical excision of the mass is advised.</t>
  </si>
  <si>
    <t>Opposite lateral and VD views of the thorax and abdomen are provided._x000D_
_x000D_
Thorax: The cardiovascular structures are within normal limits. No pulmonary infiltrates or pleural effusion are seen. No tracheal or esophageal abnormalities are identified._x000D_
_x000D_
Abdomen: Several linear opacities and subtle angular shadows consistent with a small quantity of foreign material is identified in the stomach. The stomach is not dilated or malpositioned. One loop of small intestine appears mildly fluid dilated in the left lateral view, but this is less prominent in the other views. The other organs are within normal size and shape limits. Serosal detail in the abdomen is normal.</t>
  </si>
  <si>
    <t>1) There is some unusual opacity with linear and angular shadows suspected to represent a small quantity of foreign material in the stomach. The appearance would be most compatible with plastic, thin metal, or possibly bone. No obstructive pattern is seen._x000D_
_x000D_
2) One loop of small intestine the cranial abdomen appears mildly fluid dilated. This appearance can also be the result of intestinal thickening from infiltrative disease such as intestinal neoplasia. Follow up imaging such as ultrasound should be considered._x000D_
_x000D_
3) No thoracic or musculoskeletal abnormalities are identified.</t>
  </si>
  <si>
    <t>There is suspicion of foreign material in the stomach, but this may be incidental since the history of weight loss is chronic vomiting is not reported. Recheck radiographs in a few days after fasting are recommended to rule out persistent gastric foreign material._x000D_
_x000D_
The appearance of one fluid dilated or thickened small bowel loop could easily be a transient incidental finding, but given the history ultrasound is recommended to rule out pathologically thickened intestine.</t>
  </si>
  <si>
    <t>Four radiographs of the thorax/abdomen are provided. The cardiac silhouette and pulmonary vessels are normal size and shape. There is a moderate bronchial pattern throughout the lungs. No soft tissue pulmonary nodules or pleural effusion. The small round soft tissue densities overlying the thorax on the VD projection, and overlying the ventral heart on the left lateral view are superimposed nipples. There is no pleural effusion. Normal tracheal diameter. Congenital vertebral malformations are incidental. In the abdomen there is no effusion. The spleen, liver, and kidneys are normal size. The gastrointestinal tract is mildly gas filled. No radiopaque urolithiasis. Normal coxofemoral joints.</t>
  </si>
  <si>
    <t>Moderate bronchial pattern consistent with chronic airway inflammation and/or normal aging change. In the absence of respiratory signs, significance is doubtful. Otherwise normal thorax and abdomen.</t>
  </si>
  <si>
    <t>Current diagnostics are appropriate. Abdominal ultrasound could also be considered to further workup the lethargy and anorexia.</t>
  </si>
  <si>
    <t xml:space="preserve">
1.No abnormal AI findings reported._x000D_
2.No abnormal AI findings reported._x000D_
3.The stomach is mildly gas and fluid filled with some soft tissue density materal. The small bowel is gas and fluid-containing. No obvious obstruction._x000D_
4.The liver and spleen are normal in size._x000D_
5.Adequate serosal detail.</t>
  </si>
  <si>
    <t>The AI result for this case is most compelling for: Normal abdominal study. The appearance of the stomach is likely related to normal ingesta in the absence of GI symptoms. However, if GI symptoms are present, gastroenteritis secondary to dietary indiscretion or infectious etiology could be considered.</t>
  </si>
  <si>
    <t>6 images of the entire body, pelvis, and pelvic limbs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There is narrowing of the intervertebral disc space and spondylosis deformans at L1-2.  The coxofemoral joints are congruent.  No fractures or aggressive osseous lesions are seen.  The joint surfaces are smooth and regular.  Moderate soft tissue is present in the left stifle joint.  The left tibial plateau is cranially displaced relative to the femur.</t>
  </si>
  <si>
    <t>Radiographically normal abdomen.  Radiographically normal thorax for patient of this age.  Left stifle effusion and cranial drawer consistent with soft tissue injury such as to the cranial cruciate ligament or meniscus.  Lumbar changes consistent with chronic intervertebral disc herniation</t>
  </si>
  <si>
    <t xml:space="preserve">
1.The stomach contains small volume gas and scant amorphous soft tissue density material. Diffuse, mild to moderate gas dilation of the small bowel without evidence of obstruction._x000D_
2.Abdominal detail is normal._x000D_
3.Liver size, shape and margin are normal._x000D_
4.Splenic size, shape and margin are normal.</t>
  </si>
  <si>
    <t>Four radiographs of the thorax and thoracic limbs, and three views of the abdomen are provided. No scapular abnormalities are appreciated. The glenohumeral joints are congruent. Mild enthesophyte formation on the right ulnar medial coronoid process and radial head. No left cubital joint abnormalities are appreciated. There is no soft tissue swelling. Normal carpus. In the thorax the cardiac silhouette and pulmonary vessels are normal size and shape. The lungs are clear. No pleural effusion. Normal tracheal diameter. Punctate gas lucencies dorsal to the scapulae consistent with recent subcutaneous fluid administration. No cervical spinal abnormalities are appreciated._x000D_
_x000D_
In the abdomen soft tissue density ventral to the pylorus is likely normal spleen. Normal-sized liver and kidneys. There is small volume gas in the stomach, cecum, proximal colon. Small bowel are minimally filled. No radiopaque urolithiasis. The coxofemoral joints are congruent.</t>
  </si>
  <si>
    <t>1. Mild right cubital osteoarthrosis. This is of doubtful clinical significance today. No left-sided thoracic limb abnormalities are identified to explain the lameness. Soft tissue sprain/strain is most likely. A lateralized cervical intervertebral disc lesion is also possible._x000D_
2. Normal thorax and abdomen.</t>
  </si>
  <si>
    <t>Current diagnostics and treatment are appropriate.</t>
  </si>
  <si>
    <t xml:space="preserve">
1.Abdominal detail is normal._x000D_
2.The stomach contains an increased amount of gas, with prominent rugal folds._x000D_
3.The spleen is normal._x000D_
4.On the lateral projection, liver size is at the upper limits of normal to mildly enlarged. The liver has smooth rounded ventral borders._x000D_
5.The small intestines are mildly dilated, with a mixture of gas and fluid._x000D_
6.There is poorly formed feces in the ascending, transverse and descending colon.</t>
  </si>
  <si>
    <t>Three radiographs of the abdomen are provided. There is no peritoneal or retroperitoneal effusion. Small volume fluid and gas in the stomach. Small bowel are diffusely mildly fluid filled. Small volume semi-formed feces in the distal colon, with gas in the proximal colon. The colon is transiently corrugated, incidental. Normal-sized liver, kidneys, spleen. Several punctate mineral opaque calculi in the urinary bladder. The plane of the urethra is unremarkable. Osteoarthrosis in both coxofemoral joints.</t>
  </si>
  <si>
    <t>Punctate cystic calculi, of a size that should be able to pass the urethra. Otherwise normal abdomen. No gastrointestinal abnormalities are appreciated. Gastroenteritis secondary to dietary indiscretion should be considered. There is no evidence of an obstructive process.</t>
  </si>
  <si>
    <t>If GI signs persist despite supportive care, fasted abdominal ultrasound would be recommended.</t>
  </si>
  <si>
    <t>Three orthogonal survey radiographs of the thorax and abdomen dated 3rd June 2024 are available for review. There are no previous radiographs available for comparison. These images are submitted for assessment of the thorax._x000D_
_x000D_
Thorax:_x000D_
Airway findings: The trachea is mildly elevated within the thorax.  There is widening of the tracheal bifurcation. Throughout the lung parenchyma there is a mild interstitial opacification, most prominent in the perihilar region.  No nodules or masses are seen._x000D_
_x000D_
Cardiovascular findings: There is a moderate sized smoothly marginated soft tissue opacity contiguous with the caudal dorsal border of the cardiac silhouette. A smoothly marginated soft tissue opacity is superimposed on the caudal cardiac silhouette in the dorsoventral image. The overall cardiac silhouette is enlarged.  The cardiac silhouette occupies over 60% of the width of the thoracic volume. The cranial and caudal pulmonary vasculature are prominent. The caudal vena cava is enlarged._x000D_
_x000D_
Mediastinum and pleural space: No significant abnormalities are detected._x000D_
_x000D_
Included abdomen: The hepatic silhouette is enlarged with rounded borders._x000D_
_x000D_
Musculoskeletal system: No significant abnormalities are detected.</t>
  </si>
  <si>
    <t>1.Mainly left-sided cardiomegaly with pulmonary venous distension and likely cardiogenic pulmonary edema consistent with early left sided congestive heart failure. Ddx: myxomatous degeneration of the mitral and tricuspid valves with post-capillary pulmonary hypertension vs systolic dysfunction (DCM)._x000D_
2. The interstitial opacification is most likely due to cardiogenic pulmonary oedema. Lower airway infectious/inflammatory disease is less likely._x000D_
3. The hepatomegaly is most likely due to congestion secondary to right heart insufficiency.</t>
  </si>
  <si>
    <t xml:space="preserve">
1.Resource: https://platform.v2.vetology.net/doc/liver_disease_x000D_
2.The liver is moderately, generally enlarged with a convex ventral margin. On the VD projection, the liver margin extends caudally to the level of the spleen._x000D_
3.The spleen is caudally displaced by the hepatomegaly. The spleen is at the upper limits of normal for size._x000D_
4.The abdomen is pendulous._x000D_
5.There is adequate serosal margin detail._x000D_
6.The stomach contains a moderate amount of mottled soft tissue material mixed with gas. The gastric axis is caudally displaced by the hepatomegaly._x000D_
7.Small intestinal bowel loops are normal in size and distribution and have a mixed pattern with mottled content._x000D_
8.The colon contains feces and gas.</t>
  </si>
  <si>
    <t>A three view study of the abdomen, a VD pelvis view, and lateral views of both hind limbs are provided for interpretation._x000D_
_x000D_
Abdomen: The liver is mildly enlarged. There is a small round metal foreign body consistent with a BB visible in the area of the right cranial ventral liver, suspected to be within the liver. There is a small area of irregular mineral opacity just cranial to the stomach that likely represents mineralization of a small vessel or biliary duct. In the left lateral view there is a 4 cm soft tissue shadow suspicious for a small mass just caudal to the body of the stomach. A similar shadow is also seen in the right cranial abdomen in the VD view, but no corresponding shadow is apparent in the right lateral view. The stomach and intestinal tract are within normal limits. The other abdominal organs are unremarkable. Serosal detail is normal._x000D_
_x000D_
Musculoskeletal: There is a small metal foreign body compatible with an air gun pellet lateral to the transverse process of L6. No disc space narrowing or spinal subluxation is seen. No bony abnormalities are identified involving the spine. The pelvis and hip joints are within normal limits._x000D_
There is minimal swelling of the right stifle joint capsule. No bony abnormalities are seen._x000D_
Both tibiotarsal joints have mild chronic remodeling and capsular swelling.</t>
  </si>
  <si>
    <t>No spinal abnormalities are identified. The appearance of the hips is normal. The right stifle swelling is minimal, and not likely to be relevant to the clinical signs._x000D_
There is mild osteoarthrosis involving both tibiotarsal joints. Relevance to the clinical signs is unknown. Soft tissue spinal pathology not apparent in the radiographs should still be ruled out._x000D_
_x000D_
There is an unusual 4 cm soft tissue shadow in the right cranial abdomen that is only visible in the left lateral view and possibly the VD view, and cannot be corroborated in the right lateral view. This is potentially artifactual shadow. Follow up imaging is still suggested to rule out a cranial abdominal mass involving the pancreas, liver, or intestinal tract._x000D_
_x000D_
The BB suspected to be in the liver and the air gun pellet in the right epaxial musculature are probably incidental findings._x000D_
_x000D_
Mild liver enlargement is present. Clinical significance is unknown, but potentially limited. Correlation with relevant labwork abnormalities is recommended.</t>
  </si>
  <si>
    <t>No findings that would convincingly explain the presenting complaint of hind limb weakness are identified._x000D_
More advanced imaging of the thoracolumbar spine such as MRI should be considered, depending on the severity of clinical signs._x000D_
_x000D_
Ultrasound of the abdomen should also be considered to assess the unusual right cranial abdominal shadow and the liver more definitively.</t>
  </si>
  <si>
    <t xml:space="preserve">
1.Splenic size, shape and margin are normal._x000D_
2.Resource: https://platform.v2.vetology.net/doc/liver_disease_x000D_
3.Formed feces in the distal colon._x000D_
4.In most cases, the stomach and small bowel are minimally filled however in a small number of cases, gastric distention will silhouette with the liver artifactually creating the appearance of hepatomegaly._x000D_
5.The ventral abdominal line is pendulous._x000D_
6.Abdominal detail is satisfactory._x000D_
7.On the lateral projection, the liver is mildly enlarged with rounded margins. Less commonly, gastric distention silhouetting with the liver can trigger this AI result.</t>
  </si>
  <si>
    <t>A three view thoracoabdominal study is provided for interpretation._x000D_
_x000D_
Alveolar consolidation is identified involving the left cranial lung lobe. The caudal subsegment of the lobe has a large region of homogenous soft tissue opacity and a few air bronchograms, the cranial subsegment has more severe alveolar consolidation caudally progressing to a less severe alveolar pattern cranially. The right cranial and left caudal lobe seven interstitial to alveolar pattern, it is more prominent ventrally. Very thin pleural fissure lines are faintly visible. No tracheal or esophageal abnormalities are seen. The cardiovascular structures are within normal limits._x000D_
No abdominal abnormalities are identified._x000D_
No destructive or productive bone lesions are seen.</t>
  </si>
  <si>
    <t>There is solid appearing alveolar consolidation and an alveolar pattern involving the left cranial lung lobe. There is an interstitial to alveolar pattern involving other lung lobes, more prominent in the ventral half of the lung._x000D_
These changes would be most compatible with infectious disease such as severe lobar pneumonia (possibly due to aspiration), pulmonary abscess, or fungal pneumonia. Less likely differentials would include neoplasia and lung lobe torsion._x000D_
No anatomic abnormalities are seen in the abdomen.</t>
  </si>
  <si>
    <t>The consolidated appearing area (caudal subsegment of left cranial lobe) of the left cranial lobe would likely be amenable to ultrasound-guided aspiration for cytology and culture._x000D_
CBC and serum chemistry is recommended. Fungal panel should also be considered._x000D_
_x000D_
Bronchoscopy could also be used for definitive diagnosis. CT could also be helpful._x000D_
_x000D_
If sampling is not to be performed, empiric antibiotic therapy is recommended with recheck radiographs (three views) in 10 to 14 days.</t>
  </si>
  <si>
    <t xml:space="preserve">
1.Detail in the abdomen is adequate._x000D_
2.The stomach is distended with gas and heterogenous material, mostly likely representing food._x000D_
3.Small intestines are mildly filled with fluid and gas. No evidence of obstruction._x000D_
4.The liver and spleen are normal in size._x000D_
5.No abnormal AI findings reported.</t>
  </si>
  <si>
    <t>THORAX (3 views, 3 images; [2 lateral, 1 VD]) and ABDOMEN (3 views, 3 images; [2 lateral, 1 VD])
Images are dated June 3, 2024.
There are no previous radiographs for comparison. 
THORAX:
Airway/Pulmonary: The lungs are adequately inflated.  Diffusely throughout the lungs, a mild increase in bronchointerstitial opacity is observed.  No distinct soft tissue pulmonary nodules are detected.  Tracheal and mainstem bronchial diameter is normal. 
Cardiovascular: The cardiac silhouette is normal in size and shape.  Pulmonary vessels are normal in width. 
Mediastinum: No lymph node enlargement is detected.  The caudal vena cava is normal in height.  
Pleural space: Thin pleural fissure lines are observed but no pleural effusion is seen. 
Musculoskeletal: No abnormalities detected in the visible musculoskeletal structures.
ABDOMEN:
Liver: The liver is mildly enlarged but retains tapered smooth margins.
Spleen: The spleen is normal in size and shape with smooth margins. 
Kidneys and urinary bladder: Both kidneys are normal in size and shape with smooth margins. The urinary bladder is mildly fluid distended. No radiopaque urinary calculi are detected. 
GI: The stomach contains a small volume of gas without enlargement.  Diffusely the small intestine is empty.  No distinct radiopaque gastrointestinal foreign material is detected. Gas and a moderate volume of loosely formed feces are noted in the colon. 
Abdominal detail: Serosal detail is adequate. 
MSK: Visible musculoskeletal structures are within normal limits.</t>
  </si>
  <si>
    <t>1) Mild diffuse bronchointerstitial pattern.  May be due to age related change or lower airway disease (Allergic, inflammatory, infectious, irritant and parasitic).  No evidence of pneumonia, cardiogenic edema, or intra-thoracic neoplasia.   
2) Minimal hepatomegaly.  This is a non-specific finding with many differentials including: vacuolar hyperplasia, infection/inflammation, endocrine/metabolic disease, or neoplasia.</t>
  </si>
  <si>
    <t xml:space="preserve">Airway sampling, heartworm testing, and Baermann fecal flotation can be considered to further evaluate for lower airway disease. A sedated laryngeal exam could be considered to rule out laryngeal paralysis. </t>
  </si>
  <si>
    <t>5 images of the thorax and abdomen are presented for review.  The cardiovascular and pulmonary structures are normal.  The pleural and mediastinal structures are normal.  Abdominal serosal detail is adequate in all quadrants.  The stomach contains a small amount of gas.  On the lateral views, there appears to be an angular structure in the fundic region.  The small intestines are normal in size.  Gas and feces are present in the colon.  The urinary bladder is small.  The remaining abdominal organs are normal.</t>
  </si>
  <si>
    <t>Radiographically normal thorax.  Suspect gastric foreign body.</t>
  </si>
  <si>
    <t>Consider repeat radiographs following fasting and supportive therapy versus endoscopy/exploratory.</t>
  </si>
  <si>
    <t xml:space="preserve">
1.No abnormal AI findings reported._x000D_
2.Small intestines are diffusely mildly fluid-filled. No evidence to suggest obstruction._x000D_
3.The liver and spleen appear within normal limits for size and contour._x000D_
4.Abdominal detail is adequate._x000D_
5.The stomach appears within normal limits.</t>
  </si>
  <si>
    <t>3 views of the thoracolumbar spine are provided for review. No fractures or aggressive osseous lesions are seen. There is consistent narrowing of the intervertebral disc space at T12-13. The soft tissue structures included are normal.</t>
  </si>
  <si>
    <t>Narrowed intervertebral disc space suggestive of herniation.</t>
  </si>
  <si>
    <t>Two right lateral thoracoabdominal views are provided for interpretation._x000D_
_x000D_
Severe heart enlargement is identified. The carina is maximally elevated and there is a large bulge in the region of the left atrium. The overall appearance is consistent with left ventricular and left atrial distention. Interstitial lung opacity is mild increase in the caudal dorsal lung. The appearance is within the limits of what might be expected based on the degree of thoracic inflation and age related change (both views appear end expiratory)._x000D_
There is marked narrowing of the caudal lobe and mainstem bronchi. Pulmonary vessels are unremarkable._x000D_
_x000D_
The liver is moderately enlarged, with normal shape and smooth margins. The other abdominal organs are within normal limits. No mass lesions/mass effect are seen.</t>
  </si>
  <si>
    <t>There is severe left sided cardiomegaly._x000D_
The mild caudal dorsal interstitial pattern is suspected to be the result of hypoinflation artifact an age-related changes. No convincing evidence of congestive heart failure is identified._x000D_
_x000D_
There does appear to be dynamic narrowing of the mainstem bronchi on expiration, which likely contributes to the coughing. Bronchial compression secondary to the severe cardiac chamber dilation may also be present as a contributor to the cough._x000D_
_x000D_
The liver is significantly enlarged. Diffuse hepatopathies such as metabolic or endocrine associated liver disease vs. hepatitis should be ruled out.</t>
  </si>
  <si>
    <t>Pimobendan therapy is indicated due to the severity of cardiac chamber dilation._x000D_
_x000D_
Symptomatic therapy for the cough is recommended._x000D_
_x000D_
Follow up echocardiography should be considered.</t>
  </si>
  <si>
    <t xml:space="preserve">
1.The spleen is normal in size and margin._x000D_
2.Abdominal detail is normal._x000D_
3.The stomach contains a small volume of gas and is displaced caudally by the hepatomegaly._x000D_
4.The small intestines are normal in size, course and content._x000D_
5.The colon contains partially formed fecal material._x000D_
6.The liver extends moderately beyond the costal arch with a smooth margin.</t>
  </si>
  <si>
    <t>Orthogonal radiographs of the thorax/abdomen are provided. A lateral view obtained two hours later on the same date is available for comparison. There are no abnormalities along the plane of the esophagus. Tracheal diameter and position are normal. The cardiac silhouette and pulmonary vessels are normal size and shape. The lungs are clear. No pleural effusion. In the abdomen serosal detail is adequate. There is a small amount of formed soft tissue opacity in the stomach on the VD projection. There are at least two smoothly irregular curved mineral opacities measuring up to 2.8 x 1.5 cm in the stomach. This mineral material remains in the stomach on the repeat image. Small and large bowel are minimally filled. Gastric axis position is normal. The spleen and kidneys are normal size. No radiopaque urolithiasis. Osseous structures are unremarkable.</t>
  </si>
  <si>
    <t>Gastric foreign material, of a size that is too large to pass successfully. It is unknown if this is digestible. Otherwise normal abdomen and thorax.</t>
  </si>
  <si>
    <t>With the persistent vomiting and pain, retrieval of the gastric foreign material is recommended. Gastroscopy should be considered.</t>
  </si>
  <si>
    <t>Three radiographs of the thorax/abdomen are provided. The cardiac silhouette and pulmonary vessels are normal size. There are mild age-related changes in the lungs. No pleural effusion. Tracheal diameter is adequate. In the abdomen serosal detail is normal. The stomach contains small volume fluid and gas. Small bowel are diffusely moderately fluid dilated. Gas and small volume semi-formed feces in the colon. No radiopaque foreign material. Normal-sized liver, spleen, left kidney. The right kidney is incompletely visible. Small mineral opaque nephroliths bilaterally are likely incidental. No radiopaque cystic calculi.</t>
  </si>
  <si>
    <t>Small intestinal functional ileus. Gastroenteritis/pancreatitis is most likely. There is no evidence of an obstructive process. The thorax is normal.</t>
  </si>
  <si>
    <t>3 images of the thoracolumbar spine are provided for review.  No fractures or aggressive osseous lesions are seen.  There is consistent narrowing of the intervertebral disc spaces and spondylosis from at L1-3.  There is mild ventral subluxation of L2 relative to L1 and L3 relative to L2.  Lateral alignment is normal.  The soft tissue structures included are normal.</t>
  </si>
  <si>
    <t>Changes at L1 3 suggest chronic intervertebral disc herniations.  However, there is concern for chronic trauma with subluxation at L1-2 and L2-3.</t>
  </si>
  <si>
    <t xml:space="preserve">
1.The small intestines are a combination of gas-filled and fluid-filled/collapsed, and all are within normal limits for diameter._x000D_
2.The stomach contains a moderate amount of gas and likely food. There is cranial positioning to the pylorus secondary to the microhepatia._x000D_
3.The liver is slightly small but retains a smooth margin._x000D_
4.Splenic size, shape and margin are normal._x000D_
5.No abnormal AI findings reported._x000D_
6.There is a moderate amount of colonic fecal material.</t>
  </si>
  <si>
    <t>Four radiographs of the thorax and abdomen are provided. On the edge of the lateral view, the soft palate extends 0.5 cm across the dorsal epiglottis margin. Moderate narrowed cervical trachea. Thoracic tracheal diameter is adequate. The left atrium is mildly enlarged. Cardiac to thoracic ratio is normal. Soft tissue bulge along the cranial left aspect of the heart on the 2nd VD projection is due to mild rotation. There are no abnormalities in the pulmonary parenchyma. No pleural effusion. No esophageal dilation. In the abdomen an ameroid constrictor is present. The liver and spleen are normal size. The kidneys are incompletely visible. The gastrointestinal tract is moderately filled. No radiopaque urolithiasis.</t>
  </si>
  <si>
    <t>1. Probable elongated soft palate. This may be responsible for increased respiratory noise._x000D_
2. Moderate cervical tracheal narrowing, of doubtful significance in the absence of a cough._x000D_
3. Mild left atrial enlargement consistent with acquired mitral valve disease. There is no pulmonary venous congestion or pulmonary edema. This is of doubtful clinical significance today, and not the cause for the respiratory noise._x000D_
4. Normal abdomen.</t>
  </si>
  <si>
    <t>Recommend visual inspection of the pharyngeal/laryngeal region. This patient may benefit from utilization of a body harness in place of a neck lead.</t>
  </si>
  <si>
    <t xml:space="preserve">
1.On the lateral projection, the liver is mildly enlarged with rounded margins. The ventral abdominal line is pendulous._x000D_
2.On the VD projection, a mild asymmetric increase in soft tissue opacity is noted in the cranial abdomen. DDx: superimposition of the hepatomegaly and GI tract vs. far less likely, caudal extension of a hepatic mass._x000D_
3.Splenic size, shape and margin are normal._x000D_
4.No abnormal AI findings reported._x000D_
5.Formed feces in the distal colon._x000D_
6.The stomach and small bowel are minimally filled.</t>
  </si>
  <si>
    <t>5 images of the thorax and abdomen are provided for review.  The cardiovascular structures are normal.  Alveolar opacity is present in the left cranial lung lobe, visible send hyperkalemia is on the right lateral view.  The mediastinal and pleural structures are normal.  Abdominal serosal detail is adequate in all quadrants.  The stomach contains a moderate amount of gas and the rugal folds are prominent.  The small intestines are normal in size.  Gas and feces are present in the colon.  The urinary bladder is small.  The remaining abdominal organs are normal.  Hemivertebrae are present in the thoracic and sacrocaudal spine.
(amended on 06/06/2024 09:50)
Correction of dictation error:_x000D_
Alveolar opacity is present in the left cranial lung lobe, visible as air bronchograms on the right lateral view.</t>
  </si>
  <si>
    <t>Prominent rugal folds suggestive of gastritis.  This does not rule out underlying pancreatitis, dietary indiscretion, etc.  If clinical signs persist with supportive therapy, abdominal ultrasound could be considered in further evaluation.  Alveolar pulmonary pattern concerning for aspiration type pneumonia.  Airway sampling may be helpful in further evaluation.</t>
  </si>
  <si>
    <t>Opposite lateral and ventrodorsal abdominal radiographs (4 images) dated June 3, 2024.
There are wispy soft-tissue striations throughout the peritoneal space that represents peritoneal effusion. There is a poorly marginated central abdominal mass partially obscured by superimposed bowel and appears slightly right-sided and caudal to the right kidney on the VD view. The liver is partially included and is suspected be mildly enlarged. The spleen is unremarkable in size and shape. Both kidneys are normal in size and shape. The stomach contains a mild gas. The small intestine is predominantly empty/collapsed. The colon contains a small amount of somewhat poorly formed stool mixed with gas. Retroperitoneal detail is normal. No regional lymphadenopathy is evident.
No aggressive or clinically significant osseous pathology is identified.</t>
  </si>
  <si>
    <t>1. Mid abdominal mass and peritoneal effusion is concerning for malignant neoplasia and tumor rupture. A benign mass is less likely. Rule out splenic origin vs. intestinal or ICJ origin vs. less likely a free mesenteric mass.
2. Suspect mild hepatomegaly. Rule out a benign metabolic/vacuolar hepatopathy vs. less likely inflammatory and infiltrative neoplastic conditions.</t>
  </si>
  <si>
    <t>Three-view thoracic radiographs for metastatic screening.
CBC, Chem, UA, blood pressure, lactate.
Abdominal ultrasound to confirm mass origin and screen for visceral metastasis.
Surgical planning for mass excision and submission for histopathology. 
If splenic in origin, echocardiogram could be scheduled to look for evidence of a right auricular mass.</t>
  </si>
  <si>
    <t>Study:_x000D_
Abdominal radiography: three images dated June 3, 2024_x000D_
_x000D_
Compared to prior study dated June 2, 2024_x000D_
_x000D_
Findings:_x000D_
The abdominal serosal detail is normal. The stomach contains a small volume of gas with the pylorus appropriately gas-filled on the left lateral image. The small intestines are normal in size, course and content. There is no contrast medium within the stomach or small intestines. The colon contains Berryman formed fecal material. The liver and spleen are normal in size and margin. The renal silhouettes are normal in size and contour. The urinary bladder is normal in size and opacity. There is no prostatomegaly. The included thorax is normal. The osseous structures are age appropriate.</t>
  </si>
  <si>
    <t>Unchanged normal abdomen. There is no radiographic evidence of gastrointestinal foreign material or small intestinal mechanical obstruction following barium administration. Abdominal sonography can be considered for further evaluation if clinical signs recur in spite of ongoing medical management.</t>
  </si>
  <si>
    <t>Five orthogonal survey radiographs of the abdomen and pelvic area dated 2nd June 2024 are available for review. There are no previous radiographs available for comparison. _x000D_
_x000D_
Abdomen: The hepatic silhouette is normal. The stomach contains some fluid. There is appropriate gas in the pyloric region on the left lateral image. The small intestines are variable in shape and size, and contain fluid and gas. The descending colon contains normally formed faeces. The urinary bladder is filled. The kidneys are partially obscured by gastrointestinal contents, but the visible aspect are normal. The spleen is normal. The serosal detail is normal._x000D_
_x000D_
Musculoskeletal findings: In the dorsal lumbar region there are subcutaneous gas lucencies consistent with the reported wound. The body wall layering is intact. There is swelling of the left abdominal wall. The prepuce and ventral subcutaneous tissues are swollen r. The ventral abdominal wall is intact. The included thoracic and lumbar vertebral column is normal. The sacroiliac joints are normal. Both coxofemoral joints are normal. There is swelling of the dorsal aspect of the left stifle region. The left tibial plateau is slightly cranial relative to the femoral condyles, however some obliquity is present. There is mild soft tissue opacification of the left stifle joint space no degenerative or traumatic modelling is seen. The left tarsus is normal. The included extremities are normal. There is diffuse soft tissue swelling of the left pelvic limb from the stifle distally.</t>
  </si>
  <si>
    <t>1. Subcutaneous abdominal swelling with gas lucencies consistent with bite wound cellulitis._x000D_
2. Potential traumatic cranial cruciate ligament rupture, or traumatic arthritis. Correlate with any wounds over the stifle joint to exclude presence of septic arthritis.</t>
  </si>
  <si>
    <t>Empiric management of the wounds is advised. Manipulative testing under sedation or anaesthesia of the left stifle is advised. consider synoviocenthesis if a wound is present in the region of the stifle joint.</t>
  </si>
  <si>
    <t xml:space="preserve">
1.Small intestines are mildly fluid filled._x000D_
2.The liver, spleen, and kidneys are normal size and shape._x000D_
3.Gas and soft tissue density are present within the stomach._x000D_
4.No abnormal AI findings reported._x000D_
5.No abnormal AI findings reported.</t>
  </si>
  <si>
    <t>Patient Name : Chili Rice, Date of study: Jun 2, 2024
3 images are provided for review
Canine Abdomen (3 Images) - 2 Lateral, 1 Vd
There are no previous radiographs for comparison.
Findings:
The stomach contains gas.
The small intestines are normal and uniform in size and contain predominantly homogeneous soft tissue.
The colon contains homogeneous soft tissue and gas.
The liver, spleen, kidneys, and urinary bladder are normal.
The serosal detail is normal.
The patient's hair is wet.
The caudal thorax is normal.
The musculoskeletal structures are normal.</t>
  </si>
  <si>
    <t>1. Normal abdomen, there is no small intestinal mechanical obstruction.</t>
  </si>
  <si>
    <t>The etiology for the reported gastrointestinal signs is not identified on this examination.  Differential diagnoses include dietary indiscretion, toxin ingestion, inflammatory bowel disease, parasitism or occult systemic disease such as from endocrinopathy or renal/hepatic disease.  
Repeated abdominal radiographs or an abdominal ultrasound may be useful for further assessment if the patient fails to respond to medical management of gastrointestinal signs.</t>
  </si>
  <si>
    <t xml:space="preserve">
1.Splenic size, shape and margin are normal._x000D_
2.On the VD projection, the hepatic silhouette is small. This finding does not persist on the lateral projection._x000D_
3.The stomach contains gas and small volume fluid._x000D_
4.Small intestines are minimally distended._x000D_
5.A portion of the colon is gas filled and rigid consistent with inflammation._x000D_
6.Abdominal detail is normal.</t>
  </si>
  <si>
    <t>4 images of the abdomen are provided for review.  Serosal detail is adequate in all quadrants.  The stomach contains a small amount of gas and the rugal folds are prominent.  The small intestines are normal in size.  Gas and feces are present in the colon.  The cecum is gas-filled.  The urinary bladder is small.  The remaining abdominal organs are normal.</t>
  </si>
  <si>
    <t xml:space="preserve">
1.No abnormal AI findings reported._x000D_
2.The liver and spleen are normal for size._x000D_
3.Abdominal detail is normal._x000D_
4.The stomach is mildly gas and fluid dilated._x000D_
5.View GI resource: https://platform.v2.vetology.net/doc/GI_x000D_
6.There is gas and mild fluid dilation noted within the descending duodenum._x000D_
7.The small bowel contains gas and fluid but is largely normal in diameter throughout._x000D_
8.There is also gas and fluid distention of the cecum and the entire length of the colon.</t>
  </si>
  <si>
    <t>WHOLE-BODY (3 total radiographs for review). No previous for comparison._x000D_
_x000D_
- Consistent with the reported history, there is moderately extensive subcutaneous and deep fascial emphysema and soft tissue swelling in the dorsal extra cervical region._x000D_
- The underlying osseous structures are normal._x000D_
- The cardiac silhouette and pulmonary vasculature are normal._x000D_
- The pulmonary parenchyma is normal_x000D_
- The trachea, esophagus and remainder of the mediastinum is/are normal._x000D_
- The pleural space and remaining intrathoracic structures are normal._x000D_
- Peritoneal serosal detail is adequate_x000D_
- The stomach contains multiple formed, bone-like structures, a few medium sized geometric mineralized foreign bodies, moderate gasstippled soft tissue opaque material and moderate gas._x000D_
- The small intestine contains mild multifocal gas and soft-tissue opaque material_x000D_
- The colon contains gas, soft-tissue/fluid and minimal formed fecal material._x000D_
- The liver, spleen, kidneys and urinary bladder are normal._x000D_
- The caudal thorax is normal_x000D_
- The vertebral column and included portions of the forelimbs and hindlimbs are normal._x000D_
- No musculoskeletal abnormalities are noted.</t>
  </si>
  <si>
    <t>1. Moderate dorsal cervical soft tissue edema, hemorrhage, cellulitis and subcutaneous emphysema. Consistent with the reported history of dog-fight wound._x000D_
_x000D_
2. Normal thorax._x000D_
_x000D_
3. Multiple intact bones from a recent meal in the stomach, at least two mineral opaque gastric foreign bodies and aerophagia. You may consider fasted recheck abdominal radiographs of the stomach in this patient to reevaluate the appearance of the material in its lumen.</t>
  </si>
  <si>
    <t>Patient Name : Lucy Merritt, Date of study: Jun 2, 2024
3 images are provided for review
Canine Abdomen (3 Images) - 2 Lateral, 1 Vd
There are no previous radiographs for comparison.
Findings: 
The stomach contains a formed, striated, heterogeneous soft tissue structure.
The small intestines are normal and uniform in size and contain gas and homogeneous soft tissue.
The colon contains gas and feces.
The liver is enlarged and has rounded margins.
The spleen, kidneys, and urinary bladder are normal.
The serosal detail is normal.
The caudal thorax is normal.
The L2-L3 and L6-L7 intervertebral disc spaces are narrow.</t>
  </si>
  <si>
    <t>1. Gastric foreign material.  
2. Nonspecific hepatomegaly, consider vacuolar or steroid hepatopathy, hepatitis, nodular hyperplasia, or neoplasia. 
3. Multifocal lumbar intervertebral disc disease.</t>
  </si>
  <si>
    <t>Removal of the gastric foreign body is recommended (induction of emesis, endoscopy, or surgery).
Ultrasonography may be considered to further assess the liver, particularly if there are bloodwork changes suggestive of hepatobiliary disease.
Intervertebral disc disease is not uncommon in Beagles.  If there is concern for clinical signs secondary to intervertebral disc disease, then an MRI and/or consultation with a neurologist may be useful.</t>
  </si>
  <si>
    <t xml:space="preserve">
1.The hepatic silhouette is mildly enlarged, with smooth borders._x000D_
2.The visible spleen is within normal limits._x000D_
3.Mid abdominal detail is mildly decreased._x000D_
4.The ascending, transverse and descending colon have a normal position and gas and some poorly formed faeces._x000D_
5.The stomach is empty, and has a normal axis._x000D_
6.The small intestines are distributed evenly and are within normal limits for shape, size and contents.</t>
  </si>
  <si>
    <t>WHOLE-BODY (3 total radiographs for review). No previous for comparison._x000D_
_x000D_
- The cardiac silhouette and pulmonary vasculature are normal._x000D_
- The pulmonary parenchyma is normal_x000D_
- The trachea, esophagus and remainder of the mediastinum is/are normal._x000D_
- The pleural space and remaining intrathoracic structures are normal._x000D_
- Peritoneal serosal detail is adequate_x000D_
- The stomach contains moderate gas and gas-stippled soft-tissue opaque material, as well as a few small mineralized foci._x000D_
- The small intestine contains mild multifocal gas and soft-tissue opaque material_x000D_
- The colon contains gas, soft-tissue/fluid and minimal formed fecal material._x000D_
- The spleen is mildly enlarged, with rounded margins._x000D_
- The liver, kidneys and urinary bladder are normal._x000D_
- The caudal thorax is normal_x000D_
- Transitional thoracolumbar vertebral segment with thin/hypoplastic ribs.</t>
  </si>
  <si>
    <t>1. Normal thorax. A discrete cause for the reported coughing episodes is not clearly identified. There is no evidence of pneumonia or other intrathoracic disease to explain the reported symptoms, however radiographic sensitivity for tracheitis and bronchitis can be limited. For further assessment, if clinically indicated, you may consider CT of the cervical region and thorax._x000D_
_x000D_
2. Mild splenomegaly. DDx congestion from sedation, lymphoid hyperplasia, EMH, less likely neoplasia._x000D_
_x000D_
3. Aerophagia and a few small mineralized sand-like foci in the urinary bladder._x000D_
_x000D_
4. Transitional thoracolumbar vertebral segment.</t>
  </si>
  <si>
    <t xml:space="preserve">
1.The stomach contains a small volume of fluid and gas._x000D_
2.The small bowel contains fluid and gas. No segmental small bowel dilation is noted._x000D_
3.The colon is normal._x000D_
4.No abnormal AI findings reported._x000D_
5.The hepatic serosal margins are mildly rounded and the liver is mildly enlarged._x000D_
6.Equivocal splenomegaly is present.</t>
  </si>
  <si>
    <t>Study:_x000D_
Abdominal radiography: two images dated April 2, 2024_x000D_
_x000D_
Compared to prior study dated April 1, 2024_x000D_
_x000D_
Findings:_x000D_
The mineral opaque structure remains in the gastric lumen. It is difficult to evaluate for the repeatability of the structured soft tissue material in the pylorus noted in the previous exam without a left lateral view in the recheck examination. There is now the impression of bulging/plication of the bowel in the midabdomen with some loops contain abnormally angulated fragmented gas in comparison to the prior exam. The colon contains a small volume of gas. The liver, spleen, kidneys and urinary bladder are again unremarkable. The included thorax is normal. The osseous structures are unremarkable.</t>
  </si>
  <si>
    <t>There is persistence of the mineral opaque foreign body in the stomach. Without a left lateral projection, it is difficult to comment on whether the structured soft tissue material seen in the pylorus in the previous examination remains=ZZ90= however, the suspected bunching/plication of the bowel in the midabdomen is concerning for a linear foreign body.</t>
  </si>
  <si>
    <t>Exploratory laparotomy should be considered. Abdominal sonography can be considered to confirm the linear foreign body prior to surgery.</t>
  </si>
  <si>
    <t xml:space="preserve">
1.Splenic size, shape and margin are normal._x000D_
2.Liver size is normal to upper limits of normal. Liver margin is normal._x000D_
3.Abdominal detail is normal._x000D_
4.The stomach contains gas and ingesta or prominent rugae. The small bowel is diffusely fluid filled but without segmental small bowel dilation.</t>
  </si>
  <si>
    <t>Study:_x000D_
Abdominal radiography: three images dated May 3, 2024_x000D_
_x000D_
Findings:_x000D_
The stomach is moderately gas distended. There is a 3.5 cm mineral opaque structure in the gastric lumen. On the left lateral projection, there is structured soft tissue material in the pylorus. The small intestines are gas-filled and normal in size and course. The colon contains a small volume of gas. The liver and spleen are normal in size and margin. The renal silhouettes are normal in size and contour. The urinary bladder is normal in size and opacity. There is no prostatomegaly. The included thorax is unremarkable. No skeletal abnormalities are present.</t>
  </si>
  <si>
    <t>Gastric mineral opaque foreign body. The structured soft tissue material in the pylorus is also concerning for foreign material.</t>
  </si>
  <si>
    <t>Please see recheck study for recommendations.</t>
  </si>
  <si>
    <t>Three orthogonal thoracic radiographs dated 1st June 2024 are available for review. There are no previous radiographs available for comparison. _x000D_
_x000D_
Thorax:_x000D_
Airway findings: The trachea is elevated within the thorax. There is narrowing of the mainstem bronchi. There is widening of the tracheal bifurcation. Throughout the lung parenchyma there is a mild interstitial opacification, most prominent in the perihilar region. No nodules or masses are seen._x000D_
_x000D_
Cardiovascular findings: There is a large smoothly marginated soft tissue opacity contiguous with the caudal dorsal border of the cardiac silhouette. A smoothly marginated soft tissue opacity is superimposed on the caudal cardiac silhouette in the dorsoventral image. The overall cardiac silhouette is enlarged. There is increased cardiac-sternal contact. The cardiac silhouette occupies over 80% of the width of the thoracic volume. The cranial and caudal pulmonary vasculature are within normal limits. The caudal vena cava is enlarged._x000D_
_x000D_
Mediastinum and pleural space: No significant abnormalities are detected._x000D_
_x000D_
Musculoskeletal findings: No significant abnormalities are detected._x000D_
_x000D_
Included abdomen: There is hepatomegaly with rounded borders.</t>
  </si>
  <si>
    <t>1. Generalized cardiomegaly with pulmonary venous distension and mild cardiogenic pulmonary edema consistent with left sided congestive heart failure. Ddx: myxomatous degeneration of the mitral and tricuspid valves with post-capillary pulmonary hypertension vs systolic dysfunction (DCM). A congenital cardiac abnormality is unlikely, but cannot be excluded._x000D_
2. The interstitial opacification is most likely due to cardiogenic pulmonary oedema. Lower airway infectious/inflammatory disease is less likely._x000D_
3. The coughing may also be caused by dynamic bronchial compression due to the cardiomegaly.</t>
  </si>
  <si>
    <t>ABDOMEN (3 total radiographs for review). No previous for comparison._x000D_
_x000D_
- Peritoneal serosal detail is adequate_x000D_
- The stomach contains mild gas and gas-stippled soft-tissue opaque material_x000D_
- The small intestine contains mild multifocal gas and soft-tissue opaque material_x000D_
- The colon contains gas, soft-tissue/fluid and minimal formed fecal material._x000D_
- The liver, spleen, kidneys and urinary bladder are normal._x000D_
- The caudal thorax is normal_x000D_
- A thin, filamentous wire-like foreign body is present in the cranioventral abdominal body wall.</t>
  </si>
  <si>
    <t>1. A discrete radiographic cause for the reported increased fecal production is not distinctly identified. The abdomen is relatively unremarkable, besides mild non-specific gastric material (food, less likely foreign). If further clinically indicated, consider abdominal ultrasonography for further assessment._x000D_
_x000D_
2. Likely incidental migrating wire-like cranioventral abdominal body wall foreign body.</t>
  </si>
  <si>
    <t>12 images of the thorax, abdomen, pelvis, and pelvic limbs are presented for review.  There is straightening of the caudal cardiac waist in the region of the left atrium.  The intrathoracic trachea is mildly dorsally deviated, indicating left ventricular enlargement.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beyond the costal arch.  The stomach contains a moderate amount of ingesta.  The small intestines are normal in size.  Gas and feces are present in the colon.  The urinary bladder is moderately distended.  The remaining abdominal organs are normal.  Spinal alignment is normal with no consistently narrowed intervertebral disc spaces.  The coxofemoral joints are congruent.  No fractures or aggressive osseous lesions are seen.  The joint surfaces are smooth and regular.  No stifle effusion is seen, although obliquity of the lateral views precludes additional evaluation.</t>
  </si>
  <si>
    <t>Hepatomegaly=ZZ90= this is a nonspecific finding that may be seen with congestion, vacuolar hepatopathy, inflammation, neoplasia, etc.  Abdominal ultrasound may be helpful in further evaluation if biochemically indicated.  Mild left-sided cardiomegaly without current evidence of cardiogenic pulmonary edema.  Echocardiography may be helpful in further evaluation.  Unremarkable osseous structures on the views provided.  Consider repeat lateral views of the stifles with ideal positioning to allow for evaluation of effusion.</t>
  </si>
  <si>
    <t>5 images of the abdomen are provided for review.  Serosal detail is adequate in all quadrants.  The stomach contains a small amount of gas and the rugal folds are prominent.  The small intestines are normal in size.  Gas and feces are present in the colon.  The cecum is gas-filled.  The urinary bladder is small.  The remaining abdominal organs are normal.</t>
  </si>
  <si>
    <t xml:space="preserve">
1.The liver and spleen are normal._x000D_
2.There is no effusion._x000D_
3.The stomach contains a small to moderate amount of amorphous soft tissue density._x000D_
4.Small intestines and the colon are minimally filled._x000D_
5.No abnormal AI findings reported.</t>
  </si>
  <si>
    <t>3 views of the thorax are provided for review.  2 images of the abdomen are not requested to be reviewed.  The trachea is dorsally deviated, indicating left ventricular enlargement.  A small bulge is present in the region of the left atrium.  No pulmonary infiltrates are seen.  The pulmonary vasculature is normal in size.  The mediastinal and pleural structures are normal.  The trachea is narrowed in the cervical region on the right lateral view.  Cranial abdominal detail is adequate.</t>
  </si>
  <si>
    <t>Left-sided cardiomegaly without current evidence of cardiogenic pulmonary edema.  Echocardiography may be helpful in further evaluation.  Inconsistent tracheal narrowing may indicate dynamic tracheal collapse.  Fluoroscopy or bronchoscopy could be considered.</t>
  </si>
  <si>
    <t xml:space="preserve">
1.No abnormal AI findings reported._x000D_
2.The spleen is normal in size and margin._x000D_
3.The stomach appears within normal limits._x000D_
4.The small intestines appear normal in size, course and content. No signs of small bowel obstruction._x000D_
5.Resource: https://platform.v2.vetology.net/doc/liver_disease_x000D_
6.The liver is mildly enlarged with a smooth margin.</t>
  </si>
  <si>
    <t>Abdomen: There is a mild amount of heterogeneous soft tissue opacity within the gastric lumen.  There is no evidence of a small intestinal foreign body or obstruction.  The liver and spleen are unremarkable.  There are no abnormalities involving the visible portions of the urinary tract.  Serosal detail is normal._x000D_
_x000D_
Thorax: The pulmonary parenchyma, cardiac silhouette, and pulmonary vasculature are unremarkable.  There is no evidence of pleural effusion or lymphadenopathy.</t>
  </si>
  <si>
    <t>The heterogeneous appearance of the gastric lumen most likely represents gas outlining rugal folds.  Alternatively normal ingesta or less likely foreign material cannot be ruled out.</t>
  </si>
  <si>
    <t>Three radiographs of the thorax/abdomen are provided. There is moderate generalized cardiomegaly. Subsequent dorsal deviation of the thoracic trachea and mainstem bronchi. Caudal pulmonary arteries are prominent. There is a moderate interstitial pattern in the right perihilar region. No pleural effusion. Moderate narrowed cervical trachea. Increased opacity dorsal to the 2nd sternal segment on the right lateral view is likely superimposed skin fold. In the abdomen mid abdominal detail is reduced. The abdomen is pendulous. The liver is mildly enlarged with smoothly irregular margins. The spleen is upper normal size. Moderate volume soft tissue opaque ingesta in the stomach. The intestines are minimally filled. No radiopaque urolithiasis. At least one of the patellas is likely medially displaced.</t>
  </si>
  <si>
    <t>1. Moderate generalized cardiomegaly consistent with acquired mitral and tricuspid valve disease. Hazy perihilar region is significantly concerning for left-sided heart failure. Poor lung aeration could mimic this appearance._x000D_
2. Prominent pulmonary arteries, consider pulmonary hypertension versus heartworm disease._x000D_
3. Probable cervical tracheal collapse._x000D_
4. Mild hepatomegaly with smoothly irregular margins, consider venous congestion, neoplasia, hepatopathy. Acute inflammation is given lesser consideration.</t>
  </si>
  <si>
    <t>Medical support and abdominal ultrasound are recommended. If the patient has increased respiratory rate/effort, abnormal lung auscultation, or cough, treatment for heart failure would be recommended. Follow-up echocardiogram is also recommended.</t>
  </si>
  <si>
    <t xml:space="preserve">
1.Suggestion of splenic enlargement._x000D_
2.The liver is moderately enlarged, with rounded borders._x000D_
3.There is mild reduction of peritoneal serosal detail._x000D_
4.The stomach contains a moderate amount of granular material, and has a mildly caudally displaced axis._x000D_
5.The small intestines contain fluid and gas and are within normal limits for shape and size. No evidence of obstruction.</t>
  </si>
  <si>
    <t>Three radiographs of the thorax/abdomen are provided. Images dated 3/7/23 are available for comparison. There is mild left atrial enlargement, smaller than on the previous study. Pulmonary vessels are normal size. Mild age-related changes in the lungs. No pleural effusion or intrathoracic lymphadenomegaly. In the abdomen there is no effusion or organomegaly. Curved 1.4 cm mineral density overlying the ventral right liver as before, consistent with a cholelith, typically incidental. There is small volume fluid and gas in the stomach. Small bowel are moderately fluid filled. Gas and small volume formed feces in the colon. The urinary bladder is minimally filled. Narrowed T12-13, T13-L1 intervertebral disc spaces.</t>
  </si>
  <si>
    <t>1. Small intestinal functional ileus, a nonspecific finding that may be stress/discomfort, metabolic abnormality, enteritis._x000D_
2. Narrowed T12-13 and T13-L1 intervertebral disc spaces suggestive of intervertebral disc disease. This may be responsible for discomfort._x000D_
3. Mild left atrial enlargement consistent with acquired mitral valve disease. This is reduced in size compared to the previous study and there is no evidence of heart failure. Otherwise normal thorax.</t>
  </si>
  <si>
    <t>A CBC, blood chemistry profile, palpation for spinal discomfort are recommended. Depending on lab work results and if the patient does not improve with supportive care, abdominal ultrasound should be considered.</t>
  </si>
  <si>
    <t xml:space="preserve">
1.Small intestines are minimally distended._x000D_
2.A portion of the colon is gas filled and rigid consistent with inflammation._x000D_
3.On the VD projection, the hepatic silhouette is small. This finding does not persist on the lateral projection._x000D_
4.Splenic size, shape and margin are normal._x000D_
5.Abdominal detail is normal._x000D_
6.The stomach contains gas and small volume fluid.</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</si>
  <si>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and spleen are smoothly margined and normal in size.  The stomach contains a moderate amount of ingesta.  The small intestines are normal in size.  Gas and feces are present in the colon.  The urinary bladder is small.  The remaining abdominal organs are normal.  There is narrowing of the intervertebral disc spaces and spondylosis deformans at L1-5 consistent with chronic intervertebral disc herniations.</t>
  </si>
  <si>
    <t xml:space="preserve">
1.On the lateral projection, liver size is at the upper limits of normal to mildly enlarged. The liver has smooth rounded ventral borders._x000D_
2.The spleen is normal._x000D_
3.Abdominal detail is normal._x000D_
4.The stomach contains an increased amount of gas, with prominent rugal folds._x000D_
5.The small intestines are mildly dilated, with a mixture of gas and fluid._x000D_
6.There is poorly formed feces in the ascending, transverse and descending colon.</t>
  </si>
  <si>
    <t>3 views of the thorax are provided for review.  The trachea is dorsally deviated, indicating left ventricular enlargement.  There is straightening of the caudal cardiac waist in the region of the left atrium.  Increased bronchial markings are present in all lung lobes.  No perihilar pulmonary infiltrates are seen.  The pulmonary vasculature is normal in size.  The mediastinal and pleural structures are normal.  Cranial abdominal detail is adequate.</t>
  </si>
  <si>
    <t>3 views of the abdomen are provided for review.  Serosal detail is adequate in all quadrants.  The stomach contains a moderate amount of mottled soft tissue material with mineral foci.  The small intestines are normal in size.  Gas and feces are present in the colon.  The urinary bladder is small.  The remaining abdominal organs are normal.</t>
  </si>
  <si>
    <t>3 views of the abdomen are provided for review.  Serosal detail is adequate in all quadrants.  The stomach contains a moderate amount of mottled and uniform soft tissue material.  The small intestines are normal in size.  Gas and feces are present in the colon.  The urinary bladder is small.  The remaining abdominal organs are normal.  The thoracic structures included are normal for the age of the patient.</t>
  </si>
  <si>
    <t>Patient name:  Bella Talerico
ABDOMEN (2 views; 2 images, [1 Lateral, 1 VD]) 
Images are dated May 31, 2024.
There are no previous radiographs for comparison. 
Liver: The liver is normal in size and shape with smooth margins.
Spleen: The spleen is normal in size and shape with smooth margins. 
Kidneys and urinary bladder: Both kidneys are normal in size and shape with smooth margins. The urinary bladder is moderately fluid distended. No radiopaque urinary calculi are detected. 
GI: The stomach contains a moderate volume of gas and amorphous soft tissue contents. No gastric enlargement is seen.  Diffusely the small intestines are mildly fluid dilated and located in the right abdomen. A few loops contain scant gas. Gas and formed feces are noted in the colon. 
Abdominal detail: Serosal detail is adequate.  An ovoid to elongated soft tissue structure superimposes the left kidney and occupies the region between the left kidney and spleen, consistent with the pancreas.   
MSK: Mild smooth new bone formation is detected along the ventral aspect of vertebral bodies L4-L7, variably bridging the intervertebral disc spaces.
Caudal thorax: No abnormalities are detected in the visible cardiopulmonary structures of the thorax.</t>
  </si>
  <si>
    <t>1) The appearance of the stomach, small intestines, and pancreas is consistent with pancreatitis and gastroenteritis as causes of anorexia.  Contents within the stomach may represent residual ingesta or foreign material.  There is no evidence of mechanical obstruction.      
2) Incidental lumbar spondylosis deformans</t>
  </si>
  <si>
    <t>Consider repeat radiographs following strict fasting to determine if gastric contents persist. CBC, biochemistry, and fPL could be considered if not already performed.
Abdominal ultrasound to further evaluate the pancreas and gastrointestinal tract can also be pursued.</t>
  </si>
  <si>
    <t>Study:_x000D_
Thoracic and abdominal radiography: five images dated May 5, 2024_x000D_
_x000D_
Findings:_x000D_
The cardiac silhouette and pulmonary vasculature are normal in size. Multiple punctate mineral foci consistent with incidental pulmonary osteomas are scattered throughout the pulmonary parenchyma. The pleural space is normal. There is no intrathoracic lymphadenopathy. The trachea is normal in diameter and course. Evaluation the abdomen is limited on the DV view due to the inherent visceral crowding of this projection The stomach contains a large amount of heterogeneous soft tissue material with interspersed mineral material. Similar material is present throughout the small intestines. The small intestines are normal in size and course. The colon contains gas and formed fecal material. The liver and spleen are normal in size and margin. The renal silhouettes are not clearly visualized due to visceral crowding. The urinary bladder is normal in size and opacity. The prostate is moderately enlarged. There is the impression of a mild amount of indistinct mineral in the ventral aspect of the prostate. There is variable mild to severe multifocal thoracolumbar and lumbosacral spondylosis deformans. There is multifocal thoracic intervertebral disc space narrowing.</t>
  </si>
  <si>
    <t>1. Prostatomegaly. Rule out benign prostatic hyperplasia, prostatitis or prostatic neoplasia. Sonography can be considered for further evaluation._x000D_
2. Gastrointestinal contents likely represent ingesta. Foreign material cannot be completely excluded. The gastrointestinal tract is otherwise unremarkable. Abdominal sonography and a G.I. panel can be considered to further evaluate for an enteropathy to explain the weight loss._x000D_
3. Normal appearance of liver does not exclude a hepatopathy. Abdominal sonography can be considered for further evaluation of the reported elevated liver enzyme values._x000D_
4. Incidental pulmonary osseous metaplasia=ZZ90= otherwise, unremarkable thorax.</t>
  </si>
  <si>
    <t>Study:_x000D_
Abdominal radiography: two images dated May 31, 2024_x000D_
_x000D_
Findings:_x000D_
The stomach contains heterogeneous soft tissue material and a small mineral opacity. The small intestines are normal in size, course and content. The colon contains a small volume of gas. The liver and spleen are normal in size and margin. The kidneys are normal in size and contour. The urinary bladder is not visualized and is likely small/empty. The included thorax is normal. The patient has had a prior right-sided femoral head and neck ostectomy.</t>
  </si>
  <si>
    <t>Gastric contents likely represent ingesta. Foreign material cannot be completely excluded. There is no evidence of small test mechanical obstruction. Repeat fasted radiography can be considered to ensure gastric emptying if clinically relevant based on recent dietary history.. Alternatively, sonography can be considered if clinical signs persist or worsen in spite of medical management.</t>
  </si>
  <si>
    <t xml:space="preserve">
1.On the VD projection, an increase in soft tissue opacity is noted in the left lateral abdomen. This is attributed to superimposition of the spleen and left kidney. The spleen appears normal on the lateral projection making splenomegaly a secondary consideration._x000D_
2.Serosal detail in the cranial abdomen is mildly decreased on the lateral projection._x000D_
3.A minimal quantity of soft tissue dense ingesta is visible in the stomach and there is mild prominence to the gastric rugae._x000D_
4.The small bowel is diffusely gas- and fluid-filled but without segmental bowel dilation._x000D_
5.The liver is normal._x000D_
6.No intestinal plication is seen.</t>
  </si>
  <si>
    <t>3 views of the abdomen are provided for review.  Serosal detail is adequate in all quadrants.  The stomach contains a moderate amount of amorphous soft tissue material.  The small intestines are normal in size.  Gas and feces are present in the colon.  The urinary bladder is small.  The remaining abdominal organs are normal.</t>
  </si>
  <si>
    <t xml:space="preserve">
1.The small intestine is of uniform population size and is diffusely of soft tissue opacity with minimal gas opacity._x000D_
2.No mechanical ileus is visualized._x000D_
3.The colon contains a mild amount of gas caudally and ill-formed heterogenous fecal material cranially._x000D_
4.There is a focal loss of serosal detail in the cranial abdomen on the VD projection._x000D_
5.The pyloroduodenal is widened and the proximal duodenum contains a mild amount of air._x000D_
6.The gastric lumen contains a mild amount of soft tissue and gas opacity._x000D_
7.The gastric rugae are prominent._x000D_
8.The liver and spleen are normal._x000D_
9.No abnormal AI findings reported.</t>
  </si>
  <si>
    <t>6 images of the spine are provided for review.  2 images of the pelvic limbs are not requested to be reviewed.  No fractures, luxations, or aggressive osseous lesions are seen.  Numerous hemivertebrae are present in the thoracic, lumbar, and sacrocaudal spine.  There is mild scoliosis centered at T13.  No mineralized intervertebral discs or overtly narrowed intervertebral disc spaces are seen.  Thin lines of osteophytes present on the femoral necks.  The soft tissue structures included are normal.</t>
  </si>
  <si>
    <t>Mild bilateral coxofemoral DJD.  Congenital hemivertebrae with secondary scoliosis.  This does not rule out intervertebral disc herniation or other causes of spinal cord compression.</t>
  </si>
  <si>
    <t>3 views of the abdomen are provided for review.  Serosal detail is adequate in all quadrants.  The stomach contains a small amount of granular material.  The small intestines are variable in diameter with slightly larger gas-filled segments in the caudal abdomen, but overall remain normal in size.  Gas and feces are present in the colon.  The cecum is gas-filled.  The urinary bladder is small.  The remaining abdominal organs are normal.</t>
  </si>
  <si>
    <t>Material within the stomach concerning for foreign material.  Variable small intestinal diameter may indicate enteritis or early/partial obstruction.</t>
  </si>
  <si>
    <t>Consider repeat radiographs following fasting and supportive therapy to monitor for gastric emptying and improvement/progress plan in the small intestinal pattern.</t>
  </si>
  <si>
    <t>3 views of the thorax are provided for review.  The trachea is dorsally deviated, indicating left ventricular enlargement.  The cardiac silhouette is also mildly widened with rounding of the right ventricular border.  Increased bronchial markings are present in all lung lobes.  The trachea is narrowed in the cervical region.  No perihilar pulmonary infiltrates are seen.  The pulmonary vasculature is normal in size.  The mediastinal and pleural structures are normal.  Cranial abdominal detail is adequate.</t>
  </si>
  <si>
    <t>Tracheal narrowing suggestive of tracheal collapse.  Fluoroscopy or bronchoscopy could be considered.  Moderate bronchial pulmonary pattern=ZZ90= consider bronchitis, response to inhaled irritants, response to circulating parasites, eosinophilic bronchopneumopathy.  Airway sampling may be helpful in further evaluation.  Generalized cardiomegaly without current evidence of cardiogenic pulmonary edema.  Echocardiography may be helpful in further evaluation.</t>
  </si>
  <si>
    <t xml:space="preserve">
1.The spleen is normal._x000D_
2.Cranial abdominal detail is minimally decreased. This is attributed to superimposition of the liver secondary to the hepatomegaly._x000D_
3.The pylorus is caudally displaced by the hepatomegaly. The gastrointestinal tract is minimally filled. A portion of the colon is gas filled._x000D_
4.The liver is mildly to moderately enlarged._x000D_
5.Hepatic margins are smooth.</t>
  </si>
  <si>
    <t>Study:_x000D_
Thoracic/abdominal radiography: four images dated May 31, 2024_x000D_
_x000D_
Compared to prior study dated March 1, 2024_x000D_
_x000D_
Findings:_x000D_
The cardiac silhouette and pulmonary vasculature are normal in size. The pulmonary parenchyma is unremarkable. No pulmonary nodules or masses are present. The pleural space is normal. There is no intrathoracic lymphadenopathy. The trachea is normal in diameter and course. The stomach contains ___. The small intestines are normal in size, course and content. The colon contains formed fecal material. The liver and spleen are normal in size and margin. The kidneys are normal in size and contour. As before, there is an irregularly marginated mineral opaque calculus in the urinary bladder. The stone is similar in size to the prior exam (0.6 cm). As previously noted, the T 13/L7 vertebrae are transitional and the 13th ribs are hypoplastic.</t>
  </si>
  <si>
    <t>1. Unchanged normal thorax. There is no radiographic evidence of cardiopulmonary or metastatic disease._x000D_
2. Persistent/static cystolith.</t>
  </si>
  <si>
    <t xml:space="preserve">
1.The liver is mildly enlarged but retains a smooth margin._x000D_
2.The spleen and kidneys are normal size._x000D_
3.The stomach contains a small amount of gas and the gastric rugae are prominent._x000D_
4.No abnormal AI findings reported.</t>
  </si>
  <si>
    <t>WHOLE-BODY (4 total radiographs for review). No previous for comparison._x000D_
_x000D_
- Peritoneal serosal detail is adequate_x000D_
- The stomach contains mild gas and gas-stippled soft-tissue opaque material_x000D_
- The small intestine contains mild multifocal gas and soft-tissue opaque material_x000D_
- The colon contains gas, soft-tissue/fluid and minimal formed fecal material._x000D_
- The liver, spleen, kidneys and urinary bladder are normal._x000D_
- Mild diffuse bronchial pulmonary pattern._x000D_
- The cardiac silhouette and pulmonary vasculature are normal._x000D_
- The pulmonary parenchyma is normal_x000D_
- The trachea, esophagus and remainder of the mediastinum is/are normal._x000D_
- The pleural space and remaining intrathoracic structures are normal._x000D_
- L1-2 and L2-3 disc space narrowing, locoregional cranial lumbar spondylosis deformans</t>
  </si>
  <si>
    <t>1. A discrete radiographic cause for the reported thrombocytopenia is not identified._x000D_
_x000D_
2. Normal post-prandial abdomen._x000D_
_x000D_
3. Mild diffuse bronchial pattern with few thickened pleural fissures. Most likely representing age-related lower airway changes, however a component of chronic bronchitis is possible, especially if there is a history of abnormal respiratory sounds, wheezing and/or coughing._x000D_
_x000D_
4. L1-2 and L2-3 intervertebral disc degeneration and locally extensive cranial lumbar spondylosis deformans.</t>
  </si>
  <si>
    <t>Study:_x000D_
Abdominal radiography: three images dated May 31, 2024_x000D_
_x000D_
Findings:_x000D_
The abdominal serosal detail is normal. The stomach contains a small amount of unstructured heterogeneous soft tissue material, presumed to be ingesta, and a small volume of gas. The thickness of the gastric wall and rugae are considered within normal limits for the degree of gastric distention. Some small intestinal segments contain a small amount of granular soft tissue material also presumed to be ingesta. The small intestines are normal in size, course and content. The colon contains poorly formed fecal material. The liver and spleen are normal in size and margin. The kidneys are normal in size and contour. The urinary bladder is normal in size and opacity. The right 13th rib is hypoplastic. The included thorax is normal. There is no prostatomegaly. The included thorax is unremarkable. The right 13th rib is hypoplastic.</t>
  </si>
  <si>
    <t>Unremarkable abdomen. A cause of the reported melena/diarrhea is not evident.</t>
  </si>
  <si>
    <t xml:space="preserve">Patient Name: Napu Lastimosa, Date of Study: May 31, 2024
Six images are provided for review. Two VDs and four Laterals. 
There are no previous radiographs for comparison.
Thorax:
Airway/Pulmonary Parenchyma: A diffuse bronchial pattern is present on the lateral projection. On the VD projection, an alveolar infiltrate is associated with the left cranial lung lobe secondary to atelectasis. 
Cardiovascular: The heart, CVC and pulmonary vasculature are small. 
Mediastinum: Fluid is present in the caudal thoracic esophagus. 
Pleural Space: Normal
Abdomen:
Liver: The liver is mildly enlarged but retains a smooth margin. 
Spleen: Normal
Kidneys and Urinary Bladder: The visible portion of the kidneys is normal. The urinary bladder is mildly distended. Centrally positioned cystic calculi are present. The prostate is of normal size. The visible portion of the urethra is normal; however, the entire urethra was not included in this study.
GI Tract : A sharply margined soft tissue structure consistent with a gastric foreign body is present in the stomach . On one of the lateral projections, a dilated segment of viscus appears in both descending and ascending duodenum locations . This finding cannot be confirmed on VD projection . A tubular soft tissue structure noted ventral to urinary bladder resides outside abdominal cavity. No gas within this structure was observed. Unformed feces found in colon show no evidence of constipation.
Abdominal Detail: Normal
Musculoskeletal System: Visible thoracic and lumbar spine appear normal, as does visible pelvis. Bilateral thigh muscle atrophy observed.
</t>
  </si>
  <si>
    <t xml:space="preserve">Pertaining to the clinical signs of anorexia and vomiting:
1) Suspected gastric and duodenal foreign bodies. Fluid in the caudal thoracic esophagus. DDx: esophagitis secondary to gastric foreign body vs. transient. 
2) No constipation noted. 
3) Potential inguinal hernia. 
Other:
4) Small heart and CVC consistent with dehydration/hypovolemia 
5) Cystic calculi. Normal urinary bladder size. No urethral calculi noted however the entire urethra is not included on this study. 
6) Mild hepatomegaly; DDX: fat deposition/vacuolar hepatopathy vs. metabolic disease (Cushing's disease, diabetes mellitus, hyperadrenocorticism), hepatitis or less likely infiltrative neoplasia 
7) No intra-abdominal mass noted. Prostate size makes cryptorchid unlikely. </t>
  </si>
  <si>
    <t xml:space="preserve">Abdominal ultrasound vs. abdominal CT to further assess the gastric and small intestinal contents. Treatment for dehydration and hypovolemia. Radiographs of the entire urethra. </t>
  </si>
  <si>
    <t>WHOLE-BODY (4 total radiographs for review). No previous for comparison._x000D_
_x000D_
- Peritoneal serosal detail is adequate_x000D_
- The stomach contains mild gas and gas-stippled soft-tissue opaque material_x000D_
- The small intestine contains mild multifocal gas and soft-tissue opaque material_x000D_
- The colon contains gas, soft-tissue/fluid and minimal formed fecal material._x000D_
- The liver, spleen, kidneys and urinary bladder are normal._x000D_
- Mild left-sided cardiomegaly, characterized by straightening of the caudal cardiac margin and dorsal displacement of the caudal aspect of the thoracic trachea._x000D_
- The pulmonary vasculature normal._x000D_
- The pulmonary parenchyma is normal_x000D_
- The trachea, esophagus and remainder of the mediastinum is/are normal._x000D_
- The pleural space and remaining intrathoracic structures are normal._x000D_
- Thin/hypoplastic right rib of T13._x000D_
- Transitional lumbosacral vertebral segment, with impression of fusion of the transverse processes of L7 relative to S1</t>
  </si>
  <si>
    <t>1. The appearance of the stomach, small intestine and colon can be compatible with a non-specific generalized functional ileus (e.g. gastroenterocolitis). There is no evidence of small intestinal foreign material or mechanical obstruction. If clinically indicated (such as if the patient does not improve or worsens despite medical management), abdominal ultrasonography might be considered._x000D_
_x000D_
2. Mild left-sided cardiomegaly, without pulmonary vasculature congestion or congestive heart failure. Most likely compatible with degeneration of the mitral valve. Consider careful cardiac auscultation and echocardiography/ECG for further assessment._x000D_
_x000D_
3. Transitional thoracolumbar and lumbosacral vertebral segments.</t>
  </si>
  <si>
    <t xml:space="preserve">
1.The liver and spleen are normal size and shape._x000D_
2.The stomach and small bowel are minimally filled. No evidence of obstruction._x000D_
3.Abdominal detail is adequate._x000D_
4.No abnormal AI findings reported.</t>
  </si>
  <si>
    <t>Two views of the thorax are provided for review and compared with the previous studies.  The cardiovascular structures are normal.  There is a moderate bronchial pattern in all lung lobes, similar to previous images.  The trachea is mild narrowed on the current study.  The mediastinal and pleural structures are normal.  Cranial abdominal detail is adequate.  The liver margin is rounded and extends beyond the costal arch, similar to previous images.</t>
  </si>
  <si>
    <t>Persistent bronchial pulmonary pattern=ZZ90= consider bronchitis, response to inhaled irritants, response to circulating parasites, eosinophilic bronchopneumopathy.  Airway sampling may be helpful in further evaluation.  No current evidence of tracheal collapse.  Persistent hepatomegaly.</t>
  </si>
  <si>
    <t xml:space="preserve">
1.On the lateral projection, there is increased soft tissue opacity in the region of the spleen._x000D_
2.On the lateral projection, abdominal detail, particularly caudal to the stomach, is mildly decreased._x000D_
3.On the lateral projection, the small bowel is diffusely gas- and/or fluid-filled. No segmental small bowel dilation is noted._x000D_
4.On the lateral projection, a portion of the cecum and/or colon is gas-filled and has a rigid appearance._x000D_
5.On the lateral projection, mild hepatomegaly with a smooth margin is present.</t>
  </si>
  <si>
    <t>SPINE/WHOLE-BODY (5 radiographs for review). No previous for comparison._x000D_
_x000D_
- Caudal cervical vertebral column normal._x000D_
- Multiple mid thoracic hemivertebral segments (wedge and butterfly shaped)_x000D_
- Mild multifocal thoracic spondylosis deformans._x000D_
- Thoracolumbar junction normal._x000D_
- L1-2 disc space collapse, mild endplate sclerosis and spondylosis._x000D_
- Moderate LS collapse and spondylosis_x000D_
- Congenital screw-tail vertebral anomaly._x000D_
- Peritoneal serosal detail is adequate_x000D_
- The stomach contains mild gas and gas-stippled soft-tissue opaque material_x000D_
- The small intestine contains mild multifocal gas and soft-tissue opaque material_x000D_
- The colon contains gas, soft-tissue/fluid and minimal formed fecal material._x000D_
- The tail of the spleen has a fairly rounded appearance on the VD projection._x000D_
- The liver, kidneys and urinary bladder are normal._x000D_
- The cardiac silhouette and pulmonary vasculature are normal._x000D_
- The pulmonary parenchyma is normal_x000D_
- The trachea, esophagus and remainder of the mediastinum is/are normal._x000D_
- The pleural space and remaining intrathoracic structures are normal._x000D_
- Mild bilateral coxofemoral OA.</t>
  </si>
  <si>
    <t>1. A discrete radiographic cause for the reported increased seizure frequency is not clearly identified._x000D_
_x000D_
2. The tail of the spleen has a fairly rounded appearance on the VD projection. It could be due to abnormal splenic folding, however I have some concern for a small splenic mass. I would recommend considering palpation and POCUS/A-FAST examination of the spleen to assess for a splenic mass._x000D_
_x000D_
3. Normal abdomen and thorax._x000D_
_x000D_
4. Possible L1-2 and L7-S1 intervertebral disc disease_x000D_
_x000D_
5. Multiple expected breed related mid-thoracic hemivertebrae and congenital screw tail vertebral malformation._x000D_
_x000D_
6. Mild bilateral coxofemoral OA.</t>
  </si>
  <si>
    <t xml:space="preserve">
1.The stomach is mildly gas and fluid filled with some soft tissue density material. The small bowel is gas and fluid-containing. No findings to indicate obstruction._x000D_
2.Abdominal detail is within normal limits._x000D_
3.Splenic size, shape and margin are normal._x000D_
4.The liver is mildly enlarged.</t>
  </si>
  <si>
    <t>Study:_x000D_
Thoracic/abdominal radiography: three images dated May 31, 2024_x000D_
_x000D_
Findings:_x000D_
There is moderate left ventricular and left atrial enlargement. The pulmonary vasculature is normal in size. The pulmonary parenchyma is unremarkable. The pleural space is normal. There is no intrathoracic lymphadenopathy. The cervical trachea lumen appears narrowed on the left lateral view in comparison to the right lateral projection. The stomach contains a small volume of gas. The small intestines are normal in size, course and content. The colon contains formed fecal material. The liver extends mildly beyond the costal arch with smooth and rounded margins. The kidneys are normal in size and contour. The urinary bladder is normal in size and opacity. Mild periarticular new bone formation is present at the caudodistal aspect of the humeral head bilaterally.</t>
  </si>
  <si>
    <t>1. Moderate left-sided cardiomegaly, indicative of mitral valve disease, without evidence of decompensation. Echocardiography should be considered for further evaluation._x000D_
2. Suspect chondromalacia and dynamic or receives/tracheal collapse. Fluoroscopy can be considered for further evaluation._x000D_
3.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4. The generalized hepatomegaly is nonspecific. Rule out metabolic/vacuolar hepatopathy, hyperplasia, hepatitis or infiltrative neoplasia. Correlate with any liver enzyme abnormalities. Sonography can be considered for further evaluation if clinically relevant._x000D_
5. Mild bilateral elbow osteoarthrosis.</t>
  </si>
  <si>
    <t xml:space="preserve">
1.Abdominal detail is diffusely decreased._x000D_
2.The abdomen is pendulous._x000D_
3.Gas filled and somewhat rigid Intestines are deviated by the mass._x000D_
4.The liver is partially obscured but appears mildly enlarged._x000D_
5.A mid-abdominal mass is identified._x000D_
6.On the lateral views, the mass is in the splenic region.</t>
  </si>
  <si>
    <t>4 images of the abdomen are provided for review. Serosal detail is adequate. The stomach contains a moderate amount of gas and the rugal folds are prominent. The small intestines are normal in size. Gas and feces are present in the colon. The remaining abdominal organs are normal.</t>
  </si>
  <si>
    <t>Prominent rugal folds suggestive of gastritis. This does not rule out underlying dietary indiscretion.</t>
  </si>
  <si>
    <t>If clinical signs persist with supportive therapy, abdominal ultrasound or repeat radiographs may be helpful in further evaluation.</t>
  </si>
  <si>
    <t xml:space="preserve">Patient Name : Olive Orth, Date of study: May 31, 2024
4 images are provided for review
Canine Abdomen (4 Images) - 1 Vd, 3 Lateral
There are no previous radiographs for comparison.
Liver: The liver is subjectively normal in size.
Spleen: The spleen is mildly enlarged and extends into the mid-ventral abdomen in the lateral images.
Kidneys: The kidneys are partially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admixed with gas.  Minimal granular mineral is mixed with gastric content.   No obvious pyloric gas in the left lateral image.  
The small intestine contains mild to moderate gas or mild fluid, or is empty.  In some images, a minority of angular gas is suspected in the lumen of the small intestine.  
The colon contains mild heterogeneous soft tissue material and gas.
Musculoskeletal: The included musculoskeletal structures are normal.
</t>
  </si>
  <si>
    <t xml:space="preserve">1.  Few suspicious small intestinal segments for linear foreign body, versus artifact, and/or underlying non-specific enteritis.
2. Gastric material is most likely due to recent meal and suspected dietary indiscretion with/without pyloric outflow tract obstruction.
- Concurrent gastritis is suspected.
3. Mild splenomegaly. 
- Differential diagnoses include extramedullary hematopoiesis, lymphoid hyperplasia, artifact, or unlikely other.
</t>
  </si>
  <si>
    <t xml:space="preserve">Empirical therapy and supportive care in the interim as needed.  Repeat abdominal radiographs after 8-12 hours of fasting to monitor for passage of gastric material and persistence/resolution os suspicious luminal gas in the small intestine.  If repeat imaging is inconclusive, consider abdominal ultrasonography.  If linear foreign material is confirmed, consider celiotomy and retrieval.  Monitoring as directed, or sooner if signs acutely change or worsen in the face of empirical therapy.  </t>
  </si>
  <si>
    <t xml:space="preserve">Patient Name: Maggie Cowan, Date of study: May 31, 2024
6 images are provided for review (2 VDs and 4 Laterals).
There are no previous radiographs for comparison.
Image evaluation: Obliquity affects image evaluation of both the thorax and abdomen but more severely the thorax. 
Thorax:
Airway/pulmonary parenchyma: The lungs are hypoinflated on all projections. A diffuse bronchial pattern is present with regions of central bronchial dilation. Portions of the lung cannot be evaluated due to processing artifact and overlying structures from rotation. 
Cardiovascular: The CVC is small. Left heart size is normal to slightly small based on the right lateral and VD projections. On the left lateral projections, the cardiac silhouette has a more rounded appearance and an increase in opacity in the heart base region but both of these findings may be secondary to obliquity and rotation. Additional thoracic radiographs are needed to further assess. 
Mediastinum: The cranial mediastinum cannot be assessed. No overt caudal thoracic megaesophagus is noted. 
Pleural space: No overt pleural fluid or pneumothorax is noted. 
Abdomen:
Liver: The liver is mildly enlarged displacing the stomach caudally. A round soft tissue liver lobe or liver mass is positioned centrally at the caudal aspect of the liver resulting in caudal displacement of the lesser curvature on the left lateral projection.  
Spleen: Normal
Kidneys and urinary bladder: Mild mineralization is present in the region of the renal diverticuli bilaterally, left more prominent than right. Several variably sized calculi are present centrally in the urinary bladder. Urinary bladder size is normal however the urinary bladder is located further cranial in the abdomen than is typical and there is an increase in soft tissue opacity between the urinary bladder and pelvic inlet. 
GI: The small bowel in the cranial abdomen is partially obscured but appears mildly dilated compared to the bowel loops in the caudal abdomen. The stomach is mildly ingesta filled and contains a mild to moderate quantity of gas. 
Abdominal detail: On the right lateral projection time stamped 3:00:23 PM, cranial abdominal detail is decreased, and a focal tear-drop gas opacity is caudal to the diaphragm and concerning for free abdominal air. Abdominal fat is present ventral to the stomach and in the retroperitoneal region on the lateral projections. 
Msk: L-S ventral spondylosis and periarticular osteophyte formation affects at least one stifle. </t>
  </si>
  <si>
    <t xml:space="preserve">1) Suspected centrally positioned hepatic mass. 
2) Decreased cranial abdominal detail with potential for free abdominal air on the same image. Rule out bowel perforation and septic peritonitis vs. less likely, artifact causing the gas opacity and hemorrhage from the suspected liver mass vs. other cause for abdominal fluid. 
3) Nephrolithiasis and non-obstructive cystic calculi. Appearance to the urinary bladder trigone and region cranial to the pelvic canal warrants further evaluation for a mass or other soft tissue structure in this region. No sublumbar lymph node enlargement noted. 
4) Diffuse bronchial pattern. The lungs cannot be assessed for soft tissue pulmonary nodules. 
5) Small CVC and potential rounded cardiac silhouette on the left lateral projection consistent with mild dehydration/hypovolemia. </t>
  </si>
  <si>
    <t xml:space="preserve">Repeat three view thoracic radiographs. Abdominal ultrasound with abdominal fluid collection for fluid analysis and cytology. Evaluation of the trigone/proximal urethral region during ultrasound. 
Urinalysis with culture if not recently performed. Repeat bloodwork to assess for evidence of inflammation. </t>
  </si>
  <si>
    <t>THORAX (3 total radiographs for review). No previous for comparison._x000D_
_x000D_
- There is moderate to marked left-sided cardiomegaly present that is characterized by dorsal displacement of the caudal aspect of the thoracic trachea and straightening of the caudal cardiac margin._x000D_
- The pulmonary vasculature is mildly diffusely distended._x000D_
- The pulmonary parenchyma is normal._x000D_
- The trachea, pleural space, mediastinum and remaining included intrathoracic structures are normal._x000D_
- No cranial abdominal abnormalities are identified._x000D_
- The included musculoskeletal structures are normal.</t>
  </si>
  <si>
    <t>1. Moderate-to-marked left-sided cardiomegaly, without pulmonary vasculature congestion or congestive heart failure. Most likely compatible with degeneration of the mitral valve. The left heart enlargement may be causing airway compression and be responsible for the patient=ZZ91=s coughing, although a component of tracheal collapse is also considered given the history and patient breed (although no discrete radiographic evidence of this is noted in this examination). Consider careful cardiac auscultation and echocardiography/ECG for further assessment. Workup/treatment for tracheal collapse may also provide some clinical benefit.</t>
  </si>
  <si>
    <t>Three radiographs of the thorax and three views of the abdomen are provided. The cardiac silhouette and pulmonary vessels are normal size and shape. Mild unstructured interstitial pattern is normal for the age and size of this patient. The esophagus is diffusely dilated with gas and small volume fluid on all views. There is no pleural effusion. Normal tracheal diameter._x000D_
_x000D_
Abdomen serosal detail is adequate. There is small volume gas in the stomach and throughout the small bowel. Gas in the cecum and colon, with small volume of formed feces in the distal colon. No radiopaque gastrointestinal foreign material or severe intestinal distention. Normal size liver, spleen, and kidneys. No radiopaque cystic calculi. Normal osseous structures.</t>
  </si>
  <si>
    <t>1. Megaesophagus. This may be due to esophagitis, myasthenia gravis, endocrinopathy (hypothyroidism, hypoadrenocorticism), idiopathic etiology. There is no aspiration pneumonia._x000D_
2. Normal abdomen. There is no radiopaque foreign material or evidence of an obstructive process. Small radiolucent gastric foreign material is not definitively ruled out.</t>
  </si>
  <si>
    <t>If confirmed patient is vomiting, gastroscopy should be considered. If vomiting persistent/severe, proceeding to exploratory surgery would be appropriate. If this is regurgitation, additional workup for megaesophagus would be recommended.</t>
  </si>
  <si>
    <t xml:space="preserve">
1.The liver is mildly enlarged but retains a smooth margin._x000D_
2.The stomach contains a small amount of gas._x000D_
3.Splenic size, shape and margin are normal._x000D_
4.Abdominal detail is normal._x000D_
5.The small bowel is diffusely gas- and fluid-filled without segmental small bowel dilation.</t>
  </si>
  <si>
    <t>Two views of the abdomen are provided for review.  Serosal detail is adequate in all quadrants.  The stomach contains a small amount of mottled soft tissue material.  The small intestines are normal in size.  Gas and feces are present in the colon.  The urinary bladder is small.  The remaining abdominal organs are normal.</t>
  </si>
  <si>
    <t xml:space="preserve">
1.No abnormal AI findings reported._x000D_
2.The liver and spleen are within normal limits._x000D_
3.The stomach is mildly gas and fluid filled with some soft tissue density material. The small bowel is gas and fluid-containing. No obvious obstruction._x000D_
4.Serosal detail is adequate.</t>
  </si>
  <si>
    <t xml:space="preserve">Patient Name : Roxy Gonzales, Date of study: May 31, 2024
3 images are provided for review
There are no previous radiographs for comparison.
The cranial abdomen is excluded from two images.
Liver: The liver is small with cranial displacement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soft tissue material admixed with gas.
The small intestine contains mild to moderate gas, fluid or is empty.  the small intestine is subjectively uniform in size.
The colon contains mild to moderate normal fecal material and gas.
Musculoskeletal: L2-3 and L4-5 spondylosis deformans is present.  The remaining included musculoskeletal structures are normal.
</t>
  </si>
  <si>
    <t>1. Microhepatia versus individual variation of normal.
 - If present, differential diagnoses include portosystemic shunt or unlikely chronic hepatitis/cirrhosis.
2. Moderate gastric material such as from recent meal versus gastritis/delayed gastric emptying, or unlikely pyloric outflow tract obstruction.
3. No evidence of radiopaque urocystoliths.</t>
  </si>
  <si>
    <t>Etiology of reported clinical signs is not definitively identified.  Consider routine blood work and repeat urinalysis, as well as urine culture/sensitivity testing.  Consider abdominal ultrasonography for further evaluation of the urinary bladder and kidneys.  Consider contrast vagniocystourethrography for further evaluation of the vulva/vagina and urethra, especially if other diagnostics are inconclusive.   BRAF testing may be contributory.  Empirical therapy and supportive care in the interim as needed.</t>
  </si>
  <si>
    <t xml:space="preserve">Patient Name : Tallulah Melero, Date of study: May 31, 2024
4 images are provided for review
Canine Abdomen (4 Images) - 2 Lateral, 2 Vd
There are no previous radiographs for comparison.
Liver: The liver is subjectively normal in size in the ventrodorsal image.  The liver is equivocally small in the lateral images, with cranial dispalcement of the gastric axis.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mild volume of gas and fluid.  Minimal gas is suspected in the pylorus in the left lateral image.  Minimal prominent gastric rugal folds in the ventrodorsal image.
The small intestine contains mild gas, fluid or is empty with a subjectively uniform population for size. 
The colon contains mild to moderate heterogeneous soft tissue material and gas.  the colon is normal in size.  
Musculoskeletal: Spondylosis deformans at TT10-11, t12-13, L1-2, L6-7 and L7-S1.  The remaining included musculoskeletal structures are normal.
</t>
  </si>
  <si>
    <t xml:space="preserve">1. Equivocal microhepatia versus individual variation of normal.  
- If present, differential diagnoses include portosystemic shunting vessel or microvascular dysplasia, or unlikely chronic hepatitis/cirrhosis. 
2. Mild gastric and small intestinal variation of normal, versus non-specific gastroenteritis such as from dietary indiscretion, toxin ingestion, inflammatory bowel disease or other.
3. There is no evidence of small intestinal mechanical ileus.  
</t>
  </si>
  <si>
    <t xml:space="preserve">CBC/serum biochemistry and possibly GI panel as well as abdominal ultrasonography for further evaluation. Bile acid testing may be contributory.  Empirical therapy and supportive care in the interim as needed.   Monitoring as directed, or sooner if signs acutely change, fail to improve or worsen.  </t>
  </si>
  <si>
    <t xml:space="preserve">Patient Name : Sadie Meyers, Date of study: May 31, 2024
4 images are provided for review
There are no previous radiographs for comparison.
Liver: The liver is subjectively normal in size.
Spleen: The spleen is normal in size with smooth margins and homogeneous soft tissue.
Kidneys: The kidneys are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mild volume of gas or is empty.  Gas is in the pylorus in the left lateral image.  Gastric rugal folds are mildly prominent in the ventrodorsal image.
The small intestine contains mild gas with a subjectively uniform population for size. 
The colon contains mild heterogeneous admixed soft tissue material and gas.  The colon is normal in size.  
Musculoskeletal: The included musculoskeletal structures are normal.
</t>
  </si>
  <si>
    <t xml:space="preserve">1. Normal variation versus prominent gastric rugal folds such as from non-specific gastritis.
2. Non-specific small intestinal changes such as from enteritis due to inflammatory bowel disease, dietary indiscretion, toxin ingestion, diet/antibiotic responsive disease, parasitism/primary infectious disease, or unlikely other.
3. There is no evidence of small intestinal mechanical ileus on this examination.
</t>
  </si>
  <si>
    <t>Empirical therapy and supportive care for suspected enteritis and possible gastritis.  Fecal analysis/empirical deworming, GI panel, and CBC/serum biochemistry may be contributory.  Consider ultrasonography of the abdomen, especially if signs fail to improve, change or worsen with empirical therapy.  Consider internist consultation and diet elimination trial.</t>
  </si>
  <si>
    <t xml:space="preserve">
1.Serosal detail is normal._x000D_
2.No abnormal AI findings reported._x000D_
3.The liver and spleen appear within normal limits._x000D_
4.Small intestines are diffusely mild to moderately filled with fluid and gas. No convincing obstruction._x000D_
5.The stomach contains small volume fluid and gas.</t>
  </si>
  <si>
    <t>Study:_x000D_
Abdominal radiography: three images dated May 31, 2024_x000D_
_x000D_
Findings:_x000D_
The stomach and some small intestinal segments contain unstructured heterogeneous/granular soft tissue material. The small intestines are normal in size and course. The colon contains gas and a small amount of poorly formed fecal material with a normal diameter. The liver and spleen are normal in size and margin. The renal silhouettes are normal in size and contour. The urinary bladder is normal in size and opacity. There is no prostatomegaly. The included thorax is normal. The osseous structures are unremarkable. The patient is of overweight body condition.</t>
  </si>
  <si>
    <t xml:space="preserve">
1.Splenic size, shape and margin are normal._x000D_
2.Formed feces in the distal colon._x000D_
3.The stomach and small bowel are minimally filled._x000D_
4.On the lateral projection, the liver is mildly enlarged with rounded margins. The ventral abdominal line is pendulous._x000D_
5.No abnormal AI findings reported._x000D_
6.On the VD projection, a mild asymmetric increase in soft tissue opacity is noted in the cranial abdomen. DDx: superimposition of the hepatomegaly and GI tract vs. far less likely, caudal extension of a hepatic mass.</t>
  </si>
  <si>
    <t xml:space="preserve">Patient Name: Gertie Scott, Date of study: May 31, 2024
5 images are provided for review
Canine Thorax (5 Images) - 4 Lateral, 1 VD
There are no previous radiographs for comparison.
Neck: There is increased soft tissue and caudal displacement to the larynx on the right lateral projection. No naso- or oropharyngeal dilation is noted. Mild thickening of the soft palate is present. The entire trachea has decreased diameter. 
Thorax:
Airway/pulmonary parenchyma: Consolidation of the right middle lung lobe is present. An interstitial pattern affects the remaining lung lobes. The intrathoracic tracheal diameter is decreased on the lateral projections. On the VD projection, the trachea is positioned towards the left of midline.
Cardiovascular: The cardiac silhouette is small. The CVC size is small. 
Mediastinum: Diffuse, moderate esophageal dilation is present consistent with a megaesophagus. 
Pleural space: No significant pleural fluid is present. 
Cranial abdomen: The liver is minimally enlarged but retains a smooth margin. 
Msk: T1 is bifid. Congenital vertebral anomalies affect the mid-thoracic vertebrae. </t>
  </si>
  <si>
    <t xml:space="preserve">1) Megaesophagus with aspiration pneumonia. Dehydration. 
2) Decreased tracheal diameter. DDx: secondary to inflammation vs. congenital hypoplasia.
3) Tracheal displacement to the left of midline on the VD projection. DDx: secondary to megaesophagus vs. secondary to displacement by a congenital abnormality, potentially associated with the megaesophagus. 
4) Caudal retraction of the larynx and increased soft tissue. Inflammation +/- partial upper airway obstruction. </t>
  </si>
  <si>
    <t xml:space="preserve">Treatment for aspiration pneumonia. Treatment for megaesophagus. Fluid therapy. Recheck thoracic radiographs in 5-7 days after starting therapy, sooner if clinically warranted. </t>
  </si>
  <si>
    <t xml:space="preserve">
1.The spleen and liver silhouettes are within normal limits._x000D_
2.No abnormal AI findings reported._x000D_
3.Serosal detail is normal._x000D_
4.The stomach contains small-volume amorphous soft tissue opacity and gas. Small intestines are diffusely mildly filled with fluid.</t>
  </si>
  <si>
    <t>4 images of the abdomen are provided for review.  Serosal detail is adequate in all quadrants.  There is rounding of the masslike appearance to the tail of the spleen the stomach contains a small amount of gas and the rugal folds are prominent.  The small intestines are normal in size.  Gas is present in the colon.  The urinary bladder is small.  No mineral is seen associated with the urine tract the remaining abdominal organs are normal.</t>
  </si>
  <si>
    <t>Prominent rugal folds suggestive of gastritis.  This does not rule out underlying pancreatitis, dietary indiscretion, etc.  The appearance of the spleen and may indicate hematoma, neoplasia, large regenerative nodule, partial torsion.</t>
  </si>
  <si>
    <t xml:space="preserve">
1.No segmental dilation of the small intestine is seen._x000D_
2.Material is identified in the stomach._x000D_
3.Gastric rugal folds appear prominent._x000D_
4.Liver size, shape and margin are normal._x000D_
5.Splenic size, shape and margin are normal._x000D_
6.Serosal detail appears mildly reduced in the cranial abdomen._x000D_
7.The colon is mildly gas dilated and has a rigid appearance.</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</si>
  <si>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small amount of gas.  The small intestines are normal in size.  Gas and feces are present in the colon.  The urinary bladder contains numerous variably sized mineral structures.  Mineral is present in the left renal diverticula.  The kidneys are small.  The remaining abdominal organs are normal.</t>
  </si>
  <si>
    <t>Chronic renal changes with nephrolithiasis.  Cystic calculi.  Radiographically normal thorax for patient of this age.</t>
  </si>
  <si>
    <t>Abdominal ultrasound could be considered in further evaluation of the gastrointestinal tract and pancreas.</t>
  </si>
  <si>
    <t>Three radiographs of the thorax/abdomen are provided. The left atrium is visible on the VD projection, but no enlargement is appreciated on the lateral views. Pulmonary vessels are normal size. No abnormalities in the pulmonary parenchyma or along the plane of the esophagus. No pleural effusion. Normal tracheal diameter. Physes are age appropriate. In the abdomen the stomach contains a moderate amount of soft tissue density and small accumulation of small mineral opaque debris. Small and large bowel are moderately distended. There are several punctate mineral densities in the intestines. Serosal detail is adequate. The liver, spleen, and left kidney are normal size. The right kidney is obscured. No radiopaque cystic calculi.</t>
  </si>
  <si>
    <t>1. Normal thorax. The reason for gagging is not identified. There is no evidence of megaesophagus or aspiration pneumonia._x000D_
2. Normal postprandial abdomen. Mineral debris within the stomach is most likely a component of normal diet and/or administered medications. Foreign material causing gastritis is given secondary consideration.</t>
  </si>
  <si>
    <t>Recommend visual inspection of the pharyngeal/laryngeal region. If the vomiting persists, repeat fasting abdominal radiographs +/- positive contrast gastrogram could be considered to rule out gastric foreign material.</t>
  </si>
  <si>
    <t>Eight radiographs of the thorax, abdomen, and spine are provided. Images dated 4/7/22 and earlier are available for comparison. There is mild left sided cardiomegaly, similar to the previous study. Pulmonary vessels and caudal vena cava are normal size. Mild age-related changes are present in the lungs. No pleural effusion. Redundant dorsal trachealis membrane in the cervical region, of uncertain significance today. No cervical spinal abnormalities are appreciated. There is mild degenerative change in the shoulders._x000D_
_x000D_
In the abdomen there is no effusion. Ventral liver margins are not included on the lateral view to assess hepatic size. The gastrointestinal tract is mildly filled. No radiopaque cystic calculi. Normal-sized spleen and kidneys. No definitive narrowed lumbar intervertebral disc spaces. No endplate lysis. Persistent subluxation at the sacral caudal junction, with punctate mineral density overlying the ventral aspect of the spinal canal. Vertebral alignment is otherwise normal.</t>
  </si>
  <si>
    <t>1. Mild left-sided cardiomegaly consistent with acquired mitral valve disease. There is no pulmonary venous congestion or evidence of heart failure. This is similar to the previous study. No other thoracic abnormalities._x000D_
2. Persistent sacral caudal subluxation. No other definitive spinal abnormalities. A non-mineralized intervertebral disc protrusion/extrusion in the lumbar spine remains possible._x000D_
3. Normal abdomen.</t>
  </si>
  <si>
    <t>If the patient does not rapidly improve with anti-inflammatories and strict rest, consultation with a neurologist and advanced spinal imaging with MRI/CT would be recommended.</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</si>
  <si>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t>
  </si>
  <si>
    <t>Three radiographs of the thorax, and three views of the abdomen are provided. The cardiac silhouette and pulmonary vessels are normal size and shape. There are no abnormalities in the pulmonary parenchyma. No pleural effusion. Normal tracheal diameter and position. There is scant fluid in the caudal esophagus on the lateral views but there is no persistent/significant esophageal dilation. Congenital vertebral malformations in the thoracic spine are likely incidental._x000D_
_x000D_
In the abdomen formed feces fills the distal colon. Small bowel are minimally filled. There is scant gas in the stomach. The cecum is gas-filled. Normal size liver, spleen, left kidney. The right kidney is obscured. No radiopaque cystic calculi.</t>
  </si>
  <si>
    <t>Normal thorax and abdomen. A reason for the clinical signs is not identified. Small radiolucent gastric foreign material causing gastritis and intermittent pyloric outflow obstruction should be considered. A sliding hiatal hernia could also cause regurgitation.</t>
  </si>
  <si>
    <t>Endoscopy should be considered to evaluate the esophagus and stomach.</t>
  </si>
  <si>
    <t xml:space="preserve">
1.Liver size, shape and margin are normal._x000D_
2.Splenic size, shape and margin are normal._x000D_
3.Serosal detail is adequate to slightly decreased._x000D_
4.There is a heterogeneous soft tissue opacity associated with the gastric lumen._x000D_
5.The small intestines have a diffuse fragmented gas pattern.</t>
  </si>
  <si>
    <t>3 views of the thorax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t>
  </si>
  <si>
    <t xml:space="preserve">
1.The stomach is mildly gas and fluid filled with some soft tissue density material. The small bowel is gas and fluid-containing. No obvious obstruction._x000D_
2.The liver is at the upper limits of normal for size and retains a smooth margin. The spleen appears within normal limits._x000D_
3.No abnormal AI findings reported._x000D_
4.Abdominal detail is normal.</t>
  </si>
  <si>
    <t>Three lateral radiographs of the thorax/abdomen, and two thoracic limb views are provided. The cardiac silhouette is upper normal size for this breed. No abnormalities in the pulmonary parenchyma. No pleural effusion. Normal tracheal diameter. No cervicothoracic spinal abnormalities are appreciated. No left glenohumeral or cubital joint abnormalities are appreciated. No carpal, metacarpal abnormalities. The distal ungual process of the right 5th digit is absent, with no osseous proliferation. There is no soft tissue swelling._x000D_
_x000D_
In the abdomen the liver is mildly enlarged with rounded caudoventral margins. Normal-sized spleen and kidneys. The gastrointestinal tract is moderately filled. No radiopaque cystic calculi. Mineral density overlying the L4-5 and L5-six intervertebral foramina is of doubtful clinical significance today.</t>
  </si>
  <si>
    <t>1. Absent distal ungual process of the right thoracic limb 5th digit, nurse likely due to previous trauma. Lysis due to paronychia or neoplasia is given lesser consideration but would be suspected if the patient had soft tissue swelling or discomfort in this digit. No left thoracic limb abnormalities are appreciated to explain the lameness. Soft tissue sprain/strain is most likely. A lateralized intervertebral disc lesion is next on the differential list._x000D_
2. Mild hepatomegaly with rounded margins, consider neoplasia or hepatopathy. This should be correlated with history and blood work. No other abdominal abnormalities._x000D_
3. Normal thorax.</t>
  </si>
  <si>
    <t>Recommend palpate for spinal discomfort and a neurologic examination. If there are no significant abnormalities appreciated, this patient may benefit from anti-inflammatories and strict rest.</t>
  </si>
  <si>
    <t>Three radiographs of the abdomen are provided. There is no peritoneal or retroperitoneal effusion. The stomach contains a small amount of fluid, gas, and a few smoothly irregular ovoid rock-like mineral densities measuring up to 0.8 cm. No other radiopaque foreign material. All bowel are minimally filled. There is gas and small volume of formed feces in the cecum and colon. Normal-sized liver, spleen, left kidney. The right kidney is incompletely visible. No radiopaque urolithiasis. Normal caudal thorax.</t>
  </si>
  <si>
    <t>Small rock-like objects within the stomach. This may represent administered medications or ingested foreign material. There is no evidence of an obstructive process, however this could be responsible for gastritis. Otherwise normal abdomen.</t>
  </si>
  <si>
    <t xml:space="preserve">
1.No abnormal AI findings reported._x000D_
2.Abdominal detail is mildly decreased._x000D_
3.The stomach is mildly gas and fluid filled with some soft tissue density material. The small bowel is gas and fluid-containing with regions of mild distension. No signs of complete obstruction._x000D_
4.The liver and spleen are normal size.</t>
  </si>
  <si>
    <t>Three radiographs of the thorax, and a lateral view of the thorax/abdomen are provided. The cardiac silhouette and pulmonary vessels are normal size and shape. Mild unstructured interstitial pattern is normal for the age of this patient. There is fat deposition in the cranial mediastinum. Moderate to severe narrowed cervical trachea. No definitive narrowed cervical intervertebral disc spaces. Vertebral alignment is normal. There is no endplate lysis. In the abdomen there is no effusion or organomegaly. The gastrointestinal tract is minimally filled. No radiopaque urolithiasis. Possible narrowed T13-L1 intervertebral disc space.</t>
  </si>
  <si>
    <t>1. The appearance of T13-L1 is suggestive of a protruding/extruded intervertebral disc. No other definitive spinal abnormalities. Cervical intervertebral disc disease remains possible. Soft tissue sprain/strain is next on the differential list._x000D_
2. Cervical tracheal collapse. No intrathoracic abnormalities._x000D_
3. Normal abdomen.</t>
  </si>
  <si>
    <t>Current treatment is appropriate. If neck pain persists or if the patient develops neurologic deficits, consultation with a neurologist and advanced spinal imaging such as MRI would be recommended.</t>
  </si>
  <si>
    <t>Study:_x000D_
Thoracic radiography: four images dated May 31, 2024_x000D_
_x000D_
Findings:_x000D_
The cardiac silhouette and pulmonary vasculature are normal in size. The pulmonary parenchyma is unremarkable. The pleural space is normal. There is no intrathoracic lymphadenopathy. There is a broad-based soft tissue opaque band superimposed with the dorsal aspect of the cervical trachea lumen representing other redundant dorsal tracheal membrane or superimposition of the esophagus. The trachea is normal in diameter and course. The included abdomen is unremarkable. The T 13 vertebra is transitional with a hypoplastic rib on the left and no appreciable rib on the right.</t>
  </si>
  <si>
    <t>Unremarkable thorax. There is no radiographic evidence of cardiopulmonary disease. A cause of coughing is not evident. Lack of a definitive bronchial pulmonary pattern does not exclude the possibility of allergic/inflammatory, infectious, irritant or parasitic bronchitis. Normal diameter of the trachea does not exclude the possibility of dynamic airway disease.</t>
  </si>
  <si>
    <t>Fluoroscopy, airway sampling, heartworm testing and Baermann fecal flotation can be considered for further evaluation of the reported coughing.</t>
  </si>
  <si>
    <t>WHOLE-BODY (7 total radiographs for review). No previous for comparison._x000D_
_x000D_
- Peritoneal serosal detail is adequate_x000D_
- The stomach contains moderate gas and mild gas-stippled soft-tissue opaque material. A small metallic opacity and multiple tiny granular mineral opacities are present in dynamic intraluminal position._x000D_
- The small intestine contains mild multifocal gas and soft-tissue opaque material_x000D_
- The colon contains gas, soft-tissue/fluid and minimal formed fecal material._x000D_
- The liver is moderately enlarged, with rounded margins._x000D_
- The spleen, kidneys and urinary bladder are normal._x000D_
- The cardiac silhouette and pulmonary vasculature are normal._x000D_
- on both lateral projections, in the third intercostal space superimposed ventral to the mid thoracic trachea there is a round soft tissue opaque nodule (7.9 x 11 mm)_x000D_
- The trachea, esophagus and remainder of the mediastinum is/are normal._x000D_
- The pleural space and remaining intrathoracic structures are normal._x000D_
- There is a lobular, fat opaque mass in the left axillary region._x000D_
- No musculoskeletal abnormalities are noted, besides mild multifocal spondylosis deformans.</t>
  </si>
  <si>
    <t>1. A discrete radiographic cause for the reported lethargy is not clearly identified. You may consider abdominal ultrasonography in this patient for further assessment._x000D_
_x000D_
2. Moderate generalized hepatomegaly. Most likely representing vacuolar (metabolic) hepatopathy. Hepatic congestion, hepatitis or neoplasia are possible, but less likely._x000D_
_x000D_
3. Aerophagia and mild non-specific metallic and mineral gastric foreign material._x000D_
_x000D_
4. I have concerns for the presence of a pulmonary nodule in the 3rd intercostal space. I cannot distinctly see the area orthogonally (however the left hemithorax seems most likely as the lesion is larger and more prominent on the RLAT image). There does not appear to be any superimposed body wall nodules (the presence of which would indicate the nodule is artefactual/exterior to the body). Consider palpation over the body wall area to confirm no nodules are present, and rechecking thoracic radiographs with time to evaluate the lesion (or performing thoracic CT). If real, this could be an early primary pulmonary neoplasia (e.g. carcinoma), a metastatic lesion from an unseen primary mass, or less likely a pulmonary granuloma or abscess.</t>
  </si>
  <si>
    <t>WHOLE-BODY (3 total radiographs for review). No previous for comparison._x000D_
_x000D_
- Peritoneal serosal detail is adequate_x000D_
- The stomach contains mild gas and gas-stippled soft-tissue opaque material_x000D_
- The small intestine is diffusely distended with homogenous soft tissue/fluid._x000D_
- The colon contains gas, soft-tissue/fluid and minimal formed fecal material._x000D_
- The liver, spleen, kidneys and urinary bladder are normal._x000D_
- There is the impression of mild left-sided cardiomegaly present, characterized by dorsal displacement of the caudal aspect of the thoracic trachea and straightening of the caudal cardiac margin._x000D_
- The pulmonary vasculature is normal._x000D_
- The pulmonary parenchyma is normal_x000D_
- There is a soft tissue opaque band dorsally overlying the trachea at the level of the thoracic inlet._x000D_
- The esophagus and remainder of the mediastinum is/are normal._x000D_
- The pleural space and remaining intrathoracic structures are normal._x000D_
- No musculoskeletal abnormalities are noted.</t>
  </si>
  <si>
    <t>1. The appearance of the stomach, small intestine and colon can be compatible with a non-specific generalized functional ileus (e.g. gastroenterocolitis). There is no evidence of small intestinal foreign material or mechanical obstruction. If clinically indicated (such as if the patient does not improve or worsens despite medical management), abdominal ultrasonography might be considered._x000D_
_x000D_
2. Mild left-sided cardiomegaly, without pulmonary vasculature congestion or congestive heart failure. Most likely compatible with degeneration of the mitral valve. Consider careful cardiac auscultation and echocardiography/ECG for further assessment._x000D_
_x000D_
3. The appearance of the trachea at the level of the thoracic inlet can be compatible trachea collapsed secondary to chondromalacia.</t>
  </si>
  <si>
    <t>3 views of the abdomen are provided for review.  Serosal detail is adequate in all quadrants.  The stomach contains a small amount of mottled soft tissue material.  The small intestines are normal in size.  Gas and feces are present in the colon.  The urinary bladder is small.  The remaining abdominal organs are normal.</t>
  </si>
  <si>
    <t>WHOLE-BODY (7 total radiographs for review). A previous examination is available for comparison from February 2024._x000D_
_x000D_
- Peritoneal serosal detail is adequate_x000D_
- There is reduced retroperitoneal serosal detail, with wispy soft-tissue opacities noted in the retroperitoneal space, obscuring fascial planes._x000D_
- The stomach contains mild gas and gas-stippled soft-tissue opaque material_x000D_
- The small intestine contains mild multifocal gas and soft-tissue opaque material_x000D_
- The colon contains gas, soft-tissue/fluid and formed fecal material._x000D_
- The liver, spleen and urinary bladder are normal._x000D_
- The cardiac silhouette and pulmonary vasculature are normal._x000D_
- The pulmonary parenchyma is normal_x000D_
- The trachea, esophagus and remainder of the mediastinum is/are normal._x000D_
- The pleural space and remaining intrathoracic structures are normal._x000D_
- No musculoskeletal abnormalities are noted.</t>
  </si>
  <si>
    <t>1. A am concerned for the presence of retroperitoneal effusion/steatitis in this patient, which itself is a non-specific radiographic finding. As there is a an anemia and low platelets reported, this could be hemorrhage secondary to coagulopathy, such as anticoagulant rodenticide toxicosis. Other considerations would include renal inflammation (e.g. pyelonephritis) or an unseen, bleeding retroperitoneal mass. You may consider ruling out rodenticide toxicosis and potentially performing focused sonographic assessment of the retroperitoneal space and kidneys/ureters (with centesis of any fluid pockets, if visible), as well as whole-body CT in this patient._x000D_
_x000D_
2. Normal thorax.</t>
  </si>
  <si>
    <t>Seven orthogonal survey radiographs of the thorax and abdomen dated 30th May 2024 are available for review. There are no previous radiographs available for comparison. _x000D_
_x000D_
Thorax: _x000D_
Airway findings: The tracheal diameter is mildly variable. The thoracic trachea is normal. There is a mild bronchial opacification. An overlying interstitial opacification is present consistent with body habitus. No nodules or masses are seen._x000D_
_x000D_
Cardiovascular findings: There is a moderate sized smoothly marginated soft tissue opacity contiguous with the caudal dorsal border of the cardiac silhouette. A soft tissue opacity is superimposed on the caudal cardiac silhouette in the dorsoventral image.  The overall cardiac silhouette is still within normal limits. The pulmonary vessels as well as the mainstem vasculature are normal._x000D_
_x000D_
Mediastinum and pleural space: There is increased ventral pleural and cranial mediastinal fat._x000D_
_x000D_
Abdomen: There is smoothly marginated hepatomegaly. The stomach contains some kibble, and has a mild caudal displaced axis. The small intestines are distributed evenly and are within normal limits for shape, size and contents. The ascending, transverse and descending colon have a normal position and contain gradually more formed faeces. The urinary bladder is small. The kidneys are partially obscured by gastrointestinal contents, but the visible aspect are normal. The spleen is normal._x000D_
_x000D_
Musculoskeletal findings: Frontal to the larynx there is a lobular/spherical soft tissue mass. The mass reduces the dorsoventral diameter of the pharynx chest cranial to the larynx. The arytenoid cartilage is dorsally displaced. The larynx is irregular in outline.</t>
  </si>
  <si>
    <t>1. Ventral laryngeal mass: Thyroid is adenoma, adenocarcinoma is most likely. Another soft tissue sarcoma, abscess is possible. This is most likely cause for the respiratory obstruction._x000D_
2. Left atrial dilation. This is most likely due to mixoid degeneration of the mitral valve. There is no evidence for cardiac insufficiency. _x000D_
3. The bronchial pattern is most likely consistent with normal ageing/fibrosis from previous disease. The interstitial opacification is due to body habitus. Low-grade pulmonary oedema could be masked.</t>
  </si>
  <si>
    <t>Referral for emergency establishment of open area. Musculoskeletal ultrasound and FNA is advised after stabilisation. A contrast enhanced CT is advised afterwards. Depending on findings, and oncology surgical consultation may be considered._x000D_
Radiography is insensitive for early cardiac insufficiency, therefore ECG, blood pressure measurements, and echocardiography may be considered for further evaluation, or baseline measurements.</t>
  </si>
  <si>
    <t xml:space="preserve">
1.Resource: https://platform.v2.vetology.net/doc/cushings_1_x000D_
2.The liver is enlarged but retains a smooth margin._x000D_
3.Pickwickian syndrome resource: https://platform.v2.vetology.net/doc/pickwickian_syndrome_x000D_
4.Splenic size, shape and margin are normal._x000D_
5.Abdominal detail is normal._x000D_
6.The abdomen is pendulous secondary to intra-abdominal fat deposition and hepatomegaly._x000D_
7.The stomach is displaced caudally by the hepatomegaly. The small bowel is diffusely gas- and fluid-filled without segmental small bowel dilation.</t>
  </si>
  <si>
    <t>Abdomen: On the ventrodorsal view there is an unusual gas pattern associated with the right cranial abdomen.  There is poor serosal detail which compromises evaluation of the abdominal viscera.  Patient appears thin.  Intervertebral disc spaces T13-L1 through L2-3 appear narrowed.  Spondylosis deformans is associated with these vertebra._x000D_
_x000D_
Thorax: It is difficult to assess the thorax on the lateral view due to moderate rotational obliquity.  There are no abnormalities identified on the ventrodorsal view.</t>
  </si>
  <si>
    <t>The unusual gas pattern within the right cranial abdomen may represent normal appearance of the ascending colon with fecal material within it.  Alternatively a bowel wall mass cannot be ruled out._x000D_
_x000D_
Poor serosal detail most likely secondary to low amounts of intra-abdominal fat._x000D_
_x000D_
Suspect multiple regions of intervertebral disc disease.</t>
  </si>
  <si>
    <t>Radiographically normal abdomen.  Mild left atrial enlargement.  A specific cause for coughing is not identified.</t>
  </si>
  <si>
    <t>SPINE (4 total radiographs for review). A previous examination is available for comparison from 2022._x000D_
_x000D_
- In the thoracolumbar region, there are multiple irregular, wedge- and butterfly shaped hemivertebral segments that are associated with a mild kyphosis and leftward scoliosis. In the area, there is moderate multifocal spondylosis deformans.A thin rib originated from the left side of the vertebral body of L1._x000D_
- The majority of the lumbar vertebral column is normal, except for mild lumbosacral spondylosis deformans._x000D_
- The sacroiliac joints and coxofemoral joints are normal._x000D_
- There is a congenital screw-tail vertebral anomaly present.</t>
  </si>
  <si>
    <t>1.Although a discrete cause for the reported clinical signs is not distinctly identified, in the thoracolumbar region there is marked spinal deformity (e.g. hemivertebrae, kyphoscoliosis, transitional L1 segment), which could imply spinal disease such as compressive myelopathy at this level or nearby. Ultimately radiographic sensitivity for lesions affecting the spine can be poor. There are no fractures, luxations or aggressive bone lesions appreciated. If the patient=ZZ91=s pain and neurologic symptoms are persistent or did not improve with medical management and exercise modification, consider neurology consultation +/- advanced imaging of the spine (CT/MRI)._x000D_
_x000D_
2. Congenital screw tail vertebral anomaly and mild lumbosacral spondylosis deformans._x000D_
_x000D_
3. Aerophagia.</t>
  </si>
  <si>
    <t>Two views of the thorax are provided for review.  The trachea is dorsally deviated, indicating left ventricular enlargement.  A small bulge is present in the region of the left atrium.  No pulmonary infiltrates are seen.  The pulmonary vasculature is normal in size.  The mediastinal and pleural structures are normal.  Cranial abdominal detail is adequate.</t>
  </si>
  <si>
    <t xml:space="preserve">
1.No abnormal AI findings reported._x000D_
2.No abnormal AI findings reported._x000D_
3.Hepatomegaly extends caudally. Prominent spleen +/- splenic mass versus superimposition of adjacent organs._x000D_
4.The stomach contains a mild volume of heterogeneous soft tissue material and gas.  The intestines are normal in size and content.</t>
  </si>
  <si>
    <t>A three view study of the abdomen is provided for interpretation._x000D_
_x000D_
Multiple well mineralized fetal skeletons within a soft tissue structure identified, consistent with the reported late-term pregnancy. Six fetal skeletons are identified. No fetal gas or evidence of mummification is seen. The other abdominal organs are mostly obscured by the gravid uterus but no abnormalities are seen._x000D_
There is mild chronic remodeling of both hip joints. The acetabular fossae are shallow, resulting in poor femoral head coverage. No spinal abnormalities are identified.</t>
  </si>
  <si>
    <t>Pregnancy is confirmed. Six fetal skeletons are identified. No complications are noted.</t>
  </si>
  <si>
    <t xml:space="preserve">
1.The spleen is normal._x000D_
2.On the VD projection, there is a mild decrease in cranial abdominal detail. This is attributed to superimposition of soft tissue structures secondary to the caudal extension of the liver._x000D_
3.The stomach is slightly caudally positioned due to the hepatomegaly and has a normal to slightly caudally displaced gastric axis secondary to the hepatomegaly._x000D_
4.The small intestines are distributed evenly and are within normal limits for shape, size and contents._x000D_
5.The ascending, transverse and descending colon have a normal position and contain gradually more formed feces._x000D_
6.There is smoothly margined hepatomegaly. On the VD projection, the hepatomegaly is mildly asymmetric with the right liver extending further caudal._x000D_
7.The ventral abdominal line is mildly pendulous._x000D_
8.Mineral dense material and distended viscus are present in the region of the uterine horns._x000D_
9.In cases of pregnancy, fetal mineralization indicates fetal age of &gt;45 days._x000D_
10.IMPORTANT: This AI evaluation currently DOES NOT assess for the presence of fetal mummification and/or abnormal gas within or around the fetus (fetal viability) and/or fetal number.</t>
  </si>
  <si>
    <t xml:space="preserve">
Virtual Radiologist Case Difficulty: MODERATE_x000D_
Virtual Radiologist Confidence: MODERATE_x000D_
Further evaluation of the liver including ruling out metabolic causes for the hepatomegaly such as Cushing's disease. Abdominal ultrasound is recommended to assess the liver and adrenal glands._x000D_
Full blood work if not recently performed._x000D_
Evaluate fetal skeletal structures on radiographs, via ultrasound or submit for radiology review if fetal number and/or evaluation of fetal viability is needed.</t>
  </si>
  <si>
    <t>8 images of the spine are provided for review.  No fractures, luxations, or aggressive osseous lesions are seen.  There is consistent narrowing of the intervertebral disc spaces at C2-3 and C5-7.  The soft tissue structures included are normal.</t>
  </si>
  <si>
    <t>Narrowed intervertebral disc spaces suggestive of intervertebral disc herniations.  This does not rule out intervertebral disc herniation at another site, meningitis, or other causes of cervical pain.</t>
  </si>
  <si>
    <t xml:space="preserve">Patient Name : Molly Faulconer, Date of study: May 30, 2024
3 images are provided for review
Canine Abdomen (3 Images) - 1 Vd, 2 Lateral
There are no previous radiographs for comparison.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heterogeneous soft tissue material, gas and fluid.  Minimal gas is suspected in the pylorus in the ventrodorsal image.
The small intestine contains fluid or is empty with a subjectively uniform population for size. 
The colon contains mild gas and minimal heterogeneous soft tissue material.  The colon is normal in size.
Musculoskeletal: The included musculoskeletal structures are normal.
</t>
  </si>
  <si>
    <t>1. Moderate gastric material due to gastritis/delayed gastric emptying, recent meal, or unlikely occult pyloric outflow tract obstruction.
2. There is no evidence of small intestinal mechanical ileus.
3. Non-specific colon changes due to non-specific colitis versus recent bowel movement.
- Consider dietary indiscretion, toxin ingestion, parasitism, inflammatory bowel disease, or unlikely other.</t>
  </si>
  <si>
    <t xml:space="preserve">The etiology for the reported intermittent vomiting is not definitively identified.  Consider repeat abdominal radiographs after 8-12 hours of supportive care/empirical therapy and fasting to ensure passage of gastric contents.  Consider abdominal ultrasonography and routine blood work, with/without fecal analysis/deworming, especially if signs fail to improve or worsen with empirical therapy.  </t>
  </si>
  <si>
    <t>3 images of the thorax and abdomen are presented for review.  The cervical trachea is variable in diameter.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No mineral is seen associated with the urinary tract.  The remaining abdominal organs are normal.</t>
  </si>
  <si>
    <t>Radiographically normal abdomen.  Radiographically normal thorax for patient of this age.  Variable cervical tracheal diameter suggestive of dynamic tracheal collapse.</t>
  </si>
  <si>
    <t>Fluoroscopy or bronchoscopy could be considered.</t>
  </si>
  <si>
    <t>WHOLE-BODY (3 total radiographs for review). No previous for comparison._x000D_
_x000D_
- Consistent with the reported history, there is a fairly large, lobular, mixed fat and soft tissue opaque mass allowing me left cranioventral abdominal body wall._x000D_
- Peritoneal serosal detail is adequate_x000D_
- The stomach contains mild gas and gas-stippled soft-tissue opaque material_x000D_
- The small intestine contains mild multifocal gas and soft-tissue opaque material_x000D_
- The colon contains gas, soft-tissue/fluid and minimal formed fecal material._x000D_
- The liver, spleen, kidneys and urinary bladder are normal._x000D_
- The cardiac silhouette is mildly large, characterized by straightening of the caudal cardiac margin and mild dorsal displacement of the caudal aspect of the thoracic trachea._x000D_
- The pulmonary vasculature and parenchyma are normal_x000D_
- The trachea, esophagus and remainder of the mediastinum is/are normal._x000D_
- The pleural space and remaining intrathoracic structures are normal._x000D_
- No musculoskeletal abnormalities are noted, besides mild multifocal spondylosis deformans.</t>
  </si>
  <si>
    <t>1. Mixed soft-tissue and fat opaque left cranioventral abdominal body wall mass. Non-specific, and could be a neoplasm, an abscess or less likely a large granuloma or cyst. Correlate to physical examination findings and fine-needle aspiration/biopsy if clinically indicated._x000D_
_x000D_
2. A discrete cause for the reported acute lethargy and diarrhea is not clearly identified. The gastrointestinal tract is fairly unremarkable, however radiographic sensitivity for generalized functional ileus such as enterocolitis can be limited and you may consider abdominal ultrasonography for further assessment._x000D_
_x000D_
3. Mild diffuse bronchial pattern with few thickened pleural fissures. A component of chronic bronchitis is possible, especially given the reported history of wheezing. Some degree of normal age-related airway change is possible._x000D_
_x000D_
4. Mild left-sided cardiomegaly, without pulmonary vasculature congestion or congestive heart failure. Most likely compatible with degeneration of the mitral valve. Consider careful cardiac auscultation and echocardiography/ECG for further assessment.</t>
  </si>
  <si>
    <t>Today=ZZ91=s study is compared to a study dated 2/2/2024._x000D_
_x000D_
Thorax: There is an alveolar pattern associated with the ventral portions of the right middle, right cranial, and suspected left cranial lung lobes.  The cardiac silhouette and pulmonary vasculature are unremarkable._x000D_
_x000D_
Abdomen: There is no evidence of a gastrointestinal foreign body or obstruction.  There is mild diffuse splenomegaly as seen previous.  The liver appears small.  The urinary tract is unremarkable.  Serosal detail is normal.</t>
  </si>
  <si>
    <t>Primary differential consideration for the described pulmonary pathology is aspiration pneumonia._x000D_
_x000D_
Mild microhepatica most likely variation of normal._x000D_
_x000D_
Persistent diffuse splenomegaly most likely benign.</t>
  </si>
  <si>
    <t xml:space="preserve">
1.No abnormal AI findings reported._x000D_
2.The GI tract is unremarkable._x000D_
3.Serosal detail is normal._x000D_
4.The liver and spleen are normal.</t>
  </si>
  <si>
    <t>Four radiographs of the thorax/abdomen are provided. The cardiac silhouette and pulmonary vessels are normal size and shape. There are no abnormalities in the pulmonary parenchyma. No pleural effusion. Moderate narrowed caudal cervical trachea. In the abdomen there is no effusion in the peritoneal or retroperitoneal spaces. The urinary bladder is mildly filled and soft tissue opaque. No abnormalities appreciated along the plane of the urethra. No medial iliac lymphadenomegaly. Formed feces fills the colon. The stomach and small bowel are minimally filled. Normal-sized liver, spleen, kidneys.</t>
  </si>
  <si>
    <t>1. Cervical tracheal collapse, the most likely cause for coughing. No intrathoracic abnormalities. There is no evidence of pneumonia or cardiovascular disease._x000D_
2. The abdomen is normal. No radiopaque urolithiasis.</t>
  </si>
  <si>
    <t xml:space="preserve">
1.The gastric lumen contains a mild amount of soft tissue and gas opacity._x000D_
2.The spleen is normal._x000D_
3.The small intestine is a uniform population size and is diffusely of soft tissue opacity with a small amount of gas throughout._x000D_
4.The colon contains a moderate amount of formed, heterogenous fecal material caudally._x000D_
5.The liver is moderately enlarged with sharp, caudal margins._x000D_
6.No abnormal AI findings reported.</t>
  </si>
  <si>
    <t>Two views of the abdomen are provided for review.  Serosal detail is adequate in all quadrants.  The stomach contains a small amount of gas.  The small intestines are normal in size.  Gas is present in the colon and cecum.  The urinary bladder is small.  The remaining abdominal organs are normal.</t>
  </si>
  <si>
    <t>Radiographically normal abdomen.  This does not rule out underlying gastroenteritis, dietary indiscretion, etc.</t>
  </si>
  <si>
    <t>A three view thoracoabdominal study is provided for interpretation._x000D_
_x000D_
There is a small quantity of granular mineral density in the stomach. No foreign objects of significant size are seen in the GI tract. No dilation of the stomach or intestine is identified. Serosal detail in the abdomen is within normal limits given the relatively thin body condition of the patient. No organomegaly or mass effect is seen in the abdomen._x000D_
_x000D_
There is a mild bronchial pattern in the lungs, partly due to bronchial wall mineralization. The cardiovascular structures are within normal limits. No tracheal or esophageal abnormalities are seen.</t>
  </si>
  <si>
    <t>There is a small quantity of granular mineral/metal dense foreign material in the stomach. No foreign objects of significant size are seen. This could still be considered evidence of dietary indiscretion, but no obstruction hazard is identified. Gastroenteritis is most likely._x000D_
_x000D_
The bronchial pattern is more prominent than expected given the young age of the patient. This is still likely to be incidental, possible pathologic etiologies would include chronic bronchitis or lungworms.</t>
  </si>
  <si>
    <t>Supportive care and symptomatic therapy for gastroenteritis/pancreatitis is recommended. Infectious causes of enteritis should be ruled out if clinically indicated._x000D_
_x000D_
CBC, serum chemistry, and testing for viral enteritides is recommended if clinical signs are not improving over the next 48 hours.</t>
  </si>
  <si>
    <t xml:space="preserve">
1.The small intestines are mildly dilated with a mixture of gas and fluid, and have a mild turgid appearance._x000D_
2.The ascending, transverse and descending colon contain gradually more formed faeces._x000D_
3.The stomach has a normal axis, with subjectively thickened mucosal folding._x000D_
4.The liver is normal in shape, size and opacity._x000D_
5.The spleen is visible and within normal limits._x000D_
6.There is a mildly reduced cranial abdominal serosal detail.</t>
  </si>
  <si>
    <t>3 views of the thorax are provided for review.  The cardiovascular structures are normal.  Alveolar opacity is present in the right middle and ventral aspect of the left caudal lung lobes.  The mediastinal and pleural structures are normal.  Cranial abdominal detail is adequate.</t>
  </si>
  <si>
    <t>Three radiographs of the thorax and three views of the abdomen are provided. Images dated 6/20/22 are available for comparison. The cardiac silhouette and pulmonary vessels are normal size and shape. There are mild age-related changes in the lungs. There is a small area of increased opacity overlying the mid heart on the right lateral view, but no air bronchograms are present. There is no pleural effusion. Moderate narrowed cervical trachea._x000D_
_x000D_
In the abdomen the liver is prominent, increased in size compared to the previous study. There is no effusion. The gastrointestinal tract is minimally filled. A few small mineral opaque fragments in the descending colon, likely incidental. Normal size kidneys, liver, spleen. No radiopaque urolithiasis. No significant osseous abnormalities.</t>
  </si>
  <si>
    <t>1. The appearance of the caudal segment of the left cranial lung lobe is concerning for mild aspiration pneumonia. This could be due to atelectasis and superimposed skin fold. No other intrathoracic abnormalities._x000D_
2. Mild hepatomegaly, increased in size compared to the previous study. This is a nonspecific finding that may be steroid or other hepatopathy, acute inflammation, or neoplasia._x000D_
3. Cervical tracheal collapse.</t>
  </si>
  <si>
    <t>If the patient is febrile, has elevated white blood cell count, coughing or abnormal lung auscultation, antibiotics would be recommended.</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</si>
  <si>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Incidental metallic pellets are seen within the subcutaneous tissues.  There is hypoplasia of the 13th ribs bilaterally.</t>
  </si>
  <si>
    <t>Radiographically normal abdomen.  Radiographically normal thorax for patient of this age.  Incidental thoracolumbar transitional vertebra.</t>
  </si>
  <si>
    <t>No specific recommendations at this time.</t>
  </si>
  <si>
    <t xml:space="preserve">Patient Name : Luna Picaso, Date of study: May 30, 2024
3 images are provided for review
There are no previous radiographs for comparison.
Liver: The liver is subjectively normal in size.
Spleen: The spleen is normal in size with smooth margins and homogeneous soft tissue.
Kidneys: The kidneys are obscured without obvious enlargement or mineral.  
Retroperitoneum: Retroperitoneal detail is adequate.
Urogenital: The urinary bladder is partially obscured without obvious enlargement or mineral.  The uterus is moderately enlarged and occupies the mid-ventral and right/lateral caudolateral portions of the abdomen.  The small intestine is displaced craniodorsal as a result.  Ill-defined fetal mineral is identified in the right and left uterine horns, and is better identified in the left uterine horn versus the right.  An ill-defined fetal skull is identified in the left uterine horn.   No obvious peri-fetal gas is identified.  
Peritoneum: Peritoneal detail is adequate.
Gastrointestinal tract: The stomach contains a moderate volume of admixed heterogeneous soft tissue material and gas.   This material in the the pylorus/body and fundus in the lateral images.  Minimal gas is suspected in the descending duodenum in the ventrodorsal image.
The small intestine contains gas, fluid or is empty with a subjectively uniform population for size. 
The colon contains mixed soft tissue material and gas.  The colon is normal in size.
Musculoskeletal: The abdominal nipples are prominent.  The remaining included musculoskeletal structures are normal.
</t>
  </si>
  <si>
    <t>1. Moderate uterine enlargement and partially mineralized fetal skeletons due to phase of pregnancy or less likely early fetal death/involution.  
 - This is likely due to the reported recent urination and/or the phase of the estrous cycle, or unlikely early/intermediate stage pyometra with/without hydrometra.    
2. Non-specific gastrointestinal tract changes such as from recent meal, or unlikely gastritis/delayed emptying, or least likely pyloric outflow tract obstruction.</t>
  </si>
  <si>
    <t>Abdominal ultrasonography for further evaluation of the uterus and to confirm fetus viability may be contributory.  Alternatively, monitoring with repeat radiographs in 2-3 weeks or as directed.  Empirical therapy and supportive care in the interim as needed.  If signs progress/worsen or signs of pyometra manifest, consider repeat radiographs to confirm absence of mature fetal skeletons and ovariohysterectomy.</t>
  </si>
  <si>
    <t xml:space="preserve">Patient Name : Stella Freitas, Date of study: May 30, 2024
8 images are provided for review
There are no previous radiographs for comparison.
Pulmonary parenchyma: A minimal to mild diffuse bronchial pattern is present.  The lungs are minimally to mildly hypoinflated.
Pulmonary vasculature: The pulmonary vasculature is subjectively normal in size and tapers in the periphery of the lungs.
Cardiac silhouette: The cardiac silhouette is normal in size and shape.
Mediastinum: The cranial mediastinum is normal.
Trachea: The trachea is normal.
Esophagus: The esophagus is not well-identified.
Pleural space: In the ventrodorsal image, a thin line is present between the right cranial/middle lung lobes that does not widen at the periphery of the lungs.  
Liver: The liver is subjectively normal in size.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Peritoneum: Peritoneal detail is adequate.
Gastrointestinal tract: The stomach contains a moderate volume of gas and minimal soft tissue/fluid.  Gas is in the pylorus in the left lateral image.
The small intestine contains fluid or is empty with a subjectively uniform population for size. 
The colon contains mild gas and is normal in size.  The colon wall is minimally or mildly spastic in some images.
Musculoskeletal: The included musculoskeletal structures are normal.
</t>
  </si>
  <si>
    <t xml:space="preserve">1. Mild diffuse bronchial pattern.  
- Differential diagnoses include fibrosis from prior disease, age-related changes, or unlikely infectious/immune-mediated lower airway disease or other.
2. No obvious pulmonary soft tissue nodules or intra-thoracic lymph node enlargement.
3. Presumed right-sided pleural tangential beam artifact or pleural thickening/folding, or unlikely small volume pleural fluid or other. 
4. Prominent gastric rugal folds due to non-specific gastritis versus variation of normal.
5. Colon changes such as from recent bowel movement and/or non-specific colitis, or unlikely other.
6. No radiopaque urocystoliths are identified.  
</t>
  </si>
  <si>
    <t xml:space="preserve">Etiology of reported hematuria is not definitively identified on this examination.  This does not rule out occult urethral/vulvar/vaginal mass, urinary bladder mass, radiolucent urocystoliths, cystitis, or idiopathic renal hematuria.  Consider routine blood work, urinalysis, urine culture/sensitivity testing and abdominal ultrasonography versus computed tomography for further evaluation or the urinary bladder and kidneys.  Empirical therapy and supportive care in the interim as needed.  </t>
  </si>
  <si>
    <t>Opposite lateral and VD abdomen views are provided._x000D_
_x000D_
There is a minimal quantity of amorphous soft tissue dense ingesta in the stomach. Rugal folds in the stomach are mildly prominent. No dilation or malpositioning of the stomach is seen. There is a mild increase in small intestinal gas. No dilation or plication the intestine is seen. No foreign bodies are identified in the GI tract. Serosal detail in the abdomen is normal. The other organs are within normal size and shape limits.</t>
  </si>
  <si>
    <t>The radiographic changes are mild and compatible gastroenteritis. No foreign bodies or obstructive pattern are seen._x000D_
Pancreatitis or other metabolic disease should also be ruled out.</t>
  </si>
  <si>
    <t xml:space="preserve">
1.Splenic size, shape and margin are normal._x000D_
2.No dilation of the small intestine is seen._x000D_
3.The gastric rugae are prominent._x000D_
4.Liver size is normal to upper limits of normal. Liver margin is normal._x000D_
5.Cranial abdominal detail is decreased.</t>
  </si>
  <si>
    <t>Orthogonal radiographs of the thorax and abdomen are provided. There is moderate generalized cardiac silhouette enlargement. Pulmonary vessels and caudal vena cava are normal size. The lungs are clear. Curve soft tissue density ventral to the tracheal bifurcation is end-on right main pulmonary artery. Tracheal diameter is adequate._x000D_
_x000D_
In the abdomen the stomach contains a moderate amount of fluid and gas. There are two populations of small bowel, with a few loops of minimally filled small intestine, and several loops that are severely dilated with a mixture of fluid and gas. The dilated loops take on a stacked appearance on the lateral view. Scant peritoneal fluid. Normal-sized left kidney, spleen, liver. The right kidney is obscured. No radiopaque urolithiasis.</t>
  </si>
  <si>
    <t>1. Segmental small intestinal ileus with both minimal and severe dilation, with scant effusion. This is consistent with mechanical obstruction._x000D_
2. Moderate generalized cardiomegaly consistent with acquired mitral and tricuspid valve disease. There is no pulmonary venous congestion or pulmonary edema at this time. The thorax is otherwise normal.</t>
  </si>
  <si>
    <t>Surgical intervention for intestinal obstruction is recommended. A follow-up echocardiogram should be considered to help guide treatment.</t>
  </si>
  <si>
    <t>A ventral dorsal and both lateral radiographs of the abdomen are provided. There is slight wispy appearance to the cranial ventral peritoneal space on the lateral views, otherwise serosal detail is adequate. There is moderate volume fluid and gas in the stomach. Small intestines are diffusely minimally distended with fluid and scant gas. The colon is minimally filled. No radiopaque foreign material. Normal-sized liver, kidneys, spleen. The urinary bladder is mildly filled and soft tissue opaque. Narrowed intervertebral disc spaces with spondylosis deformans in the caudal thoracic and cranial lumbar spine, and degenerative change in the coxofemoral joints is likely incidental today.</t>
  </si>
  <si>
    <t>Scant cranial peritoneal effusion and moderate volume fluid in the stomach. Gastroenteritis/pancreatitis is most likely. Small radiolucent gastric foreign material is not definitively ruled out. There is no evidence of intestinal obstruction.</t>
  </si>
  <si>
    <t>Two lateral radiographs of the thorax, and three views of the abdomen are provided. The cardiac silhouette and pulmonary vessels are normal size and shape. There are no abnormalities in the pulmonary parenchyma. No pleural effusion. Fat deposition separates the heart from the sternum. Possible thin-walled air-filled 1.8 cm bulla in the caudodorsal lungs on the right lateral view._x000D_
_x000D_
In the abdomen there is no effusion. There is small volume gas and a formed ovoid 3.7 x 2.6 cm soft tissue density in the stomach. Small intestines are diffusely minimally distended. There is a long section of small intestine that is plicated along the mid ventral abdomen on both of the lateral views. No peritoneal fluid or gas. There is gas in the distal colon. Normal size kidneys, spleen, liver.</t>
  </si>
  <si>
    <t>1. Small intestinal linear foreign body obstruction. With the soft tissue density noted within the stomach, intestinal foreign material may be anchored within the stomach._x000D_
2. Possible small pulmonary bulla in the caudodorsal lungs. This is incidental, other than to make note to use caution with positive pressure ventilation during anesthetic events.</t>
  </si>
  <si>
    <t>Immediate surgical intervention is recommended.</t>
  </si>
  <si>
    <t xml:space="preserve">
1.The colon contains feces._x000D_
2.The liver and spleen are normal._x000D_
3.There is decreased detail in the cranial abdomen._x000D_
4.The stomach is mild to moderately distended with mixed gas and fluid._x000D_
5.The duodenum is mildly distended._x000D_
6.Small intestinal bowel loops are normal in size and distribution._x000D_
7.No abnormal AI findings reported.</t>
  </si>
  <si>
    <t>Orthogonal radiographs of the thorax and of the abdomen are provided. The cardiac silhouette and pulmonary vessels are normal size and shape. There is a mild bronchial pattern throughout the lungs, and several incidental pulmonary osteomas. There is a small area of increased opacity overlying the cardiac apex on the lateral view, not seen on the VD projection. No pleural effusion._x000D_
_x000D_
In the abdomen there is no effusion. Normal-sized liver, spleen, kidneys. The stomach contains small volume gas. Small ovoid increased opacity overlying gastric fundus on the VD projection is superimposed rib. Small intestines and colon are minimally filled. The cecum is gas-filled. No radiopaque foreign material or urolithiasis.</t>
  </si>
  <si>
    <t>Increased opacity overlying the cardiac apex is most likely summating normal anatomy and pleural fat. Focal aspiration pneumonia is not definitively ruled out. Otherwise normal thorax and abdomen.</t>
  </si>
  <si>
    <t>Abdominal ultrasound should be considered. If the patient has elevated white blood cell count, coughing, or is febrile, antibiotics would be recommended.</t>
  </si>
  <si>
    <t xml:space="preserve">
1.It seems to be mostly in the cranial abdomen, where there is also an ill defined decrease in detail with a mild increase in soft tissue opacity._x000D_
2.There are multiple small bowel loops that are mildly to moderately distended with gas._x000D_
3.There is a loop of intestine that appears as if it may be descending colon but the appearance is also concerning for pathologically distended small intestine._x000D_
4.Liver size, shape and margin are normal._x000D_
5.Splenic size, shape and margin are normal.</t>
  </si>
  <si>
    <t>Gas distention of many small intestinal loops is identified, ranging from mild to moderate to severe. Significance of the more distended loop in the right caudal abdomen cannot be definitively determined, but there is potential for this to represent pathologic small intestinal distention that would likely be indicative of obstruction. Physiologic ileus can sometimes appear similar, but there are many loops of small bowel that have normal diameter, so mechanical obstruction is a concern in this case. The AI result for this case is most compelling for: Small intestinal obstruction or a severe functional ileus. Submission of this case for radiologist evaluation is recommended.</t>
  </si>
  <si>
    <t xml:space="preserve">
There is significant potential for mechanical obstruction of the small intestine in this patient. Submission of this radiographic study for radiologist evaluation is recommended._x000D_
Alternatively, abdominal ultrasound or a barium study is recommended._x000D_
Surgical exploration may be indicated._x000D_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</si>
  <si>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3 views of the abdomen are provided for review.  Serosal detail is adequate in all quadrants.  The stomach contains a small amount of amorphous soft tissue material.  The small intestines are normal in size.  Gas and feces are present in the colon.  The cecum is gas-filled.  The urinary bladder is small.  No mineral is seen associated with the urinary tract.  The remaining abdominal organs are normal.</t>
  </si>
  <si>
    <t xml:space="preserve">
1.The spleen is visible and within normal limits._x000D_
2.The ascending, transverse and descending colon contain gradually more formed faeces._x000D_
3.The liver is normal in shape, size and opacity._x000D_
4.There is a mildly reduced cranial abdominal serosal detail._x000D_
5.The stomach has a normal axis, with subjectively thickened mucosal folding._x000D_
6.The small intestines are mildly dilated with a mixture of gas and fluid, and have a mild turgid appearance.</t>
  </si>
  <si>
    <t>Study:_x000D_
Thoracic radiography: three images dated May 30, 2024_x000D_
_x000D_
Findings:_x000D_
There is mild left ventricular and left atrial enlargement. The pulmonary vasculature is normal in size. The pulmonary parenchyma is unremarkable. The pleural space is normal. There is no intrathoracic lymphadenopathy. Patient has a redundant dorsal tracheal membrane. There is slight narrowing of the trachea lumen at the thoracic inlet on the right lateral projection comparison to the left lateral view. The liver extends mildly beyond the costal arch with smooth margins. The osseous structures are unremarkable.</t>
  </si>
  <si>
    <t>1. Mild left-sided cardiomegaly, indicative of mitral valve disease, without evidence of decompensation. Echocardiography should be considered for further evaluation._x000D_
2. Likely chondromalacia and dynamic airway disease/tracheal collapse. Fluoroscopy can be considered for further evaluation._x000D_
3. The generalized hepatomegaly is nonspecific. Rule out metabolic/vacuolar hepatopathy, hypoxic hepatopathy secondary to dynamic airway disease, hyperplasia, hepatitis or infiltrative neoplasia. Sonography can be considered for further evaluation.</t>
  </si>
  <si>
    <t>Opposite lateral and ventrodorsal abdominal radiographs (3 images) dated May 30, 2024._x000D_
_x000D_
The liver and spleen are normal in size and shape. The stomach contains a small amount of gas and a similar amount of homogeneous soft-tissue/fluid content. The small intestine has a mild variation in diameter and is diffusely distended with gas, and some segments have slightly heterogeneous soft-tissue content mixed with gas. The force of the small bowel is unremarkable. The colon contains unremarkable appearing stool and has a normal course. Both kidneys are normal in size and shape. The urinary bladder is small and fluid opaque. Retroperitoneal and peritoneal detail are normal. No regional lymphadenopathy is evident. The osseous structures and included caudal thorax are unremarkable.</t>
  </si>
  <si>
    <t>1. No evidence of a small intestinal mechanical obstruction._x000D_
2. Small amount of soft-tissue/fluid content in the stomach is suspected represent residual ingesta or fluid pooling. Clinically significant foreign material causing gastric irritation or an outflow obstruction is less likely._x000D_
3. Formed stool in the colon. Further diarrhea is considered unlikely.</t>
  </si>
  <si>
    <t>Supportive care with fluid rehydration, antiemetics, gastroprotectants/omeprazole, and bland diet while waiting diagnostic results. Abdominal ultrasound if the patient fails medical management or if indicated based on lab work findings.</t>
  </si>
  <si>
    <t>Orthogonal radiographs of the thorax/abdomen are provided. Images dated 1/29/24 are available for comparison. There is mild left-sided cardiomegaly as before. Pulmonary vessels are normal size. Perihilar vessels have crisp margins. There are no abnormalities in the pulmonary parenchyma. No pleural effusion. Severe narrowed cervical trachea. The caudal thoracic trachea and mainstem bronchi are dorsally deviated. The left mainstem bronchus is compressed. In the abdomen there is no effusion or organomegaly. The gastrointestinal tract is mildly filled. No radiopaque urolithiasis. Osseous structures are unremarkable.</t>
  </si>
  <si>
    <t>1. Persistent mild left-sided cardiomegaly consistent with acquired mitral valve disease. There is no pulmonary venous congestion or pulmonary edema, however there is mainstem bronchial compression._x000D_
2. Severe cervical tracheal collapse._x000D_
3. Normal abdomen.</t>
  </si>
  <si>
    <t>An echocardiogram is recommended to help guide treatment. If the hyporexia and pollakiuria persist, abdominal ultrasound should be considered.</t>
  </si>
  <si>
    <t xml:space="preserve">
1.Small intestines are moderately fluid filled._x000D_
2.The stomach contains small-volume fluid and gas._x000D_
3.The liver and spleen appear within normal limits for size and contour._x000D_
4.No abnormal AI findings reported._x000D_
5.No abnormal AI findings reported.</t>
  </si>
  <si>
    <t>Patient Name : Simba Washington, Date of study: May 30, 2024_x000D_
2 images are provided for review_x000D_
Canine Thorax (2 Images) - 2 Lateral_x000D_
There are no previous radiographs for comparison._x000D_
_x000D_
Pulmonary parenchyma: A mild diffuse bronchial and minimal interstitial pulmonary patterns are present._x000D_
Pulmonary vasculature: The pulmonary vasculature is subjectively normal in size and tapers in the periphery of the lungs._x000D_
Cardiac silhouette: The cardiac silhouette is normal in size and shape._x000D_
Mediastinum: The cranial mediastinum is normal on limited evaluation._x000D_
Trachea: The trachea is normal._x000D_
Esophagus: The esophagus is not well-identified._x000D_
Pleural space: The pleural space is normal._x000D_
_x000D_
Musculoskeletal: Mild spondylosis deformans is at T10-11 and T11-12. A broad-based fat opaque nodule arises from the caudoventral extra-thoracic soft tissues. The remaining included musculoskeletal structures are normal._x000D_
_x000D_
On re-evaluation of the ventrodorsal image, one of the left caudal lobar pulmonary arteries is suspected to be truncated partially, over the level of the 7th intercostal space.</t>
  </si>
  <si>
    <t>1. Suspected left caudal lobar pulmonary arterial truncation, such as from reported heartworm disease/thromboembolic disease._x000D_
2. Mild diffuse bronchial and minimal interstitial pulmonary patterns._x000D_
- Differential diagnoses include fibrosis from prior disease, age-related changes, or chronic lower airway disease such as from infectious/immune-mediated etiologies, or unlikely other,_x000D_
3. Broad-based fat opaque nodule arising from the caudoventral extra-thoracic soft tissues is most likely a benign a lipoma.</t>
  </si>
  <si>
    <t>Consider a DV thoracic image, or thoracic computed tomography for further evaluation of the suspicious left lobar pulmonary artery, versus monitoring with serial radiographs as needed. Echocardiography may be contributory._x000D_
_x000D_
Consider heartworm adulticide therapy as directed, especially if pulmonary hypertension/pulmonary arterial enlargement is confirmed, and depending on results of pending diagnostics. Monitoring as directed or sooner if signs acutely change or worsen in the interim.</t>
  </si>
  <si>
    <t xml:space="preserve">
1.The liver is enlarged._x000D_
2.Moderate volume ingesta fills the stomach._x000D_
3.No intestinal abnormalities are appreciated._x000D_
4.The cecum is gas filled._x000D_
5.Splenic size, shape and margin are normal._x000D_
6.The abdomen is pendulous.</t>
  </si>
  <si>
    <t>4 images of the abdomen are provided for review.  Serosal detail is adequate in all quadrants.  The stomach contains a moderate amount of mottled soft tissue material.  The small intestines are normal in size.  Gas is present in the colon.  The urinary bladder is small.  The remaining abdominal organs are normal.</t>
  </si>
  <si>
    <t>Three radiographs of the thorax, and orthogonal views of the abdomen are provided. Thoracic images dated December 7, 2022 are available for comparison. The cardiac silhouette is normal size and shape. Pulmonary vessels are normal size. There are faint bronchial markings, relatively similar to the previous study. No pleural effusion or intrathoracic lymphadenomegaly. Normal tracheal diameter and position._x000D_
_x000D_
In the abdomen the stomach contains a moderate amount of granular soft tissue density. Small bowel are mildly filled. Moderate volume of formed feces in the colon. Normal size kidneys, spleen, liver. The urinary bladder is minimally filled and soft tissue opaque. Osteoarthrosis in the left coxofemoral joint.</t>
  </si>
  <si>
    <t>Mild bronchial pattern as before, likely chronic airway inflammation. Otherwise normal thorax and abdomen.</t>
  </si>
  <si>
    <t>Treatment for upper airway disease appears indicated.</t>
  </si>
  <si>
    <t>3 views of the abdomen are provided for review.  Serosal detail is adequate in all quadrants.  The liver margins are rounded and extend beyond the costal arch, causing caudal displacement of the gastric axis.  The stomach contains a small amount of gas.  The small intestines are normal in size.  Gas is present in the colon.  The urinary bladder is small.  The remaining abdominal organs are normal.</t>
  </si>
  <si>
    <t xml:space="preserve">
1.The intestines are displaced caudally into the mid- and caudal abdomen by the cranial abdominal organomegaly. The intestines are gas- and fluid-filled with the bowel being distended suggestive of a functional ileus or potentially a mechanical obstruction._x000D_
2.The stomach is slightly caudally positioned due to the hepatomegaly and has a normal to slightly caudally displaced gastric axis secondary to the hepatomegaly._x000D_
3.There is smoothly margined hepatomegaly. On the VD projection, the hepatomegaly is mildly asymmetric._x000D_
4.The spleen is normal._x000D_
5.There is a decrease in abdominal detail. This may be attributed to superimposition of soft tissue structures secondary to the caudal extension of the liver however a component of mesenteric inflammation and/or small volume of fluid cannot be excluded._x000D_
6.The ventral abdominal line is mildly pendulous.</t>
  </si>
  <si>
    <t>7 images of the thorax and abdomen are provided for review.  The cardiovascular structures are normal.  There is a moderate bronchial pattern in all lung lobes.  The mediastinal and pleural structures are normal.  Abdominal serosal detail is adequate in all quadrants.  The stomach contains a small amount of gas.  The small intestines are normal in size.  Gas is present in the colon and cecum.  The urinary bladder is small.  The remaining abdominal organs are normal.  There is spondylosis deformans of the lumbosacral spine.  No consistently narrowed intervertebral disc spaces are seen.  No fractures or aggressive osseous lesions are seen.</t>
  </si>
  <si>
    <t>Radiographically normal abdomen.  Moderate bronchial pulmonary pattern consistent with the reported heartworm disease.  Degenerative changes of the lumbosacral spine.</t>
  </si>
  <si>
    <t>No cardiovascular changes to contraindicate therapy for heartworms.</t>
  </si>
  <si>
    <t>4 images of the abdomen are presented for review and compared with the previous study.  Serosal detail is adequate in all quadrants.  The stomach contains a moderate amount of soft tissue material, persistent from previous images.  Multiple small intestinal segments are dilated and plicated, persistent from previous images.  Gas and feces are present in the colon.  The urinary bladder is small.  The remaining abdominal organs are normal.</t>
  </si>
  <si>
    <t>Persistent gastric contents suggestive of foreign material.  Segmental small intestinal dilation with plication consistent with a linear foreign body obstruction.</t>
  </si>
  <si>
    <t>Recommend abdominal exploratory.</t>
  </si>
  <si>
    <t>3 views of the thorax are presented for review.  4 abdominal images of the study are not requested to be reviewed.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t>
  </si>
  <si>
    <t>No contraindications for surgery.</t>
  </si>
  <si>
    <t>A three view thoracoabdominal study is provided for interpretation._x000D_
_x000D_
A few subtle changes are seen, the clinical significance of which is unknown._x000D_
In the thorax, there is a small focal region of increased interstitial opacity at the root of the right cranial lung lobe, superimposed over the right heart base. The other lung fields are within normal limits. No cardiovascular abnormalities are identified._x000D_
_x000D_
In the right lateral view, there is an unusual linear opacity superimposed over the mid dorsal abdomen that cannot be corroborated in the other views._x000D_
In the VD abdomen view, there is a lack of distinct margination of the left side of the body wall in the caudal abdominal area. The abdominal organs are within normal limits. No mass lesions are seen. Abdominal serosal detail is normal._x000D_
There are a few small calculi in the left kidney, considered an incidental finding.</t>
  </si>
  <si>
    <t>No findings that would convincingly indicate active hemorrhage or neoplasia are identified. The cause of pale gums remains unknown. However, there is a small focal area of interstitial opacity in the right cranial lobe, and a lack of distinction involving the left caudal body wall. The possibility of an early coagulopathy that has not yet result in significant hemorrhage cannot be entirely ruled out._x000D_
_x000D_
There is an unusual linear opacity superimposed over the mid dorsal abdomen the right lateral view of unknown etiology. This is potentially an artifact of some sort.</t>
  </si>
  <si>
    <t>CBC is recommended._x000D_
If anemia or other abnormalities are documented, a clotting panel may be indicated.</t>
  </si>
  <si>
    <t xml:space="preserve">Patient Name: Dusty Smith, Date of study: May 29, 2024
3 whole body radiographs are provided for review. (2 Laterals and 1 VD)
There are no previous radiographs for comparison.
Spine:
T-spine: The T11-12 disc space is mildly narrowed on the VD projection. No end-plate or vertebral lysis is noted affecting the thoracic vertebrae.
L-spine: Increased opacity overlies and is dorsal to the L1-2 disc space on the lateral projection. No disc space narrowing is noted. There is suspected mineralization of the adjacent T13-L1 and L2-3 disc spaces. No disc space narrowing is noted.  No end-plate or vertebral lysis is noted affecting the lumbar vertebrae. 
Pelvis: The right acetabular margin is less defined than the left with mild periarticular irregularity affecting the right acetabular margin. Right coxofemoral effusion and thigh muscle atrophy are also present. 
Other: The descending duodenum appears abnormal. The urinary bladder is not visible in the caudal abdomen and there is increased soft tissue ventral to the caudal vertebrae which raises concern for urinary bladder herniation. Abdominal detail is decreased with a few sharply margined lucent regions that cannot be positioned within the bowel. 
</t>
  </si>
  <si>
    <t xml:space="preserve">1) Suspected urinary bladder herniation, likely traumatic given the appearance to the right hip (see #3). This is the suspected cause for the dyschezia. Urinary bladder rupture is a secondary consideration with a hematoma positioned ventral to the caudal vertebrae. 
2) Caudal thoracic and lumbar IVDD. This could be contributing to the clinical signs of back pain.
3) Right hip remodeling with joint effusion and thigh muscle atrophy. DDx: severe hip laxity or previous coxofemoral luxation vs. less likely, low grade septic arthritis. 
4) Potential duodenitis. Questionable abdominal air outside the small bowel. This finding should be further assessed when evaluating the urinary bladder. </t>
  </si>
  <si>
    <t xml:space="preserve">Referral to an emergency/specialty facility for further diagnostics and treatment. Consider abdominal ultrasound vs. abdominal CT with contrast to further assess for urinary bladder herniation vs urinary bladder rupture. Abdominal fluid collection for evaluation to assess for uroabdomen vs. septic peritonitis vs. hemoabdomen.  </t>
  </si>
  <si>
    <t>Four radiographs of the abdomen are provided. There is a large volume desiccated mineral opaque feces in the descending colon and rectum. The descending colonic fecal column measures up to 3.5 cm diameter. There is a 6.3 x 3.7 cm fecal ball that is rotated 90 in the rectum. On the last lateral view, no feces remains in the descending colon. No intra-abdominal effusion. The urinary bladder is minimally distended. The prostate is not visible. No medial iliac lymphadenomegaly. Normal size liver, spleen, kidneys. The caudal thorax and osseous structures are unremarkable.</t>
  </si>
  <si>
    <t>Constipation, resolved. The rotated rectal fecal column is concerning for a perirectal hernia. If this is not persistent, could be incidental fecal column position. Otherwise normal abdomen.</t>
  </si>
  <si>
    <t>Recommended digital rectal examination.</t>
  </si>
  <si>
    <t xml:space="preserve">
1.The stomach contains a small amount of gas and ingesta. The small bowel is diffusely gas- and fluid-filled without segmental small bowel dilation._x000D_
2.Liver size, shape and margin are normal._x000D_
3.Splenic size is at the upper limits of normal to mildly enlarged but no mass is noted in the region of the spleen._x000D_
4.Abdominal detail is normal._x000D_
5.The colon is gas filled and a portion of the colon has a rigid appearance.</t>
  </si>
  <si>
    <t xml:space="preserve">Patient Name : Aoife Flournoy, Date of study: May 29, 2024
3 images are provided for review
There are no previous radiographs for comparison. The cranial abdomen margin is excluded from the lateral images.
Liver: The liver is subjectively normal in size on limited evaluation.
Spleen: The spleen is normal in size with smooth margins and homogeneous soft tissue.
Kidneys: The kidneys are normal in size and shape without obvious mineral.
Retroperitoneum: Retroperitoneal detail is adequate.
Urinary bladder: The urinary bladder is normal in size, homogeneous soft tissue, and smoothly marginated.
Peritoneum: Peritoneal detail is adequate.
Gastrointestinal tract: The stomach contains a moderate to large volume of heterogeneous soft tissue material and gas.  Some of this material is in the pylorus in the left lateral image. 
A population of small intestine in the caudal and dorsal abdomen contains a moderate of mild volume of gas.  A population of small intestine in the mid-ventral and caudoventral abdomen contains soft tissue material and gas or fluid.  One segment in the caudoventral abdomen in the left lateral image contains moderate soft tissue material admixed with gas.  Some smaller intestinal segments has a suspicious angular or comma-shaped luminal gas.  This is suspicious for linear small intestinal foreign material.  The colon contains gas and mild soft tissue material or is empty.  The colon is normal in size.  The presumed cecum contains gas in the mid-abdomen of the left lateral image.
Musculoskeletal: The included musculoskeletal structures are normal.
</t>
  </si>
  <si>
    <t xml:space="preserve">1. Two populations of small intestine with suspicious luminal gas for linear foreign material and small intestinal mechanical ileus.
2. Moderate-large volume of gastric material due to occult pyloric/pyloroduodenal foreign material versus recent meal, or a combination of these.
</t>
  </si>
  <si>
    <t xml:space="preserve">Especially given patients reported history, this is suspicious for linear foreign material and small intestinal mechanical ileus.  Consider abdominal ultrasonography for further evaluation of the pylorus/duodenum to confirm/rule out pyloric foreign material.  Exploratory celiotomy with enterotomy +/- gastrotomy and retrieval of foreign material depending on results.
Alternatively, consider empirical therapy/supportive care and repeat radiographs after 8-12 hours of fasting to monitor for passage of gastric material.  Celiotomy if signs fail to improve or repeat radiographs are unchanged/progressive, or if clinical signs worsen in the interim.  Empirical therapy and supportive care in the interim as needed.  </t>
  </si>
  <si>
    <t xml:space="preserve">
1.No abnormal AI findings reported._x000D_
2.Abdominal detail is adequate._x000D_
3.The stomach appears within normal limits._x000D_
4.Small intestines are diffusely mildly fluid-filled. No evidence to suggest obstruction._x000D_
5.The liver and spleen appear within normal limits for size and contour.</t>
  </si>
  <si>
    <t>Three orthogonal survey radiographs of the thorax and abdomen dated 29th May 2024 are available for review. There are no previous radiographs available for comparison. The images are underexposed, creating a grainy appearance._x000D_
_x000D_
Thorax: _x000D_
Airway findings: The thorax is hypoinflated. A smoothly marginated soft tissue opacity is variably present overlying the dorsal aspect of the trachea at the thoracic inlet. This opacity reduces approximately 90% of the dorsoventral diameter of the trachea. The intrathoracic trachea is mildly elevated. The pulmonary parenchyma is normal._x000D_
_x000D_
Cardiovascular findings: There is a moderate sized smoothly marginated soft tissue opacity contiguous with the caudal dorsal border of the cardiac silhouette. A soft tissue opacity is superimposed on the caudal cardiac silhouette in the dorsoventral image.  The overall cardiac silhouette is still within normal limits. The pulmonary vessels as well as the mainstem vasculature are normal._x000D_
_x000D_
Mediastinum and pleural space: No significant abnormalities are detected._x000D_
_x000D_
Abdomen: The stomach contains some gas and has subjectively prominent rugal folds. The gastric axis is normal. There is appropriate gas in the pylorus on the left lateral image. To small intestines are homogenously filled with mainly fluid and have a mildly turgid appearance. In the region of the caecum there are several gas dilated loops of intestines. The descending colon contains gas and some formed faeces. The urinary bladder is small. The serosal detail is normal. There is mineralisation in the hilar region of both kidneys. The overall size and shape of the kidneys is within normal limits. The hepatic silhouette is slightly small. The spleen is normal._x000D_
_x000D_
Musculoskeletal findings: The patient is obese.</t>
  </si>
  <si>
    <t>1. The dorsal attenuation of the trachea is consistent with tracheomalacia, and/or redundant trachealis membrane. The extent of attenuation would be expected to cause coughing._x000D_
2. Left atrial dilation with mild cardiomegaly. This is most likely due to mixoid degeneration of the mitral valve. There is no evidence for cardiac insufficiency. _x000D_
3. The overall impression is one of mild gastroenteritis. This may be due to dietary indiscretion, or infectious-inflammatory causes. There is no evidence of a mineral opaque foreign body, or complete mechanical obstruction.  Pancreatitis cannot be excluded. The gas distended loops of intestines are most likely the caecum, however small intestinal dilation is possible. This would be indicative of a partial obstruction, potentially by non-radiopaque foreign body._x000D_
4. Renolithiasis.</t>
  </si>
  <si>
    <t>Consider evaluation for airway collapse (fluoroscopy vs. right lateral inspiratory and expiratory radiographs vs. CT with virtual bronchoscopy). Alternatively consider medical management. Consider surgical consultation depending on clinical progression._x000D_
Radiography is insensitive for early cardiac insufficiency, therefore ECG, blood pressure measurements, and echocardiography may be considered for further evaluation, or baseline measurements._x000D_
Supportive management including rehydration, gastroprotectants,  full blood work, faecal analysis if clinically indicated is advised, if not already performed. Depending on clinical progression, repeat radiographs or consider an abdominal ultrasonographic examination._x000D_
Urinalysis and culture is advised.</t>
  </si>
  <si>
    <t xml:space="preserve">
1.There is questionable microhepatia on the lateral projection._x000D_
2.Splenic size, shape and margin are normal._x000D_
3.Abdominal detail is normal._x000D_
4.The stomach contains gas and the gastric axis is mildly displaced cranially._x000D_
5.The small intestines are a combination of gas-filled and fluid-filled/collapsed, and all are within normal limits for diameter._x000D_
6.The colon contains a combination of gas and fecal material.</t>
  </si>
  <si>
    <t>Opposite lateral and ventrodorsal thoracic and abdominal radiographs (6 images) dated May 29,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moderately-severely enlarged with an elongated caudoventral lobe margin. Both kidneys are normal in size and shape. The urinary bladder is small and contains multiple centrally clustered ovoid and round cystoliths that measure 0.23 cm and smaller. No radiopaque stones are identified along the plane of the visible urethra. The spleen is unremarkable. The stomach contains a moderate amount of heterogeneous ingesta. The small intestine has a mild and unremarkable variation in diameter with most segments containing gas. The colon contains normal appearing stool and has a normal course. Retroperitoneal detail is normal=ZZ90= the fascial planes separating the retroperitoneal and peritoneal spaces are more conspicuous on the lateral views, but this is an incidental finding. Peritoneal detail is normal. No regional lymphadenopathy is evident._x000D_
_x000D_
No aggressive or clinically significant osseous pathology is identified.</t>
  </si>
  <si>
    <t>1. Moderate-severe hepatomegaly. Rule out a benign metabolic/vacuolar hepatopathy (including secondary to exogenous steroidal therapy and certain anticonvulsant medications, if applicable) vs. infiltrative round cell neoplasia._x000D_
2. Multiple small urinary bladder cystoliths. Rule out calcium oxalate vs. struvite vs. mixed or another stone type._x000D_
3. Normal thorax with no evidence of metastatic neoplasia.</t>
  </si>
  <si>
    <t>CBC, chemistry, UA, thyroid, fecal, blood pressure, 4Dx, and abdominal ultrasound._x000D_
Consider obtaining lateral radiographs of the caudal abdomen and perineal region with the pelvic limbs pulled cranially to further examine the urethra for evidence of one or more stones.</t>
  </si>
  <si>
    <t xml:space="preserve">
1.Liver size, shape and margin are normal._x000D_
2.Splenic size, shape and margin are normal._x000D_
3.The stomach contains soft tissue material and gas._x000D_
4.Abdominal detail is normal._x000D_
5.The small intestine is rigid and gas filled but of normal, uniform size.</t>
  </si>
  <si>
    <t>A three-view study of the abdomen is provided for interpretation._x000D_
_x000D_
In both lateral views, there is a well-defined 3 x 4 cm ovoid soft-tissue shadow with the appearance of a mass. This cannot be corroborated in the VD view, and could possibly be an artifact of a fluid-filled segment of distended colon. Proximal half of the colon is mildly dilated with fluid and gas. No dilation or plication of the small intestine is seen. Rugal folds in the stomach are slightly prominent. No foreign objects are identified in the GI tract. Abdominal serosal detail is normal. The other organs are within normal limits.</t>
  </si>
  <si>
    <t>There is an unusual well-defined ovoid mass effect in the caudal abdomen in both views. Considering the young age of the patient, a neoplastic mass would be unlikely but a retained testicle would be a likely explanation if the patient is cryptorchid. This shadow choose one be an artifact of fluid dilated colon, in spite of the fairly convincing masslike appearance._x000D_
_x000D_
The GI tract changes are mild but would be compatible with gastroenteritis and colitis. No foreign bodies or evidence of obstruction are identified.</t>
  </si>
  <si>
    <t>Supportive care and symptomatic therapy for enteritis is recommended._x000D_
_x000D_
If the patient is cryptorchid, the ovoid shadow in the caudal abdomen likely represents a retained testicle. If the patient is not cryptorchid, recheck radiographs in a few weeks is recommended to verify persistence of this unusual shadow and determine if more advanced imaging is indicated.</t>
  </si>
  <si>
    <t>Six radiographs of the thorax, thoracic limbs, and abdomen are provided. The cardiac silhouette and pulmonary vessels are normal size. No abnormalities in the pulmonary parenchyma. No pleural effusion. Adequate tracheal diameter. No scapular abnormalities. The shoulders and cubital joints are congruent. Carpal bones are appropriately aligned, with uniform joint space width. No metacarpal or phalangeal osseous abnormalities. Soft tissue evaluation is limited by high technique. No cervicothoracic spinal abnormalities. In the abdomen there is no effusion. Normal size liver, spleen, kidneys. The gastrointestinal tract is mildly filled. The fecal column is normal size for this patient. No radiopaque cystic calculi. Narrowed T11-12 intervertebral disc space. No lumbar spinal abnormalities. The coxofemoral joints are congruent.</t>
  </si>
  <si>
    <t>Normal thorax, thoracic lungs, abdomen. A reason for lameness is not identified. Soft tissue sprain/strain is most likely. A lateralized cervical intervertebral disc lesion is not ruled out.</t>
  </si>
  <si>
    <t>This patient may benefit from anti-inflammatories.</t>
  </si>
  <si>
    <t xml:space="preserve">
1.The liver is mildly enlarged with a smooth margin._x000D_
2.No abnormal AI findings reported._x000D_
3.Resource: https://platform.v2.vetology.net/doc/liver_disease_x000D_
4.The spleen is normal in size and margin._x000D_
5.The stomach appears within normal limits._x000D_
6.The small intestines appear normal in size, course and content. No signs of small bowel obstruction.</t>
  </si>
  <si>
    <t xml:space="preserve">Patient Name: Jasper Sedeno, Date of study: May 29, 2024
3 images are provided for review
Canine Abdomen (3 Images) - 2 Lateral, 1 VD
There are no previous radiographs for comparison.
Abdomen:
Liver: The caudoventral liver margin extends ventral to the pylorus. The liver retains a smooth margin. 
Spleen; Normal
Kidneys and urinary bladder: The visible portion of the kidneys, urinary bladder and prostate are normal. 
GI: The gastric rugae are thickened however the stomach is contracted. Minimal soft tissue is present in the gastric lumen. The descending duodenum contains minimal gas but the duodenum has a rigid appearance. No duodenal dilation is noted. Segments of small bowel in both the cranial and caudal abdomen are gas distended and have a rigid appearance. Segmental bowel dilation is also present with the max:min ratio approximately 1.5. No discrete small intestinal foreign body is noted. The colon is empty. 
Abdominal detail: A mild decrease in abdominal detail is present in the mid-ventral abdomen on the lateral projections and in the caudal abdomen on the lateral projections. On the VD projection, a few gas opacities are present in the right lateral abdomen, lateral to the bowel, at the level of T11. These gas opacities cannot be definitively localized to within viscus or outside of viscus. 
Caudal thorax: CVC size is normal. The caudal thoracic esophagus is mildly fluid filled. 
Msk: Mid-thoracic ventral spondylosis is present. Caudal lumbar ventral spondylosis is present. No aggressive vertebral lesion is noted. </t>
  </si>
  <si>
    <t>1) Segmental small bowel dilation with a rigid appearance. The max:min ratio of &lt; 2:1 could represent either a partial obstruction or functional ileus secondary to peritonitis. No discrete foreign body noted. Evidence of gastritis. 
2) Decreased abdominal detail in the mid-ventral abdomen on the lateral projections and in the caudal abdomen on both projections. DDx: mesenteric inflammation vs. mesenteric hemorrhage vs. peritonitis. Appearance on the VD projection does raise concern for focal free abdominal air with other considerations being atypical gas within a displaced small bowel loop or mural gas. Rule out an intestinal ulcer causing minimal free abdominal air. 
3) Fluid filled caudal thoracic esophagus; rule out transient esophageal dilation secondary to vomiting vs. esophagitis. 
4) Normal liver, spleen, kidneys and urinary bladder.</t>
  </si>
  <si>
    <t>Abdominal ultrasound with abdominal fluid collection if a fluid pocket can be identified and safely sampled. Horizontal beam could also be considered to assess for free abdominal air via a left lateral projection (if possible). Exploratory laparotomy if free abdominal air or septic peritonitis is confirmed.</t>
  </si>
  <si>
    <t>Patient Name : Rex Gernon, Date of study: May 29, 2024
5 images are provided for review
There are no previous radiographs for comparison.
Liver: The liver is subjectively normal in size.
Spleen: The spleen is moderate to severely generally enlarged and extends into the mid/caudal-ventral abdomen in the lateral images, and the right mid/caudal-abdomen in the ventrodorsal image.  The spleen has smooth, well-defined margins.
Kidneys: The kidneys are normal in size and shape without obvious mineral.
Retroperitoneum: Retroperitoneal detail is adequate.
Urinary bladder: The urinary bladder is partially excluded without obvious enlargement or mineral.
Peritoneum: Peritoneal detail is adequate.
Gastrointestinal tract: The stomach contains a moderate volume of gas and a mild volume of heterogeneous soft tissue material admixed with gas.  Some of this material and gas is in the pylorus in the left lateral image.  The stomach is within normal limits for size.
The small intestine contains mild fluid and gas or is empty, with a subjectively uniform population for size.
The colon contains mild gas and fluid or soft tissue material, or is empty.
Musculoskeletal: Multifocal thoracolumbar spondylosis deformans is present.  Severe bilateral coxofemoral joint osteoarthrosis is present.</t>
  </si>
  <si>
    <t xml:space="preserve">1. Moderate-severe splenomegaly.  
- Differential diagnoses include extramedullary hematopoiesis, lymphoid hyperplasia,  neoplasia such round cell tumor or less likely other, and breed-variation (German Shepherd dog).  
- A splenic mass/torsion or obvious peritoneal fluid are not identified.
2. Mild non-specific gastrointestinal tract changes such as from gastritis/enteritis/colitis versus normal variation.
- If present, this may be due to systemic disease, dietary indiscretion, toxin ingestion, or unlikely other.
3. Severe bilateral coxofemoral joint osteoarthrosis.  </t>
  </si>
  <si>
    <t xml:space="preserve">Consider thoracic radiographs, abdominal ultrasonography, and routine blood work for further evaluation.  Consider coagulation testing and splenic tissue sampling versus splenectomy depending on results of additional diagnostics.  No splenic mass or peritoneal fluid is identified on this examination.  Empirical therapy and supportive care in the interim as needed. </t>
  </si>
  <si>
    <t xml:space="preserve">
1.Peritoneal detail is decreased._x000D_
2.The spleen is also enlarged with a smooth outline._x000D_
3.The ventral abdominal line is pendulous._x000D_
4.The hepatic silhouette is enlarged, with a smooth round and borders._x000D_
5.The stomach contains a moderate amount of food material, but has a normal axis._x000D_
6.The small intestines are within normal limits for shape, size and contents._x000D_
7.The large colon contains a minor amount of poorly formed faeces.</t>
  </si>
  <si>
    <t>WHOLE-BODY (6 total radiographs for review). No previous for comparison. _x000D_
_x000D_
- Peritoneal serosal detail is adequate_x000D_
- The stomach contains moderate gas, mild fluid and the gastric rugal folds are prominent. The pyloroduodenal junction can be well-identified on the LLAT projection and there is a stripe of gas defining the duodenum._x000D_
- The small intestine contains mild multifocal gas and soft-tissue opaque material_x000D_
- The colon contains gas, soft-tissue/fluid and minimal formed fecal material._x000D_
- The spleen is moderately enlarged, with rounded margins._x000D_
- The liver, kidneys and urinary bladder are normal._x000D_
- The cardiac silhouette and pulmonary vasculature are normal._x000D_
- The pulmonary parenchyma is normal_x000D_
- The trachea, esophagus and remainder of the mediastinum is/are normal._x000D_
- The pleural space and remaining intrathoracic structures are normal._x000D_
- No musculoskeletal abnormalities are noted, besides mild multifocal spondylosis deformans.</t>
  </si>
  <si>
    <t>1. The appearance of the stomach, small intestine and colon can be compatible with a non-specific generalized functional ileus (e.g. gastroenterocolitis). There is no evidence of small intestinal foreign material or mechanical obstruction, or abdominal mass. If clinically indicated, abdominal ultrasonography might be considered._x000D_
_x000D_
2. Mild splenomegaly. DDx congestion from sedation, lymphoid hyperplasia, EMH, less likely neoplasia._x000D_
_x000D_
3. Normal thorax.</t>
  </si>
  <si>
    <t xml:space="preserve">
1.Abdominal detail is within normal limits._x000D_
2.The stomach is mildly gas and fluid filled with some soft tissue density material. The small bowel is gas and fluid-containing. No findings of obstruction._x000D_
3.No abnormal AI findings reported._x000D_
4.The liver and spleen are normal.</t>
  </si>
  <si>
    <t>A three-view thoracoabdominal study is provided for interpretation._x000D_
_x000D_
The heart is moderately enlarged. The shape of the heart suggests bilateral chamber dilation. Pulmonary vessels are normal. There is a mild to moderate bronchointerstitial pulmonary pattern. No pulmonary nodules or pleural effusion are seen._x000D_
_x000D_
There is a large mass in the right cranial to mid abdomen. The mass causes severe dorsal and leftward displacement of the body of the stomach. Only one kidney is visible in each view=ZZ90= both kidneys are suspected to be displaced caudally by the mass._x000D_
_x000D_
There is an unusual mineral opacity seen dorsal to the thoracolumbar region of the spine in the lateral views that cannot be corroborated in the VD view. This is suspected to be an artifact caused by something on the fur. No destructive or productive bone lesions identified.</t>
  </si>
  <si>
    <t>There is a large mass originating in the right cranial abdomen extending caudally and medially. This mass most likely originates in the liver. Additional tissues of origin can include pancreas or spleen (both less likely). This lesion is presumed to be neoplastic, although benign causes such as a cystic lesion cannot be entirely excluded._x000D_
No findings indicative of metastasis are identified._x000D_
_x000D_
The heart is enlarged. No evidence of heart failure is seen. The bronchointerstitial pattern is suspected to be the result of age related change and hypoinflation. Bronchitis should still be ruled out if supported by relevant clinical signs.</t>
  </si>
  <si>
    <t>Neoplasia is likely responsible for the abdominal mass effect in clinical signs._x000D_
More advanced imaging is recommended to better define the extent of the mass and rule out metastasis not visible in the radiographs. CT or ultrasound of the abdomen is recommended.</t>
  </si>
  <si>
    <t xml:space="preserve">
1.On the lateral projection, the liver is mildly enlarged with rounded margins. The ventral abdominal line is pendulous._x000D_
2.The stomach and small bowel are minimally filled. Multiple small bowel loops are gas filled and have a rigid appearance._x000D_
3.Abdominal detail is decreased. DDx: abdominal fluid vs. confluence of soft tissue structures._x000D_
4.Formed feces in the distal colon._x000D_
5.An increase in soft tissue opacity is noted in the region of the spleen. DDx: superimposition of the spleen and other soft tissue/fluid vs. caudal displacement of the stomach by the hepatomegaly vs. other mass in this region._x000D_
6.Resource: https://platform.v2.vetology.net/doc/cushings_1</t>
  </si>
  <si>
    <t>Abdomen. Right lateral and ventrodorsal radiographs of the thorax/abdomen dated May 29, 2024 are provided. As requested, the abdomen is interpreted.
Gastrointestinal tract: The stomach is normal in position and contains a small volume of gas. The small intestines are diffusely within normal limits of diameter and distribution. The cecum is primarily gas-filled. The colon is unremarkable.
Liver: The liver is normal in size and shape.
Spleen: The spleen is normal in size and smooth and margination.
Urinary: The visible margins of the kidneys are normal in size, shape, and margination. The urinary bladder is mildly distended and normal in opacity.
Peritoneal space: There is adequate serosal detail.
Musculoskeletal: The included skeletal and superficial soft tissue structures are unremarkable.</t>
  </si>
  <si>
    <t>Unremarkable abdominal radiographs. A cause for leukocytosis and anemia is not identified.</t>
  </si>
  <si>
    <t>An abdominal ultrasound could be considered as an additional screening tool. Consultation with an internist is recommended.</t>
  </si>
  <si>
    <t xml:space="preserve">
1.The stomach contains small-volume gas. Small intestines are minimally fluid-filled._x000D_
2.The abdominal detail is normal._x000D_
3.The spleen is normal for size, shape and margin._x000D_
4.The liver is borderline small size, although this likely represents artifact or positioning.</t>
  </si>
  <si>
    <t>WHOLE-BODY (3 total radiographs for review). A previous examination is available for comparison from 2022._x000D_
_x000D_
- Mild diffuse bronchial pattern._x000D_
- Pulmonary parenchyma otherwise unremarkable._x000D_
- Trachea, mediastinum, and remaining included intrathoracic structures unworkable._x000D_
- Cardiac silhouette and pulmonary vasculature normal._x000D_
- Peritoneal serosal detail is adequate_x000D_
- The stomach contains mild gas and gas-stippled soft-tissue opaque material_x000D_
- The small intestine contains mild multifocal gas and soft-tissue opaque material_x000D_
- The colon contains gas, soft-tissue/fluid and minimal formed fecal material._x000D_
- The liver, spleen, kidneys and urinary bladder are normal._x000D_
- The caudal thorax is normal_x000D_
- No musculoskeletal abnormalities are noted.</t>
  </si>
  <si>
    <t>1. A discrete radiographic cause for the coughing is not clearly identified however there is a mild diffuse bronchial pattern present, which could reflect a component of chronic bronchitis in this patient (which may have an underlying infectious or inhaled irritant etiology). There is no evidence of pneumonia or cardiac disease. You may consider initiating empirical therapy for bronchitis/chronic airway disease and if the coughing does not improve or worsens despite medical management, recheck radiographs and/or a thoracic CT and lower airway sampling might be of high diagnostic utility._x000D_
_x000D_
2. Given the patient=ZZ91=s signalment, tracheal collapse is not excluded despite lack of radiographic evidence._x000D_
_x000D_
3. Normal postprandial abdomen.</t>
  </si>
  <si>
    <t>Three radiographs of the thorax, and three views of the abdomen are provided. The cardiac silhouette and pulmonary vessels are normal size. There are no abnormalities in the pulmonary parenchyma. No pleural effusion. Adequate tracheal diameter._x000D_
_x000D_
In the abdomen there is no effusion. The stomach contains small volume gas, fluid, and small accumulation of punctate mineral opaque debris. Small bowel are minimally filled. Small volume formed feces in the colon. Normal-sized liver, kidneys, spleen. No radiopaque cystic calculi. Osseous structures are unremarkable.</t>
  </si>
  <si>
    <t>Mineral debris in the stomach may represent ingested foreign material, component of normal diet, or administered medications. Otherwise normal abdomen. Gastroenteritis or acute toxicity is most likely. There is no evidence of an obstructive process. The thorax is normal.</t>
  </si>
  <si>
    <t>Recommend supportive care.</t>
  </si>
  <si>
    <t xml:space="preserve">
1.Peritoneal detail is normal._x000D_
2.Liver and spleen appear within normal limits._x000D_
3.No abnormal AI findings reported._x000D_
4.Small-to-moderate volume ingesta in the stomach._x000D_
5.Small intestines and colon are minimally filled without compelling evidence for obstruction.</t>
  </si>
  <si>
    <t>Three radiographs of the thorax/abdomen are provided. There is moderate left-sided cardiomegaly. Subsequent dorsal deviation of the caudal thoracic trachea and mainstem bronchi. There is soft tissue opacity with air bronchograms in the perihilar region and radiating distally. The caudodorsal lungs are most significantly affected. No pleural effusion. Adequate tracheal diameter. In the abdomen there is no effusion or organomegaly. The gastrointestinal tract is minimally filled. The urinary bladder is not identified. Degenerative change noted in the stifles.</t>
  </si>
  <si>
    <t>Moderate left-sided cardiomegaly consistent with acquired mitral valve disease. There is pulmonary edema indicating left-sided heart failure. The abdomen is normal.</t>
  </si>
  <si>
    <t>Diuretic administration and follow-up echocardiogram are recommended.</t>
  </si>
  <si>
    <t>Patient Name : Hamm Benaivides, Date of study: May 29, 2024
12 images are provided for review
There are no previous radiographs for comparison.
Bones/Joints:  An ill-defined, curvilinear lucent line is over the left radial carpal bone, oriented in a proximal to distal dimension.   This line is thick and well-defined in the lateral image, and the left radial carpal bone margins are sclerotic.  This line extends from the proximal to the distal articular surfaces of the left radial carpal bone. In the dorsopalmar image, this line is mid-sagittal over the radial carpal bone.  This lucent line is suspected in the mid to dorsal aspect of the radial carpal bone in the lateral image.  The ulnar and accessory carpal bones are subjectively normal.  The distal row of left carpal bones are subjectively normal.  Mild osseous proliferation is at the cranial aspect of the left distal radial metaphysis.  The right carpus and radius/ulna are normal.  The elbows are normal bilaterally.  The shoulders are normal bilaterally.  There is no evidence of medullary sclerosis, osteolysis, endosteal scalloping or periosteal proliferation.
Soft tissues:  The soft tissues dorsal and medial/lateral to the left antebrachiocarpal and intercarpal joints are mild to moderately enlarged.  The remaining included soft tissues are normal.</t>
  </si>
  <si>
    <t>1. Suspected chronic left radial bone articular fracture.
2. Mild left carpal soft tissue swelling is likely due to prior/repetitive trauma and possible synbovial effusion/proliferation.
3.  Mild left distal radial osteophytes/enthesophytes such as from evolving degenerative joint disease versus changes secondary to suspected trauma/fracture and altered weight-bearing.</t>
  </si>
  <si>
    <t>Computed tomography for further evaluation of the left carpus and possible surgical intervention if a fracture is confirmed.  Orthopedist consultation given this is suspected to be a chronic articular fracture.  Empirical therapy and supportive care in the interim as needed.</t>
  </si>
  <si>
    <t xml:space="preserve">
1.Cranial abdominal detail is mildly decreased.  If this is the only finding, this is more likely due to normal overlying structures or radiographic technique. If this finding is part of a larger group of findings, cranial abdominal inflammation becomes a stronger consideration._x000D_
2.There is formed fecal material within the colon._x000D_
3.The stomach is minimally distended._x000D_
4.The small intestine is uniform in diameter containing both fluid and gas. No segmental small bowel dilation is noted._x000D_
5.Splenomegaly is present but a splenic mass is NOT detected._x000D_
6.Liver size, shape and margin are normal.</t>
  </si>
  <si>
    <t>Six radiographs of the abdomen are provided and compared to images dated May 28, 2024. Serosal detail is adequate. There is small volume gas in the stomach. The stippled to striated soft tissue density is again identified in a loop of small bowel in the caudal abdomen. This is in relatively similar position, however does appear to be adjacent to the cecum on the VD projections today. There are a few loops of mild to moderately gas dilated small bowel. The colon is minimally filled. No other abnormalities.</t>
  </si>
  <si>
    <t>Persistent small intestinal foreign material. This appears to be in similar position, however is in close proximity to the cecum, and may be located within the ileum. I remain concerned about a partial obstruction, particularly since there are also several loops of moderately gas dilated small bowel that were not present before. The foreign material may continue to pass successfully.</t>
  </si>
  <si>
    <t>Recommend supportive care. Since vomiting has ceased and there is no severe intestinal distention, this is not a surgical emergency, and supportive care is recommended. If the patient does not continue to improve clinically, surgical retrieval of the foreign material may be necessary.</t>
  </si>
  <si>
    <t xml:space="preserve">
1.The liver and spleen are normal._x000D_
2.No abnormal AI findings reported._x000D_
3.The pyloroduodenal is widened and the proximal duodenum contains a mild amount of air._x000D_
4.The gastric lumen contains a mild amount of soft tissue and gas opacity._x000D_
5.There is a focal loss of serosal detail in the cranial abdomen on the VD projection._x000D_
6.The gastric rugae are prominent._x000D_
7.The small bowel is diffusely fluid distended with a mild disparity in small bowel diameter._x000D_
8.Portions of the colon are gas filled and have a rigid appearance.</t>
  </si>
  <si>
    <t>A lateral radiograph of the thorax, and four views of the abdomen are provided. The cardiac silhouette and pulmonary vessels are normal size and shape. Mild unstructured interstitial pattern is normal for the age of this patient. Increased opacity overlying the cranial heart is caused by superimposed skinfold. There is no pleural effusion or esophageal dilation. Normal tracheal diameter._x000D_
_x000D_
In the abdomen there is small volume fluid gas stomach. Small bowel and colon are minimally filled. No radiopaque gastrointestinal foreign material. Normal-sized liver, kidneys, spleen. No radiopaque urolithiasis. Normal coxofemoral joints.</t>
  </si>
  <si>
    <t>A CBC, blood chemistry profile, and supportive care are recommended. Based on lab work results and patient response, further investigation with abdominal ultrasound may be indicated.</t>
  </si>
  <si>
    <t>Five radiographs of the thorax and abdomen are provided. The cardiac silhouette and pulmonary vessels are normal size and shape. There are no abnormalities of the pulmonary parenchyma or pleural space. Fat deposition separates the heart and lungs from the sternum on the lateral view. In the abdomen the liver is mildly enlarged with smooth margins. Normal-sized kidneys and spleen. There is small volume amorphous soft tissue opacity in the stomach. Small and large bowel are minimally filled. No radiopaque foreign material. The urinary bladder is mildly filled. Punctate mineral and metal densities overlying the urinary bladder is artifact on the image. Narrowed T11-12 intervertebral disc space, likely incidental today. There is moderate degenerative change in both coxofemoral joints, and the femoral heads are poorly covered by the dorsal acetabular rims. Osseous remodeling on the femoral necks causes the appearance of lucencies, but is artifact.</t>
  </si>
  <si>
    <t>1. Mild hepatomegaly, a nonspecific finding that may be steroid or other hepatopathy, acute inflammation, or neoplasia. Otherwise normal abdomen._x000D_
2. Normal thorax.</t>
  </si>
  <si>
    <t>Five radiographs of the thorax, and five views of the abdomen are provided. Images dated 4/5/22 are available for comparison. The cardiac silhouette and pulmonary vessels are normal size and shape. There are mild age-related changes throughout the lungs. No pleural effusion. There is a curved 3.4 x 1.5 cm soft tissue opacity dorsal to the 2nd sternal segment, not present on the previous study. Normal tracheal diameter. No osseous abnormalities._x000D_
_x000D_
In the abdomen serosal detail is adequate. Normal-sized liver, spleen, kidneys. The gastrointestinal tract is moderately filled. The cecum is gas dilated. Spondylosis deformans at the lumbosacral junction is likely incidental. Normal coxofemoral joints.</t>
  </si>
  <si>
    <t>Sternal lymphadenopathy. Coupled with the reported generalized lymphadenomegaly, neoplasia such as lymphoma is suspected. A severe inflammatory process is given lesser consideration. Otherwise normal thorax and abdomen.</t>
  </si>
  <si>
    <t>Cytology of the enlarged peripheral lymph nodes is recommended for a definitive diagnosis.</t>
  </si>
  <si>
    <t xml:space="preserve">
1.The liver is normal._x000D_
2.The stomach is moderately gas filled and has prominent rugae._x000D_
3.The distended small bowel and colon have a similar appearance._x000D_
4.Several loops of mildly dilated loops of small intestine as well as several, less dilated loops of small bowel are noted approaching 2 bowel populations._x000D_
5.The spleen is normal._x000D_
6.Adequate serosal detail is noted in the peritoneal space.</t>
  </si>
  <si>
    <t>Three radiographs of the thorax and three views of the abdomen are provided. Images dated 3/16/22 are available for comparison. There is equivocal prominence of the left atrium as before. Cardiac to thoracic ratio and pulmonary vessel size remains normal. There are faint bronchial markings throughout the lungs. No soft tissue pulmonary nodules or pleural effusion. Adequate tracheal diameter. No esophageal dilation. Normal cervicothoracic spine._x000D_
_x000D_
In the abdomen there is no effusion or organomegaly. The stomach and small bowel are mildly gas filled. The cecum is gas filled. Formed feces fills the distal colon. No radiopaque foreign material or urolithiasis. Normal lumbar spine and coxofemoral joints.</t>
  </si>
  <si>
    <t>This study is essentially unchanged compared to the previous radiographs._x000D_
1. Mild bronchial pattern, consider normal age-related change versus allergic bronchitis. No other abnormalities are identified to explain the cough._x000D_
2. Equivocal prominent left atrium suggestive of acquired mitral valve disease. There is no pulmonary venous congestion or pulmonary edema. This is of doubtful clinical significance, and not responsible for the cough._x000D_
3. Normal abdomen.</t>
  </si>
  <si>
    <t>A reason for the clinical signs is not identified. Recommend a CBC, blood chemistry profile, and a neurologic examination to include cranial nerve assessment.</t>
  </si>
  <si>
    <t xml:space="preserve">
1.The spleen is prominent but retains a smooth margin._x000D_
2.Serosal detail is normal._x000D_
3.Mild microhepatia is present on the VD projection but liver size is normal on the lateral projection making this more likely an image artifact than true microhepatia._x000D_
4.The stomach and small bowel are unremarkable.</t>
  </si>
  <si>
    <t>Three radiographs of the thorax/abdomen are provided. There is moderate generalized cardiac silhouette enlargement. Pulmonary vessels are normal size. The enlarged heart causes dorsal deviation of the caudal thoracic trachea and mainstem bronchi. The mainstem bronchi are compressed. There are several (at least six) well-defined variably sized round soft tissue opaque nodules in the lungs. These nodules measure up to 2.2 cm. Tracheal diameter is adequate. In the abdomen the liver is mildly enlarged with smooth margins. Normal-sized spleen. Both kidneys are enlarged and smoothly ovoid. No radiopaque cystic calculi. No osseous abnormalities.</t>
  </si>
  <si>
    <t>1. Pulmonary nodules consistent with metastatic disease. A primary lesion is not definitively identified._x000D_
2. Hepatomegaly and bilateral renomegaly. Neoplasia such as lymphoma should be considered. Acute hepatic inflammation or hepatopathy could also cause hepatic enlargement. Other causes for renomegaly include pyelonephritis, acute inflammation, or perirenal pseudocysts._x000D_
3. Moderate generalized cardiomegaly consistent with acquired mitral and tricuspid valve disease. There is no pulmonary venous congestion or pulmonary edema, however there is mainstem bronchial compression.</t>
  </si>
  <si>
    <t>Abdominal ultrasound is recommended. An echocardiogram should also be considered.</t>
  </si>
  <si>
    <t xml:space="preserve">Patient Name : Maddie Tatar, Date of study: May 28, 2024
4 images are provided for review
There are no previous radiographs for comparison.
Liver: The liver is subjectively small in the lateral images with cranial displacement of the gastric axis.  
Spleen: The spleen is normal in size with smooth margins and homogeneous soft tissue.
Kidneys: The left kidney is normal.  The right kidney is partially obscured without obvious enlargement or mineral.
Retroperitoneum: Retroperitoneal detail is adequate.
Urogenital: The urinary bladder is normal in size, homogeneous soft tissue, and smoothly marginated.
Peritoneum: Peritoneal detail is adequate.
Gastrointestinal tract: The stomach contains a moderate volume of gas. Gas is in the pylorus in the left lateral image.  Gastric rugal folds are mildly prominent.  The stomach is within normal limited for size.  
The small intestine contains fluid or is empty, or minimal gas and soft tissue material.  The small intestine has a subjectively uniform population for size. 
The colon contains mild admixed heterogeneous soft tissue material and gas.  The colon is mildly spastic in the ventrodorsal image.  The colon is subjectively normal in size.
Musculoskeletal: The included musculoskeletal structures are normal.
</t>
  </si>
  <si>
    <t>1. Equivocal microhepatia versus variation of normal.
- If present, differential diagnoses include occult portosystemic shunt or chronic hepatitis/cirrhosis, or unlikely other.
2. Prominent gastric rugal folds such as from non-specific gastritis versus variation of normal.
3. Non-specific colon changes such as from colitis versus other, or less likely normal peristalsis given reported history.</t>
  </si>
  <si>
    <t xml:space="preserve">Etiology of the reported signs is not definitively identified.  Consider coagulation testing, 4DX testing, GI panel, thoracic radiographs, and abdominal ultrasonography versus abdominal computed tomography given the size of this patient.  Bile acid testing may be contributory.  Consider colonoscopy given reported clinical signs and internist consultation.  Empirical therapy and supportive care in the interim as needed.  Monitoring as directed or sooner if signs acutely change or worsen.  </t>
  </si>
  <si>
    <t>WHOLE-BODY (3 total radiographs for review). No previous for comparison._x000D_
_x000D_
- Soft tissue band dorsally overlying the trachea in the region of the thoracic inlet._x000D_
- The cardiac silhouette is prominent, however no discrete chamber enlargement  can be clearly identified. The pulmonary vasculature and pleural space is/are normal._x000D_
- Mild diffuse bronchial pulmonary pattern._x000D_
- Pleural space, mediastinum and remaining included intrathoracic structures unremarkable._x000D_
- Peritoneal serosal detail is adequate_x000D_
- The liver is mildly enlarged, with rounded margins._x000D_
- The stomach contains mild gas and gas-stippled soft-tissue opaque material_x000D_
- The small intestine contains mild multifocal gas and soft-tissue opaque material_x000D_
- The colon contains gas, soft-tissue/fluid and minimal formed fecal material._x000D_
- The spleen, kidneys and urinary bladder are normal._x000D_
- There is mild multifocal spondylosis deformans present.</t>
  </si>
  <si>
    <t>1. The appearance of the trachea can be compatible with tracheal collapse, secondary to chondromalacia._x000D_
_x000D_
2. Mild diffuse bronchial pattern with few thickened pleural fissures. Most likely representing age-related lower airway changes, however a component of chronic bronchitis is possible, especially if there is a history of abnormal respiratory sounds, wheezing and/or coughing._x000D_
_x000D_
3. Prominent cardiac silhouette may be a normal patient Berean and/or a result of the cardiac cycle however valvular disease or pulmonary hypertension is possible especially if there is a audible murmur present. Correlate to clinical impression_x000D_
_x000D_
4. Mild generalized hepatomegaly. Most likely representing vacuolar (metabolic) hepatopathy. Hepatic congestion, hepatitis or neoplasia are possible, but less likely.</t>
  </si>
  <si>
    <t xml:space="preserve">
1.Serosal detail is adequate._x000D_
2.No abnormal AI findings reported._x000D_
3.The liver is mildly enlarged with normal shape and smooth margins._x000D_
4.The stomach appears within normal limits. The small bowel contains a mild amount of gas. No obvious signs of obstruction.</t>
  </si>
  <si>
    <t>Three orthogonal survey radiographs of the thorax and abdomen dated 28th May 2024 are available for review. There are no previous radiographs available for comparison. These images are submitted for assessment of the vertebral column. The images are overall grainy, likely due to quantum mottling._x000D_
_x000D_
Vertebral column: The thoracic vertebral column is normal. There is narrowing of the T13-L1 intervertebral disc with smooth vertebral and plates, and mild ventral spondylosis. There is mild narrowing at L2-L3 and L3-L4. No mineralised material is seen dorsal to the intervertebral disc spaces._x000D_
A moderate sized cystolith is present, as well as renolithiasis, as reported.</t>
  </si>
  <si>
    <t>1. T13-L1 intervertebral disc disease. This may cause some discomfort. Protrusion of non-mineralised disc material is possible, potentially causing some extradural compression._x000D_
2. Minimal L2-L3 and L3-4 intervertebral disc disease.</t>
  </si>
  <si>
    <t>The grainy appearance is most likely due to insufficient photons/x-ray dose. This is generally due to a insufficient mAs, however this may be detector specific. Consultation with technical support is advised. Consider exposure chart testing._x000D_
Full neurologic examination if not already performed. If no proprioceptive deficits and no back pain, observational management is advised.</t>
  </si>
  <si>
    <t>Three orthogonal survey radiographs of the thorax and abdomen and 1 left thoracic limb survey radiographs dated 28th May 2024 are available for review. There are no previous radiographs available for comparison. These images are submitted for assessment of the vertebral column. The cervical vertebral column is not included_x000D_
_x000D_
Vertebral column: The thoracic vertebral column is normal. There is mild ventral spondylosis at L2-L3 and L3-4. Moderate spondylosis present at the lumbosacral junction. The vertebral endplates are smooth. There is moderate smoothly marginated hepatomegaly. The caudal antebrachial musculature is swollen. There is mild left shoulder and elbow osteoarthritis.</t>
  </si>
  <si>
    <t>Normal vertebral column. _x000D_
Differentials for the swollen antebrachial musculature include trauma (haemorrhage, oedema), cellulitis (puncture wound, non-radiopaque migrating foreign body), insect bite hypersensitivity, less likely lymphangitis._x000D_
Hepatomegaly as previously documented: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</si>
  <si>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Empirical management is advised. If a localised swelling develops, consider musculoskeletal ultrasound. Depending on clinical progression, consider repeat radiographs._x000D_
Consider comparative thoracic limb radiographs.</t>
  </si>
  <si>
    <t>Study:_x000D_
Abdominal radiography: three images dated May 28, 2024_x000D_
_x000D_
Findings:_x000D_
The stomach contains a small amount of heterogeneous soft tissue material presumed to be ingesta. The small intestines are normal in size, course and content. The colon contains formed fecal material. The liver and spleen are normal in size and margin. The renal silhouettes are normal in size and contour. Numerous mineral opaque calculi measuring up to 0.4 cm are present in the urinary bladder. No calculi are present in the region of the urethra. The prostate is moderately enlarged with smooth margins. On the right lateral projection timestamped 6:52 PM, there is an indistinct round opacity in the caudodorsal thorax in the region of the caudal esophagus. This finding is not repeatable on the additional lateral projection. No skeletal abnormalities present.</t>
  </si>
  <si>
    <t>1. Cystolithiasis. Consider dissolution versus cystotomy._x000D_
2. Moderate prostatomegaly. Rule out benign prostatic hyperplasia plus/minus prostatitis, prostatic abscess formation or para-prostatic cyst. Sonography can be considered for further evaluation._x000D_
3. The transient indistinct round opacity in the region of the caudal esophagus on may represent a sliding hiatal hernia or gastroesophageal reflux.</t>
  </si>
  <si>
    <t xml:space="preserve">
1.Abdominal detail is normal._x000D_
2.Liver size, shape and margin are normal._x000D_
3.On the lateral projection the spleen is prominent to mildly enlarged, but retains a smooth margin._x000D_
4.The stomach is normal. The small bowel is diffusely gas- and fluid-filled without segmental small bowel dilation.</t>
  </si>
  <si>
    <t>Study:_x000D_
Abdominal radiography: three images dated May 28, 2024_x000D_
_x000D_
Findings:_x000D_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included thorax is normal. The tail subluxation noted in the March 22, 2024 exam is unchanged and alignment.</t>
  </si>
  <si>
    <t>Urinalysis, urine culture and abdominal sonography can be considered for further evaluation of the reported azotemia.</t>
  </si>
  <si>
    <t>Orthogonal views of the thoracolumbar spine are provided for interpretation._x000D_
_x000D_
There is moderate narrowing of the T10-T11 disc space. There is potential for mild narrowing from T11 to T13. This is a subtle change and subject of positional artifact. The right 13th rib is hypoplastic. The L5-06 intervertebral disc space is moderately narrowed._x000D_
No destructive or productive bone lesions identified. Paravertebral soft tissues are unremarkable.</t>
  </si>
  <si>
    <t>There is moderate narrowing at T10-T11 and L5-L6. B oth of these locations are commonly mildly to moderately narrowed as a benign variant. Disc degeneration is still consideration._x000D_
Mild narrowing may also be present involving the rest of the caudal thoracic spine, the appearance is equivocal._x000D_
_x000D_
No abnormalities are seen involving the thoracic or abdominal organs, or the sublumbar area.</t>
  </si>
  <si>
    <t>The radiographic findings are fairly limited. Intervertebral disc disease is a primary consideration, but more advanced imaging such as MRI would be necessary for definitive diagnosis._x000D_
Symptomatic therapy is recommended as needed. More advanced imaging should be considered if clinical signs worsen.</t>
  </si>
  <si>
    <t>Orthogonal radiographs of the abdomen are provided. There is no peritoneal or retroperitoneal effusion. The stomach contains a moderate amount of gas and amorphous soft tissue opacity. Small intestines are diffusely moderately fluid filled. Small volume fluid and gas in the colon. Normal-sized liver, spleen, kidneys. The prostate is moderately enlarged and smoothly marginated. No medial iliac lymphadenomegaly.</t>
  </si>
  <si>
    <t>1. The gastric contents appears to be normal ingesta, however in light of the history all or a portion of this could be foreign material causing gastritis and pyloric outflow obstruction._x000D_
2. Fluid-filled small bowel consistent with ileus. This may be due to stress/discomfort, metabolic abnormality, enteritis. Liquid diarrhea._x000D_
3. Prostatomegaly, unexpected in a neutered patient. Recent/late  neuter could cause this appearance. Prostatitis or neoplasia are given much lesser consideration at this time.</t>
  </si>
  <si>
    <t>Recommend supportive care and repeat fasted abdominal radiographs +/- positive contrast gastrogram to rule out gastric foreign material.</t>
  </si>
  <si>
    <t xml:space="preserve">
1.The stomach contains small volume gas and scant soft tissue density. The small bowel is diffusely gas- and fluid-filled without segmental small bowel dilation._x000D_
2.The liver is mildly enlarged with smooth margins._x000D_
3.Splenic size, shape and margin are normal._x000D_
4.Abdominal detail is normal.</t>
  </si>
  <si>
    <t>Thoracic and abdominal radiographs (7 images) dated May 28, 2024._x000D_
_x000D_
_x000D_
The caudal vena cava is small in size. The pulmonary vasculature and remaining great vessels are within normal limits. The cardiac silhouette is normal in size and shape.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unremarkable in size and shape. Both kidneys are normal in size and shape. The urinary bladder is mildly distended with homogeneous fluid opacity. The stomach is distended with a fair amount of gas and a smaller amount of heterogeneous soft-tissue content. On the VD projection, there is a sharply demarcated rectangular structure with the radiolucent core and thin soft-tissue opaque wall that measures 3.7 x 2.4 cm and residing in the fundus. This is also visible in the fundus on the left lateral view. The pyloric antrum and proximal duodenum contain a small volume of gas on the VD view. Small intestine is unremarkable in diameter and course with a slightly more distended segments containing fluid and gas, and multiple segments having an irregular linear coalescing gas pattern. The colon contains unremarkable appearing stool and has a normal course. Retroperitoneal and peritoneal detail are normal. No regional lymphadenopathy is evident._x000D_
There is middle lumbar spondylosis deformans without disc space narrowing.</t>
  </si>
  <si>
    <t>1. No evidence of a gastrointestinal mechanical obstruction, although there is a rectangular-shaped nonobstructive object in the stomach that is concerning for a foreign body (vs. undigested large treat reportedly eaten) in the gastric fundus=ZZ90= this could result in gastric irritation._x000D_
2. The appearance of the small intestine is suggestive of enteritis._x000D_
3. Small caudal vena cava is concerning for dehydration vs. less likely an incidental variation in cardiorespiratory cycling.</t>
  </si>
  <si>
    <t>Fluids, single antiemetic injection, and fasting for 16 hours NPO food and 4 hours NPO water for repeat radiographs to assess if the rectangular structure is digested (if it is the treat) vs. endoscopy._x000D_
CBC, Chem, UA, thyroid, fecal, 4Dx, blood pressure.</t>
  </si>
  <si>
    <t>Three radiographs of the abdomen are provided. Peritoneal and retroperitoneal detail is adequate. There is small volume gas in the stomach. On the lateral views there is small amount of smoothly irregular soft tissue density overlying the pylorus. This is not definitively seen on the VD projection. Small intestines are minimally distended. There is gas in the cecum. Small volume formed feces with a few small flat mineral opaque fragments in the distal colon. Normal-sized liver, spleen, kidneys. No radiopaque cystic calculi. Osseous structures and the caudal thorax are unremarkable.</t>
  </si>
  <si>
    <t>The appearance of the pylorus is concerning for small foreign material causing gastritis and pyloric outflow obstruction. Residual ingesta or collapsed rugal folds could also cause this appearance. Small volume foreign material in the distal colon is of doubtful clinical significance at this time.</t>
  </si>
  <si>
    <t>Recommend supportive care. If vomiting persists, a positive contrast gastrogram could be considered to rule out gastric foreign material. Strictly fasted abdominal ultrasound is another option, as long as there is minimal gas in the stomach at the time of ultrasound.</t>
  </si>
  <si>
    <t>Patient Name: Akamaru Domingo, Date of study: May 28, 2024
12 images are provided for review
There are no previous radiographs for comparison.
Findings:
Cardiac silhouette: The cardiac silhouette is normal in size and shape.
Pulmonary vessels: The pulmonary arteries and veins are normal in size and are symmetrical.
Pulmonary parenchyma: There is a mild diffuse bronchial pattern. There are no pulmonary nodules or regions of pulmonary consolidation.
Pleural space: The pleural space is within normal limits.
Mediastinum: The mediastinum is normal in width and opacity. There is no evidence of intrathoracic lymphadenopathy.
Trachea/Larynx: The trachea is normal in diameter and course. The larynx is normal in opacity. The pharynx and hyoid apparatus are unremarkable.
Esophagus: The region of the esophagus is within normal limits.
Gastrointestinal tract: The stomach is filled with heterogeneous ingesta admixed with gas. The small intestine is within normal limits of size and is cranially displaced by the enlarged urinary bladder.
Liver: The liver is normal in size and shape.
Spleen: The spleen is within normal limits.
Urinary: The urinary bladder is moderately distended and displaces the gastrointestinal tract cranially and dorsally. The urinary bladder is normal in shape and opacity. The kidneys are largely obscured by the gastrointestinal tract. The visible margins are unremarkable.
Peritoneal space: There is adequate serosal detail.
Musculoskeletal: There is mild spondylosis deformans of the mid thoracic spine. There is a small osseous focus is adjacent to the right greater tubercle. Otherwise the included skeletal and superficial soft tissue structures of the study are within normal limits.</t>
  </si>
  <si>
    <t>1. Mild diffuse bronchial pattern. Chronic bronchitis is prioritized as cause of coughing. Differentials include chronic bronchitis of allergic, parasitic, infectious/inflammatory, and irritant etiologies. There is no evidence of pneumonia.
2. Moderate urinary bladder distention.
3. The gastrointestinal tract is most consistent with a recent meal.</t>
  </si>
  <si>
    <t>Airway sampling (respiratory PCR, lavage/wash) is recommended to guide treatment. A Bearman fecal sedimentation test is recommended to screen for lung worms.</t>
  </si>
  <si>
    <t>4 images of the thorax are presented for review.  The cardiovascular structures are normal.  There is a diffuse interstitial pulmonary pattern that is considered appropriate for the age of the patient.  A rounded soft tissue structure is present in the left caudal lung lobe.  There is a subtle increase in soft tissue surrounding the tracheal bifurcation.  No additional pulmonary nodules are seen.  The pleural structures are normal.  Cranial abdominal detail is adequate.  There is spondylosis deformans of the thoracolumbar spine.</t>
  </si>
  <si>
    <t>Left caudal lung lobe mass concerning for primary pulmonary neoplasia.  Mild hilar lymphadenopathy concerning for metastasis.</t>
  </si>
  <si>
    <t>CT could be considered in further evaluation and surgical planning if desired.</t>
  </si>
  <si>
    <t xml:space="preserve">Patient Name: Tonka Florence, Date of study: May 28, 2024
4 images are provided for review
Canine Abdomen (4 Images) - 3 Lateral, 1 VD
There is a prior lateral abdominal radiograph dated 12/8/21 available for comparison. 
Image evaluation: The VD projection is likely mislabeled for laterality with situs perversus being a lesser consideration. 
Abdomen:
Liver: Liver size is normal. The liver margin is rounded with a convex caudal margin on the right lateral projection. 
Spleen: The spleen is positioned more craniodorsal in the abdomen than normal on the lateral projections resulting in the spleen residing between the liver and pylorus on all lateral projections. 
Kidneys and urinary bladder: Faint mineral opacities overlie the caudally positioned kidney on the left lateral projection. The urinary bladder is small. No cystic calculi are noted. 
GI: A rectangular lucent structure with a soft tissue margin is present in the pyloric region on the VD projection. Right lateral to this structure appears to be a fluid distended pylorus. On the lateral projections, a structure with thin vertical soft tissue lines appears to be present in the gastric lumen. Additionally, the appearance to the stomach is the same on both the left and right lateral projections which is atypical. The descending duodenum is gas filled on one of the right lateral projections and no duodenal distention is noted. The majority of the small bowel is displaced into the caudal abdomen on the lateral projection and positioned away from the central abdomen on the VD projection. No segmental small bowel dilation is noted. The cecum and colon are diffusely gas filled and have a rigid appearance. The majority of the colon had a rigid appearance with fluid and mineral dense material in the distal colon. 
Abdominal detail: Ventral abdominal detail is mildly decreased with a wispy appearance. The quantity of abdominal and retroperitoneal fat has increased in the recheck interim. 
Caudal thorax: The CVC is small. 
Msk: No lumbar spinal abnormalities are noted. </t>
  </si>
  <si>
    <t>1) Radiolucent gastric foreign body suspected. Concurrent colitis. 
2) Small CVC. DDx: dehydration vs. less likely, hypovolemia. 
3) Splenic position is likely secondary to displacement by an intra-abdominal lipoma in the ventral abdomen. Fat mass arising from parenchymal organ and not mesentery is considered less likely.  
4) Lack of small bowel in the mid-abdomen. Bowel displacement secondary to mid-abdominal lipoma.</t>
  </si>
  <si>
    <t xml:space="preserve">Draw blood and urine prior to fluid therapy. Treatment for suspected colitis. Confirmation of a gastric foreign body via abdominal ultrasound, abdominal CT or positive contrast gastrogram prior to surgery. Abdominal ultrasound or abdominal CT would also be useful in confirming the mid-abdominal lipoma.
Screening thoracic radiographs prior to anesthesia to assess for aspiration pneumonia. </t>
  </si>
  <si>
    <t xml:space="preserve">
1.The gastrointestinal tract contains small volumes of gas and fluid._x000D_
2.Hepatomegaly._x000D_
3.The spleen appears within normal limits._x000D_
4.No abnormal AI findings reported.</t>
  </si>
  <si>
    <t>This finding is somewhat nonspecifc in origin, and could be a lesion such as neoplasia, hematoma, or granuloma originating from the liver, spleen, pancreas, or gastrointestinal tract. If GI signs are present, supportive and symptomatic therapy for gastroenteritis/pancreatitis can be considered. Repeat radiographs to assess for passage of gastric contents or obstruction, and abdominal ultrasound could be performed for further evaluation.</t>
  </si>
  <si>
    <t>Three radiographs of the abdomen are provided. Serosal detail is adequate. The liver is upper normal size. There is moderate volume soft tissue opacity filling the stomach. Small intestines are mildly filled with soft tissue density and gas. Small intestines appear thickened, however this must be interpreted with caution, as fluid-gas interface mimics wall thickening. There is gas in the cecum and colon. Normal-sized spleen. The kidneys are obscured. No radiopaque urolithiasis. Narrowed T11-12, T12-13, L1-2 intervertebral disc spaces, of doubtful significance today.</t>
  </si>
  <si>
    <t>Gastric contents appears to be normal ingesta. Foreign material is given lesser consideration in the absence of vomiting. Otherwise normal abdomen.</t>
  </si>
  <si>
    <t>Recommend routine blood work, supportive care, and repeat abdominal radiographs following a confirmed fast +/- positive contrast gastrogram to rule out gastric foreign material.</t>
  </si>
  <si>
    <t xml:space="preserve">
1.The stomach is normal. The small bowel is diffusely gas- and fluid-filled without segmental small bowel dilation._x000D_
2.Splenic size, shape and margin are normal._x000D_
3.Abdominal detail is normal._x000D_
4.The liver is mildly enlarged.</t>
  </si>
  <si>
    <t>Patient name: Midas Raful _x000D_
ABDOMEN (3 views=ZZ90= 3 images, [2 Lateral, 1 VD]) _x000D_
Images are dated May 28, 2024._x000D_
There are no previous radiographs for comparison. _x000D_
 _x000D_
Liver: The liver is normal in size and shape with smooth margins._x000D_
_x000D_
Spleen: The spleen is normal in size and shape with smooth margins. _x000D_
_x000D_
Kidneys and urinary bladder: Neither kidney is well seen but are presumed normal in.  The urinary bladder is mildly fluid distended. No radiopaque urinary calculi are detected. _x000D_
_x000D_
GI: The stomach contains a large volume of amorphous soft tissue contents admixed with gas, consistent with partially digested food.  Several round to irregular soft tissue structures are observed in the fundus, consistent with kibble. Variably the small intestines contain fluid finely granular soft tissue digesta.  No distinct radiopaque gastrointestinal foreign material is detected.  Gas and semi-formed feces are noted throughout the colon which is diffusely dilated but follows normal course.  Gas fills the cecum.   _x000D_
_x000D_
Abdominal detail: Serosal detail is decreased. _x000D_
_x000D_
MSK: Visible musculoskeletal structures are within normal limits. _x000D_
_x000D_
Caudal thorax: Incomplete ossification of the vertebral body, pelvic, and long bone physes is appropriate for the patients age.</t>
  </si>
  <si>
    <t>1) Mild to moderate constipation of uncertain etiology (e.g. diet, dehydration, inactivity, infection/inflammation, etc.).  _x000D_
2) Decreased serosal detail.  May be appropriate for the patients age but minimal effusion or inflammation is possible.</t>
  </si>
  <si>
    <t>Consider enema(s) and fluid therapy with repeat radiographs as needed.  Abdominal ultrasound can be pursued for further evaluation if available.</t>
  </si>
  <si>
    <t>Study:_x000D_
Abdominal radiography: three images dated May 28, 2024_x000D_
_x000D_
Findings:_x000D_
The stomach contains a small volume of gas with the pylorus appropriately gas-filled on the left lateral image. The small intestines are normal in size, course and content. The colon contains poorly formed fecal material. The liver and spleen are normal in size and margin. The kidneys are normal in size and contour. The urinary bladder is normal in size and opacity. No mineral opaque calculi are present in the bladder or region the urethra. The included thorax is normal. No skeletal abnormalities are present.</t>
  </si>
  <si>
    <t>Urinalysis plus/minus urine culture can be considered for further evaluation if the patient is exhibiting any urinary signs.</t>
  </si>
  <si>
    <t xml:space="preserve">
1.The stomach contains gas and small amount of amorphous soft tissue density. Small intestines are diffusely minimally distended._x000D_
2.Resource: https://platform.v2.vetology.net/doc/gi_protectants_1_x000D_
3.Liver size, shape and margin are normal._x000D_
4.Splenic size, shape and margin are normal._x000D_
5.Abdominal detail is normal.</t>
  </si>
  <si>
    <t>Three radiographs of the abdomen are provided. There is no peritoneal or retroperitoneal effusion. The stomach contains a moderate volume of gas. The descending duodenum is transiently gas dilated. Jejunal loops are minimally filled. Small volume of formed feces in the colon. No radiopaque gastrointestinal foreign material. Normal-sized liver, spleen. The kidneys are incompletely visible. In the visible caudal thorax there is increased opacity overlying the mid ventral heart on the right lateral view.</t>
  </si>
  <si>
    <t>1. No definitive abdominal abnormalities. Gastroenteritis secondary to dietary indiscretion is most likely. There is no convincing evidence of an obstructive process._x000D_
2. Suspect mild aspiration pneumonia. Artifact caused by superimposed thoracic limb tissue could also cause this appearance.</t>
  </si>
  <si>
    <t>A CBC, blood chemistry profile, and supportive care are recommended. Based on lab work results and if the patient does not rapidly improve, abdominal ultrasound would be recommended.</t>
  </si>
  <si>
    <t>Three radiographs of the abdomen are provided. There is small volume gas in the stomach. Small bowel are minimally filled. There is small volume gas in the cecum and colon. No radiopaque foreign material or severe intestinal distention. No organomegaly. Normal caudal thorax.</t>
  </si>
  <si>
    <t>Normal abdomen. Gastroenteritis is most likely. Small radiolucent gastric foreign material is not ruled out. There is no evidence of intestinal obstruction.</t>
  </si>
  <si>
    <t>Recommend supportive care. If GI signs persist, positive contrast gastrogram could be considered. Strictly fasted abdominal ultrasound is another option, as long as there is minimal gas in the stomach at the time of imaging.</t>
  </si>
  <si>
    <t xml:space="preserve">
1.The liver and spleen are normal for size._x000D_
2.No abnormal AI findings reported._x000D_
3.The small bowel contains gas and fluid but is largely normal in diameter throughout._x000D_
4.There is also gas and fluid distention of the cecum and the entire length of the colon._x000D_
5.View GI resource: https://platform.v2.vetology.net/doc/GI_x000D_
6.There is gas and mild fluid dilation noted within the descending duodenum._x000D_
7.Abdominal detail is normal._x000D_
8.The stomach is mildly gas and fluid dilated.</t>
  </si>
  <si>
    <t>Opposite lateral and VD views of the abdomen are provided for interpretation._x000D_
_x000D_
No foreign bodies are seen in the GI tract. The stomach is gas filled but not distended. No dilation or plication the intestine is seen. Serosal detail in the abdomen is within normal limits given the relatively thin body condition of the patient. No mass lesions or organomegaly are identified.</t>
  </si>
  <si>
    <t>Symptomatic therapy for gastroenteritis/pancreatitis is recommended.</t>
  </si>
  <si>
    <t>A three view study of the thorax and orthogonal abdomen views are provided for interpretation._x000D_
_x000D_
No pulmonary infiltrates or pleural effusion are identified. The trachea is within normal limits. The cardiovascular structures are normal._x000D_
The liver is at the upper end of normal range. The other abdominal organs are within normal size and shape limits. There is a small quantity of fragmented mineral dense content within the gastric ingesta. No mass lesions or loss of detail are seen in the abdomen._x000D_
There is mild spondylosis at the thoracolumbar junction. Punctate mineral opacities can be seen superimposed over several of the intervertebral foramina in the lumbar spine. No destructive or active productive bone lesions are identified.</t>
  </si>
  <si>
    <t>No thoracic abnormalities are identified. The cause of cough is not apparent in the radiograph. Viral or allergic lung disease or tracheitis could still be present._x000D_
_x000D_
Liver size is borderline. Correlation with relevant labwork abnormalities is recommended._x000D_
There is some fragmented mineral density in the stomach. This is usually an incidental finding. No other significant abdomen abnormalities are identified._x000D_
_x000D_
Mineral opacities superimposed over the intervertebral foramen in the lumbar spine is suggestive of extruded mineral dense disc material, but in the absence of relative clinical signs of significant disc disease, this is most likely incidental or artifactual.</t>
  </si>
  <si>
    <t>Symptomatic therapy and supportive care is recommended._x000D_
Serum chemistry is recommended to rule out significant hepatopathy due to the borderline liver size.</t>
  </si>
  <si>
    <t xml:space="preserve">Patient Name : Stormi Fetter, Date of study: May 28, 2024
4 images are provided for review
There are no previous radiographs for comparison.
Findings:
Liver: Liver size is at the lower limits of normal for size on the lateral projection but appears normal for size on the VD projection. On the lateral projection, rounding to the caudoventral liver margin is present which may represent an enlarged gallbladder vs. rounded liver lobe. 
Spleen: The spleen is mildly enlarged but retains a smooth margin. 
Kidneys and urinary bladder: The kidneys appear normal on the VD projection. The urinary bladder is empty. No radiopaque calculi are noted. 
GI: The stomach contains a mild quantity of gas. The gastric wall has a thickened appearance however this can be secondary to adhered mucus. On the VD projection, the pyloroduodenal angle is widened and the descending duodenum is gas filled with a mildly undulating appearance. No duodenal obstruction is noted. The small bowel is diffusely gas- and fluid-filled with many segments having a rigid appearance. The colon is gas- and fluid filled with the gas filled segments having a rigid appearance. On the lateral projections, the small bowel in the cranial abdomen is more severely affected and the majority of the small bowel is positioned into the mid- and caudal abdomen. 
Abdominal detail: Mid-abdominal detail is decreased. No overt free abdominal air is noted. 
Caudal thorax: The CVC is small. 
Msk: Mineral opacity overlies multiple caudal thoracic and lumbar disc spaces, most severe at T13-L1. No end-plate or vertebral lysis is noted. </t>
  </si>
  <si>
    <t>1) Evidence of gastroenterocolitis, decreased cranial abdominal detail and caudal displacement of the small bowel. Rule out primary pancreatitis with secondary GI change vs. secondary consideration for primary gastroenterocolitis. Abdominal fluid. DDx: non-septic vs. less likely, septic peritonitis. 
2) Gallbladder distention. Anorexia is the suspected cause over biliary obstruction. 
3) Small CVC consistent with dehydration/hypovolemia secondary to #1.
4) Mineral opacity overlying multiple caudal thoracic and lumbar disc spaces most severe at T13-L1 consistent with intervertebral disk mineralization (chondrodystrophic breed).</t>
  </si>
  <si>
    <t>Abdominal ultrasound to further assess for pancreatitis +/- mesenteric inflammation/lymphadenopathy as well as assess for GI wall thickening indicative of enterocolitis +/- abdominal fluid sampling if ascites is present or can be identified via ultrasound evaluation.
Supportive care including IV fluids, pain medication and anti-emetics while awaiting additional diagnostics should be considered given Stormi's clinical signs and radiographic findings suggestive of an inflammatory process affecting her GI tract (pancreas, stomach, small intestine).</t>
  </si>
  <si>
    <t>Four radiographs of the abdomen are provided. On the 1st three images, the stomach contains a moderate amount of soft tissue density that is stippled with gas and a thin-walled crumpled mineral opaque object that measures approximately 8.1 x 3.5 cm. Small and large bowel are mildly filled. A few small wire-like metal opaque objects measuring up to 1.0 cm in the intestines, likely incidental. No severe intestinal distention. Serosal detail is adequate. Normal-sized liver, spleen, left kidney. The right kidney is obscured. Normal caudal thorax. The last lateral view was obtained approximately one hour later. There is small volume gas remaining in the stomach. The crumpled large foreign object is not identified. One of the intestinal wires is superimposed on the stomach. Small bowel are minimally filled. Moderate volume semi-formed feces in the colon.</t>
  </si>
  <si>
    <t>Gastric foreign object, of a size that is too large to pass successfully. Remaining gastric contents appears to be residual ingesta. The entirety of gastric contents, to include the foreign object, were successfully retrieved. No other abdominal abnormalities.</t>
  </si>
  <si>
    <t>A three view thoracoabdominal study is provided for interpretation._x000D_
_x000D_
The cardiopulmonary structures are within normal limits. No esophageal abnormalities are identified._x000D_
The liver is at the small end of normal size range. The organs are within normal size and shape limits. There is a minimal quantity of amorphous soft tissue dense ingesta in the stomach, and a few thin curvilinear shadows that are suspicious for a small quantity of foreign material. No obstructive pattern is seen. The intestinal tract is unremarkable. Abdominal serosal detail is normal.</t>
  </si>
  <si>
    <t>There is suspicion of a small quantity of foreign material in the stomach. This is a subtle change, and no solid appearing foreign structures or obstructive pattern are identified. Clinical significance is unknown, as GI foreign material would typically manifest as vomiting as the initial clinical signs rather than inappetance._x000D_
No definitive explanation for the presenting complaint is identified. Metabolic or systemic infectious disease should still be ruled out.</t>
  </si>
  <si>
    <t>Clinical significance of the small quantity of suspected foreign material is unknown._x000D_
Supportive care and symptomatic therapy is recommended. Pancreatitis or other metabolic disease should be ruled out._x000D_
If clinically indicated, contrast gastrography after fasting could be considered to rule out persistent gastric foreign material.</t>
  </si>
  <si>
    <t xml:space="preserve">
1.The small bowel contains small volumes of gas and fluid. No segmental small bowel dilation is noted._x000D_
2.There is gas within the colon._x000D_
3.The stomach contains gas and a minimal amount of fluid/soft tissue material. The stomach is minimally distended._x000D_
4.Abdominal detail is normal._x000D_
5.Liver size, shape and margin are normal._x000D_
6.Splenic size, shape and margin are normal.</t>
  </si>
  <si>
    <t>Opposite lateral and ventrodorsal abdominal radiographs (3 images) dated the 28 2024._x000D_
_x000D_
There are wispy soft-tissue striations throughout the peritoneal space that represent peritoneal effusion. The liver and spleen are normal in size and shape. Both kidneys are normal in size and shape. The urinary bladder is moderately distended with homogeneous fluid opacity. The prostate is radiographically visible as an ovoid soft-tissue opacity in the cranial pelvic inlet. The stomach contains a mild volume of gas and a similar volume of soft-tissue/fluid content. The small intestine is uniformly and mildly distended with fluid and has broad ropelike turns in its course to give it a subjectively turgid appearance. The colon contains fluid. Retroperitoneal detail is normal. No regional lymphadenopathy is evident._x000D_
No aggressive or clinically significant osseous pathology is identified.</t>
  </si>
  <si>
    <t>1. The appearance of the gastrointestinal tract is most compatible gastroenteritis and colitis. There is no evidence of a gastrointestinal mechanical obstruction._x000D_
2. Peritoneal effusion. Rule out secondary to gastroenteritis +/- pancreatitis vs. less likely acute hepatitis or portal hypertension vs. septic peritonitis, hemorrhage, or chylous effusion.</t>
  </si>
  <si>
    <t>Supportive care with fluid rehydration, antiemetics, gastroprotectants/omeprazole, antidiarrheal with probiotics, and bland diet.  General health profile (CBC, chemistry, UA, fecal) +/- spec cPL and baseline cortisol and baseline cortisol to screen for underlying causes.  Repeat fasted abdominal radiographs or ideally abdominal ultrasound if the patient fails medical management. Abdominocentesis could also be performed.</t>
  </si>
  <si>
    <t>Lateral and VD views of the thorax and abdomen are provided. There are four images total._x000D_
_x000D_
There is mild to moderate liver enlargement. The shape of the liver is normal and the margins are smooth. The other organs are within normal size and shape limits. Serosal detail in the abdomen is normal. No foreign bodies are seen in the GI tract. There is an average volume of small intestinal gas. No intestinal dilation or plication is seen._x000D_
_x000D_
The heart is at the upper end of normal size range. There is a mild bronchial pulmonary pattern. No tracheal or esophageal abnormalities are seen.</t>
  </si>
  <si>
    <t>The liver is enlarged. Relevance to the clinical signs is unknown. Hepatitis or hepatic lymphoma should be ruled out. Unrelated metabolic or endocrine associated hepatopathies could also be responsible for incidental hepatomegaly._x000D_
_x000D_
No abnormalities are seen involving the GI tract._x000D_
_x000D_
The mild bronchial pattern compatible with low-grade chronic bronchitis or prominent age related changes. Infectious causes of archives cannot be excluded but this is less likely.</t>
  </si>
  <si>
    <t>CBC, serum chemistry including pancreatic specific lipase, and urinalysis is recommended._x000D_
_x000D_
Supportive care and therapy for gastroenteritis/pancreatitis is recommended._x000D_
_x000D_
If clinical signs are not improving, abdomen ultrasound to evaluate the GI tract and pancreas and aspirate the liver for cytologic evaluation should be considered.</t>
  </si>
  <si>
    <t xml:space="preserve">
1.The liver is moderately enlarged with smooth margins._x000D_
2.Small-volume gas is present within the stomach._x000D_
3.Small intestines are diffusely moderately fluid and gas filled._x000D_
4.Formed feces is present in the distal colon._x000D_
5.The spleen and visualized kidneys are normal size._x000D_
6.Serosal detail is normal.</t>
  </si>
  <si>
    <t>Six radiographs of the abdomen are provided. Serosal detail is adequate. There is small volume fluid, gas, and equivocal scant amorphous soft tissue density in the stomach. Small intestines are predominantly minimally distended. There is a loop of mild to moderately dilated small bowel containing striated soft tissue density in the caudal abdomen. Small volume of formed feces in the colon. Normal-sized liver, spleen, kidneys. No radiopaque cystic calculi. The caudal thorax and osseous structures are unremarkable.</t>
  </si>
  <si>
    <t>Cloth/textile foreign material within a loop of small bowel, likely causing discomfort and partial obstruction. There is no severe intestinal distention to suggest complete obstruction. Equivocal soft tissue density in the stomach may represent collapsed rugal folds and/or additional foreign material.</t>
  </si>
  <si>
    <t>Recommend supportive care and repeat abdominal radiographs to monitor location of the foreign material and for progressive intestinal distention. If at any point the patient becomes markedly painful, lethargic, or has intractable vomiting, proceeding to exploratory surgery would be appropriate.</t>
  </si>
  <si>
    <t xml:space="preserve">
1.Liver size, shape and margin are normal._x000D_
2.Splenic size, shape and margin are normal._x000D_
3.The gastric rugae are prominent. The small bowel is diffusely gas- and fluid filled without segmental small bowel dilation._x000D_
4.Abdominal detail is normal.</t>
  </si>
  <si>
    <t>Two radiographs of the abdomen dated 28th May 2024 are available for review. There are no previous radiographs available for comparison. _x000D_
_x000D_
Intra-abdominal findings: The stomach is mainly empty, containing a little fluid, with a normal axis. A left lateral image to assess pyloric patency is not available. In the ventrodorsal image there is a gas distended viscus in the cranial right abdomen which is most likely the caecum/ascending colon. The small intestines are partially displaced to the left cranial dorsal abdomen, and are gas distended, with a plicated/concertina positioning. Another population of small intestines is present in the caudal abdomen with a less gas distended appearance, but still stacked. The descending colon contains poorly formed faeces. The urinary bladder is normal.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</si>
  <si>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1. The stacked gas distended small intestines are highly suspicious of a linear foreign body. A segmental dilation, indicating mechanical obstruction is not seen. A concurrent dietary induced gastroenteritis is likely.</t>
  </si>
  <si>
    <t>A complete abdominal ultrasonographic examination is indicated. If not available, consider repeat radiographs after stabilisation, or an explorative laparotomy, accepting the risk that a nonsurgical lesion may be found.</t>
  </si>
  <si>
    <t xml:space="preserve">
1.Abdominal detail is normal._x000D_
2.Liver size, shape and margin are normal._x000D_
3.Splenic size, shape and margin are normal._x000D_
4.The stomach contains a moderate amount of gas and a mild amount of soft tissue and mineral material. The gastric rugae are prominent. The small bowel is diffusely gas- and fluid-filled without segmental small bowel dilation.</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</si>
  <si>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Thin pleural fissure lines are present.  The mediastinal structures are normal.  Abdominal serosal detail is reduced in the cranial abdomen.  The stomach contains a moderate amount of gas and the rugal folds are prominent.  The small intestines are normal in size.  Gas and feces are present in the colon.  The urinary bladder is small.  The remaining abdominal organs are normal.</t>
  </si>
  <si>
    <t>Prominent rugal folds suggestive of gastritis.  This does not rule out underlying pancreatitis or infiltrative neoplasia.  Reduced serosal detail in the cranial abdomen suggestive of free fluid or focal peritonitis.  Scant pleural effusion.</t>
  </si>
  <si>
    <t>Abdominal ultrasound could be considered.</t>
  </si>
  <si>
    <t xml:space="preserve">
1.The liver is mildly enlarged with smooth margins._x000D_
2.The small intestine contains mild gas and fluid. No segmental small bowel dilation is noted._x000D_
3.The colon contains heterogenous feces and gas._x000D_
4.The spleen is normal in size with smooth, well-defined margins._x000D_
5.Peritoneal serosal detail is adequate._x000D_
6.The stomach contains soft tissue material.</t>
  </si>
  <si>
    <t xml:space="preserve">Patient Name: Bruce Rosario, Date of study: May 28, 2024
3 images are provided for review
There are no previous radiographs for comparison.
Image evaluation: The cranial portion of the liver is not included on the VD or right lateral projections.
Abdomen:
Liver: Based on the left lateral projection, mild microhepatia is present. 
Spleen: Normal
Kidneys and urinary bladder: Renal size is normal. On the VD projection, a double line overlies the caudal aspect of the left kidney. This duplicate margin is not identified on the lateral projections. The urinary bladder is small. No mineralization overlies the bladder. 
GI: The stomach is filled with formed material. The descending duodenum is gas filled and rigid. Several small bowel loops in the cranial abdomen are also gas-filled and have a rigid appearance. The majority of the small bowel is positioned into the mid- and caudal abdomen. On the left lateral projection is a focal mineral opacity with overlying gas stippling that appears to be positioned within bowel caudal to the gas filled cecum. This mineral opacity is positioned right lateral to the cecum on the VD projection. The cecum is gas distended. The colon is gas filled with a rigid appearance. 
Mesentery: On the VD projection, stippled mineralization overlies the region of the right cranial abdomen on the VD projection, The mineralization is positioned lateral to the proximal portion of the descending duodenum. On the lateral projection, the mineral appears to reside in the region of the descending duodenum, overlying the 10th intercostal space. Mid-abdominal detail is mildly decreased on the lateral projection. Several focal gas opacities are present in the craniodorsal abdomen on the left lateral projection which cannot be definitively localized to within small bowel.
Caudal thorax: Normal
Msk: No overt osseous lesions are noted. </t>
  </si>
  <si>
    <t xml:space="preserve">1) Small bowel distention in the cranial abdomen with a potential mid-abdominal intestinal foreign body. A partial or slow-moving intestinal foreign body is suspected. The secondary consideration is cranial abdominal disease causing regional peritonitis +/- active pancreatitis secondary to recent passage of foreign material.
2) Formed material filling the stomach. DDx: digestible contents with delayed gastric emptying vs. gastric foreign material. This finding should be monitored for persistence. 
3) Stippled mineralization in the region of the right pancreatic limb. DDx: dystrophic calcification/fat saponification secondary to pancreatitis vs. bowel contents vs. focal leakage of small intestinal contents secondary to perforation. Questionable but not conclusive free abdominal air. 
4) Questionable microhepatia.
5) Appearance to the left kidney on the VD projection is considered artifact. </t>
  </si>
  <si>
    <t xml:space="preserve">Abdominal findings warrant an ultrasound particularly to assess the small bowel, pancreas and cranial abdomen. If there is no indication for laparotomy based on the abdominal ultrasound, withhold food for 12-15 hours with water available or IV fluid therapy. Recheck abdominal radiographs in 12-15 hours to reassess the stomach, sooner if clinical signs worsen. Bloodwork and urinalysis if not already performed. Supportive care in the interim. </t>
  </si>
  <si>
    <t>Right lateral and ventrodorsal whole body radiographs (2 images) dated May 28,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appreciated=ZZ90= a persistent thymus is visible on the VD projection. The trachea is normal in diameter and course with gas filling its lumen. No intrathoracic lymphadenopathy is evident._x000D_
_x000D_
The liver and spleen are unremarkable in size and shape. The kidneys are only partially visible with no abnormalities appreciable. The urinary bladder is mildly distended with fluid opacity. The prostate is enlarged and has irregular mineralization. No regional lymphadenopathy is evident. The stomach contains a large amount of heterogeneous soft-tissue content, in addition to some structured material that is relatively radiolucent and has linear striations running in its long to no direction and measures 3.4 x 1.4 cm. This material resides in the gastric body on the right lateral view. On the VD projection there are at least 2 of these roughly rectangular structures, one in the pyloric antrum, and one in the gastric fundus. The small intestine is unremarkable in size, course, and content. The colon contains normal appearing stool and has a normal course aside from a mild dorsal deviation caused by prostatomegaly in the pelvic inlet. Retroperitoneal and peritoneal detail are normal. No regional lymphadenopathy is evident._x000D_
_x000D_
No aggressive or clinically significant osseous pathology is identified.</t>
  </si>
  <si>
    <t>1. Prostatomegaly with mineralization in a neutered dog is consistent with prostatic neoplasia (prostatic carcinoma vs. less likely transitional cell carcinoma)._x000D_
2. Heterogeneous striated rectangular structures (likely 2) in the stomach with a relative radiolucency is concerning for foreign material (pieces of wood, radiolucent plastic). No clear pyloric outflow obstruction is identified, and therefore this is unknown._x000D_
3. Unremarkable thorax.</t>
  </si>
  <si>
    <t>Three-view thoracic radiographs with exclusion of the abdomen for metastatic screening._x000D_
Abdominal ultrasound to further examine the prostate and regional lymph nodes, followed by sedated ultrasound-guided fine needle aspirates of the prostate for cytologic diagnosis. Medical oncology consultation based on results._x000D_
CBC, chemistry, UA, thyroid, fecal, blood pressure. Abdominal ultrasound to further scrutinize the gastric content.</t>
  </si>
  <si>
    <t xml:space="preserve">
1.The spleen is within normal limits for size._x000D_
2.No abnormal AI findings reported._x000D_
3.The stomach and small bowel are minimally filled. No signs of obstruction._x000D_
4.The liver is prominent with smooth margins.</t>
  </si>
  <si>
    <t>Three radiographs of the abdomen are provided. There is small volume gas in the stomach. Small bowel are mildly filled with soft tissue density and gas. Semi-formed feces fills the distal colon. No radiopaque gastrointestinal foreign material. The kidneys, spleen, and liver are normal size and shape. The urinary bladder is mildly filled and soft tissue opaque.</t>
  </si>
  <si>
    <t>Normal abdomen. Gastroenteritis/pancreatitis is most likely. There is no evidence of foreign material or an obstructive process. Small radiolucent gastric foreign material causing gastritis and pyloric outflow obstruction is not ruled out.</t>
  </si>
  <si>
    <t>A CBC, chemistry profile, and supportive care are recommended. Based on lab work results and patient response, further investigation abdominal ultrasound may be indicated.</t>
  </si>
  <si>
    <t>Four radiographs of the abdomen are provided. The thorax is included on one of the VD views. Peritoneal and retroperitoneal detail is adequate. The stomach contains a small amount of soft tissue density that is stippled with gas. Small intestines are minimally filled. There is gas filling the cecum. Small volume gas in the distal colon. No radiopaque gastrointestinal foreign material. Normal size liver, spleen, kidneys. Soft tissue density between the stomach and left kidney on the VD projection is normal splenic head. No radiopaque urolithiasis. Moderate to severe degenerative change in both coxofemoral joints. In the thorax cardiovascular structures are normal size. No abnormalities in the pulmonary parenchyma or pleural space.</t>
  </si>
  <si>
    <t>Normal postprandial abdomen. Gastric contents appears to be normal ingesta. All or a portion of this could be foreign material causing gastritis and pyloric outflow obstruction.</t>
  </si>
  <si>
    <t>Recommend a CBC, blood chemistry profile, supportive care, and repeat fasting abdominal radiographs +/- positive contrast gastrogram to rule out gastric foreign material. Strictly fasted abdominal ultrasound is another option to evaluate the entire abdomen, as long as there is minimal gas in the stomach at the time of imaging.</t>
  </si>
  <si>
    <t>3 views of the abdomen are presented for review.  Serosal detail is adequate in all quadrants.  The stomach contains a moderate amount of gas.  The small intestines are normal in size.  Gas and feces are present in the colon.  The urinary bladder contains numerous irregular mineral structures.  The uterus is not visible.  The remaining abdominal organs are normal.  No overt thoracic abnormalities are seen, although the heart size is difficult to evaluate due to obliquity on both lateral views.</t>
  </si>
  <si>
    <t>Cystic calculi.  No evidence of pyometra on the provided images.</t>
  </si>
  <si>
    <t xml:space="preserve">
1.Loops of bowel are gas filled and have a rigid appearance._x000D_
2.The liver is mildly enlarged._x000D_
3.Splenic size, shape and margin are normal._x000D_
4.There is a focal loss of serosal detail in the cranial abdomen._x000D_
5.The gastric lumen contains a mild amount of soft tissue and gas opacity._x000D_
6.The gastric rugae are prominent._x000D_
7.No mechanical ileus is visualized.</t>
  </si>
  <si>
    <t xml:space="preserve">Patient name: Muffin Davis
THORAX (3 views whole body, 3 images, [2 lateral, 1 VD])
Images are dated May 28, 2024.
There are no previous radiographs for comparison. 
Image evaluation: On the right lateral projection, the elbows are superimposed over the cranioventral thorax which limits evaluation of the thorax ventral to the 1st and 2nd ribs. On the VD projection, a fat opaque mass overlies the right caudal thorax causing an artifactual increase in opacity in this region. 
Airway/Pulmonary: The lungs are hypoinflated on all projections secondary to hepatomegaly and abdominal distention. An increase in soft tissue opacity is noted in the right cranial thorax on the VD projection from the level of the cranial lung tip to the 1st intercostal space. The remainder of the thorax has a diffuse bronchointerstitial pattern and mild lobar bronchial narrowing. No distinct soft tissue pulmonary nodules are detected.  In both lateral views, a soft tissue margin is observed superimposing the dorsal aspect of the cervical trachea from C4-T1, giving the appearance of mild attenuation, although the dorsal tracheal wall is still faintly visible.
Cardiovascular: Mild left atrial enlargement and rounding to the cardiac silhouette are present on the VD projection. An increase in soft tissue opacity is also noted in the region of the heart base on the VD projection and there is questionable lateral displacement and narrowing of the left cranial lung lobe bronchus on the VD projection. The pulmonary veins are mildly distended. The CVC is also at the upper limits of normal. 
Mediastinum: No lymph node enlargement is detected. The cranial mediastinum is widened secondary to fat deposition. 
Pleural space: No significant quantity of pleural effusion is seen. 
Cranial abdomen: The liver is mildly enlarged but retains a smooth margin. Abdominal detail is normal. 
Musculoskeletal: On the left lateral projection, there is atypical widening to the C6-7 articulation suggestive of subluxation. This finding does not persist on the right lateral projection. At the ventral body of the left 12th and 13th ribs, focal smoothly marginated flared lesions are seen, consistent with healed rib fracture. Cranial lumbar IVDD is present. </t>
  </si>
  <si>
    <t xml:space="preserve">1) Rule out cardiac disease and/or a heart base mass causing the collapsing vs. cervical spinal disease vs. seizure episodes. CVC size and mild hepatomegaly are also suggestive of right heart disease. No abdominal fluid noted. 
2) Moderate diffuse bronchointerstitial pattern with evidence of chronic bronchitis.
3) Opacity in the right cranial thorax on the VD projection of unknown etiology however a mass in this region cannot be excluded given the dog's older age. </t>
  </si>
  <si>
    <t xml:space="preserve">Recommend cervical spinal radiograph and assess for neck pain. Further evaluation for a syncopal cause via a cardiac work up (ECG, blood pressure, echocardiogram). Neurologist consultation if cervical disease is present and/or a cardiac cause for the clinical signs is ruled out. </t>
  </si>
  <si>
    <t xml:space="preserve">
1.The liver is normal in shape, size and opacity._x000D_
2.There is a mildly reduced cranial abdominal serosal detail._x000D_
3.The stomach has a normal axis, with subjectively thickened mucosal folding._x000D_
4.The small intestines are mildly dilated with a mixture of gas and fluid, and have a mild turgid appearance._x000D_
5.The ascending, transverse and descending colon contain gradually more formed faeces._x000D_
6.The spleen is visible and within normal limits.</t>
  </si>
  <si>
    <t>Opposite lateral and ventrodorsal whole body radiographs (3 images) dated May 28, 2024._x000D_
_x000D_
_x000D_
_x000D_
The cardiac silhouette is unremarkable in overall size=ZZ90= there is a questionable double opacity in the region of the left atrium on the VD view. The patient is moderately rotated on the right lateral view, and there is no obvious impression of left atrial enlargement on this view. The pulmonary vasculature and great vessels are within normal limits. There are pleural fissure lines that represent scant pleural effusion. The pulmonary parenchyma is unremarkable with no nodules, infiltrates, or other pathology detected. The mediastinum and diaphragm are unremarkable. The trachea is normal in diameter and course with gas filling its lumen. No intrathoracic lymphadenopathy is evident._x000D_
_x000D_
The abdomen is distended due to a large amount of amorphous soft-tissue/fluid that represents peritoneal effusion. This unremarkable in size and shape. The stomach contains a moderate amount of gas. The urinary bladder, spleen, and kidneys are not well visualized. The small intestine is mostly empty/collapsed aside from some gas. The distal descending colon contains heterogeneous stool mixed with gas. No regional lymphadenopathy is evident._x000D_
_x000D_
No aggressive or clinically significant osseous pathology is identified.</t>
  </si>
  <si>
    <t>1. Peritoneal effusion and scant pleural effusion likely from hypoproteinemia (PLE, PLN, liver failure) vs. less likely vasculitis or DIC vs. least likely round cell neoplasia. Right heart failure is not suspected._x000D_
2. Equivocal left atrial enlargement. I suspect this is an artifactual finding. Correlate with auscultation findings.</t>
  </si>
  <si>
    <t>UA +/- UPC, GI blood panel, and begin treating for a presumed PLE if significant protein is not detected on UA/UPC._x000D_
Abdominal ultrasound._x000D_
Internal medicine consultation could also be considered._x000D_
Echocardiogram if a murmur is detected.</t>
  </si>
  <si>
    <t xml:space="preserve">
1.A mid-abdominal mass is identified._x000D_
2.On the lateral views, the mass is in the splenic region._x000D_
3.Abdominal detail is diffusely decreased._x000D_
4.The abdomen is pendulous._x000D_
5.The liver is partially obscured but appears mildly enlarged._x000D_
6.Gas filled and somewhat rigid Intestines are deviated by the mass.</t>
  </si>
  <si>
    <t>Three radiographs of the thorax and three views of the abdomen are provided. The cardiac silhouette is normal size and shape. Pulmonary vessels are normal size. There are mild age-related changes in the lungs. No soft tissue pulmonary nodules or pleural effusion. Normal tracheal diameter. Small fat opaque lipomatous masses ventral to the sternum are likely incidental. No cervicothoracic spinal abnormalities._x000D_
_x000D_
In the abdomen serosal detail is adequate. There is small volume amorphous soft tissue density in the stomach. Small bowel and colon are minimally filled. There is a fragmented linear wire-like 1.9 cm metal density in the cranioventral peritoneal space. This was present on the images dated 12/3/18, and is incidental chronic migrated gastric foreign material. No other foreign material was appreciated. The liver, spleen, and kidneys are normal size and shape. No radiopaque urolithiasis. No narrowed intervertebral disc spaces or foramina. There is mineralized intervertebral disc material in situ at T11-12, incidental.</t>
  </si>
  <si>
    <t>Normal thorax and abdomen. Gastric contents appears to be normal ingesta. Foreign material is given lesser consideration in the absence of vomiting. A reason for the clinical signs and discomfort is not identified. Intervertebral disc protrusion/extrusion remains possible.</t>
  </si>
  <si>
    <t>Current diagnostics are appropriate. If lethargy persists, fasting abdominal ultrasound would be recommended.</t>
  </si>
  <si>
    <t xml:space="preserve">
1.The small bowel is diffusely gas- and fluid-filled but without segmental bowel dilation._x000D_
2.Abdominal detail is normal._x000D_
3.There is a mild increase in soft tissue opacity in the splenic region suggestive of splenomegaly. Caudal extension of a liver lobe into the region of the spleen is a lesser consideration. No soft tissue mass is noted in the splenic region._x000D_
4.The stomach is normal._x000D_
5.See Spleen Finding</t>
  </si>
  <si>
    <t>Opposite lateral and VD thoracoabdominal views are provided for interpretation._x000D_
_x000D_
The cardiovascular structures are within normal limits. No pulmonary infiltrates or pleural effusion are seen._x000D_
The abdominal organs are within normal size and shape limits. No mass lesions are seen in the abdomen. Serosal detail in the abdomen is normal. The GI tract is unremarkable._x000D_
_x000D_
There is moderate narrowing of the L1-L2 intervertebral disc space. This finding is more prominent than the appearance in the previous radiographs dated 7-26-23. No destructive or productive bone lesions are seen.</t>
  </si>
  <si>
    <t>No significant thoracic or abdominal abnormalities are identified._x000D_
_x000D_
Intervertebral disc degeneration is suspected at L1-L2.</t>
  </si>
  <si>
    <t>No specific recommendations based on the radiographs._x000D_
_x000D_
More advanced imaging such as MRI may be indicated if the patient becomes symptomatic for clinical intervertebral disc disease.</t>
  </si>
  <si>
    <t xml:space="preserve">
1.The liver is mildly enlarged but retains a smooth margin. The pylorus is mildly displaced caudally on the lateral projection secondary to the liver enlargement._x000D_
2.Abdominal detail is normal._x000D_
3.The ventral abdominal line is mildly pendulous._x000D_
4.The small bowel is unremarkable._x000D_
5.Splenic size, shape and margin are unremarkable.</t>
  </si>
  <si>
    <t>Mild hepatomegaly. Differentials include fat deposition, vacuolar hepatopathy, diffuse inflammation, venous congestion, or less suspected but possible, infiltrative neoplasia (such as lymphoma).</t>
  </si>
  <si>
    <t xml:space="preserve">
Virtual Radiologist Case Difficulty: MODERATE_x000D_
Virtual Radiologist Confidence: MODERATE_x000D_
Blood work and abdominal ultrasound could be considered to further evaluate the liver.</t>
  </si>
  <si>
    <t>Three orthogonal radiographs of the abdomen dated 27th May 2024 are available for review. There are no previous radiographs available for comparison. _x000D_
_x000D_
Intra-abdominal findings: There is diffuse loss of serosal detail in the abdomen. In the caudal dorsal aspect of the abdomen there is a large irregular smoothly marginated mass, likely in the retroperitoneal space, consistent with the left kidney. The head of the spleen is small and irregular. The right kidney is poorly visible. The hepatic silhouette is within normal limits for size. The tail of the spleen is not visible. The stomach contains a moderate amount of granular food material and has a normal axis. The small intestines are only partially visible. The visible aspects are mildly dilated with gas, fluid/soft tissue opaque material. The descending colon contains an increased amount of formed faeces. The urinary bladder is filled. Within the urinary bladder there are at least 5 angular mineral opaque cystoliths._x000D_
_x000D_
Extra-abdominal findings: No significant abnormalities are detected._x000D_
_x000D_
Included thorax: No significant abnormalities are detected.</t>
  </si>
  <si>
    <t>1. Abdominal mass: An enlarged left kidney is suspected. This may be due to hydronephrosis, renal primary or metastatic neoplasia. Renal pseudocyst, abscess is considered unlikely. A splenic mass is possible considering the tail cannot be seen._x000D_
2. The loss of serosal detail may be due to paraneoplastic effusion, haemorrhage, infectious-inflammatory transudate._x000D_
3. The small spleen may be due to anaemia, a ruptured spleen secondary to a splenic mass is considered less likely._x000D_
4. Cystolithiasis. A ureterolith has not been seen, however if present, could explain the left renal enlargement.</t>
  </si>
  <si>
    <t>A complete abdominal ultrasonographic examination is indicated, with a view to FNA of abnormal organs, and abdominocentesis, after stabilisation, complete blood work, and a normal coagulation panel. Depending on outcome, an explorative laparotomy may need to be considered.</t>
  </si>
  <si>
    <t>Abdominal radiographs (3 images) dated May 27, 2024._x000D_
_x000D_
The urinary bladder is small in size and contains fluid and 3 centrally located mineral opaque stones that measure between 0.33-0.46 cm. The prostate is radiographically visible as an ovoid soft-tissue opacity in the cranial pelvic inlet. Both kidneys are normal in size and shape. The liver and spleen are unremarkable in size and shape. The stomach contains a mild volume of gas. The small intestine is unremarkable in diameterwith segments empty/collapsed and having broad ropelike turns to give it a subjectively turgid appearance. The proximal colon contains gas and somewhat poorly formed stool. The distal descending portion of the colon, the stool appears formed. Retroperitoneal and peritoneal detail are normal. No regional lymphadenopathy is evident._x000D_
T11-T12 disc space narrowing with endplate sclerosis and spondylosis deformans is present. No aggressive osseous lesions are identified.</t>
  </si>
  <si>
    <t>1. Non-obstructive gastroenteritis +/- colitis.  The colonic content is suspicious for impending loose stool/diarrhea. Rule out dietary indiscretion or toxin vs. food allergy/intolerance vs. flareup of a chronic enteropathy (ex: IBD) vs. GI infectious vs. systemic/extra GI causes (liver or kidney injury/disease, pancreatitis, endocrine disorder, systemic infection, non-GI neoplasia)._x000D_
2. Nonobstructive cystoliths. Rule out calcium oxalate vs. struvite vs. mixed or another stone type._x000D_
3. Chronic T11-T12 intervertebral disc disease. Correlation with orthopedic and neurologic exam is needed to determine significance.</t>
  </si>
  <si>
    <t>Supportive care with fluid rehydration, antiemetics, gastroprotectants/omeprazole, and bland diet.  General health profile (CBC, chemistry, UA, fecal) +/- spec cPL and baseline cortisol to screen for underlying causes.  Repeat fasted abdominal radiographs or ultrasound if the patient fails medical management._x000D_
Attempted medical dissolution vs. cystotomy and stone retrieval for analysis submission.</t>
  </si>
  <si>
    <t xml:space="preserve">
1.Small volume ingesta fills the stomach._x000D_
2.Small intestines are minimally filled._x000D_
3.Gas and semiformed feces are present in the colon._x000D_
4.The liver and spleen are normal size._x000D_
5.Abdominal detail is normal._x000D_
6.No abnormal AI findings reported.</t>
  </si>
  <si>
    <t>Opposite lateral and ventrodorsal whole body radiographs (5 images) dated May 27,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The kidneys are partially visible with no abnormalities appreciated. The urinary bladder is mildly distended with homogeneous fluid opacity. The prostate is radiographically visible caudal to the urinary bladder as an ovoid soft-tissue opacity. The stomach contains a moderate amount of gas and a smaller amount of soft-tissue content. The duodenum contains gas and is unremarkable in diameter and course. The remainder of the small intestine is unremarkable in size, course, and content. The colon contains a large amount of normal appearing and formed stool and has a normal course. The cecum mostly contains gas. Retroperitoneal and peritoneal detail are normal. No regional lymphadenopathy is evident._x000D_
No aggressive or clinically significant osseous pathology is identified.</t>
  </si>
  <si>
    <t>1. Normal thorax._x000D_
2. Volume of formed stool in the descending colon may represent mild constipation._x000D_
3. Normal prostate for an intact male dog. Prostatitis cannot be completely ruled out but is less likely.</t>
  </si>
  <si>
    <t>Cause for the seizures is not radiographically apparent._x000D_
CBC, chemistry, UA, thyroid, fecal, blood pressure, 4Dx, Neospora titers +/- fungal titers._x000D_
SQ fluids and enema._x000D_
If additional seizure episode this occur, initiate anticonvulsant therapy and consider neurology consultation with brain MRI.</t>
  </si>
  <si>
    <t>Patient Name: Duke Rodriguez, Date of study: May 27, 2024
3 images are provided for review
There are no previous radiographs for comparison.
Findings:
Cardiac silhouette: The cardiac silhouette is severely enlarged and globoid in shape.
Pulmonary vessels/great vessels: The pulmonary arteries and veins are small in size. The caudal vena cava is enlarged in size.
Pulmonary parenchyma: The pulmonary parenchyma is underinflated with rounded margins but otherwise normal with no abnormal pulmonary patterns, nodules, or masses.
Pleural space: There is mild pleural effusion which causes retraction and rounding of the pleural margins and partially obscures the cardiac silhouette. There are several widened pleural fissures.
Mediastinum: The mediastinum is normal in width and opacity.
Trachea: The trachea is unremarkable.
Esophagus: The region of the esophagus is within normal limits.
Gastrointestinal tract: Gastrointestinal tract is unremarkable.
Liver: The liver is moderately enlarged. The caudal margin is rounded and extends beyond the costal arch.
Spleen: The region of the spleen is completely effaced. The spleen is not identified.
Urinary: The visible margins of the kidneys are normal. The urinary bladder is not identified.
Peritoneal space: There is severely reduced serosal detail.
Musculoskeletal: There is intervertebral disc space narrowing and spondylosis deformans of L3-4. Incidentally, there are only six lumbar vertebrae. The femoral heads and necks are thickened.</t>
  </si>
  <si>
    <t>1. Globoid cardiomegaly. Pericardial effusion is prioritized. Dilated cardiomyopathy and valvular insufficiency are considered less likely. 
-A heart base mass is not identified but cannot be excluded. 
2. Pleural effusion, enlargement of the caudal vena cava, hepatic enlargement/congestion, and peritoneal effusion are concerning for right-sided heart failure. Hepatic disease/neoplasia cannot be excluded but is considered less likely.</t>
  </si>
  <si>
    <t>Echocardiography, blood pressure, and EKG are recommended to further evaluate the heart. Pericardiocentesis, thoracocentesis, and abdominocentesis are recommended in addition to the planned treatments for heart failure. An abdominal ultrasound could be considered to further evaluate the liver.</t>
  </si>
  <si>
    <t>Two radiographs of the abdomen dated 27th May 2024 are available for review. There are no previous radiographs available for comparison. _x000D_
_x000D_
Intra-abdominal findings: The hepatic silhouette is small. The stomach is empty with a cranially displaced axis. The rugal folds are mildly prominent. The small intestines are diffusely empty, containing mainly fluid/soft tissue opaque material. The cranial duodenum is mildly dilated. The colon is mildly gas distended with poorly formed faeces. The urinary bladder is small. The kidneys are partially obscured by gastrointestinal contents, but the visible aspect are normal. The spleen is normal. The serosal detail is normal._x000D_
_x000D_
Extra-abdominal findings: No significant abnormalities are detected._x000D_
_x000D_
Included thorax: No significant abnormalities are detected.</t>
  </si>
  <si>
    <t>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Hemorrhagic gastroenteritis, or pancreatitis cannot be excluded._x000D_
The small hepatic silhouette is most likely due to thoracic conformation. Cirrhosis, microvascular dysplasia is considered unlikely.</t>
  </si>
  <si>
    <t xml:space="preserve">
1.A mild amount of air is present in the cranial duodenum in the ventrodorsal image._x000D_
2.The small intestinal tract contains normal volumes of fluid, gas and ingesta but portions have a rigid appearance._x000D_
3.The ascending, transverse and descending colon are in a normal position and contain gradually more formed feces._x000D_
4.The stomach contains a small amount of air and either has prominent gastric rugae or contains a small amount of soft tissue material._x000D_
5.Liver size is at the lower limits of normal but retains a smooth margin._x000D_
6.Splenic size, shape and margin are normal._x000D_
7.Abdominal detail in the cranial abdomen is mildly decreased on the lateral projection.</t>
  </si>
  <si>
    <t>ABDOMEN (3 radiographs for review). No previous for comparison._x000D_
_x000D_
- Peritoneal serosal detail is normal._x000D_
- The stomach is non-distended and contains a small volume of gas._x000D_
- Within a small intestinal segment in the caudal abdomen, there is a relatively large accumulation of sand-like mineral opaque material that moderately distends the lumen. Throughout the remaining small intestinal segments, there is mild to moderate amorphous sand-like material._x000D_
- The colon contains formed fecal material and a small volume of gas._x000D_
- The liver, spleen, kidneys and urinary bladder are normal._x000D_
- The caudal thorax is normal._x000D_
- There is a lumbosacral transitional vertebral segment present, characterized by fusion of the right transverse process of L7 to the wing of the right ilium.</t>
  </si>
  <si>
    <t>1. Fairly large accumulation of small intestinal sand-like material, likely compatible with a sand impaction as clinically suspected. These cases are challenging to make recommendations for, as typically surgical addressment is not ideal unless the patient is clinically unstable. Medical management can be prolonged and should include rehydration therapy, discomfort/pain management and serial recheck abdominal radiographs._x000D_
_x000D_
2. Lumbosacral transitional vertebral segment.</t>
  </si>
  <si>
    <t xml:space="preserve">
1.Detail in the abdomen is adequate._x000D_
2.The stomach is partially distended with gas and some fluid._x000D_
3.The small intestinal tract is diffusely gas- and fluid-filled but without segmental bowel dilation._x000D_
4.The colon contains gas and has a rigid appearance._x000D_
5.The liver and spleen are within normal limits._x000D_
6.No abnormal AI findings reported.</t>
  </si>
  <si>
    <t>Three orthogonal radiographs of the abdomen dated 27th May 2024 are available for review. There are no previous radiographs available for comparison. _x000D_
_x000D_
Intra-abdominal findings: The hepatic surface is mildly large with smooth borders. The spleen is normal. The kidneys are partially obscured by gastrointestinal contents, but the visible aspect are normal. The stomach is mainly empty, with a mildly caudally displaced axis. The small intestines are distributed evenly and are within normal limits for shape, size and contents. The ascending, transverse and descending colon have a normal position and contain gradually more formed faeces. The urinary bladder is filled. The serosal detail is normal._x000D_
_x000D_
Extra-abdominal findings: There is collapse of the L1-L2 intervertebral disc with smooth vertebral and plates and dorsal and ventral spondylosis. Mineralised material is seen dorsal to the intervertebral disc space.The patient is obese._x000D_
_x000D_
Included thorax: No significant abnormalities are detected.</t>
  </si>
  <si>
    <t>1.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origins._x000D_
2. L1-L2 intervertebral disc collapse. The mineralised material dorsal to the intervertebral disc space may be lateralising spondylosis, however herniation of mineralised disc material, causing some back pain, or extradural compression should be considered.</t>
  </si>
  <si>
    <t>Full neurologic examination if not already performed. If no proprioceptive deficits or patients back pain is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can be considered. _x000D_
A complete abdominal ultrasonographic examination may be considered, with a view to FNA of abnormal organs, after complete blood work, and a normal coagulation panel.</t>
  </si>
  <si>
    <t xml:space="preserve">
1.The visible spleen is within normal limits._x000D_
2.The hepatic silhouette is mildly enlarged, with smooth borders._x000D_
3.Mid abdominal detail is mildly decreased._x000D_
4.The stomach is empty, and has a normal axis._x000D_
5.The small intestines are distributed evenly and are within normal limits for shape, size and contents._x000D_
6.The ascending, transverse and descending colon have a normal position and gas and some poorly formed faeces.</t>
  </si>
  <si>
    <t>Three orthogonal radiographs of the abdomen dated 27th May 2024 are available for review. There are no previous radiographs available for comparison. These images are submitted for assessment of the vertebral column._x000D_
_x000D_
Vertebral column: The included caudal thoracic and lumbar vertebral column is normal. The sacroiliac joints are normal. There is acceptable congruency of the coxofemoral joints (limbs abducted and outward rotated).</t>
  </si>
  <si>
    <t>No radiographic findings explain the presenting signs. A muscular or tendinous strain or articular sprain should be considered as differentials.</t>
  </si>
  <si>
    <t>Observational management is advised. A full neurologic evaluation is advised.</t>
  </si>
  <si>
    <t>Three orthogonal radiographs of the abdomen dated 27th May 2024 are available for review. There are no previous radiographs available for comparison. _x000D_
_x000D_
Intra-abdominal findings: The stomach is mainly empty containing some gas, and has a normal axis. The rugal folds are subjectively prominent. There is appropriate gas in the pylorus on the left lateral image. There is moderate gas dilation of the duodenum in the ventral dorsal image. The small intestines are variably filled with mainly gas, and have a turgid appearance. The ascending, transverse and descending colon are gas dilated with some fluid.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</si>
  <si>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 xml:space="preserve">
1.There is a focal decrease in cranial abdominal serosal detail._x000D_
2.The colon is gas filled and has a rigid appearance._x000D_
3.The spleen is at the upper limits of normal to mildly enlarged but retains a smooth margin._x000D_
4.Liver size, shape and margin are normal._x000D_
5.The gastric rugae are prominent._x000D_
6.The small intestine is of uniform population size and is diffusely of soft tissue opacity with minimal gas opacity._x000D_
7.No mechanical ileus is visualized._x000D_
8.The gastric lumen contains a mild amount of soft tissue and gas opacity.</t>
  </si>
  <si>
    <t>Four orthogonal radiographs of the abdomen dated 27th May 2024 are available for review. There are 4 previous day radiographs for comparison._x000D_
_x000D_
Intra-abdominal findings: The hepatic silhouette is normal in size with smooth borders. The spleen is normal in shape, size and position. The kidneys are partially obscured by gastrointestinal contents, but the visible aspect are normal. The stomach is mainly empty. There is appropriate gas in the pylorus on the left lateral image. The small intestines are homogenously mainly empty, containing a little gas and soft tissue opaque material. The descending colon contains formed faeces. The serosal detail is normal. The urinary bladder is small._x000D_
_x000D_
Extra-abdominal findings: No significant abnormalities are detected._x000D_
_x000D_
Included thorax: No significant abnormalities are detected.</t>
  </si>
  <si>
    <t>1. Relatively unremarkable abdomen. The small intestines have reduced in size slightly in comparison with previous day. No segmental dilation is noted. No radiopaque foreign body is seen. A non-radiopaque partially obstructing foreign body, either at the pyloric outflow, or in the duodenum should be considered. Low-grade gastritis/gastroenteritis due to dietary indiscretion should be considered.</t>
  </si>
  <si>
    <t>Supportive management including rehydration, gastroprotectants,  full blood work, faecal analysis if clinically indicated is advised, Consider an abdominal ultrasound depending on clinical progression. If vomiting continues without development of diarrhea, an upper GI contrast study may also be considered.</t>
  </si>
  <si>
    <t xml:space="preserve">
1.There is no effusion._x000D_
2.The stomach contains a small to moderate amount of amorphous soft tissue density._x000D_
3.Small intestines and the colon are minimally filled._x000D_
4.No abnormal AI findings reported._x000D_
5.The liver and spleen are normal.</t>
  </si>
  <si>
    <t>Three orthogonal radiographs of the abdomen dated 26th May 2024 are available for review. There are no previous radiographs available for comparison. _x000D_
_x000D_
Intra-abdominal findings: The stomach is empty with a normal axis. The small intestines are diffusely filled with a mixture of gas and fluid/soft tissue opaque material. The ascending and transverse and descending colon are gas filled. The caecum is moderately gas dilated. The urinary bladder is small.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</si>
  <si>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Pancreatitis cannot be excluded. Considering acute onset, IBD, food allergy is considered unlikely.</t>
  </si>
  <si>
    <t>Supportive management including rehydration, gastroprotectants,  full blood work, faecal analysis if clinically indicated is advised, if not already performed. Repeat 3-view radiographs depending on clinical progression or consider an abdominal ultrasound.</t>
  </si>
  <si>
    <t xml:space="preserve">
1.There is a focal loss of serosal detail in the cranial abdomen on the lateral projection._x000D_
2.No abnormal AI findings reported._x000D_
3.The gastric rugae are prominent._x000D_
4.The liver and spleen are normal._x000D_
5.On the lateral projection, the gastric lumen contains a mild amount of soft tissue and gas opacity. The small intestine is diffusely gas-filled and segments have a rigid appearance. No mechanical ileus is visualized._x000D_
6.The colon contains a mild amount of gas caudally and ill-formed heterogenous fecal material cranially.</t>
  </si>
  <si>
    <t>WHOLE-BODY (3 radiographs for review). No previous for comparison._x000D_
_x000D_
- Peritoneal serosal detail normal._x000D_
- The stomach contains moderate gas and gas-stippled soft-tissue opaque material._x000D_
- The small intestine contains mild multifocal gas and soft-tissue opaque material._x000D_
- The colon contains formed fecal material and gas._x000D_
- The urinary bladder is moderately to markedly distended with homogeneous soft-tissue/fluid._x000D_
- The prostate gland is prominent, which can be expected given the patient=ZZ91=s reproductive status (intact male)._x000D_
- The liver, spleen, kidneys are normal._x000D_
- The intrathoracic and musculoskeletal structures are normal._x000D_
- There is a small rounded soft-tissue opacity along the ventral abdominal body wall.</t>
  </si>
  <si>
    <t>1. The appearance of the stomach, small intestine and colon can be compatible with a non-specific, generalized functional ileus (e.g. gastroenterocolitis). There is no evidence of foreign material or mechanical obstruction. If clinically indicated, consider abdominal ultrasonography for further assessment._x000D_
_x000D_
2. Normal thorax._x000D_
_x000D_
3. Possible small umbilical hernia.</t>
  </si>
  <si>
    <t>Thoracic and abdominal radiographs (6 images) dated May 26, 2024._x000D_
_x000D_
A large volume of pleural effusion is resulting in border effacement with the cardiac silhouette and caudal vena cava, cupula of the diaphragm, and cranial mediastinum. Based on the position of the carina, cardiac silhouette is suspected to be enlarged caudal pulmonary vessels are unremarkable. There is severe atelectasis of the cranial and middle lung lobes and moderate atelectasis of the caudal lung lobes. The increase soft-tissue opacity in the cranial thorax bilaterally is suspected represent pleural fluid, although a mass lesion cannot be ruled out. The trachea is normal in diameter and contains gas._x000D_
_x000D_
The liver is significantly enlarged. The spleen is unremarkable. The stomach contains a small volume of fluid and gas. The small intestine is diffusely and mildly distended with gas. The colon is mostly empty aside from small amount of gas and stool. Both kidneys are unremarkable in size and shape. The urinary bladder is distended with a large amount of fluid opacity as well as contains 2 small mineral opaque cystolith that measure 0.28 and 0.38 cm. No radiopaque stones are identified in the trigone region or along the plane of the urethra. Retroperitoneal and peritoneal detail are adequate. No regional lymphadenopathy is evident._x000D_
_x000D_
Both shoulders have periarticular bony remodeling affecting them, as to the elbows. Both stifles have advanced periarticular bony remodeling affecting them. No aggressive osseous lesions are identified.</t>
  </si>
  <si>
    <t>1. Large amount of pleural effusion. Differentials include right congestive heart failure given the concern for cardiomegaly vs. pyothorax vs. malignant neoplasia (round cell or pleural carcinomatosis) vs. chylous vs. less likely hemorrhage and other causes._x000D_
2. Severe hepatomegaly. Rule out hepatic venous congestion from right heart failure vs. a benign metabolic/vacuolar hepatopathy vs. infiltrative round cell neoplasia._x000D_
3. Nonobstructive cystolithiasis. Rule out calcium oxalate vs. struvite vs. mixed or another stone type._x000D_
4. Bilateral stifle, shoulder, and elbow osteoarthritis.</t>
  </si>
  <si>
    <t>Therapeutic and diagnostic thoracocentesis for fluid analysis and cytology. After removing as much fluid as possible via bilateral thoracocentesis, repeat thoracic rated rest may provide additional information to further narrow the differentials._x000D_
TFAST to ensure no pericardial effusion is present, and schedule echocardiogram._x000D_
CBC, Chem, UA, thyroid, blood pressure, cardiac proBNP._x000D_
Abdominal ultrasound and finding hepatic venous and caval enlargement would further support right heart failure.</t>
  </si>
  <si>
    <t xml:space="preserve">
1.The serosal detail is normal._x000D_
2.The gastrointestinal tract is also unremarkable._x000D_
3.There is mild hepatomegaly with smooth margins. No hepatic mass is identified._x000D_
4.The spleen is unremarkable.</t>
  </si>
  <si>
    <t>ABDOMEN (3 radiographs for review). Multiple previous examinations are available for comparison._x000D_
_x000D_
- Peritoneal serosal detail is normal._x000D_
- The stomach is non-distended and contains mild non-specific soft-tissue opaque material and gas. A single, wire-like, filamentous metallic foreign body is present in the region of the pyloric antrum._x000D_
- The spleen is mildly enlarged, with rounded margins._x000D_
- The small intestine is non-distended and mostly homogeneously soft-tissue opaque._x000D_
- The colon contains gas and minimal formed fecal material._x000D_
- The liver, kidneys and urinary bladder are normal.</t>
  </si>
  <si>
    <t>1. There is non-specific material in the pyloric antrum as well as a single wire-like filamentous metallic foreign body, which is likely compatible with dietary indiscretion. There is no evidence of pyloric outflow tract obstruction._x000D_
_x000D_
2. The appearance of the small intestine and colon are compatible with a generalized functional ileus (e.g. gastroenterocolitis). No small intestinal foreign material or mechanical obstruction is appreciated._x000D_
_x000D_
3. Moderate splenomegaly. DDx congestion from sedation, lymphoid hyperplasia, EMH or less likely neoplasia.</t>
  </si>
  <si>
    <t>You might consider abdominal ultrasonography for further assessment in this patient, if clinically indicated (such as if they are worsening or non-responsive to medical management for generalized functional ileus).</t>
  </si>
  <si>
    <t>PELVIS, HINDLIMBS and ABDOMEN (6 radiographs for review)._x000D_
_x000D_
- Lumbar vertebral column normal._x000D_
- Lumbosacral junction normal._x000D_
- Sacroiliac joints normal._x000D_
- Pelvic bones and coxofemoral joints normal._x000D_
- Mild bilateral distal femoral varus and proximal tibial torsion angular limb deformities confer an appearance of bowleggedness, as reported._x000D_
- Medial positioning of the left patella. Right patella normally positioned._x000D_
- Stifle joints otherwise normal. No distinct periarticular osteophyte formation noted._x000D_
- Included portions of the tarsi normal._x000D_
- Peritoneal serosal detail is normal_x000D_
- Stomach is moderately distended with gas and contains gas-stippled soft-tissue opaque material._x000D_
- Small intestine non-distended and contains mild multifocal gas and soft-tissue opaque material._x000D_
- Colon contains mildly desiccated, formed fecal material._x000D_
- The prostate gland appears to be moderately enlarged, with rounded margins._x000D_
- The caudal thorax is normal.</t>
  </si>
  <si>
    <t>1. Overall, a discrete radiographic cause for the right pelvic limb lameness is not clearly identified. There are angular limb deformities that might predispose the patient to medial patellar luxation, although overt patellar luxation is not clearly identified in this examination. A radiographically inapparent soft-tissue injury might be present._x000D_
_x000D_
2. The prostate gland seems to be very large for a patient that is reported as male neutered. If the animal is truly intact, then the change might be acceptable within normal (or prostatitis), but if they are neutered then I would have concern for prostatic neoplasia. Consider a rectal examination in this patient._x000D_
_x000D_
3. Mild constipation and aerophagia.</t>
  </si>
  <si>
    <t xml:space="preserve">
1.The liver and spleen are within normal limits for size, with smooth margins._x000D_
2.No abnormal AI findings reported._x000D_
3.No abnormal AI findings reported._x000D_
4.The small intestine is normal in diameter. No obvious signs of obstruction._x000D_
5.The stomach is partially distended with gas, some fluid and some soft tissue opaque debris.</t>
  </si>
  <si>
    <t>Three radiographs of the thorax/abdomen are provided. The cardiac silhouette and pulmonary vessels are normal size and shape. There are a few faint bronchial markings. No interstitial infiltrates or pleural effusion. Severe narrowed caudal cervical trachea on both of the lateral views. Scant gas in the esophagus is transient and incidental. In the abdomen there is no effusion or organomegaly. The gastrointestinal tract is mildly filled. No radiopaque cystic calculi. Narrowed L4-5 intervertebral disc space, with spondylosis deformans, incidental.</t>
  </si>
  <si>
    <t>Severe cervical tracheal collapse, the most likely cause for coughing. Mild bronchial pattern is likely normal age-change. No other intrathoracic abnormalities. The abdomen is normal.</t>
  </si>
  <si>
    <t>Orthogonal views of the thorax are provided:_x000D_
_x000D_
Thorax:_x000D_
_x000D_
No abnormalities seen in the trachea._x000D_
Cardiac silhouette has a normal shape and size._x000D_
Pulmonary vessels are within normal limits of size and shape._x000D_
Pulmonary parenchyma is within normal limits. _x000D_
Pleural space, mediastinum, diaphragm and thoracic wall within normal limits.</t>
  </si>
  <si>
    <t>1) Unremarkable lungs do not exclude a chronic lower airway disease such as asthma, chronic bronchitis or parasitic bronchitis.</t>
  </si>
  <si>
    <t>Consider empirical treatment for asthma or chronic bronchitis evaluating response to treatment. If clinical signs persist, consider a bronchoscopy with BAL, culture, cytology, Baermann test and deworming.</t>
  </si>
  <si>
    <t xml:space="preserve">
1.Cranial abdominal detail is mildly decreased._x000D_
2.The liver is moderately enlarged._x000D_
3.The spleen is normal._x000D_
4.The colon contains gas and fluid._x000D_
5.Small intestinal bowel loops are normal in size and distribution and have mainly a soft tissue pattern._x000D_
6.The stomach contains a moderate amount of mixed gas and fluid. In a small number of cases, the AI finding of hepatomegaly above may actually be due to severe gastric distention.</t>
  </si>
  <si>
    <t>The AI result for this case is most compelling for: Nonspecific hepatomegaly which may be secondary to endocrine disease (i.e. Cushing's or diabetes) vs. infiltrative neoplasia, such as lymphoma, in an older dog. In a small number of cases, this AI report can be associated with severe gastric distention secondary to a gastric outflow or intestinal obstruction. Moderate hepatomegaly is a nonspecific finding that has rule out including: Nonspecific and vacuolar hepatopathies (such as hyperadrenocorticism), hyperplasia, hepatitis,  congestion associated with right heart failure, or in an older patient, infiltrative neoplasia, Decreased cranial abdominal detail. DDx: secondary to superimposition of the hepatomegaly vs. regional inflammation or less likely, hemorrhage. Gastroenteritis, pancreatitis, or infiltrative disease cannot be excluded if the patient has a decreased appetite. Suspicion for fluid within the colon concerning for impending diarrhea.</t>
  </si>
  <si>
    <t>Seven pelvic extended vd, lateral image and mediolateral images centered on the stifle joints dated 25th May 2024 are available for review. There are no previous radiographs available for comparison. _x000D_
_x000D_
Vertebral column: The L1 vertebral body is a butterfly vertebra. Mild ramping is visible at the caudal aspect of L1 and cranial aspect of L2. Narrowing of the L1-L2 intervertebral disc is suspected, however this may be projectional artefact due to the vertebral body abnormality. The remainder of the lumbar vertebral column is normal. _x000D_
_x000D_
Pelvis: The iliosacral joints are symmetric. There is good coverage of the femoral heads by the acetabuli.  No degenerative modelling is noted at the acetabular rim and femoral heads and there is good articular congruency. The pelvic and caudal thigh musculature is symmetric. The patella are in an anatomical position._x000D_
_x000D_
Joints and long bones: Both stifle joints are normal._x000D_
_x000D_
Soft tissues: As described above.</t>
  </si>
  <si>
    <t>No radiographic findings explain the presenting signs.Occult intervertebral disc disease such as intervertebral disk protrusion at L1-L2 or other spinal cord pathology including embolic (FCE), high velocity disk, inflammatory or neoplastic disease or degenerative myelopathy is possible.</t>
  </si>
  <si>
    <t>Abdomen:_x000D_
_x000D_
The stomach is filled with food and radiopaque/mineral gastric foreign bodies in the pyloric antrum._x000D_
Small intestines are mildly gas and fluid filled, not overtly distended. No signs of mechanical ileus._x000D_
Serosal detail is preserved._x000D_
Liver and spleen are within normal limits of size and smoothly marginated._x000D_
Kidneys and urinary bladder WNL._x000D_
_x000D_
In the included spine, L2-L3 IVDS is subjectively narrow. No signs of aggressive bone lesions, vertebral fractures or subluxations.</t>
  </si>
  <si>
    <t>1) Radiopaque/mineral gastric foreign bodies in the pyloric antrum._x000D_
2) L2-L3 IVDS: Rule out acute disc herniation.</t>
  </si>
  <si>
    <t>Consider full neuro exam with MRI of the spine. Take advantage of general anesthesia for an endoscopy.</t>
  </si>
  <si>
    <t xml:space="preserve">
1.The hepatic silhouette is mildly enlarged, with smooth borders._x000D_
2.The stomach is empty, and has a normal axis._x000D_
3.The small intestines are distributed evenly and are within normal limits for shape, size and contents._x000D_
4.The ascending, transverse and descending colon have a normal position and gas and some poorly formed faeces._x000D_
5.Mid abdominal detail is mildly decreased._x000D_
6.The visible spleen is within normal limits.</t>
  </si>
  <si>
    <t>Thorax: There is no evidence of pneumonia.  The cardiac silhouette is unremarkable.  The pulmonary vasculature, and pulmonary parenchyma are unremarkable.  There is no evidence of pleural effusion or lymphadenopathy._x000D_
_x000D_
Abdomen: Within the mid to caudal abdomen there is a mass effect with intestines being displaced cranially, dorsally, and towards the right.  The remainder of the abdominal viscera is unremarkable.</t>
  </si>
  <si>
    <t>Unremarkable thorax._x000D_
_x000D_
The mass effect within the mid to caudal abdomen most likely represents a severely distended urinary bladder.  Alternatively a mass within the mid to caudal abdomen cannot be ruled out.</t>
  </si>
  <si>
    <t>Three radiographs of the thorax/abdomen are provided. Thoracic images dated October 29, 2019 are available for comparison. The cardiac silhouette and pulmonary vessels are normal size and shape. There are mild age-related changes in the lungs. No pleural effusion or pulmonary nodules. Mild narrowed caudal cervical trachea. In the abdomen the spleen is moderately enlarged with smooth margins. Normal-sized liver. The gastrointestinal tract is moderately filled. Two punctate mineral densities overlie the urinary bladder on the right lateral view but is not persistent and is likely superimposed granuloma or intestinal debris. The kidneys are obscured. There is no effusion. No narrowed intervertebral disc spaces or foramina are appreciated.</t>
  </si>
  <si>
    <t>1. Moderate splenomegaly. This is a nonspecific finding that is concerning for neoplasia such as lymphoma or mast cell. Sedation four inflammation could also cause this appearance. No other abdominal abnormalities._x000D_
2. Probable cervical tracheal collapse. No intrathoracic abnormalities.</t>
  </si>
  <si>
    <t>Abdominal ultrasound is recommended. If the patient was not sedated for this examination, fine-needle aspirates of the spleen would also be recommended. Premedication with diphenhydramine would be recommended prior to aspirates.</t>
  </si>
  <si>
    <t xml:space="preserve">
1.Abdominal detail is normal however the abdomen is mildly pendulous._x000D_
2.The spleen is normal._x000D_
3.In the abdomen the liver is mildly enlarged with smooth margins._x000D_
4.The gastric axis is displaced caudally by the hepatomegaly. No intestinal abnormalities are present.</t>
  </si>
  <si>
    <t>ABDOMEN (6 radiographs for review). Multiple priors are available for comparison._x000D_
_x000D_
- Peritoneal serosal detail is normal._x000D_
- The stomach contains mild gas-stippled soft-tissue opaque material._x000D_
- The small intestine contains mild multifocal gas and heterogeneous soft-tissue opaque material._x000D_
- The colon contains gas, and minimal formed fecal material. It has a corrugated appearance._x000D_
- The spleen is moderately enlarged, with rounded margins._x000D_
- The kidneys and urinary bladder are normal._x000D_
- Superimposed over the right hepatic division, there are multiple small metallic surgical clips._x000D_
- The caudal thorax is normal._x000D_
- There is a transitional lumbosacral vertebral segment present, with fusion of the transverse processes of the final lumbar vertebral segment to the wings of the ilium_x000D_
- Mild bilateral coxofemoral periarticular osteophyte formation._x000D_
- Rounded soft-tissue opaque small mass (5 x 2.8 cm) along the caudal, left lateral thoracic body wall.</t>
  </si>
  <si>
    <t>1. The corrugated and gas-filled appearance of the colon can be compatible with colitis._x000D_
_x000D_
2. Moderate splenomegaly. DDx congestion from sedation, less likely lymphoid hyperplasia, EMH or neoplasia._x000D_
_x000D_
3. Prior right-sided liver lobectomy, as reported._x000D_
_x000D_
4. Transitional lumbosacral vertebral segment._x000D_
_x000D_
5. Post prandial stomach (less likely gastric foreign material)._x000D_
_x000D_
6. Mild bilateral coxofemoral osteoarthritis._x000D_
_x000D_
7. Left-sided caudal thoracic body wall mass could be a cyst, neoplasms (e.g. mast cell tumor, soft-tissue sarcoma) or a granuloma. Fine-needle aspiration might be considered in this case.</t>
  </si>
  <si>
    <t xml:space="preserve">
1.The small bowel is diffusely gas- and fluid-filled without segmental small bowel dilation._x000D_
2.The stomach contains gas and soft tissue material._x000D_
3.Splenic size, shape and margin are normal._x000D_
4.Abdominal detail is normal._x000D_
5.The liver is mildly enlarged but retains a smooth margin.</t>
  </si>
  <si>
    <t>Three orthogonal radiographs of the abdomen dated 25th May 2024 are available for review. There are no previous radiographs available for comparison. _x000D_
_x000D_
Intra-abdominal findings: The hepatic silhouette is mildly enlarged with smooth borders. The stomach is mainly empty. The cranial duodenum is gas dilated in the ventrodorsal image. The small intestines are variable in shape and size, containing gas and fluid/soft tissue opaque material. The descending colon contains some gas and poorly formed faeces. The spleen is mildly enlarged, with undulating borders. There is loss of serosal detail in the central aspect of the abdomen. The kidneys are partially obscured by gastrointestinal contents, but the visible aspect are normal._x000D_
_x000D_
Extra-abdominal findings: No significant abnormalities are detected._x000D_
_x000D_
Included thorax: See report 2670099</t>
  </si>
  <si>
    <t>1. Irregular splenomegaly with loss of serosal detail: This is suggestive of splenic haematoma, haemangioma, haemangiosarcoma. Metastatic neoplasia, splenitis, splenic abscessation is considered less likely._x000D_
2.Associated haemorrhage or an inflammatory-infectious transudate._x000D_
3. The dilated duodenum may be transitional gas, however pancreatitis should be considered. This may also be a cause for an inflammatory transudate causing the reduced peritoneal detail._x000D_
4.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</si>
  <si>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 xml:space="preserve">
1.No abnormal AI findings reported._x000D_
2.The liver and spleen are normal._x000D_
3.There is no effusion._x000D_
4.The stomach contains a small to moderate amount of amorphous soft tissue density._x000D_
5.Small intestines and the colon are minimally filled.</t>
  </si>
  <si>
    <t>Three radiographs of the abdomen are provided. There is no peritoneal or retroperitoneal effusion. Small volume gas and fluid in the stomach. Small intestines and colon are minimally filled. No radiopaque foreign material is appreciated. Normal-sized liver, spleen, kidneys. The urinary bladder is mildly filled and soft tissue opaque. Normal caudal thorax.</t>
  </si>
  <si>
    <t>Fluid in the stomach may be secretory and due to stasis/gastritis. Small radiolucent gastric foreign material is not definitively ruled out. No other definitive abdominal abnormalities.</t>
  </si>
  <si>
    <t>Consider a positive contrast gastrogram to rule out gastric foreign material. Fasting abdominal ultrasound is another option, with the understanding that the patient must have minimal gas in the stomach at the time of imaging for thorough stomach evaluation.</t>
  </si>
  <si>
    <t>Three radiographs of the thorax are provided. The cardiac silhouette is normal size and shape. Pulmonary vessels are normal size. There are no abnormalities in the pulmonary parenchyma. No pleural effusion. Severe narrowed caudal cervical trachea on both of the lateral views. Normal intrathoracic tracheal diameter. No esophageal dilation. The cranial abdomen is unremarkable.</t>
  </si>
  <si>
    <t>Cervical tracheal collapse, the most likely cause for coughing. Inhaled irritants/allergens or infectious airway disease could be contributing. There are no intrathoracic abnormalities. No evidence of cardiovascular disease or pneumonia.</t>
  </si>
  <si>
    <t>Current treatment is appropriate. Also consider utilization of a body harness in place of a neck lead and weight management as needed.</t>
  </si>
  <si>
    <t>3 views of the thorax are presented for review.  There is straightening of the caudal cardiac waist in the region of the left atrium.  There is a diffuse interstitial pulmonary pattern that is considered appropriate for the age of the patient.  Incidental mineral opaque osteomas are seen throughout the pulmonary parenchyma.  No pulmonary soft tissue nodules or enlarged intrathoracic lymph nodes are seen.  The pleural and mediastinal structures are normal.  Cranial abdominal detail is adequate.</t>
  </si>
  <si>
    <t>WHOLE-BODY (4 radiographs for review). Compared to 05/24/24._x000D_
_x000D_
- The previously-described mineral opaque material in the gastric lumen has resolved and is no longer seen. The stomach today contains mild homogeneous soft-tissue/fluid and mild gas._x000D_
- The small intestine contains mild multifocal gas and soft-tissue opaque material._x000D_
- The colon contains mild formed fecal material and gas._x000D_
- The liver, spleen, kidneys and urinary bladder are normal._x000D_
- The caudal thoracic structures are normal._x000D_
- There is mild bilateral coxofemoral periarticular osteophyte formation._x000D_
- There is a fat opaque mass in the left inguinal region.</t>
  </si>
  <si>
    <t>1. Resolved gastric mineralized material. Relatively unremarkable abdominal radiographs with mild aerophagia and mild non-specific gastric soft-tissue/fluid. A generalized functional ileus (e.g. gastroenteritis) might be present as radiographic sensitivity can be limited._x000D_
_x000D_
2. Left inguinal lipoma._x000D_
_x000D_
3. Mild bilateral coxofemoral osteophytosis.</t>
  </si>
  <si>
    <t>ABDOMEN (3 radiographs for review). A previous examination is available for comparison from 2023. _x000D_
_x000D_
- Peritoneal serosal detail is normal._x000D_
- The stomach contains moderate gas and is otherwise empty._x000D_
- The small intestine contains mild multifocal gas and soft-tissue opaque material._x000D_
- The colon contains gas and minimal formed fecal material._x000D_
- The liver, spleen, kidneys and urinary bladder are normal._x000D_
- The caudal thorax and included MSK structures are normal.</t>
  </si>
  <si>
    <t>1. The appearance of the stomach, small intestine and colon can be compatible with a non-specific, generalized functional ileus (as well as aerophagia). There is no evidence of foreign material or mechanical obstruction. Consider empirical treatment for gastroenterocolitis and if the patient worsens or does not improve with medical management, abdominal ultrasound may be reasonable.</t>
  </si>
  <si>
    <t>Orthogonal views of the abdomen are provided:_x000D_
_x000D_
Abdomen:_x000D_
_x000D_
There is abdominal distension secondary to a large irregular to bilobed mid central abdominal mass with smooth and well defined margins that contacts with the ventral abdominal wall abaxially displacing the GI tract and silhouettes with the spleen._x000D_
The stomach is empty._x000D_
Small intestines are mildly gas and fluid filled, not overtly distended. No signs of mechanical ileus._x000D_
Liver extends beyond the costal arch with sharp margins._x000D_
Kidneys not distinguished (probably summating in the VD view with the mass)._x000D_
Urinary bladder WNL.</t>
  </si>
  <si>
    <t>1) Splenic mass: rule out neoplasia (HS vs round cell neoplasia felt far less likely) vs benign such as lymphoid hyperplasia or hematoma._x000D_
2) Hepatomegaly: Metabolic vs Vacuolar infiltration vs Hepatic nodular hyperplasia vs Inflammatory vs Toxic vs Neoplastic or a combination of these differentials.</t>
  </si>
  <si>
    <t>Consider abdominal US to further evaluate the mass and the rest of the abdomen for abdominal metastases (such as in the liver). Consider 3 views of the thorax to rule out pulmonary metastases and echocardiogram to rule out a concomitant right atrial mass. If the mass shows characteristics of an hemangiosarcoma, then a whole body contrast CT is recommmended given 25% of hemangiosarcomas lead to muscular metastases, affecting prognosis of the disease.</t>
  </si>
  <si>
    <t xml:space="preserve">
1.There is questionable loss of cranial abdominal serosal detail._x000D_
2.Splenomegaly is detected however hepatomegaly extending caudally and overlapping the splenic region can mimic splenomegaly._x000D_
3.The liver extends beyond the costal arch with a rounded caudal margin._x000D_
4.The stomach contains a small amount of gas._x000D_
5.The small intestines are a combination of gas-filled and fluid-filled/collapsed, and all are within normal limits for diameter._x000D_
6.The colon contains a combination of gas and granular fecal material.</t>
  </si>
  <si>
    <t>8 views are submitted for evaluation.  The visible ventral cervical soft tissues are within normal limits.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liver is normal in size with smooth serosal margins.  The spleen is within normal limits.  The renal silhouettes and urinary bladder are unremarkable.  The stomach and small bowel contain a mild amount of gas.  A mild amount of formed stool is noted in the colon.  Serosal detail is normal.  The bilateral femoral heads are well-seated in the acetabula.  The coxofemoral joints are congruent.  No degenerative changes are noted in the hips.  The sacroiliac joints are normal.  No abnormalities are noted in the limited view of the stifles._x000D_
No definitively narrowed intervertebral disc spaces are noted in the thoracic or lumbar spine.  Mild spondylosis is noted in the caudal lumbar spine.  No aggressive bony changes are seen.</t>
  </si>
  <si>
    <t>An explanation for the clinical signs is not identified.  Mild degenerative change in the caudal lumbar spine of doubtful clinical significance.  Occult intervertebral disc disease, inflammatory, or neoplastic myelopathy are not excluded.</t>
  </si>
  <si>
    <t>Cross-sectional imaging of the thoracolumbar spine may be indicated.</t>
  </si>
  <si>
    <t>Orthogonal views of the thorax and abdomen are provided:_x000D_
_x000D_
Thorax:_x000D_
_x000D_
Cardiac silhouette shows a mild enlargement of the left atrium dorsally displacing the carina._x000D_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WNL._x000D_
_x000D_
Multifocal signs of chronic IVDD._x000D_
Bilateral hip dysplasia with mild DJD.</t>
  </si>
  <si>
    <t>1) Left atrial enlargement secondary to chronic mitral endocardiosis without signs of CHF. Rule out pulmonary hypertension with tricuspid endocardiosis._x000D_
2) Lack of visualization of tracheal collapse does not exclude this differential (especially taking into account the breed). Unremarkable lungs do not exclude an acute on chronic bronchitis of allergic vs inflammatory/infectious or parasitic origin. No signs of pulmonary metastases nor signs of thoracic lymphadenopathy. _x000D_
3) Hepatomegaly: Metabolic (such as Cushings) vs Vacuolar infiltration vs Hepatic nodular hyperplasia vs Inflammatory vs Toxic vs Neoplastic or a combination of these differentials.</t>
  </si>
  <si>
    <t>Consider a cardiology consultation with ECG and echocardiogram prior to a fluoroscopy (followed by tracheobronchoscopy, BAL and culture/cytology) to rule in/out extrathoracic vs intrathoracic tracheal collapse or bronchial component, evaluating treatment options. Take advantage of the bronchoscopy to further evaluate the larynx given 30% of patients with tracheal collapse display different degrees of laryngeal paralysis. If negative, consider empirical treatment for acute on chronic bronchitis._x000D_
Consider abdominal US to further evaluate the liver.</t>
  </si>
  <si>
    <t xml:space="preserve">
1.Abdominal detail is decreased._x000D_
2.The gastric axis is caudally displaced by the hepatomegaly and the gastric lumen contains amorphous, soft-tissue-opaque material, most consistent with food._x000D_
3.The small intestines are displaced caudally by the hepatomegaly and contain a combination of gas-filled and fluid-filled/collapsed, and all are within normal limits for diameter._x000D_
4.The colon contains a combination of gas and granular fecal material._x000D_
5.The spleen is caudally displaced by the hepatomegaly but retains a smooth margin._x000D_
6.Resource: https://platform.v2.vetology.net/doc/cushings_1_x000D_
7.The liver is enlarged.</t>
  </si>
  <si>
    <t>Thorax: There is moderate left-sided cardiomegaly.  There is no evidence of cardiogenic pulmonary edema.  There is a diffuse bronchointerstitial pattern.  There is no evidence of lymphadenopathy or pleural effusion.  The trachea and mainstem bronchi are unremarkable._x000D_
_x000D_
Abdomen: There are no abnormalities identified.</t>
  </si>
  <si>
    <t>Left-sided cardiomegaly without evidence of decompensation._x000D_
_x000D_
Diffuse bronchiointerstitial pattern which may be age-related or bronchitis.</t>
  </si>
  <si>
    <t xml:space="preserve">
1.No abnormal AI findings reported._x000D_
2.The liver and spleen are normal._x000D_
3.The stomach and bowel are normal._x000D_
4.No effusion is present.</t>
  </si>
  <si>
    <t>ABDOMEN (2 radiographs for review). No previous for comparison._x000D_
_x000D_
- Mild reduction in peritoneal serosal detail._x000D_
- The stomach contains mild gas and gas-stippled soft-tissue opaque material._x000D_
- The small intestine is diffusely, mildly distended with soft-tissue/fluid. In the caudal abdomen, at least one segment contains a small volume of mineral opaque material._x000D_
- The colon contains gas and a large amount of amorphous, granular mineral opaque material._x000D_
- The liver, kidneys, spleen and urinary bladder are normal._x000D_
- The caudal thorax and included MSK structures are normal.</t>
  </si>
  <si>
    <t>1. The radiographic appearance of the abdomen is compatible with sand-like material ingestion, the large majority of which is present within the colon and likely to be successfully defecated. A small amount is present in the small intestine, but does not appear to be causing a mechanical obstruction. If clinically indicated, I would recommend considering recheck abdominal radiographs to re-assess the position and content of the sand.</t>
  </si>
  <si>
    <t xml:space="preserve">
1.Liver size is at the lower limits of normal to slightly small with cranial displacement of the gastric axis._x000D_
2.Resource: https://platform.v2.vetology.net/doc/microhepatia_and_giulcers_x000D_
3.Splenic size, shape and margin are normal._x000D_
4.Cranial abdominal detail is mildly decreased._x000D_
5.The small bowel is diffusely gas- and fluid-filled with intestinal distention approaching the upper limit of normal. In a small portion of cases, uterine horn distention could mimic small bowel dilation._x000D_
6.The stomach is mildly to moderately gas distended.</t>
  </si>
  <si>
    <t>Patient Name : Levi Knock, Date of study: May 24, 2024_x000D_
3 images are provided for review_x000D_
There are no previous radiographs for comparison._x000D_
_x000D_
ABDOMEN:_x000D_
Liver: Normal_x000D_
_x000D_
Spleen: The spleen is at the upper limits of normal but retains a smooth margin. _x000D_
_x000D_
Kidneys and urinary bladder: The visible kidneys are normal. The cranial portion of the urinary bladder is poorly visualized due to decreased detail in this region, but urinary bladder size is normal. On the VD projection, a curved lucent region traces along the cranial urinary bladder margin. This is a very abnormal appearance that could only be explained by gas in the urinary bladder wall vs. processing artifact. _x000D_
_x000D_
GI: The stomach contains a rectangular mineral opacity with an appearance consistent with a bone segment. The stomach is gas filled. The gastric wall appears diffusely thickened but this may be artifact secondary to adjacent soft tissue or adhered mucus. The gastric mucosa also appears irregular. The small bowel is predominately positioned in the cranial abdomen with gas-filled rigid appearing bowel loops. Caudoventrally on the right lateral projection, is an abnormal segment of viscus consisting of distended viscus that also appears bunched. Abdominal detail in this region is decreased. _x000D_
_x000D_
Abdominal detail: Caudoventral abdominal detail in the region of the dilated small bowel and cranial aspect of the urinary bladder is decreased. _x000D_
_x000D_
Caudal thorax: Gas dilation of the caudal thoracic esophagus is present. _x000D_
_x000D_
Msk: Only 12 thoracic vertebrae are present.</t>
  </si>
  <si>
    <t>1) Segmental small bowel dilation. No radiopaque intestinal foreign body noted however the appearance to the small bowel is most concerning for an intestinal foreign body. Gastric foreign body. Decreased abdominal detail. DDx: non-septic vs. septic abdomen._x000D_
2) Gastritis. Suspected esophageal dilation. DDx: esophageal dysmotility secondary to esophagitis vs. less likely, primary megaesophagus. _x000D_
3) Atypical, curved gas opacity at the cranial aspect of the urinary bladder only on the VD projection. Artifact is suspected over urinary bladder mural gas.</t>
  </si>
  <si>
    <t>Abdominal ultrasound to assess the small bowel dilation. Thoracic radiographs to confirm esophageal dilation and evaluate for aspiration pneumonia. _x000D_
_x000D_
Abdominal fluid collection for cytology and comparison to blood glucose if abdominal fluid can be sampled safely. _x000D_
_x000D_
Evaluate the original radiographs for the gas opacity along the urinary bladder margin. If present, repeat abdominal radiographs. If the gas opacity persists or gas is noted within the urinary bladder wall on ultrasound, rule out UTI resulting in emphysematous cystitis. Also rule out diabetes in cases of emphysematous cystitis.</t>
  </si>
  <si>
    <t xml:space="preserve">
1.Splenic size is at the upper limits of normal to mildly enlarged but no mass is noted in the region of the spleen._x000D_
2.Abdominal detail is normal._x000D_
3.Liver size, shape and margin are normal._x000D_
4.The stomach contains a small amount of gas and ingesta. The gastric rugae are prominent. The small bowel is diffusely gas- and fluid-filled without segmental small bowel dilation._x000D_
5.The colon is gas filled and a portion of the colon has a rigid appearance.</t>
  </si>
  <si>
    <t>Orthogonal views of the abdomen are provided:_x000D_
_x000D_
Abdomen:_x000D_
_x000D_
The stomach is almost empty with tiny mineral particles._x000D_
Small intestines are mildly gas and fluid filled, not overtly distended. No signs of mechanical ileus._x000D_
Unformed feces in the colon._x000D_
Serosal detail is preserved._x000D_
Liver and spleen are within normal limits of size and smoothly marginated._x000D_
Kidneys and urinary bladder WNL.</t>
  </si>
  <si>
    <t>1) Tiny gastric foreign material pieces consistent with the history._x000D_
2) Unformed feces in the colon. Rule out colitis secondary to dietary indiscretion/foreign material ingested.</t>
  </si>
  <si>
    <t>Symptomatic treatment with follow up radiographs to evaluate gastric emptying and defecation of the reported material.</t>
  </si>
  <si>
    <t>3 views of the thorax are presented for review.  6 additional images of the abdomen are not requested to be reviewed.  The cardiovascular structures are normal.  There is a diffuse interstitial pulmonary pattern that is considered appropriate for the age of the patient.  Incidental mineral opaque pulmonary osteomas are seen throughout the pulmonary parenchyma.  No pulmonary soft tissue nodules or enlarged intrathoracic lymph nodes are seen.  The pleural and mediastinal structures are normal.  Cranial abdominal detail is adequate.  Ingesta with small mineral structures is present in the stomach.</t>
  </si>
  <si>
    <t>Radiographically normal thorax for patient of this age.  Small amount of gastric mineral foreign material, likely incidental.</t>
  </si>
  <si>
    <t>No specific recommendations based on thoracic radiographs.</t>
  </si>
  <si>
    <t>Orthogonal views of the abdomen are provided. There are five images total._x000D_
_x000D_
No foreign bodies are seen in the GI tract. There is no dilation of the stomach or intestine. The stomach appears empty and contracted. Serosal detail in the abdomen is normal. The other organs are within normal size and shape limits.</t>
  </si>
  <si>
    <t>No significant abdominal abnormalities are identified._x000D_
A small quantity of radiolucent gastric foreign material still cannot be entirely excluded.</t>
  </si>
  <si>
    <t>There is no evidence of foreign body or obstruction in the radiographs. Symptomatic therapy for gastroenteritis is recommended.</t>
  </si>
  <si>
    <t xml:space="preserve">
1.The gastric rugae are prominent._x000D_
2.No dilation of the small intestine is seen._x000D_
3.Liver size is normal to upper limits of normal. Liver margin is normal._x000D_
4.Splenic size, shape and margin are normal._x000D_
5.Cranial abdominal detail is decreased.</t>
  </si>
  <si>
    <t>Study:_x000D_
Abdominal radiography: right lateral and VD views (two images) dated May 24, 2024_x000D_
_x000D_
Findings:_x000D_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 uterus is not visualized. The included thorax is normal. The osseous structures are unremarkable.</t>
  </si>
  <si>
    <t>Unremarkable abdomen. There is no radiographic evidence of uterine dilation. Consider abdominal sonography, coagulation testing, buccal mucosa bleeding time testing and a platelet count to further evaluate for a cause of the reported chronic vaginal hemorrhage.</t>
  </si>
  <si>
    <t xml:space="preserve">Patient Name : Mila Cardenas, Date of study: May 24, 2024
3 images are provided for review
Canine Abdomen (3 Images) - 2 Lateral, 1 Vd
There are no previous radiographs for comparison.
Liver: The liver is small with cranial displacement of the gastric axis in the lateral images.
Spleen: The spleen is normal in size with smooth margins and homogeneous soft tissue.
Kidneys: The kidneys are normal in size and shape without obvious mineral.
Retroperitoneum: Retroperitoneal detail is adequate.
Urogenital: The urinary bladder is normal in size, homogeneous soft tissue, and smoothly marginated.  No obvious uterine enlargement is identified.
Peritoneum: Peritoneal detail is adequate.
Gastrointestinal tract: The stomach contains a mild volume of fluid and gas.  The stomach is normal in size. 
The small intestine contains fluid or is empty with a subjectively uniform population for size. 
The colon contains mild well-defined soft tissue material and gas.
Musculoskeletal: The included musculoskeletal structures are normal.
</t>
  </si>
  <si>
    <t>1. Mild microhepatia.
- Differential diagnoses include occult portosystemic shunt or unlikely other.
2. No obvious evidence of uterine enlargement.</t>
  </si>
  <si>
    <t xml:space="preserve">Etiology of the reported clinical signs is not definitively identified.  Consider abdominal ultrasonography and routine blood work for further evaluation of the uterus/reproductive tract and urinary bladder, especially if signs fail to improve, change or worsen in the face of empirical therapy and supportive care.  </t>
  </si>
  <si>
    <t>1) Unformed feces in the colon. Rule out gastroenterocolitis of allergic/inflammatory/idiopathic origin vs gastroenterocolitis secondary to dietary indiscretion/diet change.</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</si>
  <si>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contains multiple rounded mineral structures.  Additional irregular mineral is seen in the renal pelves bilaterally.  The remaining abdominal organs are normal.</t>
  </si>
  <si>
    <t>Cystic calculi and bilateral nephrolithiasis.  Radiographically normal thorax for patient of this age.</t>
  </si>
  <si>
    <t xml:space="preserve">Patient Name : Bentley Miller, Date of study: May 24, 2024
3 images are provided for review
There are no previous radiographs for comparison.
Liver: The liver is small in the lateral images, with cranial displacement of the gastric axis.  The liver occupies two or less intercostal spaces in the ventrodorsal image.
Kidneys: One of the kidneys (presumed left) is normal in the lateral images.  The kidneys are obscured in the ventrodorsal image.  No obvious renomegaly or mineral is identified.  
Retroperitoneum: Retroperitoneal detail is adequate.
Urinary bladder: The urinary bladder is normal in size, homogeneous soft tissue, and smoothly marginated.
Peritoneum: Peritoneal detail is adequate.
Gastrointestinal tract:   In the left cranial/mid-abdomen, in the region of the spleen and descending colon, there is a partially ill-defined, ovoid or lobular soft tissue opacity.   In some images, this appears confluent with the remainder of the colon.  In other images, this is less well-identified. The remainder of the colon contains moderate gas.  The descending colon wall is minimally spastic.  
The stomach contains a mild volume of soft tissue material and gas.
The small intestine contains fluid or is empty with a subjectively uniform population for size. 
Musculoskeletal: The included musculoskeletal structures are normal.
</t>
  </si>
  <si>
    <t xml:space="preserve">1. Possible left cranial/mid-abdominal soft tissue mass, versus folded spleen or colonic segment containing fluid.
- If this is a mass, tissue of origin may be the spleen, colon or unlikely left pancreas, lymph node or primary mesentery.  
2. Microhepatia versus individual variation of normal.
- If present, occult portosystemic shunting vessel versus other is considered.
3. Minimal spastic colon wall such as from normal peristalsis and/or non-specific colitis.
4. No radiopaque urocystoliths are identified.  </t>
  </si>
  <si>
    <t xml:space="preserve">Consider routine blood work and abdominal ultrasonography for further evaluation of the spleen, colon and urinary bladder given reported clinical signs.  Thoracic imaging may be contributory.  If a mass lesion is confirmed, consider tissue sampling with fine needle aspirates versus other. Oncologist consultation depending o results. Empirical therapy and supportive care in the interim as needed.  </t>
  </si>
  <si>
    <t>WHOLE-BODY (3 radiographs for review). No previous for comparison._x000D_
_x000D_
- Consistent with the reported history, there are a few small lobular mixed soft-tissue and fat opaque swellings along the ventral abdominal body wall, which may be consistent with the reported mammary masses (however given the history of mastectomy could also indicate normal soft-tissue swelling, scarring or small lipoma formation. No distinctly obvious mammary masses are noted._x000D_
- There is a mineral opacity in the inguinal region noted on the lateral projections that is not visible orthogonally._x000D_
- Best appreciated on the lateral projections, there are chronic/prior left first, second and third rib fractures._x000D_
- The cardiac silhouette, pulmonary parenchyma, pleural space, trachea and remaining included thoracic structures are normal._x000D_
- In the region of the gallbladder, there are multiple ill-defined mineral opacities._x000D_
- The stomach contains mild gas and mild non-specific mineralized material._x000D_
- The small intestine, colon, liver, spleen, kidneys and remaining abdominal structures are normal.</t>
  </si>
  <si>
    <t>1. Normal thorax. Negative examination for evidence of metastatic neoplasia._x000D_
_x000D_
2. Chronic/prior left first, second and third rib fractures._x000D_
_x000D_
3. Multiple cholecystoliths and/or mineralized gallbladder sludge._x000D_
_x000D_
4. Mineral opacity in the inguinal region (limited assessment) of uncertain etiology may be dystrophic mineralization or overlying debris. It could also represent mineralization of a mammary mass or as a result of prior surgery in the region. Palpation in the area could be considered.</t>
  </si>
  <si>
    <t>THORAX and ABDOMEN (5 total radiographs for review). No priors._x000D_
_x000D_
- Excessive body habitus._x000D_
- Multifocal cutaneous mineralization, likely dystrophic and associated with the clinically reported Cushing=ZZ91=s disease, and best seen in the caudal forelimb region._x000D_
- Consistent with the reported history, there is a fairly large soft-tissue opaque mass along the left lateral thoracic body wall._x000D_
- Lobular widening of the cranial mediastinum._x000D_
- Moderate diffuse bronchial pulmonary pattern. _x000D_
- Cardiac silhouette and pulmonary vasculature normal._x000D_
- Peritoneal serosal detail is normal._x000D_
- Stomach contains mild gas and soft-tissue/fluid._x000D_
- Small intestine mild diffuse soft-tissue/fluid distention._x000D_
- Colon contains gas and mild formed fecal material._x000D_
- Liver, spleen, kidneys and urinary bladder normal.</t>
  </si>
  <si>
    <t>1. I have high concern for neoplasia in this patient. There is a cranial mediastinal mass, which may or may not be related to the left lateral thoracic body wall mass (which also is concerning for neoplasia as it is soft-tissue opaque). If related, the mediastinal mass would most likely be metastatic sternal and/or cranial mediastinal lymphadenopathy. It could also be a solitary primary mass such as a thymoma or lymphoma. I would recommend sampling of both the left lateral thoracic body wall mass and the cranial mediastinal mass (e.g. with ultrasound guidance) and considering a whole-body CT in the patient for further characterization and global screening._x000D_
_x000D_
2. Excessive body habitus._x000D_
_x000D_
3. Diffuse bronchial pulmonary pattern, likely a combination of age-related normal airway changes and chronic bronchitis._x000D_
_x000D_
4. Multifocal cutaneous mineralization, likely dystrophic and associated with the clinically reported Cushing=ZZ91=s disease, and best seen in the caudal forelimb region._x000D_
_x000D_
5. Unremarkable abdomen with aerophagia.</t>
  </si>
  <si>
    <t>Study:_x000D_
Thoracic radiography: three images dated May 24, 2024_x000D_
_x000D_
Compared to prior study dated April 10, 2024_x000D_
_x000D_
The study also contains three abdominal projections which are not interpreted at the request of the submitting clinician._x000D_
_x000D_
Findings:_x000D_
The cardiac silhouette is normal in size/shape and unchanged appearance from the prior exam. The pulmonary vasculature is normal in size. There is a mild generalized increase the conspicuity the walls of the small caliber bronchi. This finding is unchanged between the two examinations. The pleural space is normal. There is no intrathoracic lymphadenopathy. The larynx is normal. The trachea is normal in diameter. The liver extends beyond the costal arch with smooth and sharp margins. This finding is unchanged from the prior exam. The osseous structures are unremarkable. The patient is of overweight body condition.</t>
  </si>
  <si>
    <t>1. The (static) mild generalized bronchial pulmonary pattern may indicate allergic, inflammatory, infectious, parasitic or irritant bronchitis. Correlate with any reported coughing. Airway sampling plus/minus heartworm testing and Baermann fecal flotation can be considered for further evaluationif clinically relevant._x000D_
2. There is no evidence of heart disease or intrathoracic neoplasia._x000D_
3. The (static) mild hepatomegaly is nonspecific. Rule out metabolic/vacuolar hepatopathy, hyperplasia, hepatitis or infiltrative neoplasia. Correlate with any liver enzyme abnormalities. Sonography can be considered for further evaluation if clinically relevant.</t>
  </si>
  <si>
    <t>Opposite lateral thoracoabdominal views and a VD view of the thorax that includes the cranial abdomen are provided for interpretation._x000D_
_x000D_
The heart is at the upper end of normal size range. There is a mild increase in bronchial markings in all lung fields. No alveolar infiltrates are seen. No tracheal abnormalities are identified. There is mild gas dilation of the esophagus in the left lateral view, but this is not present in the other views._x000D_
The appearance of the GI tract and the other abdominal organs is unremarkable. Abdominal serosal detail is normal.</t>
  </si>
  <si>
    <t>No abdominal abnormalities are identified._x000D_
_x000D_
Mild gas dilation of the esophagus in one of three views is probably a transient incidental finding, although esophagitis would still be a consideration. No evidence of foreign body is seen._x000D_
_x000D_
The mild bronchial pattern is within the limits of breed associated change. Low-grade bronchitis still cannot be excluded.</t>
  </si>
  <si>
    <t>Symptomatic therapy for the cough is recommended._x000D_
CBC and heartworm test is recommended._x000D_
_x000D_
Recheck radiographs (three views) of the thorax is recommended if cough is not improved over the next one to two weeks.</t>
  </si>
  <si>
    <t>Orthogonal views of the thorax and abdomen are provided:_x000D_
_x000D_
Thorax:_x000D_
_x000D_
Cardiac silhouette shows a mild enlargement of the left atrium dorsally displacing the carina._x000D_
The right caudal lobar pulmonary artery is enlarged and does not taper normally. The rest of the pulmonary vessels are within normal limits of size and shape._x000D_
Pulmonary parenchyma is within normal limits. No signs of aspiration pneumonia._x000D_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WNL._x000D_
_x000D_
Multifocal signs of chronic IVDD.</t>
  </si>
  <si>
    <t>1) Enlarged right caudal lobar pulmonary artery. Rule out pulmonary hypertension secondary to HW disease._x000D_
2) Unremarkable abdomen.</t>
  </si>
  <si>
    <t>Consider abdominal US to further evaluate causes of vomition and cardiology consultation with ECG and echocardiogram and HW test.</t>
  </si>
  <si>
    <t>Five orthogonal radiographs of the abdomen dated 24th May 2024 are available for review. There are no previous radiographs available for comparison. _x000D_
_x000D_
Intra-abdominal findings: The hepatic silhouette is normal in size with smooth borders. The spleen is normal in shape, size and position. The kidneys are partially obscured by gastrointestinal contents, but the visible aspect are normal. The stomach is mainly empty, with a normal axis. The small intestines are distributed evenly and are within normal limits for shape and shape. Some small intestinal loops contain gas loculations with a string of pearls/grape appearance. The ascending, transverse and descending colon have a normal position and contain gradually more formed faeces. The urinary bladder is filled. The serosal detail is normal._x000D_
_x000D_
Extra-abdominal findings: No significant abnormalities are detected._x000D_
_x000D_
Included thorax: No significant abnormalities are detected.</t>
  </si>
  <si>
    <t>Relatively unremarkable abdomen. The gas loculations in the small intestines may be a variation of normal, or indicative of some intestinal stasis with increased fluid content. Subjectively, this may indicate IBD, food allergy.</t>
  </si>
  <si>
    <t>A full abdominal ultrasonographic examination is advised, as well as further workup for malabsorptive gastrointestinal disease.</t>
  </si>
  <si>
    <t>Three orthogonal radiographs of the abdomen dated 24th May 2024 are available for review. There are no previous radiographs available for comparison. _x000D_
_x000D_
Intra-abdominal findings: The stomach is empty, with a normal axis. The small intestines are mainly empty, containing some gas and fluid/soft tissue opaque material. The descending colon contains some gas. The splenic tail is enlarged, with undulating border. The hepatic silhouette is normal in size. There is mild diffuse loss of serosal detail. The kidneys are partially obscured by gastrointestinal contents, but the visible aspect are normal. The urinary bladder is small._x000D_
_x000D_
Extra-abdominal findings: No abdominal or thoracic wall masses are seen._x000D_
_x000D_
Included thorax: No significant abnormalities are detected.</t>
  </si>
  <si>
    <t>The splenomegaly is suggestive of haematoma, haemangioma, haemangiosarcoma or metastatic neoplasia. Splenitis, extramedullary hematopoiesis, lymphoid hyperplasia is possible._x000D_
The loss of serosal detail is suspicious of abdominal haemorrhage, or an infectious-inflammatory transudate.</t>
  </si>
  <si>
    <t>A complete abdominal ultrasonographic examination is advised, with a view to FNA of abnormal organs, after complete blood work, and a normal coagulation panel. A 3 view thoracic series may be considered.</t>
  </si>
  <si>
    <t>Study:_x000D_
Abdominal radiography: two images dated May 24, 2024_x000D_
_x000D_
Compared to prior study dated May 23, 2024_x000D_
_x000D_
Findings:_x000D_
The stomach contains a small amount of heterogeneous soft tissue material. The volume of material in the stomach is less than in the prior exam. The small intestines are normal in size, course and content. The colon contains formed fecal material. The liver and spleen are normal in size and margin. The renal silhouettes are normal in size and contour. The urinary bladder is normal in size and opacity. The included thorax is is normal. The osseous structures are unremarkable/age appropriate.</t>
  </si>
  <si>
    <t>As stated above, the amount of heterogeneous soft tissue material in the stomach is less than in the prior exam. In spite of the reported dietary history, this material could still represent either food and/or foreign material. There is no evidence of small intestinal mechanical obstruction. Another set of repeat fasted radiographs and six to-eight hours can be considered to monitor for progressive gastric emptying. Alternatively, abdominal sonography can be considered for further evaluation if clinical signs persist or worsen in spite of ongoing medical management.</t>
  </si>
  <si>
    <t>Thoracic and abdominal radiographs (6 images) dated May 24, 2024._x000D_
_x000D_
_x000D_
The cardiac silhouette is normal in size and shape. The pulmonary vasculature and caudal vena cava are unremarkable. There is the impression of cranial mediastinal widening at the level of the cardiac base which may be due to enlarged aortic arch vs. less likely a mediastinal or esophageal mass.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measures at the lower limits of normal size, resulting in a cranial shift in the gastric axis. The spleen is unremarkable. Both kidneys are normal in size and shape. The urinary bladder is small and fluid opaque. The stomach contains a moderate amount of gas and a small amount of soft-tissue content. The small intestine is unremarkable in diameter and course and is empty/collapsed or contains a small amount of fluid. The colon contains gas and a small amount of poorly formed stool. Retroperitoneal and peritoneal detail are normal. No regional lymphadenopathy is evident._x000D_
_x000D_
No aggressive or clinically significant osseous pathology is identified.</t>
  </si>
  <si>
    <t>1. The appearance of the gastrointestinal tract is primarily concerning for gastroenteritis and colitis._x000D_
2. Relative microhepatica. Rule out normal anatomy for this patient vs. cirrhosis vs. a vascular anomaly._x000D_
3. Focal cranial mediastinal widening is likely due to enlargement of the aortic arch (systemic hypertension, coarctation of the order, aneurysmal dilation, less likely carotid body tumor) vs. less likely cranial mediastinal mass or lymphadenopathy. An esophageal lesion or foreign body is also less likely.</t>
  </si>
  <si>
    <t>Supportive care with fluid rehydration, antiemetics, gastroprotectants/omeprazole, and bland diet.  General health profile (CBC, chemistry, UA, fecal) +/- spec cPL and baseline cortisol to screen for underlying causes.  Repeat fasted abdominal radiographs or ultrasound if the patient fails medical management._x000D_
Blood pressure evaluation._x000D_
Thoracic esophagram to be considered to confirm no esophageal abnormalities are associated with the focal cranial mediastinal widening. Thoracic CT could also be considered._x000D_
Abdominal ultrasound to further scrutinize the liver.</t>
  </si>
  <si>
    <t>Three radiographs of the thorax are provided. The cardiac silhouette and pulmonary vessels are of normal size and shape. There are mild bronchial markings in the lungs. No soft tissue pulmonary nodules or pleural effusion. Fat deposition in the cranial mediastinum on the VD view. Severe narrowed caudal cervical trachea on both lateral views. No esophageal dilation. The laryngeal region is unremarkable. In the cranial abdomen, the liver is mildly enlarged with smooth margins.</t>
  </si>
  <si>
    <t>1. Severe cervical tracheal collapse, the most likely cause for coughing._x000D_
2. Mild bronchial pattern may be normal age-related change. With the cough, inhaled irritant/allergens could be contributing._x000D_
3. Mild hepatomegaly, a nonspecific finding that may be steroid or other hepatopathy, acute inflammation, or neoplasia. This should be correlated with history and blood work.</t>
  </si>
  <si>
    <t>This patient may benefit from symptomatic treatment for the cough, weight management as needed, and utilization of a body harness in place of a neck lead.</t>
  </si>
  <si>
    <t xml:space="preserve">
1.Abdominal detail is normal._x000D_
2.The liver is mild to moderately enlarged._x000D_
3.Splenic size, shape and margin are normal._x000D_
4.The stomach contains small volume gas and scant soft tissue density. The small bowel is diffusely gas- and fluid-filled without segmental small bowel dilation.</t>
  </si>
  <si>
    <t>Three radiographs of the thorax, and a lateral view of the abdomen are provided. Images dated 1/19/24 and earlier are available for comparison. There is severe left atrial enlargement, with the left atrium located closer to the spine on both of the lateral views. Enlarged left ventricle as before. The cranial lobar vein is larger than the artery on the left lateral view. The left mainstem bronchus is compressed. There is no loss of perihilar vessel visibility. Mild age-related changes are present in the lungs. No pleural effusion. Adequate tracheal diameter._x000D_
_x000D_
In the abdomen faint round 2.3 cm increased opacity overlying the ventral right liver is likely gallbladder debris, typically incidental. The liver is normal size. Normal-sized spleen. The kidneys are incompletely visible. Large volume kibble-like soft tissue density filling the stomach. Small intestines are mildly filled. Gas and semi-formed feces fills the colon. There are two thin linear wire-like 2.0 cm metal densities in the cranial abdomen, present previously and represent incidental chronic migrated gastrointestinal foreign material. No radiopaque urolithiasis. Narrowed L1-2 and L2-3 intervertebral disc space and foramina. Mild degenerative change in the cranial lumbar spine and at the lumbosacral junction</t>
  </si>
  <si>
    <t>1. Moderate to severe left-sided cardiomegaly consistent with acquired mitral valve disease. There is pulmonary venous congestion but no heart failure at this time. There is mainstem bronchial compression which is likely responsible for the clinical signs. Otherwise normal thorax._x000D_
2. The appearance of the cranial lumbar spine is suggestive of intervertebral disc disease. This may be responsible for discomfort._x000D_
3. Normal abdomen.</t>
  </si>
  <si>
    <t>An echocardiogram is recommended if one has not been performed in the last six months.</t>
  </si>
  <si>
    <t xml:space="preserve">Patient Name : Lola Robertson, Date of study: May 24, 2024
2 images are provided for review
There are no previous radiographs for comparison.  The cranial thorax is excluded, limiting evaluation.
Pulmonary parenchyma: A minimal to mild diffuse bronchial pattern is present.
Pulmonary vasculature: The pulmonary vasculature is subjectively normal in size and tapers in the periphery of the lungs.
Cardiac silhouette: The cardiac silhouette is normal in size and shape.
Mediastinum: The cranial mediastinum is normal on limited evaluation.
Trachea: The trachea is normal on limited evaluation.
Esophagus: The esophagus is not well-identified.
Pleural space: Only in the ventrodorsal image, thin pleural fissure lines that do not widen in the periphery are identified between the subsegments of the left cranial lung lobe.
Musculoskeletal: An spindle shaped  soft tissue nodule is in the dorsal extra-thoracic soft tissues at the level of the scapula.  The remaining included musculoskeletal structures are normal.
</t>
  </si>
  <si>
    <t xml:space="preserve">1. Minimal-mild diffuse bronchial pulmonary pattern.  
- Differential diagnoses include fibrosis from prior disease, age-related changes, or unlikely lower airway disease such as from infectious or immune-mediated etiologies.  
2. Dorsal extra-thoracic soft tissue nodule such as from reported mast cell tumor.  </t>
  </si>
  <si>
    <t xml:space="preserve">Consider computed tomography for further evaluation of the thorax and mediastinum, versus repeat radiographs.  Abdominal ultrasonography, coagulation testing and tissue sampling of the liver and spleen, especially if the cutaneous mast cell tumor is grade 2 or higher.  Oncologist consultation may be contributory. 
 Empirical therapy and supportive care in the interim as needed.  </t>
  </si>
  <si>
    <t xml:space="preserve">
1.The stomach is normal. The small bowel is diffusely gas- and fluid-filled without segmental small bowel dilation._x000D_
2.Abdominal detail is normal._x000D_
3.Liver size, shape and margin are normal._x000D_
4.The splenic silhouette is prominent.</t>
  </si>
  <si>
    <t>Prominent spleen. DDx: sedation vs. normal for breed (Shepherd) vs. extramedullary hematopoiesis vs. lymphoid hyperplasia. Tick borne disease is a consideration if a CBC abnormality is present.</t>
  </si>
  <si>
    <t xml:space="preserve">
Virtual Radiologist Case Difficulty: MODERATE_x000D_
Virtual Radiologist Confidence: MODERATE_x000D_
CBC. Abdominal ultrasound to further assess the spleen if a CBC abnormality is present or the mild splenomegaly is an unexpected and unexplained finding.</t>
  </si>
  <si>
    <t>Opposite lateral and ventrodorsal whole body radiographs (3 images) dated May 24,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Fluid is pooling in the caudal esophagus on the right lateral view. No intrathoracic lymphadenopathy is evident._x000D_
The liver and spleen are unremarkable in size and shape. The stomach contains a moderate blame of gas and some structure irregular shaped soft-tissue content. Irregular shaped soft-tissue content is sternebra gas in the pyloric antrum. There is a questionable poorly marginated area soft-tissue opacity at the level of the pylorus and proximal duodenum on the left lateral view. The remainder of the descending duodenum is moderately distended with gas. The remaining small bowel has a mild and unremarkable variation in diameter and gas. The proximal colon contains gas. The distal=ZZ90= contains normal appearing stool. The kidneys are obscured visualization. The urinary bladder is small and fluid opaque. Retroperitoneal and peritoneal detail are adequate. No regional lymphadenopathy is evident._x000D_
There are multiple caudal thoracic vertebral bodies that are anomalously developed, resulting in variable disc space narrowing.</t>
  </si>
  <si>
    <t>1. Structured and irregular shaped soft-tissue content in the stomach is concerning for foreign material vs. less likely undigested food or treats. The ill-defined soft tissue opacity at the level of the pylorus on the left lateral view is moderately suspicious for foreign material, and could indicate a pyloric outflow obstruction._x000D_
2. Fluid pooling in the caudal esophagus on the right lateral view is suspicious for esophagitis or GERD._x000D_
3. Anomalous thoracic vertebral development is a common finding in this dog breed. Correlation with orthopedic and neurologic exam is needed to determine clinical relevance</t>
  </si>
  <si>
    <t>Abdominal ultrasound vs. upper GI barium study (5 ml/kg PO or via NG tube).</t>
  </si>
  <si>
    <t>Based on chronicity, abdominal ultrasound could be considered in further evaluation.</t>
  </si>
  <si>
    <t xml:space="preserve">
1.No abnormal AI findings reported._x000D_
2.There are a few gas-distended loops of small bowel._x000D_
3.The gastric rugae are prominent._x000D_
4.Liver and splenic size, shape and margin are unremarkable._x000D_
5.Abdominal detail is satisfactory._x000D_
6.The remainder of the small bowel loops are diffusely fluid filled with a max:min small bowel diameter ratio of &lt; 2:1.</t>
  </si>
  <si>
    <t>Three radiographs of the abdomen are provided. There is no peritoneal or retroperitoneal effusion. Small volume gas in the stomach. Possible scant amorphous soft tissue density in the pylorus on the left lateral view, not seen on the other projections. Small intestines are diffusely moderately fluid filled. The colon is minimally distended. Normal size liver, kidneys, and spleen. No radiopaque cystic calculi. Normal caudal thorax and osseous structures.</t>
  </si>
  <si>
    <t>1. Possible soft tissue density in the stomach is concerning for foreign material. This could be fluid/mucus and rugal folds._x000D_
2. Small intestinal functional ileus, a nonspecific finding that may be due to enteritis, stress/discomfort, metabolic abnormality, or partial obstruction.</t>
  </si>
  <si>
    <t xml:space="preserve">
1.The stomach contains small-volume fluid and gas._x000D_
2.No abnormal AI findings reported._x000D_
3.No abnormal AI findings reported._x000D_
4.Small intestines are moderately fluid filled._x000D_
5.The liver and spleen appear within normal limits for size and contour.</t>
  </si>
  <si>
    <t>Thoracic and abdominal radiographs (5 images) dated May 24, 2024._x000D_
_x000D_
_x000D_
The cardiac silhouette, pulmonary vasculature, and great vessels are within normal limits. The pulmonary parenchyma is a mild bronchial and diffuse unstructured interstitial pattern. No pulmonary nodules or masses are identified. No intrathoracic lymphadenopathy is evident. The trachea is normal in diameter and course with gas filling its lumen. The pleural space, mediastinum, and diaphragm are normal._x000D_
_x000D_
The liver is mildly enlarged. The spleen is unremarkable. Both kidneys are mildly irregular in shape, and the left kidney is small in size. The urinary bladder is small and fluid opaque. The stomach contains a fair amount of gas and a small amount of soft-tissue/fluid content. The pyloric antrum and the duodenum are gas-filled on the left lateral view. The small intestine is unremarkable in diameter and course and is probably soft-tissue/fluid opaque with broad ropelike turns in its course to give it a subjectively turgid appearance. The colon contains unremarkable appearing stool and has a normal course. Retroperitoneal and peritoneal detail are normal. No regional lymphadenopathy is evident._x000D_
_x000D_
No aggressive or clinically significant osseous pathology is identified. A fat opaque convexity is arising from the caudoventral sternal subcutis.</t>
  </si>
  <si>
    <t>1. Unremarkable thorax._x000D_
2. The appearance of the gastrointestinal tract is most compatible with gastroenteritis._x000D_
3. Mild hepatomegaly. Rule out a benign metabolic/vacuolar hepatopathy vs. inflammatory vs. least likely infiltrative neoplastic causes._x000D_
4. Renal disease, characterized by irregularly shaped kidneys and a small left kidney.</t>
  </si>
  <si>
    <t>Treatment for gastroenteritis with fluids, antiemetics, omeprazole, and bland diet. If persistently hypertensive, initiate amlodipine treatment. Meclizine._x000D_
Monitor neurologic clinical signs vs. brain MRI.</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</si>
  <si>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</si>
  <si>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Lack of specific changes does not rule out pancreatitis, infiltrative neoplasia, inflammatory bowel disease, etc.  Abdominal ultrasound could be considered based on the history provided.</t>
  </si>
  <si>
    <t xml:space="preserve">
1.No abnormal AI findings reported._x000D_
2.The liver and spleen appear within normal limits for size._x000D_
3.Formed feces is present in the descending colon._x000D_
4.Serosal detail is normal._x000D_
5.There is small-volume gas and soft tissue density present within the stomach._x000D_
6.Small intestines are diffusely mildly filled with gas and fluid.</t>
  </si>
  <si>
    <t>Opposite lateral and ventrodorsal whole body radiographs (3 images) dated May 24, 2024._x000D_
_x000D_
_x000D_
The cardiac silhouette, pulmonary vasculature, and great vessels are within normal limits. The pulmonary parenchyma is hypoinflated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normal in size and shape. The splenic tail is unremarkable. The head of the spleen has a lobular and irregular appearance on the VD view. The left kidney is normal in size and shape. The right kidney is only partially visible on the lateral views with no abnormalities detected. The urinary bladder is moderately distended with homogeneous fluid opacity. The stomach contains a moderate amount of heterogeneous granular soft-tissue content and a small volume of gas. The small intestine is unremarkable in size and course, and a few segments have a slightly irregular linear coalescing gas pattern in the lumen. The colon contains normal appearing stool and has a normal course. Retroperitoneal and peritoneal detail are normal. No regional lymphadenopathy is evident._x000D_
_x000D_
No aggressive or clinically significant osseous pathology is identified.</t>
  </si>
  <si>
    <t>1. Irregular shape of the spleen on the VD projection is concerning for nodular changes or a small mass. Incidental splenic folding is less likely._x000D_
2. No definitive abnormalities are detected in the gastrointestinal tract=ZZ90= the coalescing gas pattern in some of the small intestinal segments raises concern for enteritis. The colonic content contains formed stool._x000D_
3. Normal thorax.</t>
  </si>
  <si>
    <t>CBC, chemistry, UA, thyroid, fecal, systemic blood pressure evaluation, and 4Dx._x000D_
Abdominal ultrasound to further examine the spleen and remainder of the abdominal viscera._x000D_
_x000D_
If a splenic mass is confirmed, repeat three-view thoracic radiographs obtained during peak inspiration and with exclusion of the abdomen for more sensitive metastatic screening.</t>
  </si>
  <si>
    <t xml:space="preserve">
1.The liver is mildly enlarged but retains a smooth margin. The pylorus is mildly displaced caudally on the lateral projection secondary to the liver enlargement._x000D_
2.Splenic size, shape and margin are unremarkable._x000D_
3.Abdominal detail is normal._x000D_
4.The ventral abdominal line is mildly pendulous._x000D_
5.The small bowel is unremarkable.</t>
  </si>
  <si>
    <t>Four radiographs of the thorax/abdomen are provided. The heart and pulmonary vessels are normal size and shape. There are no abnormalities in the pulmonary parenchyma. No pleural effusion. Adequate tracheal diameter. In the abdomen serosal detail is adequate. Small volume gas and fluid fills the stomach. Fluid-filled pylorus causes the round soft tissue contour in the cranioventral abdomen on the left lateral view. Small bowel are minimally filled. Large volume semi-formed feces fills the colon. No radiopaque urolithiasis. Possible narrowed T11-12 intervertebral disc space. No other narrowed intervertebral disc spaces or foramina. The coxofemoral joints are congruent.</t>
  </si>
  <si>
    <t>The appearance of T11-12 is suggestive of a protruding/extruded intervertebral disc. Such a lesion at this or another site is the most likely cause for discomfort. Otherwise normal abdomen and thorax.</t>
  </si>
  <si>
    <t>If there are no significant neurologic deficits, consider anti-inflammatories and strict rest. Otherwise, consultation with a neurologist and advanced spinal imaging with MRI would be recommended.</t>
  </si>
  <si>
    <t>Study:_x000D_
Abdominal radiography: three images dated May 23, 2024_x000D_
_x000D_
Findings:_x000D_
The stomach contains unstructured heterogeneous soft tissue material presumed to be ingesta. There is a small amount of granular mineral in the small intestines. The small intestines are normal in size and course. The colon contains formed fecal material with interspersed granular mineral. The liver extends mildly beyond the costal arch but has smooth and sharp margins and does not displace the gastric axis. The spleen is normal in size and margin. The renal silhouettes are normal in size and contour. The urinary bladder is normal in size and opacity. The included thorax is normal. There is mild T 13-L1, severe L6-L7 and severe L7-S1 spondylosis deformans.</t>
  </si>
  <si>
    <t>1. The appearance of the liver is equivocal for mild nonspecific hepatomegaly. Rule out individual normal variant, metabolic/vacuolar hepatopathy, hepatitis, hyperplasia or infiltrative neoplasia. This finding should be correlated to any liver enzyme abnormalities. Abdominal sonography can be considered for further evaluation if clinically relevant._x000D_
2. The granular mineral in the small intestines may indicate dietary indiscretion or may be an incidental finding depending on the contents of the patient=ZZ91=s normal diet and treats.</t>
  </si>
  <si>
    <t>Orthogonal views of the thoracolumbar spine are provided for interpretation._x000D_
_x000D_
There is subtle irregular mineral opacity superimposed over the spinal canal at the level of caudal L4 and L4-L5 in the lateral view. No corresponding opacity is seen in the VD view. There is mild spondylosis deformans involving L1 to L3. No spinal subluxation or fractures are seen. No destructive or productive bone lesions are identified. Soft tissues around the spine are unremarkable.</t>
  </si>
  <si>
    <t>There is subtle but unusual mineral opacity in the area of the spinal canal and intervertebral foramen at the level of L4-L5. Extrusion of mineralized disc material with cauda equina or spinal cord compression at this location is a potential explanation for the clinical signs. The spondylosis is incidental. No other abnormalities are identified.</t>
  </si>
  <si>
    <t>Disc disease is suspected. Medical management is recommended at this time. If pain does not improve or neurologic signs appear, more advanced imaging such as MRI is recommended for surgical planning.</t>
  </si>
  <si>
    <t xml:space="preserve">
1.The colon contains a moderate amount of gas and heterogeneous soft tissue material._x000D_
2.No segmental small bowel dilation is noted._x000D_
3.The stomach contains a moderate amount of gas and contains material within the lumen._x000D_
4.The small intestines are mildly distended with fluid and gas._x000D_
5.Liver size is normal to lower limits of normal. Liver shape and margin are normal._x000D_
6.Splenic size, shape and margin are normal._x000D_
7.Abdominal detail is normal.</t>
  </si>
  <si>
    <t>Patient Name: MOLLY GARCIA, Date of study: May 23, 2024
3 images are provided for review
There are no previous radiographs for comparison.
Findings:
Cardiac silhouette: The cardiac silhouette is normal in size and shape.
Pulmonary vessels: The pulmonary arteries and veins are normal in size and are symmetrical.
Pulmonary parenchyma: The pulmonary parenchyma is normal with no abnormal pulmonary patterns, nodules, or masses.
Pleural space: The pleural space is within normal limits.
Mediastinum: The mediastinum is normal in width and opacity. There is no evidence of intrathoracic lymphadenopathy.
Trachea: The trachea is normal in diameter and course.
Esophagus: The region of the esophagus is within normal limits.
Gastrointestinal tract: The stomach is normal in size and position. The small intestines are diffusely within normal limits of diameter and distribution and are primarily fluid-filled. The colon is filled with formed feces and gas.
Liver: The liver is normal in size and shape.
Spleen: The spleen is unremarkable.
Urinary: There is a faint mineral focus in the hilus of the left kidney. The visible margins of the kidneys are normal. The urinary bladder is small in size/empty. The urinary bladder is normal in opacity.
Peritoneal space: There is adequate serosal detail.
Musculoskeletal: There is mild undulation and convexity to the soft tissues ventral to the cranial abdomen. The included musculoskeletal and superficial soft tissue structures of the study are otherwise unremarkable.</t>
  </si>
  <si>
    <t>1. Normal thorax. There is no evidence of metastatic pulmonary nodules.
2. Left-sided nephrolith, otherwise unremarkable abdomen.</t>
  </si>
  <si>
    <t xml:space="preserve">Surgical removal and histopathology of the reported mammary masses are recommended. Consultation with an oncologist for additional treatment options and serial recheck three-view thoracic radiographs should be considered pending histopathology results. </t>
  </si>
  <si>
    <t>Patient Name: Marco White, Date of study: May 23, 2024
4 images are provided for review
Previous images dated [01/03/2024 Case#2669260] are available for comparison.
Findings:
Cardiac silhouette: Similar to previous, the cardiac silhouette is mildly enlarged (VHS 11.25). There is no specific chamber enlargement.
Pulmonary vessels: The pulmonary arteries and veins are within normal limits of size.
Pulmonary parenchyma: There is mild enlargement of the right cranial lobar bronchus, previously normal. The pulmonary parenchyma is diffusely underinflated.
Pleural space: The pleural space is within normal limits.
Mediastinum: The mediastinum is normal in width and opacity. There is no evidence of intrathoracic lymphadenopathy.
Trachea: There is a mildly redundant tracheal membrane expanding from the larynx to the level of T2.
Esophagus: The region of the esophagus is within normal limits.
Musculoskeletal: The abdominal wall is pendulous. There is intervertebral disc space collapse and moderate spondylosis deformans of C6-7. There are only six lumbar vertebrae.
Gastrointestinal tract: The stomach is filled with heterogeneous ingesta admixed with gas. The small intestine is diffusely within normal limits of diameter and contains heterogeneous ingesta and gas. The colon is unremarkable.
Liver: There is progressive, moderate hepatomegaly. The caudal margin of the liver extends well beyond the costal arch and is rounded. The enlarged liver causes caudal deviation of the gastric axis.
Spleen: The spleen is not definitively included. The spleen was previously normal.
Urinary: The urinary bladder is normal in size and opacity.
Peritoneal space: There is adequate serosal detail.</t>
  </si>
  <si>
    <t xml:space="preserve">1.  There is newly identified, mild right cranial lobar bronchiectasis. This may be an irreversible change secondary to prior pneumonia. Reduced ciliary apparatus function is likely, creating an increased risk for pneumonia. 
2. Diffuse pulmonary underinflation is most likely due to phase of respiration or panting, sedation is also considered if administered. Chronic lower airway disease/bronchitis should be considered given the reported coughing.
3. Progressive moderate hepatomegaly. Differential diagnoses include vacuolar hepatopathy, steroid hepatopathy, nodular hyperplasia, hepatitis/cholangiohepatitis or evolving neoplasia. Cushing's disease should be considered given the pendulous abdomen and hepatic enlargement.
4. Mild redundant tracheal membrane is suggestive of collapsing airway disease. This may be contributing to the cough.
5. Mild cardiomegaly. Valvular insufficiency is prioritized. There is no evidence of heart failure or a cardiogenic cough. 
</t>
  </si>
  <si>
    <t>Airway sampling (respiratory PCR, lavage/wash) is recommended to guide treatment options for chronic bronchitis. Medical management for redundant tracheal membrane would likely be helpful. CBC/serum biochemistry if not already performed to screen for systemic disease contributing to clinical signs. Testing for Cushing's disease is recommended.
Abdominal ultrasonography is recommended to further evaluate the abdomen. 
Tracheoscopy/bronchoscopy/tracheal fluoroscopy may be beneficial in further evaluation collapsing airway disease contributing to clinical signs. Alternatively lateral cervicothoracic radiographs acquired at peak inspiration and peak expiration could be considered to screen for dynamic airway collapse.</t>
  </si>
  <si>
    <t xml:space="preserve">
1.Abdominal detail is diffusely decreased and the abdomen is pendulous._x000D_
2.The liver is moderately enlarged with potential for a hepatic mass._x000D_
3.The spleen is enlarged with potential for a splenic mass._x000D_
4.Moderate volume gas fills the stomach._x000D_
5.Small intestines are mildly fluid-filled._x000D_
6.Segments of the colon have a rigid appearance.</t>
  </si>
  <si>
    <t>Orthogonal views of the abdomen and right hind limb are provided._x000D_
_x000D_
There is mild capsular swelling in the right stifle joint. No bony abnormalities are seen involving the stifle. The patella appears normally positioned. No abnormalities are seen involving the right hip or tarsus._x000D_
_x000D_
Rugal folds in the stomach are prominent. No dilation the stomach or intestine is seen. No definitive foreign bodies are identified. There is a subtle but unusual soft tissue opacity that appears to be in the stomach in the lateral view but this cannot be corroborated in the VD views and might actually be due to superimposition of the transverse colon.</t>
  </si>
  <si>
    <t>Gastritis is suspected._x000D_
_x000D_
There is mild right stifle joint effusion compatible with joint sprain.</t>
  </si>
  <si>
    <t>Restricted activity and anti-inflammatory therapy for suspected soft tissue injury involving the right stifle is recommended._x000D_
_x000D_
Symptomatic therapy for suspected gastroenteritis is recommended._x000D_
A contrast gastrogram after fasting should be considered if the vomiting does not resolve over the next few days.</t>
  </si>
  <si>
    <t>Three orthogonal thoracic radiographs dated 23rd May 2024 are available for review. There are no previous radiographs available for comparison. _x000D_
_x000D_
Thorax: _x000D_
Airway findings: No nodules, masses, or lymphadenomegaly is visible. The trachea has a normal position, shape and size. The pulmonary parenchyma has a mild bronchointerstitial pattern._x000D_
_x000D_
Cardiovascular findings: The cardiac silhouette, and pulmonary vasculature is within normal limits._x000D_
_x000D_
Mediastinum and pleura: There is no evidence of pleural effusion, _x000D_
_x000D_
Included abdomen: No significant abnormalities are detected. _x000D_
_x000D_
Musculoskeletal system: No significant abnormalities are detected.</t>
  </si>
  <si>
    <t>1. Negative metastasis check, normal thorax._x000D_
2. Diffuse mild bronchointerstitial pattern: Primary consideration should be given to normal ageing/fibrosis from previous disease. Allergic bronchitis, chronic bacterial /viral bronchitis +/- parasitic bronchitis should also be considered. Less likely are hyperardenocorticism, neoplasia (such a lymphoma) or idiopathic pulmonary fibrosis.</t>
  </si>
  <si>
    <t>Computed tomography has a higher resolution capability to detect small pulmonary parenchyma nodules and may be considered_x000D_
If clinical signs are present, respiratory workup including CBC, serum chemistry, urinalysis, Baermann faecal testing, 4DX, +/- respiratory panel may be considered.</t>
  </si>
  <si>
    <t>A three view study of the thorax that includes most of the abdomen and a VD abdomen view that includes the pelvis are provided for interpretation._x000D_
_x000D_
The cardiovascular structures are within normal limits. No pulmonary infiltrates or pleural effusion are seen. The caudal esophagus is easily visible in the right lateral view, but this does not persist in other views and is presumed to be a transient incidental finding. No pulmonary nodules are identified._x000D_
The abdominal organs are within normal size and shape is. No mass lesions or loss of detail are seen._x000D_
The pelvis and hip joints are within normal limits. There is severe disc space narrowing and endplate sclerosis at L1-L2. No destructive bone lesions are seen. No abnormalities are identified involving the cervical spine.</t>
  </si>
  <si>
    <t>No significant thoracic or abdominal abnormalities are identified._x000D_
There is evidence of chronic disc degeneration at L1-L2.</t>
  </si>
  <si>
    <t>No radiographic abnormalities that would explain the coughing are identified. Allergic lung disease could still be present. Symptomatic therapy is recommended as needed.</t>
  </si>
  <si>
    <t xml:space="preserve">
1.The stomach contains a moderate amount of gas and likely food. There is cranial positioning to the pylorus secondary to the microhepatia._x000D_
2.The small intestines are a combination of gas-filled and fluid-filled/collapsed, and all are within normal limits for diameter._x000D_
3.There is a moderate amount of colonic fecal material._x000D_
4.The liver is slightly small but retains a smooth margin._x000D_
5.No abnormal AI findings reported._x000D_
6.Splenic size, shape and margin are normal.</t>
  </si>
  <si>
    <t>4 images of the entire body are provided for review.  The cardiovascular structures are normal.  Alveolar opacity is present in the right cranial lung lobe.  The mediastinal and pleural structures are normal.  The trachea is narrowed in the cervical region.  Abdominal serosal detail is adequate in all quadrants.  The liver margins are rounded and extend beyond the costal arch, causing caudal displacement of the gastric axis.  The stomach contains a small amount of gas.  The small intestines are normal in size.  Gas and feces are present in the colon.  The urinary bladder is small.  The remaining abdominal organs are normal.</t>
  </si>
  <si>
    <t>Hepatomegaly=ZZ90= this is a nonspecific finding that may be seen with congestion, vacuolar hepatopathy, inflammation, neoplasia, etc.  Abdominal ultrasound may be helpful in further evaluation if biochemically indicated.  Alveolar pulmonary pattern concerning for aspiration type pneumonia.  Hemorrhage or neoplasia cannot be excluded.  Airway sampling may be helpful in further evaluation.  Tracheal narrowing suggestive of tracheal collapse.</t>
  </si>
  <si>
    <t>Study:_x000D_
Thoracic and abdominal radiography: four images dated May 23, 2024_x000D_
_x000D_
Findings:_x000D_
The cardiac silhouette and pulmonary vasculature are normal in size. There is a large (7.8 cm) soft tissue opaque mass in the dorsal aspect of the right caudal lung lobe. The pleural space is normal. There is no intrathoracic lymphadenopathy. The trachea is normal in diameter and course. The stomach contains a small volume of gas. The small intestines are normal in size, course and content. The colon contains gas and poorly formed fecal material. The liver and spleen are normal in size and margin. The kidneys are normal in size and contour. The urinary bladder is normal in size and opacity. There is no prostatomegaly. There is mild multifocal thoracolumbar spondylosis deformans. There is moderate bilateral elbow periarticular bone formation.</t>
  </si>
  <si>
    <t>1. Right caudal lung lobe mass. Primary pulmonary carcinoma is prioritized. Lung lobectomy can be considered._x000D_
2.  There is no radiographic evidence of heart disease. Consider echocardiography for further evaluation of the reported heart murmur._x000D_
3. The abdomen is unremarkable. A cause of the reported diarrhea is not evident. There is no radiographic evidence of gastrointestinal foreign material or small intestinal mechanical obstruction. Abdominal sonography can be considered for further evaluation if clinical signs persist or worsen in spite of medical management._x000D_
4. Moderate bilateral elbow osteoarthrosis.</t>
  </si>
  <si>
    <t xml:space="preserve">
1.The ascending, transverse and descending colon contain gradually more formed faeces._x000D_
2.The small intestines are mildly dilated with a mixture of gas and fluid, and have a mild turgid appearance._x000D_
3.The stomach has a normal axis, with subjectively thickened mucosal folding._x000D_
4.The liver is normal in shape, size and opacity._x000D_
5.The spleen is visible and within normal limits._x000D_
6.There is a mildly reduced cranial abdominal serosal detail.</t>
  </si>
  <si>
    <t>Five radiographs of the thorax/abdomen are provided. The cardiac silhouette and pulmonary vessels are normal size and shape. There are no abnormalities in the pulmonary parenchyma. No pleural fluid or gas. The diaphragm is intact. No rib fractures. Normal tracheal diameter and proximal thoracic limbs. No cervicothoracic spinal abnormalities. Narrow T10-11 intervertebral disc space is a normal anatomic variant. In the abdomen serosal detail is adequate. The gastrointestinal tract is minimally filled. No radiopaque foreign material or urolithiasis. Normal-sized liver, spleen, kidneys. No narrowed lumbar intervertebral disc spaces or foramina. Normal coxofemoral joints.</t>
  </si>
  <si>
    <t>Normal thorax and abdomen. A reason for discomfort is not identified. Soft tissue sprain/strain is possible. A non-mineralized intervertebral disc lesion is not ruled out.</t>
  </si>
  <si>
    <t>Orthogonal radiographs of the thorax/abdomen, and a lateral view of the thorax are provided. Images dated 11/15/23 are available for comparison. There is mild left atrial and ventricular enlargement that was not present previously. Subsequent dorsal deviation of the caudal thoracic trachea and mainstem bronchi. There is mainstem bronchial compression. The cranial lobar vein is larger than the artery on the left lateral view. There are no abnormalities in the pulmonary parenchyma. No pleural effusion. Redundant dorsal trachealis membrane causes moderate narrowed cervical trachea on the right lateral view. In the abdomen the liver is mildly enlarged with smooth margins, similar to the previous study. Several punctate mineral densities overlying the liver are likely incidental choledocholiths. The gastrointestinal tract is moderately filled. No radiopaque cystic calculi appreciated. The spleen is normal size. The kidneys are partially visible and also appear to be normal size. Small renal diverticular mineralizations are of doubtful significance. Narrowed intervertebral disc spaces in the cranial lumbar spine, left femoral head ostectomy, and mild right coxofemoral osteoarthritis.</t>
  </si>
  <si>
    <t>1. Mild left sided cardiomegaly consistent with acquired mitral valve disease. This is a new development. There is pulmonary venous congestion but no evidence of heart failure. The enlarged left heart causes mainstem bronchial compression, which may be contributing to the cough._x000D_
2. Cervical tracheal collapse._x000D_
3. Mild hepatomegaly as before, a nonspecific finding that may be steroid or other hepatopathy, or less likely neoplasia. This should be correlated with history and blood work.</t>
  </si>
  <si>
    <t>An echocardiogram is recommended to help guide treatment.</t>
  </si>
  <si>
    <t xml:space="preserve">
1.The cecum is gas filled._x000D_
2.The liver is enlarged._x000D_
3.Splenic size, shape and margin are normal._x000D_
4.The abdomen is pendulous._x000D_
5.Moderate volume ingesta fills the stomach._x000D_
6.No intestinal abnormalities are appreciated.</t>
  </si>
  <si>
    <t>Three orthogonal radiographs of the abdomen dated 23rd May 2024 are available for review. There are no previous radiographs available for comparison. _x000D_
_x000D_
Intra-abdominal findings: There is a moderate amount of gas in the stomach with a normal axis. The pylorus is appropriately gas-filled in the left lateral image. A segment of viscus is significantly dilated with a soft tissue opaque foreign body (most likely corn cob). Most of the small intestines are empty. The transverse and descending colon contain gas and formed faeces. The urinary bladder is small. Dragon parenchyma_x000D_
_x000D_
Extra-abdominal findings: No significant abnormalities are detected._x000D_
_x000D_
Included thorax: No significant abnormalities are detected.</t>
  </si>
  <si>
    <t>The suspected corn cob may be in the anterior small intestines, therefore the distal small intestines are empty, or potentially in the ascending colon.</t>
  </si>
  <si>
    <t>Abdominal ultrasonography is advised to ascertain localisation of the soft tissue foreign body. Alternatively, an upper GI contrast study may be considered, or an explorative laparotomy. Alternatively, continued supportive management with rehydration, and repeat radiographs may be considered.</t>
  </si>
  <si>
    <t xml:space="preserve">
1.The liver and spleen are within normal limits for size and contour._x000D_
2.The stomach is mildly filled. Small intestines are mildly gas and fluid filled. No signs of obstruction._x000D_
3.No abnormal AI findings reported._x000D_
4.No abnormal AI findings reported.</t>
  </si>
  <si>
    <t>Four radiographs of the thorax and five views of the abdomen are provided. The cardiac silhouette and pulmonary vessels are normal size and shape. There are no abnormalities in the pulmonary parenchyma. No pleural effusion. The plane of the esophagus is unremarkable. No tracheal compression or deviation._x000D_
_x000D_
In the abdomen there is moderate volume granular soft tissue density filling the stomach. Small intestines are minimally distended. There is gas and moderate volume formed feces in the colon. No radiopaque gastrointestinal foreign material. The kidneys, liver, and spleen are normal size and shape. Osseous structures are age-appropriate.</t>
  </si>
  <si>
    <t>Normal thorax and postprandial abdomen. Gastric contents appears to be normal ingesta. Gastric foreign material is not ruled out but given lesser consideration the absence of vomiting of food. There is no megaesophagus or aspiration pneumonia.</t>
  </si>
  <si>
    <t>Advanced imaging such as fluoroscopy should be considered to evaluate swallowing/esophagus, and gastric motility.</t>
  </si>
  <si>
    <t>Five radiographs of the thorax/abdomen are provided. The left atrium is moderately enlarged. Mild left ventricular enlargement. Pulmonary vessels are normal size. Mild age-related changes in the lungs. No pleural effusion or esophageal dilation. Normal tracheal diameter. In the abdomen mid abdominal detail is mildly reduced. Small volume fluid and gas in the stomach. Equivocal scant soft tissue density in the stomach on the VD views. Small intestines are diffusely moderately filled with fluid and small volume gas. Small cluster of punctate mineral densities overlying the cranial abdomen on the right lateral view is not seen on the other projections and may represent superficial debris. Normal-sized liver, kidneys, spleen. No radiopaque urolithiasis. The uterus is not identified. Narrowed T12-13 intervertebral disc space.</t>
  </si>
  <si>
    <t>1. Mild left-sided cardiomegaly consistent with acquired mitral valve disease. There is no evidence of pulmonary venous congestion or pulmonary edema. Otherwise normal thorax._x000D_
2. Small intestinal functional ileus and suspect scant peritoneal effusion. Gastroenteritis secondary to dietary indiscretion is most likely._x000D_
3. Equivocal scant soft tissue density in the stomach may represent fluid/mucus or foreign material causing gastritis and pyloric outflow obstruction.</t>
  </si>
  <si>
    <t>Strictly fasted abdominal ultrasound is recommended. If vomiting is intractable, there is hematemesis or abdominal pain, gastroscopy or exploratory surgery would be recommended.</t>
  </si>
  <si>
    <t>3 views of the abdomen are provided for review. Serosal detail is adequate. The stomach contains a small amount of gas and the rugal folds are prominent. The small intestines are normal in size. Gas is present in the colon. The remaining abdominal organs are normal.</t>
  </si>
  <si>
    <t>Prominent rugal folds suggestive of gastritis. This does not rule out underlying pancreatitis or infiltrative neoplasia.</t>
  </si>
  <si>
    <t xml:space="preserve">
1.Cranial abdominal detail is mildly decreased.  If this is the only finding, this is more likely due to normal overlying structures or radiographic technique. If this finding is part of a larger group of findings, cranial abdominal inflammation becomes a stronger consideration._x000D_
2.There is formed fecal material within the colon._x000D_
3.Liver size, shape and margin are normal._x000D_
4.Borderline splenomegaly is present but a splenic mass is NOT detected._x000D_
5.The stomach contains gas and ingesta or prominent rugae._x000D_
6.The small intestine is uniform in diameter containing both fluid and gas. No segmental small bowel dilation is noted.</t>
  </si>
  <si>
    <t>Three radiographs of the thorax, and four views of the abdomen are provided. The cardiac silhouette is lower normal size. Pulmonary vessels and caudal vena cava are reduced in size. There is no pleural effusion. Numerous incidental pulmonary osteomas. No enlarged intrathoracic lymph nodes. Tracheal diameter is adequate. Thin C-shaped 4.0 cm mineral density overlying the cranial left cervical tissues is not persistent and is likely superficial debris.
In the abdomen serosal detail is poor. The splenic tail is enlarged. Normal-sized liver. Moderate volume soft tissue opaque ingesta fills the stomach. Small bowel are poorly delineated but appear to be minimally filled. The cecum is gas dilated. There is formed feces in the distal colon. No radiopaque foreign material or cystic calculi. No significant osseous abnormalities.</t>
  </si>
  <si>
    <t>1. Prominent splenic tail with peritoneal effusion. Neoplasia such as hemangiosarcoma is of concern. The effusion may be hemorrhagic. An inflammatory process or metabolic abnormality are next on the differential list.
2. Reduced pulmonary vessel and caudal vena cava size consistent with hypovolemia. Otherwise normal thorax.</t>
  </si>
  <si>
    <t>Abdominal ultrasound is recommended. Peritoneal fluid evaluation should also be considered to determine if hemorrhagic.</t>
  </si>
  <si>
    <t xml:space="preserve">
1.The stomach contains small-volume gas._x000D_
2.Serosal detail caudal to the stomach is mildly decreased on the lateral projection._x000D_
3.Small intestines are mildly filled with fluid and scant gas._x000D_
4.No abnormal AI findings reported._x000D_
5.The liver and spleen are normal size and shape._x000D_
6.The colon is minimally filled.</t>
  </si>
  <si>
    <t>A three view study of the thorax and orthogonal views of the left front limb are provided._x000D_
_x000D_
There is moderate osteophyte production involving the anconeal process of the ulna. No elbow joint effusion is seen. The medial coronoid process is indistinct. No abnormalities are identified involving the carpus or shoulder._x000D_
_x000D_
There is a moderate interstitial pattern with mild alveolar infiltrates involving the left caudal lung lobe. A mild interstitial to alveolar pattern is identified involving the cranial lobes. There is a mild to moderate increase in bronchial markings._x000D_
No tracheal abnormalities are identified. The cardiovascular structures are within normal limits._x000D_
_x000D_
Rugal folds in the stomach are prominent. The spleen is mildly enlarged. There is a small quantity of gravel in the transverse colon. The other abdominal organs are within normal limits._x000D_
There is an elliptical fat opacity deep to the panniculus at the level of the right cranial abdomen compatible with a lipoma.</t>
  </si>
  <si>
    <t>Interstitial to alveolar pulmonary infiltrates are identified. No evidence of collapsing trachea is seen. The lung pattern is compatible with bronchitis. Subjectively the pulmonary changes are more compatible with infectious bronchitis/bronchopneumonia. However, there may be a contribution of sedative artifact so clinical significance of the pulmonary changes cannot be definitively determined. Allergic lung disease should still be ruled out given the chronic history._x000D_
_x000D_
The splenomegaly is suspected to be secondary to the acepromazine. Other causes including neoplasia or reactive splenomegaly secondary to inflammatory disease cannot be excluded._x000D_
The gastrointestinal changes are likely incidental in the absence of relevant GI clinical signs._x000D_
_x000D_
There is evidence of degenerative joint disease involving the elbow. This is likely responsible for the lameness.</t>
  </si>
  <si>
    <t>Antibiotic therapy for suspected bronchitis is recommended._x000D_
A follow-up three view study of the thorax is recommended in two weeks.</t>
  </si>
  <si>
    <t>Study:_x000D_
Abdominal radiography: three images dated May 23, 2024_x000D_
_x000D_
Findings:_x000D_
The serosal detail is normal. The stomach contains a small volume of gas with the pylorus appropriately gas-filled on the left lateral image. The small intestines are normal in size, course and content. The colon contains formed fecal material. The liver and spleen are normal in size and margin. The renal silhouettes are normal in size and contour. The urinary bladder is normal in size and opacity. There is no uterine dilation. The included thorax is normal. The osseous structures are unremarkable/age appropriate.</t>
  </si>
  <si>
    <t>Four radiographs of the abdomen are provided. There is no peritoneal or retroperitoneal effusion. There is scant amorphous soft tissue density in the pylorus on the 1st left lateral view but is not seen on the other projections. Small intestines are diffusely minimally filled with fluid and gas. The cecum and proximal colon are gas dilated. Small volume minimally formed feces in the distal colon. Normal-sized liver, spleen, kidneys. No radiopaque cystic calculi. Normal caudal thorax.</t>
  </si>
  <si>
    <t>Evidence of diarrhea. Soft tissue density in the pylorus seen only on one of the views may represent collapsed rugal folds or intraluminal foreign material causing gastritis and pyloric outflow obstruction. There is no evidence of small bowel obstruction.</t>
  </si>
  <si>
    <t>If vomiting does not rapidly resolve with supportive care, gastroscopy would be recommended.</t>
  </si>
  <si>
    <t xml:space="preserve">
1.No abnormal AI findings reported._x000D_
2.There is a focal loss of serosal detail in the cranial abdomen on the VD projection._x000D_
3.The pyloroduodenal is widened and the proximal duodenum contains a mild amount of air._x000D_
4.The gastric lumen contains a mild amount of soft tissue and gas opacity._x000D_
5.The gastric rugae are prominent._x000D_
6.The liver and spleen are normal._x000D_
7.The small bowel is diffusely fluid distended with a mild disparity in small bowel diameter._x000D_
8.Portions of the colon are gas filled and have a rigid appearance.</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</si>
  <si>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 is rounded and extends beyond the costal arch.  The stomach contains a small amount of gas and the rugal folds are mildly prominent.  The small intestines are normal in size.  Gas and feces are present in the colon.  The urinary bladder is small.  The remaining abdominal organs are normal.</t>
  </si>
  <si>
    <t>Hepatomegaly=ZZ90= this is a nonspecific finding that may be seen with congestion, vacuolar hepatopathy, inflammation, neoplasia, etc.  Prominent rugal fold suggestive of gastritis.  This does not rule out underlying cryptitis or infiltrative neoplasia.  Radiographically normal thorax for patient of this age.</t>
  </si>
  <si>
    <t xml:space="preserve">
1.The liver and stomach are confluent, with mild displacement of the gastric axis, which may be due to hepatomegaly versus severe gastric distension._x000D_
2.Mildly filled intestines without evidence of complete obstruction._x000D_
3.Abdominal detail is diffusely decreased. The ventral abdominal line is pendulous._x000D_
4.No abnormal AI findings reported._x000D_
5.No abnormal AI findings reported.</t>
  </si>
  <si>
    <t>Study:_x000D_
Abdominal radiography: three images dated May 23, 2024_x000D_
_x000D_
Findings:_x000D_
The serosal detail is adequate for the degree of intra-abdominal fat. The stomach contains a small volume of gas. The small intestines are normal in size, course and content. The colon contains gas and poorly formed fecal material. The liver and spleen are normal in size and margin. The renal silhouettes are poorly visualized due to visceral crowding but appear normal in size and contour. The urinary bladder is normal in size and opacity. The prostate is not visualized. The included thorax is normal. The patient has multiple, breed associated, congenitally anomalous thoracic and caudal vertebrae.</t>
  </si>
  <si>
    <t>Unremarkable abdomen. A cause of the reported chronic diarrhea is not evident. Consider abdominal sonography, a G.I. panel, trypsin-like immunoreactivity testing and ACTH stimulation testing for further evaluation.</t>
  </si>
  <si>
    <t xml:space="preserve">
1.Serosal detail is normal._x000D_
2.There is small-volume gas and soft tissue density present within the stomach._x000D_
3.Small intestines are diffusely mildly filled with gas and fluid._x000D_
4.Formed feces is present in the descending colon._x000D_
5.The liver and spleen appear within normal limits for size._x000D_
6.No abnormal AI findings reported.</t>
  </si>
  <si>
    <t>Right lateral and ventrodorsal thoracic and left lateral and ventrodorsal abdominal radiographs (4 images) dated May 23,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unremarkable in size and shape. The urinary bladder is fairly distended with homogeneous fluid opacity. The stomach is empty. The small intestine is unremarkable in diameter and course and predominantly contains gas. The colon contains normal appearing stool and has a normal course. There is no radiographic evidence of uterine distention. Retroperitoneal and peritoneal detail are adequate. No sublumbar lymphadenopathy is evident. In the inguinal subcutis, there is a heterogeneously opaque and predominantly fat opaque mass with the impression of the capsular soft tissue rim surrounding it on the left lateral view, measuring 4.6 x 3.4 cm. The caudal aspect of the mass is adjacent to soft tissue=ZZ90= it is unclear if this represents more mass tissue or normal tissues._x000D_
There is midthoracic spondylosis deformans. No aggressive osseous lesions are identified.</t>
  </si>
  <si>
    <t>1. Heterogeneous and partially fat opaque mass in the inguinal subcutis. This is suspicious for a lipomatous mass (lipoma, less likely liposarcoma or mixed tumor with fatty components). Mammary carcinoma cannot be completely ruled out. _x000D_
2. Superficial inguinal lymphadenopathy cannot be ruled out given the mass in the same location._x000D_
3. No radiographic evidence of uterine distention._x000D_
4. Remarkable thorax with no evidence of metastatic neoplasia. Note that 3 view thoracic radiographs are needed for confident metastatic screening.</t>
  </si>
  <si>
    <t>Abdominal ultrasound to screen for evidence of visceral metastasis, and to further examine the inguinal mass and adjacent inguinal lymph nodes. Ultrasound-guided fine needle aspirates for attempted cytologic diagnosis.</t>
  </si>
  <si>
    <t xml:space="preserve">
1.No abnormal AI findings reported._x000D_
2.The liver is slightly small but retains a smooth margin._x000D_
3.Splenic size, shape and margin are normal._x000D_
4.The small intestines are a combination of gas-filled and fluid-filled/collapsed, and all are within normal limits for diameter._x000D_
5.There is a moderate amount of colonic fecal material._x000D_
6.The stomach contains a moderate amount of gas and likely food. There is cranial positioning to the pylorus secondary to the microhepatia.</t>
  </si>
  <si>
    <t>Study:_x000D_
Thoracic/abdominal radiography: five images dated May 23, 2024_x000D_
_x000D_
Findings:_x000D_
There is straightening of the caudal cardiac waist on the lateral projections. The pulmonary vasculature is normal in size. The pulmonary parenchyma is unremarkable. The pleural space is normal. There is no intrathoracic lymphadenopathy. The trachea is normal in diameter and course. The serosal detail is adequate. The stomach contains unstructured heterogeneous soft tissue material presumed to be ingesta. The pylorus is appropriately gas-filled on the left lateral image. The small intestines are normal in size, course and content. The colon contains formed fecal material. The liver and spleen are normal in size and margin. The renal silhouettes are poorly visualized due to visceral crowding but appear normal in size and contour. The urinary bladder is normal in size and opacity. The T 11-T 12 intervertebral disc space is mildly narrowed in comparison to the T 12-T 13 intervertebral disc space. The T 10-T 11 intervertebral disc space also appears narrowed, beyond what is expected at the anticlinal intervertebral disc space.</t>
  </si>
  <si>
    <t>1. Straightening of the caudal cardiac waist can be an indicator of mild specific left atrial enlargement/mitral valve disease. There is no evidence of cardiac decompensation. Echocardiography can be considered for further evaluation._x000D_
2. The abdomen is unremarkable. A cause of the reported chronic weight loss is not evident. Consider abdominal sonography and a G.I. panel for further evaluation._x000D_
3. Suspect T 10-T 11 and T 11-T 12 intervertebral disease. Neurology consultation and MRI can be considered for further evaluation of the reported spinal pain persists or worsens in spite of strict activity restriction and pain management.</t>
  </si>
  <si>
    <t xml:space="preserve">
1.No abnormal AI findings reported._x000D_
2.The liver is slightly small but retains a smooth margin._x000D_
3.Splenic size, shape and margin are normal._x000D_
4.The stomach contains a moderate amount of gas and likely food. There is cranial positioning to the pylorus secondary to the microhepatia._x000D_
5.The small intestines are a combination of gas-filled and fluid-filled/collapsed, and all are within normal limits for diameter._x000D_
6.There is a moderate amount of colonic fecal material.</t>
  </si>
  <si>
    <t>Three radiographs of the thorax, and three views of the abdomen are provided. The cardiac silhouette is upper normal size. Pulmonary vessels are normal size. There are a few incidental pulmonary osteomas. No pulmonary nodules or pleural effusion. Normal cranial mediastinal width and tracheal diameter._x000D_
_x000D_
In the abdomen the prostate is severely enlarged consistent with the reproductive status of this patient. The urinary bladder is mildly filled and soft tissue opaque. Normal-sized liver. The spleen and kidneys are obscured. The gastrointestinal tract is minimally filled. Several narrowed intervertebral disc spaces and spondylosis deformans in the caudal thoracic through mid lumbar spine, of doubtful clinical significance today.</t>
  </si>
  <si>
    <t>A three view thoracoabdominal study is provided for interpretation._x000D_
_x000D_
There are a few loops of small intestine that are gas filled. None appear pathologically distended. No foreign bodies are identified in the GI tract. Rugal folds in the stomach are prominent. Serosal detail in the abdomen is normal. The other organs are within normal limits._x000D_
No thoracic abnormalities are identified.</t>
  </si>
  <si>
    <t>The appearance of the GI tract is compatible with gastroenteritis. No foreign bodies or obstructive pattern are identified. The thorax is unremarkable.</t>
  </si>
  <si>
    <t>Supportive care as needed and symptomatic therapy is recommended.</t>
  </si>
  <si>
    <t>Study:_x000D_
Abdominal radiography: five images dated May 23, 2024_x000D_
_x000D_
Findings:_x000D_
The abdominal serosal detail is normal. The stomach contains a small volume of gas with the pylorus appropriately gas-filled on the left lateral image. Some small intestinal segments contain smoothly marginated fragmented gas. The small intestines are normal in size and course. There is a small volume of gas in the descending colon. The liver is normal in size and margin. The spleen is mildly to moderately enlarged with smooth margins. The renal silhouettes are normal in size and contour. The urinary bladder is not visualized and is likely small/empty. The cardiac silhouette is small. The osseous structures are unremarkable.</t>
  </si>
  <si>
    <t>1. The smoothly marginated fragmented gas pattern seen in some small intestinal segments can be an indicator of nonspecific enteritis. There is no radiographic evidence of gastrointestinal foreign material or small intestinal mechanical obstruction. Abdominal sonography can be considered for further evaluation if clinical signs persist or worsen in spite of medical management._x000D_
2. The microcardia is likely secondary to dehydration/hypovolemia. Adrenal insufficiency is also possible. A resting cortisol level can be considered for Addison=ZZ91=s disease screening.</t>
  </si>
  <si>
    <t>Three radiographs of the thorax and three views of the abdomen are provided. The cardiac silhouette and pulmonary vessels are normal size and shape. No abnormalities in the pulmonary parenchyma. There is no pleural effusion. Normal tracheal diameter and position. No esophageal dilation. Normal cervicothoracic spine and proximal thoracic limbs._x000D_
_x000D_
In the abdomen there is no effusion. The stomach contains moderate volume amorphous soft tissue density. Small bowel are minimally filled. Formed feces in the distal colon. There is a small accumulation of mineral opaque debris in the stomach and colon, likely incidental. Normal-sized liver, spleen, and kidneys. No radiopaque cystic calculi. The coxofemoral joints are congruent. The T11-12 and T12-13 intervertebral disc spaces are narrowed.</t>
  </si>
  <si>
    <t>The appearance of T11-12 and T12-13 are both suggestive of intervertebral disc disease. Such a lesion at these or another site is the most likely cause for discomfort. The abdomen and thorax are normal.</t>
  </si>
  <si>
    <t>If there are no significant neurologic deficits, consider conservative treatment with anti-inflammatories and strict rest. Otherwise, consultation with a neurologist and advanced spinal imaging with MRI would be recommended.</t>
  </si>
  <si>
    <t xml:space="preserve">Patient Name: Austin Rabago, Date of study: May 23, 2024
6 images of the cervical, thoracic and lumbar spine are provided for review
There are no previous radiographs for comparison.
Spine:
C-spine: On the VD projection, focal mineral opacities overlie several cervical disc spaces. No disc space narrowing is noted. No end-plate or vertebral lysis is noted.
T-spine: On the lateral projection, focal mineral opacities overlie several caudal thoracic disc spaces. Questionable caudal thoracic disc space narrowing is noted. No end-plate or vertebral lysis is noted. 
T-L region: Kyphosis is present. T13-L1 in-situ disc mineralization is present. There is questionable narrowing to the T13-L1 disc space. No end-plate or vertebral lysis is noted. 
L-spine: Faint in-situ disc mineralization overlies the L1-2 and L2-3 disc spaces on the lateral projection. The caudal lumbar disc spaces are normal. 
Abdomen: A linear metal wire foreign body is within the right liver. On both lateral and VD projections, gas opacities overlie the region of the right liver and may reside within the liver. </t>
  </si>
  <si>
    <t xml:space="preserve">1) Both spinal disease and hepatic disease associated with a migrating foreign body could explain abdominal pain but spinal disease would be associated with the neurologic deficits to the pelvic limbs.
2) No aggressive spinal lesions noted. </t>
  </si>
  <si>
    <t xml:space="preserve">Neurologist consultation and potential MRI. CT evaluation of the spine would also allow for further liver evaluation, particularly if liver values are elevated or fever is present. </t>
  </si>
  <si>
    <t>Three radiographs of the thorax/abdomen are provided. Images dated 8/29/22 are available for comparison. There is slight prominence of the left atrium seen as straightened caudal heart waist and increased distance between the caudal heart waist and tracheal bifurcation. This is similar to the previous study. The cranial pulmonary vein is larger than the artery on the left lateral view. A mild bronchial pattern is present as before. No pleural effusion. Adequate tracheal diameter. No laryngeal abnormalities. Narrowed C3-4 intervertebral disc space, present before and of doubtful clinical significance. Mild degenerative change in the shoulders. In the abdomen there is no effusion or organomegaly. Moderate volume soft tissue opaque ingesta in the stomach. The intestines are mildly filled. No radiopaque cystic calculi.</t>
  </si>
  <si>
    <t>This study is essentially unchanged compared to previous radiographs._x000D_
1. Mild bronchial pattern may be normal age change versus chronic airway inflammation such as bronchitis. No tracheal abnormalities are appreciated today, however dynamic collapse remains possible._x000D_
2. Mild left atrial enlargement consistent with acquired mitral valve disease. There is pulmonary venous congestion but no evidence of pulmonary edema. This is not responsible for the cough._x000D_
3. Normal abdomen.</t>
  </si>
  <si>
    <t>Recommend palpation for tracheal sensitivity. This patient may benefit from utilization of a body harness in place of a neck lead and symptomatic treatment for the cough.</t>
  </si>
  <si>
    <t>3 views of the thorax are provided for review.  The trachea is dorsally deviated, indicating left ventricular enlargement.  A bulge is present in the region of the left atrium.  Increased bronchial markings are present in all lung lobes.  The distal trachea and primary bronchi are variably narrowed.  No perihilar pulmonary infiltrates are seen.  The pulmonary vasculature is normal in size.  The mediastinal and pleural structures are normal.  Cranial abdominal detail is adequate.</t>
  </si>
  <si>
    <t>Variable tracheobronchial narrowing may indicate collapse and / or compression.  Severe bronchial pulmonary pattern=ZZ90= consider bronchitis, response to inhaled irritants, response to circulating parasites, eosinophilic bronchopneumopathy.  Airway sampling may be helpful in further evaluation.  Left-sided cardiomegaly without current evidence of cardiogenic pulmonary edema.  Echocardiography may be helpful in further evaluation.</t>
  </si>
  <si>
    <t xml:space="preserve">
1.The cecum is gas filled._x000D_
2.Moderate volume ingesta fills the stomach._x000D_
3.No intestinal abnormalities are appreciated._x000D_
4.The liver is enlarged._x000D_
5.Splenic size, shape and margin are normal._x000D_
6.The abdomen is pendulous.</t>
  </si>
  <si>
    <t>Thorax: There is moderate left-sided cardiomegaly.  There is no evidence of cardiogenic pulmonary edema.  On the left lateral view there is collapse of the mainstem bronchi.  The pulmonary parenchyma and pulmonary vasculature are unremarkable.  There is no evidence of pleural effusion or lymphadenopathy._x000D_
_x000D_
Abdomen: There is a somewhat square-shaped mineral/soft tissue opacity and heterogeneous soft tissue opacity within the gastric lumen.  There is no evidence of a small intestinal foreign body or obstruction.  Within the right perianal region there are numerous segments of jejunum as well as portions of the colon.  The urinary bladder is not identified.  The remainder of the abdomen is unremarkable.</t>
  </si>
  <si>
    <t>Left-sided cardiomegaly without evidence of decompensation._x000D_
_x000D_
Dynamic collapse of the mainstem bronchi._x000D_
_x000D_
Gastric foreign bodies._x000D_
_x000D_
Perianal hernia with involvement of segments of jejunum, colon, and suspected urinary bladder.</t>
  </si>
  <si>
    <t xml:space="preserve">
1.Splenic size, shape and margin are normal._x000D_
2.The stomach contains a moderate amount of gas and a mild amount of soft tissue and mineral material. The gastric rugae are prominent. The small bowel is diffusely gas- and fluid-filled without segmental small bowel dilation._x000D_
3.Liver size, shape and margin are normal._x000D_
4.Abdominal detail is normal.</t>
  </si>
  <si>
    <t>Study:_x000D_
Abdominal radiography: five images dated May 22, 2024_x000D_
_x000D_
Compared to prior study dated February 7, 2023_x000D_
_x000D_
Findings:_x000D_
The stomach contains unstructured heterogeneous soft tissue material presumed to be ingesta. The small intestines are normal in size, course and content. The colon contains gas and poorly formed fecal material. There is mild corrugation of the colonic wall As before, the liver is mildly to moderately enlarged with smooth margins. The metallic surgical clips superimposed with the right liver are in change in position. The spleen is normal in size and margin. The renal silhouettes are normal in size and contour. There are four punctate mineral opaque calculi in the urinary bladder. No calculi are present in the region of the urethra. There is no prostatomegaly. The included thorax is normal. There is mild T7-T8 spondylosis deformans.</t>
  </si>
  <si>
    <t>1. The mild corrugation a colonic wall is suggestive of nonspecific colitis. Abdominal sonography can be considered for further evaluation of the reported diarrhea persists or worsens in spite of medical management._x000D_
2. Static nonspecific hepatomegaly. Rule out metabolic/vacuolar hepatopathy, hyperplasia, hepatitis or infiltrative neoplasia. Sonography can be considered for further evaluation if clinically relevant._x000D_
3. Cystolithiasis.</t>
  </si>
  <si>
    <t xml:space="preserve">
1.On the lateral projection, abdominal detail, particularly caudal to the stomach, is mildly decreased._x000D_
2.On the lateral projection, the small bowel is diffusely gas- and/or fluid-filled. No segmental small bowel dilation is noted._x000D_
3.On the lateral projection, a portion of the cecum and/or colon is gas-filled and has a rigid appearance._x000D_
4.On the lateral projection, mild hepatomegaly with a smooth margin is present._x000D_
5.On the lateral projection, there is increased soft tissue opacity in the region of the spleen.</t>
  </si>
  <si>
    <t>Study:_x000D_
Thoracic/abdominal radiography: four images dated May 22, 2024_x000D_
_x000D_
Findings:_x000D_
There is marked narrowing of the L4-L5 intervertebral disc space with sclerotic endplates and severe spondylosis deformans. The C6-C7 and C7-T1 intervertebral disc spaces also appear narrowed=ZZ90= however, this finding may be overestimated by patient positioning and beam distortion. The coxofemoral joints are normal with good coverage of the femoral head by the acetabulum bilaterally. On the VD view timestamped 4:52 PM, the left patella is superimposed with the medial femoral condyle. The included appendicular skeletal structures are otherwise unremarkable.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formed fecal material with multiple interspersed punctate mineral foci. The liver and spleen are normal in size and margin. The kidneys are normal in size and contour. The urinary bladder is normal in size and opacity. There is no prostatomegaly.</t>
  </si>
  <si>
    <t>1. L4-L5 plus/minus C6-C7 and C7-T1 intervertebral disc disease. Neurology consultation and MRI can be considered for further evaluation if clinical signs persist or worsen in spite of strict activity restriction and pain management._x000D_
2. The abdomen is unremarkable. A cause of the reported weight loss is not evident. Abdominal sonography and a G.I. panel can be considered for further evaluation._x000D_
3. Normal thorax._x000D_
4. Suspect left medial luxating patella versus positional artifact.</t>
  </si>
  <si>
    <t xml:space="preserve">
1.The stomach contains a mild amount of gas._x000D_
2.No segmental small intestinal dilation is noted._x000D_
3.The colon contains a moderate amount of heterogeneous soft tissue material._x000D_
4.The spleen is unremarkable._x000D_
5.On the lateral projection, the liver is at the upper limits of normal for size to mildly enlarged, but has smooth margins._x000D_
6.The serosal detail in the cranial abdomen is mildly decreased on the VD projection but normal on the lateral projection. The appearance on the VD projection is attributed to a confluence of soft tissue structures and bowel._x000D_
7.The ventral abdominal line is mildly pendulous.</t>
  </si>
  <si>
    <t>Study:_x000D_
Abdominal radiography: three images dated May 22, 2024_x000D_
_x000D_
Findings:_x000D_
The stomach contains a small volume of gas with the pylorus appropriately gas-filled on the left lateral image. The small intestines are normal in size, course and content. The colon contains formed fecal material with a normal diameter. The perineal region is unremarkable. The liver and spleen are normal in size and margin. The kidneys are normal in size and contour. The urinary bladder is normal in size and opacity. There is no prostatomegaly. The included thorax is normal. The osseous structures are unremarkable.</t>
  </si>
  <si>
    <t>Unremarkable abdomen. As stated above, the colonic diameter is within normal limits and not suggestive of constipation. Abdominal sonography can be considered for further evaluation if clinical signs persist or worsen in spite of medical management.</t>
  </si>
  <si>
    <t xml:space="preserve">
1.No abnormal AI findings reported._x000D_
2.There is small-volume gas and soft tissue density present within the stomach._x000D_
3.Small intestines are diffusely mildly filled with gas and fluid._x000D_
4.Formed feces is present in the descending colon._x000D_
5.The liver and spleen appear within normal limits for size._x000D_
6.Serosal detail is normal.</t>
  </si>
  <si>
    <t>Orthogonal thoracoabdominal views and orthogonal views of the hind limbs are provided._x000D_
_x000D_
There is marked soft tissue opacity obscuring much of the cervical trachea, particularly at the level of the thoracic inlet. The appearance is consistent with likely severe redundant dorsal tracheal membrane, potentially associated with chondromalacia. No pulmonary infiltrates or bronchial thickening are identified._x000D_
The shape of the heart is compatible with mild left atrial dilation. Overall heart size aside from the atrial shadow is at the upper end of normal range. VHS = 11.2, at the upper and of normal range for breed._x000D_
The liver size is borderline at the upper end of acceptable size range to slightly enlarged. The other abdominal organs are within normal limits._x000D_
_x000D_
The pelvis and hip joints are within normal limits. Both patellas are luxated medially in the VD pelvis views. Patellar luxation cannot be confirmed in the lateral views._x000D_
There is severe swelling of the left stifle joint capsule. The left stifle has moderate periarticular remodeling changes._x000D_
There is mild to moderate swelling of the right stifle joint capsule. The right stifle has mild chronic remodeling involving the medial margin of the tibial condyle._x000D_
No tarsal joint abnormalities are seen.</t>
  </si>
  <si>
    <t>No pulmonary abnormalities are identified. The coughing is likely secondary to cervical tracheal collapse._x000D_
_x000D_
Mild left atrial dilation is suspected. No ventricular dilation is seen. No findings concerning for heart failure are identified._x000D_
_x000D_
Liver size is borderline. The rest of the abdomen is unremarkable. No mass lesions are seen in the abdomen._x000D_
_x000D_
There is severe joint effusion and moderate secondary joint disease involving the left stifle. Chronic instability secondary to intra-articular injury such as a cruciate ligament rupture should be ruled out. If no mechanical instability is documented, active inflammation such as immune mediated arthritis should be ruled out._x000D_
Mild to moderate joint effusion is also present in the right stifle. Intra-articular injury in the right stifle of a lesser nature should also be ruled out._x000D_
There is evidence of bilateral patellar luxation, relevance to the clinical signs is unknown.</t>
  </si>
  <si>
    <t>Sedated orthopedic exam is recommended to best assess stifle joint stability and rule out intra-articular injury such as cruciate ligament rupture. If no evidence of mechanical injury is found, arthrocentesis for joint fluid analysis is recommended._x000D_
_x000D_
Symptomatic therapy for the cough is recommended.</t>
  </si>
  <si>
    <t xml:space="preserve">
1.The spleen is normal for size, shape and margin._x000D_
2.Abdominal detail is normal._x000D_
3.Moderate volume soft tissue density with a few punctate mineral foci are present within the stomach._x000D_
4.The liver is mildly enlarged with smooth margins._x000D_
5.Small intestines are mildly filled with stippled soft tissue opacity and gas.</t>
  </si>
  <si>
    <t>Gastric contents are likely normal ingesta, however foreign material could be considered if clinically appropriate. The AI result for this case is most compelling for: Mild hepatomegaly. Likely etiologies include metabolic or steroid hepatopathy, and less likely acute inflammation or neoplasia.</t>
  </si>
  <si>
    <t>Opposite lateral and ventrodorsal abdominal radiographs (3 images) dated May 22, 2024._x000D_
_x000D_
The liver and spleen are normal in size and shape. The stomach is dilated with a large amount of fluid and a smaller amount of gas that is mobile between views. The pyloric antrum is gas-filled on the left lateral view. The duodenum is moderately distended with gas. Immediately caudal to the stomach on the lateral views and in the right medial abdomen on the VD projection, there is a sharply angulated mineral opacity that is concerning for foreign material. The majority of the small bowel is empty/collapsed. The colon contains a small amount of gas and formed stool. The visible portions of the kidneys and mildly distended urinary bladder are unremarkable. Retroperitoneal and peritoneal detail are normal. No regional lymphadenopathy is evident. There is dorsal thoracic subcutaneous emphysema, consistent with recent fluid or injection therapy. No osseous abnormalities are identified. The included thorax is unremarkable.</t>
  </si>
  <si>
    <t>Small intestinal mechanical obstruction due to a mineral opaque foreign body._x000D_
The mobile gastric content likely represents fluid and ingesta=ZZ90= clinically significant for material mixed in with this fluid and ingesta cannot be completely ruled out.</t>
  </si>
  <si>
    <t xml:space="preserve">
1.The liver is mildly enlarged._x000D_
2.Splenic size, shape and margin are normal._x000D_
3.There is a focal loss of serosal detail in the cranial abdomen._x000D_
4.The gastric lumen contains a mild amount of soft tissue and gas opacity._x000D_
5.The gastric rugae are prominent._x000D_
6.No mechanical ileus is visualized._x000D_
7.Loops of bowel are gas filled and have a rigid appearance.</t>
  </si>
  <si>
    <t>Study:_x000D_
Abdominal radiography: four images dated May 22, 2024_x000D_
_x000D_
Compared to prior study dated August 4, 2023_x000D_
_x000D_
Findings:_x000D_
The serosal detail is adequate. The stomach contains a small volume of gas. The small intestines are normal in size, course and content. The colon contains gas and poorly formed fecal material. The liver is normal in size and margin. The previously identified splenic mass is not as evident in the present examination but is thought to be seen poorly visualized bulging from the dorsal aspect of the tail the spleen on the right lateral view timestamped 3:33:39 PM. The renal silhouettes are normal in size and contour. The urinary bladder is unremarkable. There is no prostatomegaly. The included thorax is normal. The osseous structures are unremarkable.</t>
  </si>
  <si>
    <t>1.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2. It is difficult to compare the size of the previously identified splenic mass between the two examinations given the poor visualization in the present exam. The mass is not markedly increased in size since the prior examination. Rule out neoplasia, hyperplasia or hematoma. Sonography and a three view thoracic met check can be considered for further evaluation.</t>
  </si>
  <si>
    <t>Opposite lateral and ventrodorsal whole body radiographs (4 images) dated May 22, 2024. A prior study from May 17, 2024 is available for comparison._x000D_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Both kidneys are normal in size and shape. The urinary bladder is mildly distended with homogeneous fluid opacity. The stomach contains a mild volume of gas and a scant amount of mobile soft-tissue/fluid content. The previously noted irregular shaped soft-tissue-almost mineral opaque structure in the stomach is no longer present. The pyloric antrum is gas-filled on the left lateral view. The small intestine has a mild and unremarkable variation in diameter with most segments containing a small amount of gas and fluid. The course of the small bowel is unremarkable. The colon contains normal appearing stool mixed with gas. Retroperitoneal and peritoneal detail are normal. No regional lymphadenopathy is evident._x000D_
No aggressive or clinically significant osseous pathology is identified.</t>
  </si>
  <si>
    <t>1. Unremarkable abdomen with a now mostly empty stomach. Previously reported opacity in the stomach is no longer present. There is no evidence of a gastrointestinal mechanical obstruction._x000D_
2. Normal thorax.</t>
  </si>
  <si>
    <t>Supportive care with fluid rehydration, antiemetics, gastroprotectants/omeprazole, and bland diet.  General health profile (CBC, chemistry, UA, fecal) +/- spec cPL and baseline cortisol to screen for underlying causes.  Repeat fasted abdominal radiographs or ideally abdominal ultrasound if the patient fails medical management or if indicated by lab work results.</t>
  </si>
  <si>
    <t xml:space="preserve">
1.The rugal folds in the stomach are prominent._x000D_
2.No abnormal AI findings reported._x000D_
3.No abnormal AI findings reported._x000D_
4.The liver and spleen appear within normal limits._x000D_
5.The stomach is not dilated or malpositioned.</t>
  </si>
  <si>
    <t>Orthogonal views of the thorax and lateral views from the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t>
  </si>
  <si>
    <t>Consider abdominal US to further evaluate the liver._x000D_
Underlying causes for panting include pain, acid-base imbalance, Cushing=ZZ91=s disease, spinal cord compression, intracranial disease, hyperthermia and PTE._x000D_
Consider work up for panting with CBC, biochemistry, abdominal US, neuro exam and upper airway exam.</t>
  </si>
  <si>
    <t xml:space="preserve">
1.Splenic size, shape and margin are normal._x000D_
2.Abdominal detail is normal._x000D_
3.The stomach is normal. The small bowel is diffusely gas- and fluid-filled without segmental small bowel dilation._x000D_
4.The liver is prominent.</t>
  </si>
  <si>
    <t>Thirteen orthogonal radiographs of the vertebral column, pelvis, pelvic limbs, thorax dated 22nd May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The cranial mediastinum is widened consistent with body habitus._x000D_
_x000D_
Abdomen: The abdomen is pendulous. There is severely increased intra-abdominal fat. The hepatic silhouette is normal in size with smooth borders. The spleen is normal in shape, size and position. The kidneys are partially obscured by gastrointestinal contents, but the visible aspect are normal. The stomach contains some granular food material and has a normal axis. The small intestines are distributed evenly and are within normal limits for shape, size and contents. The ascending, transverse and descending colon have a normal position and contain gradually more formed faeces. The urinary bladder is normal._x000D_
_x000D_
Musculoskeletal findings: The cervical vertebral column is not included. The thoracic and lumbar vertebral column is normal. The sacroiliac joints are normal. There is mild bilateral acetabular sclerosis and osteophyte formation. There is mild bilateral flattening of the femoral heads with some osteophyte formation. The femoral heads are covered approximately 50% by the acetabulum, however at the limbs are severely externally rotated in the images. The right stifle is normal. A mediolateral image of the left stifle is not included. The right tarsus is normal. The right digits are normal. No localised or diffuse soft tissue swelling is noted.</t>
  </si>
  <si>
    <t>1. Normal thorax. Obesity predisposes for respiratory collapse._x000D_
2. Severe obesity._x000D_
3. No radiographic findings explain the presenting orthopaedic signs. A muscular or tendinous strain or articular sprain should be considered as differentials.</t>
  </si>
  <si>
    <t>Consider evaluation for airway collapse (fluoroscopy vs. right lateral inspiratory and expiratory radiographs vs. CT with virtual bronchoscopy). _x000D_
The suspected mass lesion in the central aspect of the abdomen in the ventral dorsal image is most likely due to superimposition artefact. If doubt persists, consider abdominal ultrasound post fasting._x000D_
Obesity predisposes for airway collapse, and reduction of thoracic volume (pickwickian syndrome), reducing pulmonary clearance, therefore weight management is indicated.</t>
  </si>
  <si>
    <t xml:space="preserve">
1.The spleen is normal._x000D_
2.The liver is mildly to moderately enlarged._x000D_
3.Cranial abdominal detail is minimally decreased. This is attributed to superimposition of the liver secondary to the hepatomegaly._x000D_
4.The pylorus is caudally displaced by the hepatomegaly. The gastrointestinal tract is minimally filled. A portion of the colon is gas filled._x000D_
5.Hepatic margins are smooth.</t>
  </si>
  <si>
    <t>Three radiographs of the thorax, and three views of the abdomen are provided. Previous abdominal images dated 2/6/23 are available for comparison. The heart and pulmonary vessels are normal size and shape. There are no abnormalities in the pulmonary parenchyma or pleural space. No enlarged intrathoracic lymph nodes. Normal tracheal diameter and position. No esophageal dilation._x000D_
_x000D_
In the abdomen there is small volume gas in the stomach and normal rugal folds are visible. Small intestines are mildly filled with fluid and gas. The cecum is gas filled. Small volume formed feces in the distal colon. No radiopaque foreign material or cystic calculi. Normal-sized liver, spleen, and kidneys. The dorsal aspect of the T13-L1 intervertebral disc space is mildly narrowed.</t>
  </si>
  <si>
    <t>The appearance of T13-L1 is suggestive of a protruded/extruded intervertebral disc. This may be responsible for discomfort. Otherwise normal abdomen and thorax.</t>
  </si>
  <si>
    <t>Current diagnostics are appropriate. If additional imaging of the abdomen is desired based on lab results, abdominal ultrasound would be recommended.</t>
  </si>
  <si>
    <t xml:space="preserve">
1.No segmental small intestinal distention is present._x000D_
2.No abnormal AI findings reported._x000D_
3.The liver and spleen are normal size._x000D_
4.No effusion is present._x000D_
5.Moderate volume soft tissue opacity and/or gas fills the stomach._x000D_
6.Small intestines are mildly filled with a mixture of fluid and gas.</t>
  </si>
  <si>
    <t>A two view thoracoabdominal study is provided for interpretation._x000D_
_x000D_
The stomach contains gas and a small quantity of amorphous soft tissue dense ingesta. There is one unusual shadow consisting of an irregularly marginated nearly elliptical opacity with a soft tissue rim and lucent center. This is seen in the fundus region in both views and measures approximately 1.5 x 2.5 cm. The intestinal tract is within normal limits. Serosal detail in the abdomen is normal. The liver is at the small end of normal range._x000D_
The caudal waist of the cardiac silhouette has a rounded appearance that is slightly suspicious for mild left atrial dilation, but could be a benign variant. Overall heart size is at the upper end of normal range for breed. The pulmonary vessels and parenchyma are within normal limits. Tracheal or esophageal abnormalities are seen._x000D_
The patient has overweight body condition. No skeletal abnormalities are identified.</t>
  </si>
  <si>
    <t>There is one unusual shadow in the stomach, along with some normal appearing amorphous ingesta. This could potentially represent a foreign body, but fortuitous summation of shadows associated with some food products could still appear similar. No evidence of obstruction is seen in this study.</t>
  </si>
  <si>
    <t>There is concern for a possible small foreign body, but there is no obstructive pattern and there is some potential for artifact._x000D_
_x000D_
Clinical monitoring is recommended, with follow up imaging if clinical signs of GI foreign body appear._x000D_
If vomiting becomes a problem, a definitive fasting period of at least 18 hours followed by a barium gastrogram or upper GI is recommended.</t>
  </si>
  <si>
    <t>Lateral and VD views of the thorax and abdomen including the neck are provided. There are four images total._x000D_
_x000D_
There is congenital fusion of the C4 and C5 cervical vertebrae. This is associated with abnormal in place shape and mild narrowing at C5-C6._x000D_
There are multiple congenital vertebral deformities in the thoracic spine. There is mild kyphosis of the mid thoracic spine, and T13 is a wedge hemivertebra resulting in moderate focal kyphosis at the level of T13. No destructive/productive bone lesions or fractures are identified. No soft tissue swelling is seen._x000D_
_x000D_
The caudal waist of the cardiac silhouette has a straight appearance suggesting mild left atrial dilation may be present. Overall heart size is within normal limits. Bronchial markings are mildly increased._x000D_
_x000D_
The liver is at the small end of except able size range. The other abdominal organs are within normal limits.</t>
  </si>
  <si>
    <t>There are multiple congenital vertebral deformities. This is commonly incidental. Relevance to the current clinical signs is unknown, but probably limited given the patient is seven years old without previous clinical signs reported._x000D_
Soft tissue pathology causing neck pain could be present without radiographic evidence, and may or may not be related to the bony changes described._x000D_
_x000D_
There is potential for mild left atrial dilation, but this is a mild and equivocal radiographic change. Further investigation should be considered if a heart murmur is present.</t>
  </si>
  <si>
    <t>Symptomatic therapy and restricted activity for possible neck sprain is recommended._x000D_
If clinical signs worsen or do not improve more advanced imaging such as MRI should be considered.</t>
  </si>
  <si>
    <t>3 views of the torso are submitted for review._x000D_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moderate amount of food-like material.  The small bowel is normal and uniform in diameter and contains a mild amount of gas and ingesta.  Formed stool is noted in the colon.  The liver is mildly prominent with smooth serosal margins.  The spleen is normal in size and shape.  The renal silhouettes and urinary bladder are unremarkable.  Serosal detail is adequate._x000D_
No aggressive bony changes are noted.</t>
  </si>
  <si>
    <t>Radiographically normal thorax._x000D_
Equivocal hepatomegaly.  Differentials include vacuolar hepatopathy or less likely inflammation, venous congestion, or neoplasia, or possibly normal variation.  Otherwise, radiographically normal postprandial abdomen.</t>
  </si>
  <si>
    <t>Depending on the level of clinical concern, correlation with blood work and abdominal ultrasound could be considered.</t>
  </si>
  <si>
    <t xml:space="preserve">Patient Name : Jackson Welch, Date of study: May 22, 2024
2 images are provided for review
Canine Thorax (2 Images) - 1 Vd, 1 Lateral
There are no previous radiographs for comparison.  N.B Patients listed age is "0 h".
Pulmonary parenchyma: A minimal diffuse interstitial pattern is present.  The lungs are hypoinflated in all images.
Pulmonary vasculature: The pulmonary vasculature is subjectively normal in size and tapers in the periphery of the lungs.
Cardiac silhouette: The cardiac silhouette is normal in size and shape.
Mediastinum: The cranial mediastinum is normal.  A leftward mediastinal shift is present in the ventrodorsal image.
Trachea: The trachea is normal.
Esophagus: The esophagus is not well-identified.
Pleural space: The pleural space is normal.
Musculoskeletal: The included musculoskeletal structures are normal.
</t>
  </si>
  <si>
    <t>1. Minimal interstitial pulmonary pattern such as from fibrosis from prior disease/age-related changes, or less likely other, likely exacerbated by hypoinflation.</t>
  </si>
  <si>
    <t xml:space="preserve">Consider echocardiography, eCG and blood pressure, especially given reported murmur.  Empirical therapy for infectious/immune-mediated airway disease may be contributory in the interim.  Monitoring as directed, or sooner if clinical signs fail to improve, change or worsen with empirical therapy.  </t>
  </si>
  <si>
    <t>3 views of the abdomen are provided for review.  Serosal detail is reduced in all quadrants.  The stomach contains a small amount of gas and the rugal folds are prominent.  The small intestines are normal in size.  Gas and feces are present in the colon.  The  remaining abdominal organs are incompletely visualized.</t>
  </si>
  <si>
    <t>Prominent rugal folds suggestive of gastritis.  This does not rule out underlying pancreatitis, inflammatory bowel disease, infiltrative neoplasia, etc.  Poor serosal detail suggestive of free fluid, likely secondary to hypoalbuminemia.</t>
  </si>
  <si>
    <t xml:space="preserve">
1.No segmental small bowel dilation is noted._x000D_
2.The liver is at the upper end of normal size range with smooth margins._x000D_
3.There is ill-defined mass effect involving the ventral mid-abdomen._x000D_
4.Serosal detail around the mass effect is mildly reduced.</t>
  </si>
  <si>
    <t>Study:_x000D_
Abdominal radiography: four images dated May 22, 2024_x000D_
_x000D_
Findings:_x000D_
The abdominal serosal detail is normal. The stomach contains a small amount of heterogeneous soft tissue material with interspersed granular mineral. There is a small amount of granular soft tissue material in some small intestinal segments in the caudal ventral abdomen. The small intestines are normal in size and course. The colon contains formed fecal material. The liver and spleen are normal in size and margin. The renal silhouettes are normal in size and contour. The urinary bladder is normal in size and opacity. There is no prostatomegaly. Numerous small mineral foci consistent with incidental pulmonary osteomas are scattered throughout the included caudal lung fields. There is mild T 12-T 13 spondylosis deformans.</t>
  </si>
  <si>
    <t>1. Gastrointestinal contents likely represent ingesta. Foreign material cannot be completely excluded. There is no evidence of small intestinal mechanical obstruction. Repeat fasted radiography can be considered to ensure gastrointestinal emptying. Alternatively, sonography can be considered if clinical signs persist or worsen in spite of medical management._x000D_
2. Incidental pulmonary osseous metaplasia.</t>
  </si>
  <si>
    <t xml:space="preserve">
1.Abdominal detail is normal._x000D_
2.Splenic size, shape and margin are normal._x000D_
3.The stomach is normal. The small bowel is diffusely gas- and fluid-filled without segmental small bowel dilation._x000D_
4.Liver size, shape and margin are normal.</t>
  </si>
  <si>
    <t>Opposite lateral and VD views of the thorax and abdomen are provided._x000D_
_x000D_
The cardiovascular structures are within normal limits. There is mild bronchial mineralization, likely the result of age related change. No pulmonary infiltrates or pleural effusion are seen._x000D_
The abdominal organs are within normal limits. No abnormalities are identified involving the GI tract. Serosal detail in the abdomen is normal._x000D_
No lymphadenopathy is seen in the thorax or abdomen. The patient has overweight body condition. No destructive or productive bone lesions are seen.</t>
  </si>
  <si>
    <t>Supportive care and medical management for fever of unknown origin is recommended.</t>
  </si>
  <si>
    <t>Opposite lateral and ventrodorsal whole body radiographs (3 images) dated May 22, 2024._x000D_
_x000D_
A large lobular soft-tissue opaque mass is present in the left central abdomen and measures proximally 7.6 cm in diameter. The mass is resulting in caudal and peripheral displacement of the small bowel. There are wispy soft-tissue striations throughout the peritoneal space that represent peritoneal effusion. The splenic tail is not clearly visible. The liver is mildly enlarged. The urinary bladder is small and fluid opaque. Stomach contains gas and a scant amount of fluid. The small bowel is empty. The colon contains some stool mixed with gas. Retroperitoneal detail is adequate. The kidneys are only partially visible with no abnormalities appreciated. No regional lymphadenopathy is evident._x000D_
The cardiac silhouette, pulmonary vasculature, and caudal vena cava are all small in size. No pulmonary nodules are identified.</t>
  </si>
  <si>
    <t>1. Large central abdominal mass likely of splenic origin. Rule out malignant neoplasia vs. less likely a benign tumor._x000D_
2. Peritoneal effusion is concerning for hemorrhage or inflammation caused by the mass._x000D_
3. Mild hepatomegaly. Rule out a benign metabolic/vacuolar hepatopathy vs. less likely inflammatory or infiltrative neoplastic conditions._x000D_
4. Hypovolemia, characterized by small cardiovascular structures._x000D_
5. No evidence of metastatic neoplasia in the thorax with the  limitation that some of the cranial lung is not included.</t>
  </si>
  <si>
    <t>Abdominal ultrasound to confirm splenic origin and to screen for evidence of visceral metastasis. Echocardiogram could be considered when available to screen for a small auricular mass._x000D_
Splenectomy or mass excision with histopathology and followed up with medical oncology._x000D_
Systemic blood pressure evaluation.</t>
  </si>
  <si>
    <t xml:space="preserve">
1.Besides the bowel being displaced from the mid-abdomen, no GI abnormalities are identified._x000D_
2.The liver is partially obscured but appears mildly enlarged._x000D_
3.A mid-abdominal mass effect is identified on the lateral projection causing small bowel displacement away from this region._x000D_
4.The mass effect is in the region of the spleen or pancreas._x000D_
5.A small volume of peritoneal effusion is suspected to also reside in the mid-abdomen on the lateral projection.</t>
  </si>
  <si>
    <t>Mid-abdominal mass most likely originating from the spleen, with scant adjacent effusion. Neoplasia such as hemangiosarcoma is most likely. A hematoma or hemangioma are next on the differential list for a splenic lesion. Pancreatic disease or mid-abdominal lymphadenopathy are lesser considerations. Although the liver is partially obscured there is likely mild hepatomegaly. This is nonspecific and may be due to steroid hepatopathy, versus less likely inflammation or infiltrative disease.</t>
  </si>
  <si>
    <t xml:space="preserve">
Virtual Radiologist Case Difficulty: MODERATE_x000D_
Virtual Radiologist Confidence: MODERATE_x000D_
Abdominal ultrasound is recommended._x000D_
If there is concern for hepatomegaly, blood work can also be performed for further evaluation.</t>
  </si>
  <si>
    <t>Left lateral and VD views of the abdomen are provided. There are five images total._x000D_
_x000D_
A small quantity of amorphous soft tissue dense ingesta is identified in the stomach. The appearance is compatible with food. No dilation the stomach or intestine is seen. Abdominal serosal detail is normal. The liver is at the small end of acceptable size range. The other abdominal organs are within normal limits. The patient has overweight body condition.</t>
  </si>
  <si>
    <t>No significant abnormalities are identified involving the GI tract or the other organs.</t>
  </si>
  <si>
    <t>Opposite lateral and ventrodorsal abdominal radiographs (5 images) dated May 22, 2024._x000D_
_x000D_
_x000D_
The liver and spleen are unremarkable. The stomach contains a moderate volume of gas and a similar amount of fluid. There are numerous dilated small bowel segments that contain a mixture of gas, heterogeneous soft-tissue content, and one dilated segment in the right central abdomen contains a crescent shaped mineral foreign body. The colon is distended with gas and formed stool. The kidneys are mostly obscured due to superimposed bowel. The urinary bladder is small and poorly visualized. There is reduced peritoneal detail in the central abdomen. No osseous abnormalities are identified. No regional lymphadenopathy is evident. The included caudal thorax is unremarkable.</t>
  </si>
  <si>
    <t>Small intestinal mechanical obstruction due to a mineral opaque foreign body._x000D_
The reduced peritoneal detail is concerning for peritoneal effusion due to inflammation caused by the obstruction vs. less likely septic peritonitis.</t>
  </si>
  <si>
    <t xml:space="preserve">
1.The gastric rugae are prominent._x000D_
2.The small bowel is diffusely fluid distended with a mild disparity in small bowel diameter._x000D_
3.Portions of the colon are gas filled and have a rigid appearance._x000D_
4.The pyloroduodenal is widened and the proximal duodenum contains a mild amount of air._x000D_
5.The gastric lumen contains a mild amount of soft tissue and gas opacity._x000D_
6.No abnormal AI findings reported._x000D_
7.The liver and spleen are normal._x000D_
8.There is a focal loss of serosal detail in the cranial abdomen on the VD projection.</t>
  </si>
  <si>
    <t>Opposite lateral and ventrodorsal abdominal radiographs (5 images) dated May 22, 2024._x000D_
_x000D_
The liver and spleen are normal in size and shape. The stomach contains a mild volume of gas and a scant amount of mobile soft-tissue/fluid content. The gastric rugal folds are prominent in appearance. The small intestine is empty/collapsed and soft-tissue opaque. The small bowel has broad ropelike turns in its course to give it a subjectively turgid appearance. The colon contains a minimal amount of stool mixed with gas. Both kidneys are normal in size and shape. The urinary bladder is small and intrapelvic in location. Retroperitoneal and peritoneal detail are normal. No regional lymphadenopathy is evident._x000D_
Significant soft tissue swelling is present along the caudal ventral body wall. No osseous abnormalities are identified. The included caudal thorax is unremarkable.</t>
  </si>
  <si>
    <t>1. Non-obstructive gastroenteritis.  Rule out dietary indiscretion or toxin vs. food allergy/intolerance vs. flareup of a chronic enteropathy (ex: IBD) vs. GI infectious vs. systemic/extra GI causes (liver or kidney injury/disease, pancreatitis, endocrine disorder, systemic infection, non-GI neoplasia)._x000D_
2. Significant caudoventral soft tissue swelling along the abdominal/inguinal body wall. Rule out seroma vs. hematoma vs. less likely an abscess.</t>
  </si>
  <si>
    <t>Supportive care with fluid rehydration, antiemetics, gastroprotectants/omeprazole, and bland diet.  General health profile (CBC, chemistry, UA, fecal) +/- pancreatitis testing and baseline cortisol could be considered to screen for underlying causes. Abdominal ultrasound if the patient fails medical management._x000D_
Ultrasound of the soft tissue swelling +/- FNA for cytology and culture.</t>
  </si>
  <si>
    <t>Opposite lateral and ventrodorsal whole body radiographs (3 images) dated May 22, 2024._x000D_
_x000D_
The cardiac silhouette is mildly enlarged with dorsal deviation the trachea and a soft tissue bulge in the region of left atrium. The pulmonary vasculature and great vessels are unremarkable. No abnormalities are identified in the pulmonary parenchyma. The trachea is unremarkable in diameter and contains gas. The pleural space, mediastinum, and diaphragm are normal._x000D_
The liver and spleen are normal in size and shape. The stomach is distended with a large amount of gas and a small amount of soft-tissue content. The small bowel is unremarkable in size, course, and content. The colon contains unremarkable appearing stool and has a normal course. The kidneys are only partially visible with no overt abnormalities detected. The urinary bladder is mildly distended with fluid opacity. There is the impression of the prostate is visible is a small ovoid soft-tissue opacity caudal to the urinary bladder. Retroperitoneal and peritoneal detail are normal. No regional lymphadenopathy is evident._x000D_
No aggressive or clinically significant osseous pathology is identified.</t>
  </si>
  <si>
    <t>1. Mild generalized and predominantly left-sided cardiomegaly is consistent with myxomatous mitral valve disease. There is no evidence of heart failure._x000D_
2. Normal lower airway. The cause for the coughing is not radiographically apparent. Rule out upper airway causes (ex: pharyngitis/laryngitis, postnasal drip from rhinitis, dynamic upper airway collapse, everted laryngeal saccules, less likely a mass) vs. dynamic lower airway collapse/chondromalacia not captured in this study vs. left mainstem bronchial compression caused by left atrial enlargement vs. less likely tracheitis or mild bronchitis that is insensitive to radiographic detection._x000D_
3. Questionable visibility of the prostate. If the prostate is enlarged and the patient is neutered, this would raise concern for malignant neoplasia.</t>
  </si>
  <si>
    <t>Sedated upper airway exam +/- fluoroscopic airway study or tracheoscopy. If normal:_x000D_
Airway sampling may be needed for definitive diagnosis (bronchoalveolar lavage or transtracheal wash).  Heartworm testing and fecal parasite screening (float and Baermann) +/- empirical deworming.  Empirical antibiotic or anti-inflammatory steroidal therapy (fluticasone inhaler, avoid systemic steroids) coupled with antitussives is reasonable to consider.  Internal medicine consultation if the patient remains clinical despite treatment and the cause remains unknown._x000D_
Consider echocardiogram._x000D_
Rectal exam to palpate the prostate. Focal ultrasound could also be considered.</t>
  </si>
  <si>
    <t>Three orthogonal radiographs of the abdomen dated 22nd May 2024 are available for review. There are no previous radiographs available for comparison. _x000D_
_x000D_
Intra-abdominal findings: The stomach contains some gas and is mainly empty. The gastric axis is normal. There is appropriate gas in the pyloric region on the left lateral image. The small intestines are variably filled with fluid/soft tissue opaque material and some gas. No clear segmental dilation is present. The colon contains a moderate amount of poorly formed faeces. The urinary bladder is small.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</si>
  <si>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The overall impression is one of mild gastroenteritis/colitis.  This may be due to dietary indiscretion, or infectious-inflammatory causes. There is no evidence of a mineral opaque foreign body, or complete mechanical obstruction.  A partial obstruction by non-mineral opaque foreign (textile) material cannot be excluded.</t>
  </si>
  <si>
    <t xml:space="preserve">
1.A portion of the colon is gas filled and rigid consistent with inflammation._x000D_
2.The liver and spleen are normal size._x000D_
3.Cranial abdominal detail is decreased however this is attributed to a confluence of soft tissues or lack of intra-abdominal fat over mesenteric inflammation and/or abdominal fluid._x000D_
4.No abnormal AI findings reported._x000D_
5.The small intestines are distended._x000D_
6.The gastric rugae are prominent or the gastric lumen contains soft tissue opaque material mimicking the appearance of prominent gastric rugae.</t>
  </si>
  <si>
    <t>Orthogonal radiographs of the abdomen are provided. The urinary bladder is mildly filled and no radiopaque cystic calculi are appreciated. Round gas bubble overlying the central aspect of the urinary bladder on the lateral view is likely superimposed small intestinal contents. No evidence of medial iliac lymphadenomegaly. The kidneys are incompletely visible, and no radiopaque renoliths are appreciated. Soft tissue density ventral to the pylorus may represent prominent liver versus normal splenic tail. The gastrointestinal tract is moderately filled. No osseous abnormalities.</t>
  </si>
  <si>
    <t>Equivocal prominent liver versus normal splenic tail. Differentials for hepatomegaly are varied and include steroid or other hepatopathy, acute inflammation, or least likely neoplasia. This should be correlated with history and blood work. Otherwise normal abdomen. There is no radiopaque urolithiasis.</t>
  </si>
  <si>
    <t>Urinalysis with culture is recommended.</t>
  </si>
  <si>
    <t xml:space="preserve">
1.The stomach and small bowel are minimally filled._x000D_
2.On the lateral projection, the liver is mildly enlarged with rounded margins. The ventral abdominal line is pendulous._x000D_
3.On the VD projection, an increase in soft tissue opacity is noted in the region of the spleen and left kidney. DDx: superimposition of the spleen and left kidney vs. splenomegaly, splenic mass or other mass in this region._x000D_
4.Cranial abdominal detail is mildly decreased on the VD projection. This is attributed to the increase in soft tissue opacity in the left cranial abdomen. Abdominal fluid is a lesser consideration but would be more likely if a splenic mass is present._x000D_
5.Formed feces in the distal colon.</t>
  </si>
  <si>
    <t>A two view thoracoabdominal study is provided for interpretation._x000D_
_x000D_
Multiple large mass shadows are identified in the thorax. This finding is most prominent just cranial to the heart, but mass shadows extend into both sides of the cranial thorax (more prominent on the right) and into the caudal thorax adjacent to the heart (probably on the right side, although laterality cannot be definitively determined. There is secondary severe dorsal displacement of the trachea. The other lung fields are within normal limits for patient age. No esophageal abnormalities are seen._x000D_
 The liver is slightly small, with normal shape. The other abdominal organs are within normal limits._x000D_
_x000D_
There is severe disc space narrowing and endplate sclerosis involving T12-T13.</t>
  </si>
  <si>
    <t>There is a large thoracic mass effect. Possible etiologies to create this appearance would include a very large lobular mediastinal mass such as a thymoma, vs. multiple pulmonary mass lesions. Neoplasia is most likely responsible for the changes, although the tissue of origin cannot be definitively determined._x000D_
_x000D_
The liver is smaller than expected for patient size. This is sometimes seen as a benign variant. A component of peritoneal/pericardial diaphragmatic hernia with displacement of liver lobes into the caudal thorax also cannot be entirely excluded but this would still not account for most of the mass effect seen and would be considered incidental. The rest of the abdomen is within normal limits._x000D_
_x000D_
There is chronic disc degeneration in the caudal thorax.</t>
  </si>
  <si>
    <t>The thoracic changes are presumed to be the result of neoplasia, and are presumably responsible for the clinical signs. Less likely differentials that cannot be entirely excluded would include abscess or granuloma._x000D_
Follow up imaging such as ultrasound or CT could be considered to assist definitive diagnosis.</t>
  </si>
  <si>
    <t>3 views of the thorax are provided for review.  The cardiovascular structures are normal.  There is a mild bronchial pattern in all lung lobes.  The mediastinal and pleural structures are normal.  Cranial abdominal detail is adequate.</t>
  </si>
  <si>
    <t xml:space="preserve">
1.Abdominal detail is normal however the abdomen is mildly pendulous._x000D_
2.The liver is mildly enlarged but with smooth margins. No liver mass is noted._x000D_
3.Splenic size, shape and margin are normal._x000D_
4.The stomach is normal. The small bowel contains gas and fluid but no segmental small bowel dilation is noted.</t>
  </si>
  <si>
    <t>3 lateral views of the spine are provided for review.  There is spondylosis deformans at C2-7.  Mild irregularity is seen at the vertebral endplates at C5-6.  Additional spondylosis deformans is present at T12-L4 and L6-S1.  Lysis is seen at the vertebral endplates at L2-3.  There is sclerosis of the vertebral endplates at L7-S1, but no distinct lysis is seen at this level.  Rounded mineral structures are present in the stomach.  Nodular protrusions are seen along the ventral aspect of the spleen.  The remaining soft tissue structures included are normal.</t>
  </si>
  <si>
    <t>Degenerative changes of the spine.  Changes convincing for discospondylitis at C5-6 and L2-3.  Sclerosis at the lumbosacral space may indicate an additional site of discospondylitis.  Gastric mineral foreign bodies, likely incidental.  Splenic nodules are nonspecific and may represent regeneration, extramedullary hematopoiesis, inflammation, neoplasia.</t>
  </si>
  <si>
    <t xml:space="preserve">
1.The stomach is normal._x000D_
2.The small bowel is diffusely gas- and fluid-filled without segmental small bowel dilation._x000D_
3.Liver size, shape and margin are normal._x000D_
4.Borderline splenomegaly is present but a splenic mass has NOT been detected._x000D_
5.Abdominal detail is normal.</t>
  </si>
  <si>
    <t>Seven radiographs are provided, with images of the thorax/abdomen, left thoracic limb, thoracolumbar spine, and pelvis/proximal pelvic limbs. There is severe narrowed cervical trachea. Cardiovascular structures are normal size and shape. There are no abnormalities in the pulmonary parenchyma. No pleural effusion. In the left thoracic limb the shoulder, cubital, and carpal joints are congruent. No soft tissue swelling. In the abdomen, there is no effusion or organomegaly. The gastrointestinal tract is moderately filled. Punctate nephroliths are likely incidental. The urinary bladder and prostate are not definitively seen. There is small volume formed feces filling the colon. On the flexed pelvic limb lateral view, there is a smoothly contoured curved 1.5 cm soft tissue opaque protrusion in the perianal region. This is not definitively seen on the other views. No thoracolumbar spinal abnormalities. The coxofemoral joints are congruent. Both patellas are medially displaced.</t>
  </si>
  <si>
    <t>1. Soft tissue contour in the perianal region on the 2nd lateral view is presumably the perineal hernia. No convincing evidence of bowel or urinary bladder involvement._x000D_
2. Cervical tracheal collapse._x000D_
3. Bilateral medial patellar luxation._x000D_
4. Normal thorax, left thoracic limb, thoracolumbar spine coxofemoral joints.</t>
  </si>
  <si>
    <t>If the hernia is recurrent, surgical intervention may be necessary.</t>
  </si>
  <si>
    <t>Opposite lateral and ventrodorsal abdominal radiographs (3 images) dated May 22, 2024._x000D_
_x000D_
The liver and spleen are normal in size and shape. A large amount of wispy soft-tissue striations the retroperitoneal space represents peritoneal effusion. The stomach is fairly distended with gas and contains a small amount of mobile heterogeneous soft-tissue/fluid content. The pyloric antrum is gas-filled on left lateral view, as is the proximal duodenum. There is an irregular shaped and roughly square-shaped soft-tissue opacity partially border effacing with the ventral wall of the gastric body on the left lateral view and highlighted by gas. The small intestine is unremarkable in diameter and course with most segments empty, and multiple segments containing an irregular linear coalescing gas pattern. The colon contains unremarkable appearing stool and has a normal or this. Both kidneys are normal in size and shape. The urinary bladder is moderately distended with homogeneous fluid opacity. Retroperitoneal and peritoneal detail are normal. No regional lymphadenopathy is evident._x000D_
It is unclear if there is pleural effusion based on the left lateral view, where there is a soft tissue opacity with a horizontal dorsal band abutting aerated lung in the caudoventral thorax._x000D_
There is multifocal lumbar spondylosis deformans without disc space narrowing.</t>
  </si>
  <si>
    <t>1. Peritoneal effusion. Rule out secondary to pancreatitis and/or severe gastroenteritis vs. malignant neoplasia (tumor hemorrhage vs. carcinomatosis) vs. liver failure or portal hypertension vs. less likely septic peritonitis or chylous effusion._x000D_
2. No evidence of a gastrointestinal mechanical obstruction. The appearance of the gastrointestinal tract is most compatible with gastroenteritis._x000D_
3. Roughly square-shaped soft-tissue opacity border effacing with the cranioventral wall of the gastric body on the left lateral view. This could represent ingesta, foreign body, or less likely a gastric wall mass._x000D_
4. Equivocal pleural effusion based on left lateral view. If present, this would indicate bicavitary effusion and increase the concern for hypoproteinemia, round cell neoplasia, vasculitis, or hemorrhage/DIC.</t>
  </si>
  <si>
    <t>Abdominal ultrasound or CT with contrast is recommended prior to surgical intervention, as a need for surgery is not explicitly present based on the radiographic findings (ex: pancreatitis)._x000D_
Three-view thoracic radiographs._x000D_
CBC, Chem, UA, thyroid, blood pressure, and spec or snap cPL.</t>
  </si>
  <si>
    <t xml:space="preserve">
1.Ill defined opacity in the cranial abdomen. The margins of the spleen are mildly irregular._x000D_
2.Suspected mild peritoneal effusion._x000D_
3.The stomach is normal. The small bowel is diffusely gas- and fluid-filled without segmental small bowel dilation._x000D_
4.Liver size, shape and margin are normal.</t>
  </si>
  <si>
    <t>Lateral views of the neck, lateral view of the thorax and orthogonal views of the abdomen are provided:_x000D_
_x000D_
C3-C4 and C6-C7 IVDS are narrow. _x000D_
No signs of aggressive bone lesions, vertebral fractures or laxations._x000D_
No abnormalities are seen in the thorax._x000D_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Incidental eft abdominal wall lipoma.</t>
  </si>
  <si>
    <t>1) C3-C4 and C6-C7. Findings consistent with chronic IVDD. Rule out acute on chronic vs acute disc herniation._x000D_
2) Unremarkable thorax in this incomplete exam without a VD view._x000D_
3) Unremarkable abdomen.</t>
  </si>
  <si>
    <t>Consider full neuro exam with advanced imaging such as MRI if necessary.</t>
  </si>
  <si>
    <t>Orthogonal radiographs of the thorax/abdomen are provided. There is mild left atrial enlargement. Cardiac to thoracic ratio and pulmonary vessel size is normal. There are no abnormalities in the pulmonary parenchyma. No pleural effusion. Moderate narrowed caudal cervical trachea. In the abdomen there is no effusion or organomegaly. The gastrointestinal tract is mildly filled. No radiopaque cystic calculi. Punctate increased opacity ventral to L5-6 is likely end-on deep circumflex iliac vessel. Faint punctate nephroliths are likely incidental. No definitive narrowed intervertebral disc spaces or foramina. The coxofemoral joints are congruent.</t>
  </si>
  <si>
    <t>1. No abnormalities are identified to explain the clinical signs. Soft tissue sprain/strain or an intervertebral disc lesion should be considered._x000D_
2. Cervical tracheal collapse._x000D_
3. Prominent left atrium consistent with acquired mitral valve disease. This is of doubtful clinical significance today. No other intrathoracic abnormalities._x000D_
4. Normal abdomen.</t>
  </si>
  <si>
    <t>Three orthogonal radiographs of the abdomen dated 22nd May 2024 are available for review. There are no previous radiographs available for comparison. _x000D_
_x000D_
Intra-abdominal findings: Within the stomach there are multiple metal foreign objects (bracelet, chain, other) and multiple plastic linear objects. The small intestines are evenly filled with gas and fluid/soft tissue opaque material. Within small intestinal segments there are also some of these plastic linear foreign bodies. The descending colon contains gas and poorly formed faeces. Multiple mineral opacities are present within the centre of the urinary bladder. The prostate is mildly enlarged. The hepatic silhouette is normal in size with smooth borders. The spleen is normal in shape, size and position. The kidneys are partially obscured by gastrointestinal contents, but the visible aspect are normal. The serosal detail is normal._x000D_
_x000D_
Extra-abdominal findings: There is multisite spondylosis deformans._x000D_
_x000D_
Included thorax: No significant abnormalities are detected.</t>
  </si>
  <si>
    <t>1. Gastroenteritis secondary to multiple foreign bodies. No evidence of obstruction._x000D_
2. Multiple cystoliths._x000D_
3. Mildly smoothly enlarged prostate: Most likely benign prostatic hypertrophy.</t>
  </si>
  <si>
    <t>Endoscopy for retrieval of foreign gastric objects is advised. alternatively, close monitoring, repeat radiographs for passage of foreign objects. Medical or surgical management for multiple cystoliths is also advised.</t>
  </si>
  <si>
    <t xml:space="preserve">
1.No abnormal AI findings reported._x000D_
2.The colon contains a moderate amount of formed, heterogenous fecal material caudally._x000D_
3.The gastric lumen contains a mild amount of soft tissue and gas opacity._x000D_
4.The small intestine is a uniform population size and is diffusely of soft tissue opacity with a small amount of gas throughout._x000D_
5.The liver is moderately enlarged with sharp, caudal margins._x000D_
6.The spleen is normal.</t>
  </si>
  <si>
    <t>Opposite lateral and ventrodorsal whole body radiographs (4 images) dated May 21,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unremarkable in size and shape. Both kidneys are normal in size and shape. There is an irregular area of round mineralization in the left craniodorsal abdomen and in the region of the left adrenal gland. Additionally, on the VD projection there is a round soft-tissue opacity superimposed with this mineral that is concerning for a large left adrenal mass. The urinary bladder is small and fluid opaque. The stomach contains a moderate amount of gas and a small amount of mobile soft-tissue/fluid content. The pyloric antrum is gas-filled on the VD views. The small intestine is diffusely and mildly distended with fluid and gas and has broad ropelike turns in its course to give it a subjectively turgid appearance. The colon contains diarrhea. Peritoneal detail is subtly reduced. Retroperitoneal detail is normal. No regional lymphadenopathy is evident._x000D_
_x000D_
There is multifocal spondylosis deformans without disc space narrowing. No aggressive osseous lesions are identified.</t>
  </si>
  <si>
    <t>1. Severe gastroenteritis and colitis._x000D_
2. Mineralized left adrenal mass is concerning for adrenal neoplasia (adrenocortical carcinoma vs. pheochromocytoma)._x000D_
3. Unremarkable thorax._x000D_
4. Multifocal spondylosis deformans.</t>
  </si>
  <si>
    <t>Hospitalized stabilization and supportive care. Abdominal ultrasound and/or abdominal CT with contrast and postcontrast multiphase scans. Discussions regarding adrenalectomy could then be considered._x000D_
Three-view thoracic radiographs or CT for metastatic screening.</t>
  </si>
  <si>
    <t>Study:_x000D_
Abdominal radiography: three images dated May 20, 2024_x000D_
_x000D_
Findings:_x000D_
The stomach contains a small volume of gas. A small amount of stippled mineral is present in some small intestinal segments. The small intestines are normal in size and course. The colon contains formed fecal material with interspersed granular mineral. The liver and spleen are normal in size and margin. The renal silhouettes are normal in size and contour. The urinary bladder is normal in size and opacity. The included thorax is normal. The osseous structures are unremarkable/age appropriate.</t>
  </si>
  <si>
    <t>The mineral material in the small intestines and colon may indicate dietary indiscretion or may be an incidental finding depending on the contents of the patient=ZZ91=s normal diet and treats. There is no evidence of small intestinal mechanical obstruction.</t>
  </si>
  <si>
    <t>Six orthogonal survey radiographs of the thorax and abdomen dated 21st May 2024 are available for review. There are no previous radiographs available for comparison. _x000D_
_x000D_
Thorax: _x000D_
Airway findings: The cervical and thoracic trachea have a normal size, outline and position. The carina, tracheal bifurcation and mainstem bronchi are normal. Throughout the lung parenchyma there is a severe bronchointerstitial opacification._x000D_
_x000D_
Cardiovascular findings: The overall cardiac silhouette is within normal limits for size. There is a soft tissue opacity in the region of the left atrium in the lateral images. The pulmonary vasculature is within upper normal limits for size. The mainstem vessels are normal._x000D_
_x000D_
Mediastinum and pleural space: Some thickened pleural fissure lines are present._x000D_
_x000D_
Abdomen: The hepatic silhouette is relatively small. The stomach contains some gas and has a cranially displaced axis. The small intestines are within normal limits for shape, size and contents. The caecum contains a mild increased amount of gas, as well as the ascending colon. The descending colon contains poorly formed faeces. The serosal detail is normal. The urinary bladder is small._x000D_
_x000D_
Musculoskeletal findings: No significant abnormalities are detected.</t>
  </si>
  <si>
    <t>1. Diffuse bronchointerstitial pattern: This is consistent with infectious-inflammatory lower airway disease. This may be viral-bacterial, parasitic or fungal. Pulmonary oedema or heart worm is considered unlikely. Aspiration pneumonia is unlikely._x000D_
2. The soft tissue opacity in the region of the left atrium may be a dilated left atrium secondary to mitral insufficiency, or a tracheobronchial lymphadenomegaly._x000D_
3. Unremarkable abdomen. The small hepatic silhouette is most likely due to abdominal conformation. Hepatic cirrhosis is considered unlikely.</t>
  </si>
  <si>
    <t>Respiratory workup including CBC, serum chemistry, urinalysis, Baermann faecal testing, 4DX, +/- respiratory panel or fungal testing as indicated is advised.  Alternatively, empirical therapy for lower airway disease, empirical deworming, and removal of allergens and environmental irritants (i.e. smoke, dust, perfumes, etc.) can be considered. If the patient=ZZ91=s signs continue despite supportive care, bronchoscopy/BAL vs. endotracheal wash +/- consultation with an Internist should be considered.</t>
  </si>
  <si>
    <t xml:space="preserve">
1.The liver is slightly small. The spleen is within normal limits for size._x000D_
2.Small-volume gas and scant amorphous soft tissue opacity within the stomach._x000D_
3.Small intestines are mildly fluid filled. No evidence of intestinal obstruction._x000D_
4.No radiopaque gastrointestinal foreign material or effusion is present._x000D_
5.No abnormal AI findings reported._x000D_
6.No abnormal AI findings reported.</t>
  </si>
  <si>
    <t xml:space="preserve">Patient Name : Otis Lewis, Date of study: May 21, 2024
3 images are provided for review
Canine Thorax (3 Images) - 2 Lateral, 1 Vd
There are no previous radiographs for comparison.
Ungloved human digits in the primary beam.  
Pulmonary parenchyma: A mild to moderate diffuse bronchial pattern is present.  A minimal interstitial pattern is transiently identified.  The lungs are mild or minimally hypoinflated in all images.  In the left lateral image, the suspected right cranial and middle lobar bronchi are narrowed in a dorsoventral dimension and ill-defined.  The carina is subjectively narrowed in a dorsoventral dimension in the left lateral image.  
Pulmonary vasculature: The pulmonary vasculature is subjectively normal in size and tapers in the periphery of the lungs.
Cardiac silhouette: The cardiac silhouette is normal in size and shape.
Mediastinum: The cranial mediastinum is normal.
Trachea: A soft tissue band superimposes over the dorsal aspect of the trachea in the thoracic inlet region in both lateral images..  
Esophagus: The esophagus is not well-identified.
Pleural space: The pleural space is normal.
Musculoskeletal: The included musculoskeletal structures are normal.
</t>
  </si>
  <si>
    <t>1. Mild-moderate diffuse bronchial pattern 
- Differential diagnoses include infectious/immune-mediated lower airway disease (mycoplasma spp., bordetella spp. parasitism versus inhaled allergen/irritant or other), or unlikely other.
2.  Suspected carina, right cranial and middle lobar bronchial narrowing with dorsal redundant tracheal membrane in the thoracic inlet region.
- Dynamic airway disease/chondromalacia such as from chronic infectious/immune-mediated disease is considered.  
3. Minimal interstitial pattern due to hypoinflation and/or fibrosis from prior disease/age-related changes, or unlikely other.</t>
  </si>
  <si>
    <t xml:space="preserve">Empirical therapy for infectious/inflammatory lower airway disease and consider airway sampling and tracheoscopy/bronchoscopy/fluoroscopy for further evaluation. Deworming may be contributory. Repeat thoracic radiographs for monitoring, especially if clinical signs fail to improve or worsen in the face of empirical therapy.  </t>
  </si>
  <si>
    <t>Study:_x000D_
Thoracic and abdominal radiography: six images dated May 21, 2024_x000D_
_x000D_
Findings:_x000D_
The cardiac silhouette and pulmonary vasculature are normal in size. Multiple soft tissue opaque modules measuring up to 1.1 cm are scattered throughout the pulmonary parenchyma.. There is a pleural fissure line between the segments of the left cranial lung lobe on the VD view. There is no intrathoracic lymphadenopathy. The trachea is normal in diameter and course. The stomach contains heterogeneous soft tissue material presumed to be ingesta. The small intestines are normal in size, course and content. The colon contains poorly formed fecal material. The liver extends mildly beyond the costal arch with smooth margins. There is mildly undulation of the ventral margin of the tail the spleen on the right lateral projection. The renal silhouettes are normal in size contour. The urinary bladder is normal in size and opacity. Severe smooth and continuous bridging new bone formation is present along the ventral aspect of the majority of the thoracolumbar/lumbosacral vertebrae. There is a large lobulated soft tissue opaque mass in the subcutaneous tissues of the right caudal dorsolateral thorax. There is no apparent lysis of the adjacent ribs/vertebrae.</t>
  </si>
  <si>
    <t>1. Pulmonary metastatic disease. Consider oncology consultation._x000D_
2. Left caudal dorsolateral thoracic subcutaneous mass. Malignant neoplasia (e.g. soft tissue sarcoma) is suspected based on the present pulmonary metastatic disease. Computed tomography can be considered for surgical planning._x000D_
3. The generalized hepatomegaly is nonspecific. Rule out metabolic/vacuolar hepatopathy, hyperplasia, hepatitis or infiltrative neoplasia. Sonography can be considered for further evaluation._x000D_
4. The mildly undulation of the ventral margin of the tail the spleen may indicate extramedullary hematopoiesis, lymphoid hyperplasia or neoplasia. Sonography can be considered for further evaluation._x000D_
5. The pleural for joint between the segments of the left cranial lung lobe may indicate pleural thickening and/or trace nonspecific pleural effusion._x000D_
6. Severe multifocal spondylosis deformans and/or diffuse idiopathic skeletal hyperostosis.</t>
  </si>
  <si>
    <t>Study:_x000D_
Abdominal radiography: three images dated May 21, 2024_x000D_
_x000D_
Findings:_x000D_
The stomach contains a small volume of gas. On both lateral projection, mildly gas and fluid distended bowel loop in the caudal ventral abdomen. It is difficult to discern if this represents a small intestinal loop or the start of the ascending colon. The remaining bowel is normal in size. The descending colon is gas and fluid filled. The liver and spleen are normal in size and margin. The renal silhouettes are normal in size and contour. The urinary bladder is normal in size and opacity. There is no uterine dilation. There is narrowing of the caudal vena cava. The T 13 vertebra is transitional with bilateral hypoplastic ribs. There is mild L4-L5 spondylosis deformans.</t>
  </si>
  <si>
    <t>As stated above, it is difficult to discern if the mildly distended bowel loop in the caudal ventral abdomen represents the proximal ascending colon or a small intestinal loop which would be concerning for mechanical ileus. Pneumocolonography can be considered to help distinguish between the two. Alternatively, abdominal sonography can be considered for further evaluation if clinical signs persist or worsen in spite of medical management. The fluid filled descending colon is consistent with the reported diarrhea/hematochezia.</t>
  </si>
  <si>
    <t xml:space="preserve">
1.Splenic size, shape and margin are normal._x000D_
2.Abdominal detail is normal._x000D_
3.Resource: https://platform.v2.vetology.net/doc/gi_protectants_1_x000D_
4.The stomach contains gas and small amount of amorphous soft tissue density. Small intestines are diffusely minimally distended._x000D_
5.Liver size, shape and margin are normal.</t>
  </si>
  <si>
    <t>Study:_x000D_
Thoracic radiography: three images dated May 21, 2024_x000D_
_x000D_
Findings:_x000D_
There is mild to moderate left ventricular and left atrial enlargement. The pulmonary vasculature is normal in size. There is a mild diffuse bronchointerstitial pulmonary pattern. This finding is more pronounced on the lateral projection secondary lung hypoinflation.. The pleural space is normal. There is no intrathoracic lymphadenopathy. The patient has redundant dorsal tracheal membrane and there is narrowing of the trachea lumen at the thoracic inlet. The liver is severely enlarged with smooth margins. There is narrowing of the L2-L3 and L3-L4 intervertebral disc spaces with sclerotic endplates and moderate spondylosis deformans.</t>
  </si>
  <si>
    <t>1. Mild to moderate left-sided cardiomegaly, indicative of mitral valve disease, without evidence of decompensation. Echocardiography should be considered for further evaluation._x000D_
2. Chondromalacia and dynamic airway disease/tracheal collapse. This finding is the most likely cause of the reported coughing._x000D_
3. The diffuse bronchointerstitial pulmonary pattern is a nonspecific finding. This could be a benign age-related change or may indicate idiopathic pulmonary fibrosis (given patient signalment). Computed tomography of the thorax can be considered for further evaluation._x000D_
4. The generalized hepatomegaly is nonspecific. Rule out metabolic/vacuolar hepatopathy, hyperplasia, hepatitis or infiltrative neoplasia. Sonography can be considered for further evaluation._x000D_
5. Chronic L2-L3 and L3-L4 intervertebral disc disease.</t>
  </si>
  <si>
    <t>A two view thoracoabdominal study is provided for interpretation. A previous study of the thorax and neck dated one-30-23 is also provided for comparison._x000D_
_x000D_
There is mild to moderate dynamic narrowing of the caudal cervical trachea. This appearance is similar in both studies. No pulmonary infiltrates or pleural abnormalities are identified. Bronchial markings are slightly increased, but within the limits of typical age related change._x000D_
The heart is within normal size and shape limits._x000D_
In the current study, the right caudal lobe pulmonary artery appears mildly enlarged. This was not apparent in the previous radiographs._x000D_
The abdominal organs are all within normal size and shape limits. No mass lesions or loss of detail are seen in the abdomen.</t>
  </si>
  <si>
    <t>There is mild to moderate dynamic narrowing of the trachea. The appearance is not severe enough to be diagnostic for collapsing trachea. However, collapsing trachea is still a viable differential as this could be present without more severe radiographic changes._x000D_
No findings concerning for significant pulmonary disease are identified._x000D_
_x000D_
There is mild enlargement of the right caudal lobe pulmonary artery in the current study. This can sometimes be an early indicator of heartworm disease._x000D_
No abdominal abnormalities are identified.</t>
  </si>
  <si>
    <t>CBC and heartworm testing is recommended._x000D_
Symptomatic therapy for the cough is recommended.</t>
  </si>
  <si>
    <t xml:space="preserve">
1.The liver is prominent._x000D_
2.Splenic size, shape and margin are normal._x000D_
3.Abdominal detail is normal._x000D_
4.The stomach is normal. The small bowel is diffusely gas- and fluid-filled without segmental small bowel dilation.</t>
  </si>
  <si>
    <t>Study:_x000D_
Spinal radiography (including the thorax and abdomen) five images dated May 21, 2024_x000D_
_x000D_
Findings:_x000D_
The dens is intact and well defined. The atlantoaxial joint space is normal. There is impression of narrowing of the C3-C4 intervertebral disc space. This finding may be overestimated by patient positioning and beam distortion. There is in situ mineralization of the T 12-T 13 intervertebral disc.. There is no evidence of discospondylitis. The right patella is medially luxated. The included appendicular skeletal structures are otherwise unremarkable. The cardiac silhouette and pulmonary vasculature are normal in size. The pulmonary parenchyma is unremarkable. No pulmonary nodules or masses are present. The pleural space is normal. There is no intrathoracic lymphadenopathy. The trachea is normal in diameter and course. The stomach contains a small volume of gas. The small intestines are normal in size, course and content. The colon contains formed fecal material. The liver is small with associated cranial rotation of the gastric axis. The spleen is normal in size and margin. The kidneys are normal in size and contour. The deep circumflex iliac artery is incidentally visualized end-on as a round soft tissue opacity in the retroperitoneal space ventral to L5. The urinary bladder is normal in size and opacity. There is no prostatomegaly. The patient is of overweight body condition. The reported subcutaneous lumbar mass is not appreciated radiographically.</t>
  </si>
  <si>
    <t>1. T 12-T 13 in situ degenerative disc disease and suspected C3-C4 intervertebral disease. Consider neurology consultation and MRI if the patient=ZZ91=s signs of pain persist or worsen in spite of strict activity restriction and pain management._x000D_
2. As stated above, the reported lumbar mass is not appreciated radiographically. Computed tomography can be considered for further evaluation pending fine needle aspiration and cytology results._x000D_
3. Normal thorax._x000D_
3. Microhepatia. Rule out normal variant, vascular anomaly or chronic hepatitis/cirrhosis. Correlate with any liver enzyme abnormalities. Abdominal sonography and bile acid testing can be considered for further evaluation if clinically relevant.</t>
  </si>
  <si>
    <t>Study:_x000D_
Abdominal radiography: three images dated May 21, 2024_x000D_
_x000D_
Findings:_x000D_
The stomach contains a moderate amount of unstructured heterogeneous/granular soft tissue material, presumed to be ingesta based on the reported postprandial nature of the exam. The pylorus is appropriately gas-filled on the left lateral image. The small intestines are normal in size, course and content. The colon contains formed fecal material. The liver extends mildly beyond the costal arch with smooth margins. The spleen is subjectively mildly enlarged with mildly rounded margins. The renal silhouettes are normal in size and contour. The urinary bladder is normal in size and opacity. There is no uterine dilation. The included thorax is normal.</t>
  </si>
  <si>
    <t>1. The generalized hepatomegaly is nonspecific. Rule out metabolic/vacuolar hepatopathy, hyperplasia, hepatitis or infiltrative neoplasia. _x000D_
2. The generalized splenomegaly is also nonspecific. Rule out extramedullary hematopoiesis, lymphoid hyperplasia, splenitis, congestion or infiltrative neoplasia.</t>
  </si>
  <si>
    <t>Sonography can be considered for further evaluation of the hepatosplenomegaly.</t>
  </si>
  <si>
    <t>Opposite lateral and ventrodorsal abdominal radiographs (3 images) dated May 21, 2024._x000D_
_x000D_
The liver and spleen are normal in size and shape. Both kidneys are normal in size and shape. The urinary bladder is mildly distended with homogeneous fluid opacity. The stomach contains a mild amount of slightly heterogeneous soft-tissue. The pyloric antrum remains soft tissue field on all 3 views. The small intestine is unremarkable in diameter and course with most segments empty or containing a small amount of fluid and gas. The colon contains gas and somewhat poorly formed stool. Retroperitoneal and peritoneal detail are normal. There is no radiographic evidence of uterine distention. No regional lymphadenopathy is evident. There is a small fat opaque convexity arising from the mid-ventral abdominal subcutis. No osseous abnormalities are identified. The caudal cervical and lumbar/LS vertebral column unremarkable with no abnormalities detected. The hips and included pelvic bones are unremarkable.</t>
  </si>
  <si>
    <t>1. No radiographic evidence of uterine distention to suggest pyometra, early pregnancy, or other =ZZ92=metra=ZZ92= types. Open pyometra cannot be completely ruled out._x000D_
2. The colonic content is concerning for impending loose stool/diarrhea. Correlate with history and rectal exam findings._x000D_
3. Heterogeneous soft-tissue content in the stomach is of unknown clinical relevance. Rule out normal ingesta vs. fluid pooling from a functional gastric stasis vs. less likely clinically significant foreign material._x000D_
4. Small fat opaque convexity along the mid-ventral abdomen. This could represent and inguinal hernia or small lipoma.</t>
  </si>
  <si>
    <t>Supportive care with fluid rehydration, antiemetics, gastroprotectants/omeprazole, and bland diet.  General health profile (CBC, chemistry, UA, fecal) +/- spec cPL and baseline cortisol. Abdominal ultrasound is also recommended.</t>
  </si>
  <si>
    <t>Study:_x000D_
Abdominal, pelvic and pelvic limb radiography: six images dated May 21, 2024_x000D_
_x000D_
Findings:_x000D_
The stomach contains a small volume of gas. The small intestines are normal in size, course and content. The colon contains formed fecal material. The liver is normal in size. The tail of the spleen has a mildly undulating margins. The kidneys are normal in size and contour. The urinary bladder is normal in size and opacity. The included thorax is normal. There is mild T 10-T 11, moderate T 13-L1, severe L1-L2 and mild L7-S1 spondylosis deformans. There is in situ mineralization of the L3-L4, L4-L5 and (questionably) also the L2-L3 and L5-L6 intervertebral discs. The coxofemoral joints are unremarkable with good coverage of the femoral head by the acetabulum bilaterally. The patella is in the correct anatomic location bilaterally. TPLO implants are present in the proximomedial aspect of the left tibia. There is no peri-implant lucency. The osteotomy is healed. There is moderate right stifle periarticular bone formation. There is a moderate increase in soft tissue opacity within the cranial caudal aspect of the right stifle joint space. There is moderate to severe right stifle periarticular bone formation.</t>
  </si>
  <si>
    <t>1. The undulation of the margins of the tail the spleen may be secondary to extramedullary hematopoiesis, lymphoid hyperplasia, neoplasia and/or infarction. Abdominal sonography should be considered for further evaluation._x000D_
2. Multifocal in situ lumbar intervertebral degenerative disc disease. Neurology consultation and MRI can be considered to further evaluate for a possible compressive myelopathy._x000D_
3. The right stifle joint effusion/capsular thickening and moderate to severe osteoarthrosis likely indicate cranial cruciate plus/minus meniscal injury. Surgical stabilization can be considered._x000D_
4. Healed left TPLO with stable implants and moderate left stifle osteoarthrosis.</t>
  </si>
  <si>
    <t xml:space="preserve">
1.No effusion is present._x000D_
2.Moderate volume soft tissue opacity and/or gas fills the stomach._x000D_
3.Small intestines are mildly filled with a mixture of fluid and gas._x000D_
4.No segmental small intestinal distention is present._x000D_
5.No abnormal AI findings reported._x000D_
6.The liver and spleen are normal size.</t>
  </si>
  <si>
    <t>Three radiographs of the thorax, and three views of the abdomen are provided. The cardiac silhouette and pulmonary vessels are normal size and shape. There are no abnormalities in the pulmonary parenchyma. No pleural effusion. Severe narrowed caudal cervical through cranial thoracic trachea. No esophageal dilation or radiopaque foreign material. Incidental laryngeal mineralization._x000D_
_x000D_
In the abdomen the liver, kidneys, and spleen are normal size and shape. The gastrointestinal tract is mildly filled. A few punctate mineral densities in the stomach, likely incidental. No other evidence of foreign material. No radiopaque cystic calculi. Mild to moderate degenerative change in the coxofemoral joints.</t>
  </si>
  <si>
    <t>Caudal cervical tracheal collapse, the most likely cause for coughing. No intrathoracic abnormalities. The abdomen is normal.</t>
  </si>
  <si>
    <t>Recommend symptomatic treatment for the cough. Weight management as needed and utilization of a body harness in place of a neck lead should also be considered.</t>
  </si>
  <si>
    <t xml:space="preserve">
1.The liver is mildly enlarged but retains a smooth margin._x000D_
2.The spleen and kidneys are normal size._x000D_
3.No abnormal AI findings reported._x000D_
4.The stomach contains a small amount of gas and the gastric rugae are prominent.</t>
  </si>
  <si>
    <t>Opposite lateral and VD views of the abdomen are provided._x000D_
_x000D_
Rugal folds in the stomach are prominent. The stomach is not dilated or malpositioned. No dilation or plication the intestine is seen. No foreign bodies are identified in the GI tract. There is a slight reduction in overall detail in the mid abdomen. The organs are within normal size and shape limits. No mass lesions are seen.</t>
  </si>
  <si>
    <t>The appearance of the stomach is compatible with gastritis. No foreign bodies or obstructive pattern are identified. Detail in the abdomen is slightly reduced, but this is a subtle and equivocal finding._x000D_
_x000D_
Primary outs for this patient include gastritis/gastroenteritis and pancreatitis.</t>
  </si>
  <si>
    <t>Symptomatic therapy and supportive care for pancreatitis/gastroenteritis is recommended._x000D_
_x000D_
CBC, serum chemistry including pancreatitis specific lipase, and urinalysis is recommended to rule out metabolic or infectious disease.</t>
  </si>
  <si>
    <t>Opposite lateral and ventrodorsal thoracic and abdominal radiographs (6 images) dated May 21, 2024._x000D_
_x000D_
The cardiac silhouette, pulmonary vasculature, and great vessels are within normal limits. A ventral alveolar infiltrate with air bronchograms is affecting the right middle lung lobe. The remainder the pulmonary parenchyma has a mild diffuse bronchointerstitial pulmonary pattern. The trachea, pleural space, mediastinum, and diaphragm are unremarkable._x000D_
The liver is mildly enlarged. The spleen is normal in size and shape. The kidneys are only partially visible due to superimposed bowel with no abnormalities detected. The urinary bladder is moderately distended with homogeneous fluid opacity. The stomach contains a fair amount of heterogeneous soft-tissue content that most closely resembles normal ingesta. The small bowel is unremarkable in size, course, and content. The cecum contains gas. The colon contains a moderate amount of formed stool. Retroperitoneal and peritoneal detail are normal. No regional lymphadenopathy is evident._x000D_
One or both elbows have periarticular bony remodeling affecting them. No aggressive osseous lesions are identified.</t>
  </si>
  <si>
    <t>1. Bronchopneumonia, characterized by a ventral alveolar infiltrate in the right middle lung lobe and diffuse bronchial pattern._x000D_
2. Mild hepatomegaly. Rule out a benign metabolic/vacuolar hepatopathy vs. less likely inflammatory and infiltrative neoplastic conditions._x000D_
3. Elbow osteoarthritis.</t>
  </si>
  <si>
    <t>Initiate antibiotic therapy with recheck thoracic radiographs at day 12 of treatment, or sooner if clinically indicated.</t>
  </si>
  <si>
    <t>Five orthogonal survey radiographs of the thorax and abdomen dated 21st May 2024 are available for review. There are no previous radiographs available for comparison. These images are submitted for assessment of the thorax._x000D_
_x000D_
Thorax: _x000D_
Airway findings: A smoothly marginated soft tissue opacity is variably present overlying the dorsal aspect of the trachea at the thoracic inlet. This opacity reduces approximately 50% of the dorsoventral diameter of the trachea. The intrathoracic trachea is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 There is mild cranial oesophageal gas._x000D_
_x000D_
Abdomen: No significant abnormalities are detected._x000D_
_x000D_
Musculoskeletal findings: No significant abnormalities are detected.</t>
  </si>
  <si>
    <t>The dorsal attenuation of the trachea is consistent with redundant trachealis membrane or overlying musculature. Tracheomalacia may be concurrent. This may be the cause for the coughing. There is no evidence for aspiration.</t>
  </si>
  <si>
    <t>Consider evaluation for airway collapse (fluoroscopy vs. right lateral inspiratory and expiratory radiographs vs. CT with virtual bronchoscopy). _x000D_
Respiratory workup including CBC, serum chemistry, urinalysis, Baermann faecal testing, 4DX, +/- respiratory panel or fungal testing may be considered.</t>
  </si>
  <si>
    <t>A three view thoracoabdominal study is provided for interpretation._x000D_
_x000D_
There is moderate narrowing of the caudal cervical trachea. No pulmonary infiltrates or pleural effusion are identified. The heart is within normal size and shape limits. Pulmonary vessels are normal._x000D_
_x000D_
The stomach is mildly to moderately gas dilated. A focally dilated bowel loop presumed to represent cecum is also identified in the right mid abdomen. Gas in the rest of the intestine is mild increase. The other abdominal organs are within normal limits.</t>
  </si>
  <si>
    <t>No evidence of significant cardiac chamber dilation or heart failure is identified._x000D_
The appearance of the lungs is within normal limits._x000D_
_x000D_
There is moderate narrowing of the cervical trachea, which is not severe enough to be diagnostic for collapsing trachea but would potentially be compatible with tracheal collapse of relevant clinical signs are present.</t>
  </si>
  <si>
    <t>No indication for treatment of cardiac disease is identified._x000D_
Echocardiography could be considered to better define the cause of the heart murmur._x000D_
_x000D_
No evidence of pulmonary disease is identified. Medical management for the upper respiratory signs is recommended as needed.</t>
  </si>
  <si>
    <t xml:space="preserve">
1.The spleen is within normal limits._x000D_
2.The peritoneal serosal detail is normal._x000D_
3.The hepatic silhouette is mildly enlarged, with smooth margins._x000D_
4.The stomach is mildly gas and fluid filled with some soft tissue density material. The small bowel is gas and fluid-containing. No evidence of obstruction.</t>
  </si>
  <si>
    <t>The AI result for this case is most compelling for: Mild to moderate hepatomegaly. This is a nonspecific finding that may be due to steroid or endocrine hepatopathy. Less likely considerations include infiltrative neoplasia, or acute inflammation. The appearance of the GI tract is likely related to normal ingesta in the absence of GI symptoms. However, if GI symptoms are present, mild enteritis secondary to dietary indiscretion or infectious etiology is favored. No evidence of obstruction.</t>
  </si>
  <si>
    <t xml:space="preserve">
Virtual Radiologist Case Difficulty: MODERATE_x000D_
Virtual Radiologist Confidence: MODERATE_x000D_
If GI signs are present, supportive and symptomatic therapy for enteritis can be considered. Repeat radiographs to assess for passage of gastric contents or obstruction, and abdominal ultrasound could be performed for further evaluation.</t>
  </si>
  <si>
    <t>Three orthogonal radiographs of the abdomen dated 21st May 2024 are available for review. There are no previous radiographs available for comparison. _x000D_
_x000D_
Intra-abdominal findings: There is minimal enlargement of the hepatic silhouette with smooth borders. The spleen is normal. The kidneys are partially obscured by gastrointestinal contents, but the visible aspect are normal. The stomach contains some granular food material and has a normal axis. The small intestines are distributed evenly and are within normal limits for shape, size and contents. The ascending, transverse and descending colon have a normal position and contain gradually more formed faeces. The urinary bladder is distended. The serosal detail is normal._x000D_
_x000D_
Extra-abdominal findings: The patient is severely obese._x000D_
_x000D_
Included thorax: No significant abnormalities are detected.</t>
  </si>
  <si>
    <t>Normal post-prandial abdomen. The bladder distension is most likely due to voluntary retention. Obstruction, or neurologic bladder is considered unlikely.</t>
  </si>
  <si>
    <t>Continued further workup for causes of thrombocytopenia is advised.</t>
  </si>
  <si>
    <t>Four orthogonal radiographs of the abdomen dated 21st May 2024 are available for review. There are no previous radiographs available for comparison. _x000D_
_x000D_
Intra-abdominal findings: The stomach is empty, with some prominent rugal folds. The gastric axis is normal. There is appropriate gas in the pyloric region on the left lateral image. The small intestines are homogenously filled with some fluid opaque material and some gas. The ascending and descending colon is moderately gas dilated, with subjectively thickened wall. The urinary bladder is small. The serosal detail is normal.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The caudal vena cava is tapering.</t>
  </si>
  <si>
    <t>1. 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Hemorrhagic gastroenteritis is possible._x000D_
2. The tapering caudal vena cava is most likely secondary to dehydration.</t>
  </si>
  <si>
    <t xml:space="preserve">
1.The liver and spleen are normal for size._x000D_
2.Abdominal detail is normal._x000D_
3.The stomach is mildly gas and fluid dilated._x000D_
4.No abnormal AI findings reported._x000D_
5.View GI resource: https://platform.v2.vetology.net/doc/GI_x000D_
6.There is also gas and fluid distention of the cecum and the entire length of the colon._x000D_
7.The small bowel contains gas and fluid but is largely normal in diameter throughout._x000D_
8.There is gas and mild fluid dilation noted within the descending duodenum.</t>
  </si>
  <si>
    <t>Two radiographs of the abdomen dated 21st May 2024 are available for review. There are no previous radiographs available for comparison. _x000D_
_x000D_
Intra-abdominal findings: The hepatic silhouette is moderately large and rounded borders. The kidneys are partially obscured by gastrointestinal contents, but the visible aspect are normal. The spleen is normal. The stomach contains some food material and has a caudal displaced axis. The small intestines are moderately distended with a mixture of gas and fluid/soft tissue opaque material. The descending colon contains faeces. The urinary bladder is small. The serosal detail is normal._x000D_
_x000D_
Extra-abdominal findings: No significant abnormalities are detected._x000D_
_x000D_
Included thorax: Moderate bronchointerstitial opacification of the lung parenchyma is visible on the lateral image.</t>
  </si>
  <si>
    <t>1.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origins._x000D_
2. Normal post-prandial gastrointestinal tract. This is in contradiction with the reported anorexia._x000D_
3. Bronchointerstitial opacification is suggestive of lower airway infectious-inflammatory disease.</t>
  </si>
  <si>
    <t>A 3 view thoracic series is advised. further workup of pulmonary disease depending on results._x000D_
A complete abdominal ultrasonographic examination is advised, with a view to FNA of abnormal organs, after complete blood work, and a normal coagulation panel. Consider repeat post fasting radiographs.</t>
  </si>
  <si>
    <t xml:space="preserve">
1.The spleen is within normal limits for size._x000D_
2.The liver is prominent with smooth margins._x000D_
3.The stomach and small bowel are minimally filled. No signs of obstruction._x000D_
4.No abnormal AI findings reported.</t>
  </si>
  <si>
    <t>Two radiographs of the abdomen dated 21st May 2024 are available for review. There are no previous radiographs available for comparison. _x000D_
_x000D_
Intra-abdominal findings: The stomach contains a moderate amount of gas. The rugal folds are subjectively prominent. The small intestines are moderately filled with fluid/soft tissue opaque material and have a turgid appearance. The colon contains formed faeces with a high mineral content. The urinary bladder is small. The hepatic silhouette is normal in size with smooth borders. The spleen is normal in shape, size and position. The kidneys are partially obscured by gastrointestinal contents, but the visible aspect are normal. The serosal detail is mildly reduced._x000D_
_x000D_
Extra-abdominal findings: No significant abnormalities are detected._x000D_
_x000D_
Included thorax: The caudal vena cava is tapering.</t>
  </si>
  <si>
    <t>1. The overall impression is one of gastroenteritis.  This may be due to dietary indiscretion, or infectious-inflammatory causes. There is no evidence of a mineral opaque foreign body, or complete mechanical obstruction.  A partial obstruction by non-mineral opaque foreign material cannot be excluded.   _x000D_
2.The tapering caudal vena cava is most likely due to dehydration, however tapering due to phase of cardiac contraction may be possible.</t>
  </si>
  <si>
    <t xml:space="preserve">
1.The liver and spleen appear within normal limits for size._x000D_
2.No abnormal AI findings reported._x000D_
3.Serosal detail is normal._x000D_
4.There is small-volume gas and soft tissue density present within the stomach._x000D_
5.Small intestines are diffusely mildly filled with gas and fluid._x000D_
6.Formed feces is present in the descending colon.</t>
  </si>
  <si>
    <t>Opposite lateral and ventrodorsal abdominal radiographs (7 images) dated May 21, 2024._x000D_
_x000D_
The liver and spleen are unremarkable in size and shape. The urinary bladder is mildly fluid distended. The left kidney and visible portions of the right kidney are unremarkable. The stomach contains a fair amount of gas and a scant amount of homogeneous soft-tissue/fluid content that is mobile between views. The pyloric antrum is gas-filled on the left lateral and VD projections. The small intestine is unremarkable in diameter and course with most segments containing a small amount of fluid and gas. The cecum and colon are diffusely gas-filled, and the colon has a tortuous course. A small amount of fluid is present in the distal descending colon. Retroperitoneal and peritoneal detail are normal. No regional lymphadenopathy is evident. The included caudal thorax and osseous structures are unremarkable.</t>
  </si>
  <si>
    <t>Non-obstructive gastroenteritis +/- colitis.  Rule out dietary indiscretion or toxin vs. GI infectious vs. food allergy/intolerance vs. less likely flareup of a chronic enteropathy (ex: IBD) or  systemic/extra GI causes (liver or kidney injury/disease, endocrine disorder, systemic infection).</t>
  </si>
  <si>
    <t>Supportive care with fluid rehydration, antiemetics, gastroprotectants/omeprazole, antidiarrheal with probiotic, and bland diet.  General health profile (CBC, chemistry, UA, fecal, parvo) to screen for underlying causes.  Repeat fasted abdominal radiographs or ideally ultrasound if the patient fails medical management.</t>
  </si>
  <si>
    <t>Thorax: There is an interstitial to alveolar pattern associated with the right middle and suspected ventral portions of the right caudal lung lobe.  On the ventrodorsal view there is a mediastinal shift with the cardiac silhouette displaced to the left.  On the ventrodorsal view there is an increase in opacity within the left cranial thorax.  This may be augmented by rotational obliquity at this level.  There is mild generalized cardiomegaly.  There is a mild diffuse bronchial pattern._x000D_
_x000D_
Larynx: There is moderate thickening of the soft palate._x000D_
_x000D_
Abdomen: A gastrointestinal foreign body is not identified.  There are no abnormalities involving the liver, spleen, gastrointestinal tract, or visible portions of the urinary tract.  Serosal detail is normal.  There is narrowing of intervertebral disc space at T13-L1.  T13 is a hemivertebra.</t>
  </si>
  <si>
    <t>Suspect pneumonia within the right middle and ventral portions of the right caudal lung lobes._x000D_
_x000D_
The increase in soft tissue opacity associated with the left cranial thorax on the ventrodorsal view is most likely artifactual and represents fat within the mediastinum and augmented by patient rotational obliquity.  Alternatively pneumonia within the left cranial lung lobe cannot be ruled out._x000D_
_x000D_
Mild generalized cardiomegaly without evidence of decompensation._x000D_
_x000D_
Diffuse bronchial pattern which may be age-related or bronchitis._x000D_
_x000D_
Narrowed intervertebral disc space at T13-L1._x000D_
_x000D_
Thickened soft palate.</t>
  </si>
  <si>
    <t xml:space="preserve">
1.Splenic size, shape and margin are normal._x000D_
2.There is no effusion._x000D_
3.On the VD projection, there is asymmetric liver enlargement._x000D_
4.The abdomen is mildly pendulous._x000D_
5.The gastrointestinal tract is mildly filled.</t>
  </si>
  <si>
    <t>10 images of the thorax, abdomen, and skull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Rounded mineral structures are seen in the right ventral liver in the area of the gallbladder.  The stomach contains a moderate amount of ingesta.  The small intestines are normal in size.  Gas and feces with an angular mineral structure are present in the colon.  The urinary bladder is small.  The remaining abdominal organs are normal.  Coverage of the femoral heads by their acetabular rims is reduced.  Osteophytes are present on the femoral necks and acetabular rims.  The nasal cavity is air filled with normal turbinates.  Multiple teeth are absent.  Lucency surrounds multiple tooth roots.</t>
  </si>
  <si>
    <t>Cholelithiasis.  Colonic mineral foreign body.  Radiographically normal thorax for patient of this age.  Absent teeth and lysis of alveolar bone consistent with the reported dental disease.  Severe bilateral coxofemoral DJD with subluxation.</t>
  </si>
  <si>
    <t>Three orthogonal thoracic radiographs dated 21st May 2024 are available for review. There are no previous radiographs available for comparison. All images are obliqued, and thoracic limbs are superimposed on the lateral images, limiting interpretation._x000D_
_x000D_
Thorax: _x000D_
Airway findings: The trachea is elevated, however this is most likely to hyperextended positioning.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No significant abnormalities are detected._x000D_
_x000D_
Musculoskeletal findings: No significant abnormalities are detected.</t>
  </si>
  <si>
    <t>Normal thorax. There is no evidence for pneumonia. A laryngitis, tracheitis, rhinitis may be present. Early mixed infectious tracheobronchitis can be present in spite of normal radiographs.</t>
  </si>
  <si>
    <t>Correlate with clinical signs. Observational management, or empiric management of infectious tracheobronchitis may be considered.</t>
  </si>
  <si>
    <t>Three radiographs of the proximal pelvic limbs are provided. There are no abnormalities need viewable abdomen or lumbar spine. The coxofemoral joints are congruent and without degenerative change. Pelvic limb musculature is adequate and symmetric. Patellar location is normal. Possible increased opacity in the cranial aspect of the left stifle joint. There is obliquity on this view. No right stifle abnormalities. Cortical and medullary opacities are uniform. No popliteal lymphadenomegaly or soft tissue swelling.</t>
  </si>
  <si>
    <t>Possible scant left stifle effusion suggestive of cranial cruciate ligament insult. This appearance could be caused by mild obliquity. No other pelvic limb abnormalities are identified to explain left pelvic limb lameness. Other soft tissue sprain/strain remains possible.</t>
  </si>
  <si>
    <t>If lameness progresses and the patient develops palpable stifle instability, surgical stabilization would be recommended at that time.</t>
  </si>
  <si>
    <t>A three view thoracoabdominal study is provided for interpretation._x000D_
_x000D_
The cardiovascular structures are within normal limits. No pulmonary nodules or parenchymal infiltrates are identified._x000D_
The abdominal organs are within normal size and shape limits. No abnormalities are seen involving the GI tract. No mass lesions or loss of detail are identified._x000D_
There is moderate narrowing of the T13-L1 intervertebral disc space. No destructive or productive bone lesions are seen. There is increased subcutaneous fat on the right side of the thorax consistent with lipoma.</t>
  </si>
  <si>
    <t>No radiographic abnormalities concerning for neoplasia are identified._x000D_
_x000D_
There is suspicion of disc degeneration at the thoracolumbar junction._x000D_
_x000D_
The thoracic and abdominal organs are within normal limits.</t>
  </si>
  <si>
    <t>No specific recommendations based on the radiographs.</t>
  </si>
  <si>
    <t>A three view thoracoabdominal study is provided for interpretation._x000D_
_x000D_
There is a moderate bronchial pulmonary pattern. The cardiovascular structures are within normal limits. No esophageal abnormalities are identified._x000D_
_x000D_
No definitive foreign objects are identified in the GI tract. The stomach contains several small soft tissue density is that would be compatible with food. Stomach is not dilated or malpositioned. Rugal folds are prominent. There are a few small bowel loops that appear fluid filled, none appear pathologically distended or plicated. The liver is at the small end of acceptable size range. The other abdominal organs are unremarkable._x000D_
Multiple congenital vertebral deformities are present in the caudal thoracic spine, causing moderate to severe kyphosis.</t>
  </si>
  <si>
    <t>No evidence of foreign body or obstruction is identified. A small quantity of radiolucent foreign material in the stomach still cannot be entirely excluded._x000D_
_x000D_
The bronchial pulmonary pattern is compatible with breed associated change. Bronchitis could appear similar and should still be ruled out depending on clinical signs.</t>
  </si>
  <si>
    <t>Possible etiologies for the clinical signs could include gastritis/gastroenteritis and bronchitis._x000D_
_x000D_
Symptomatic therapy is recommended._x000D_
CBC and serum chemistry is recommended._x000D_
Follow up radiographs are recommended if clinical signs worsen or do not improve over the next week.</t>
  </si>
  <si>
    <t>6 views of the thorax and abdomen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liver extends slightly below the costal arch but has smooth serosal margins.  The spleen is normal in size and shape.  The renal silhouettes and urinary bladder are within normal limits.  A mild amount of ingesta is noted in the stomach.  The small bowel and colon are unremarkable.  Serosal detail is normal._x000D_
No significant osseous abnormalities are noted.</t>
  </si>
  <si>
    <t>Radiographically normal thorax._x000D_
Equivocal/mild hepatomegaly.  This could be within normal limits of variation or associated with vacuolar change or less likely inflammation or neoplasia.  The material in stomach is most consistent with food.  No radiopaque calculi are noted in the abdomen.</t>
  </si>
  <si>
    <t>Correlation with blood work, urinalysis, and abdominal ultrasound is recommended.</t>
  </si>
  <si>
    <t xml:space="preserve">
1.The abdomen is pendulous._x000D_
2.Moderate volume ingesta fills the stomach._x000D_
3.No intestinal abnormalities are appreciated._x000D_
4.The cecum is gas filled._x000D_
5.Splenic size, shape and margin are normal._x000D_
6.The liver is enlarged.</t>
  </si>
  <si>
    <t>Three radiographs of the thorax, and three views of the abdomen are provided. The cardiac silhouette and pulmonary vessels are normal size and shape. There are no abnormalities in the pulmonary parenchyma. No pleural effusion. Normal tracheal diameter and position. No cervicothoracic spinal abnormalities. Normal proximal thoracic limbs._x000D_
_x000D_
In the abdomen there is no effusion or organomegaly. The gastrointestinal tract is mildly filled. No radiopaque cystic calculi. The L2-3 intervertebral disc space and foramen are reduced in size. No other spinal abnormalities. The coxofemoral joints are congruent.
(amended on 05/21/2024 12:10)
Correction to patient information: The patient is an intact female. _x000D_
The images were reviewed and a nondistended uterus is questionably seen ventral to the descending colon on the left lateral view. There is no evidence of uterine distention or pyometra.</t>
  </si>
  <si>
    <t>The appearance of L2-3 is suggestive of a protruding/extruded intervertebral disc. Such a lesion at this or another site is the most likely cause for the clinical signs. The abdomen and thorax are normal.</t>
  </si>
  <si>
    <t>If discomfort is medically manageable and there are no significant neurologic deficits, this patient may benefit from anti-inflammatories and strict rest. Otherwise, consultation with a neurologist and advanced a spinal imaging such as MRI would be recommended.</t>
  </si>
  <si>
    <t>Three radiographs of the abdomen are provided. There is no effusion. The uterus is not identified. The stomach contains moderate volume amorphous soft tissue density and a small accumulation of punctate mineral opaque debris. Small intestines are diffusely mildly filled with fluid. Gas and small volume semi-formed feces in the colon. No severe intestinal distention is appreciated. Normal-sized liver and splenic head. The splenic tail and kidneys are obscured. No radiopaque cystic calculi. Thickened mammary tissue consistent with lactation.</t>
  </si>
  <si>
    <t>Gastric contents appears to be normal ingesta. All or a portion of this could be foreign material causing gastritis and pyloric outflow obstruction. No other definitive abdominal abnormalities.</t>
  </si>
  <si>
    <t xml:space="preserve">
1.Mineral dense material and distended viscus are present in the region of the uterine horns._x000D_
2.In cases of pregnancy, fetal mineralization indicates fetal age of &gt;45 days._x000D_
3.IMPORTANT: This AI evaluation currently DOES NOT assess for the presence of fetal mummification and/or abnormal gas within or around the fetus (fetal viability) and/or fetal number._x000D_
4.The liver is partially obscured but appears mildly enlarged._x000D_
5.A mid-abdominal mass is identified._x000D_
6.On the lateral views, the mass is in the splenic region._x000D_
7.Abdominal detail is diffusely decreased._x000D_
8.The abdomen is pendulous._x000D_
9.Gas filled and somewhat rigid Intestines are deviated by the mass.</t>
  </si>
  <si>
    <t xml:space="preserve">
Virtual Radiologist Case Difficulty: MODERATE_x000D_
Virtual Radiologist Confidence: MODERATE_x000D_
Abdominal ultrasound is recommended._x000D_
Coagulation profile, platelet count and PCV prior to abdominocentesis and/or tissue sampling._x000D_
Three view thoracic radiographs vs. thoracic CT if abdominal neoplasia is identified. Also consider an abdominal CT if the abdominal ultrasound is unable to determine mass origin._x000D_
Evaluate fetal skeletal structures on radiographs, via ultrasound or submit for radiology review if fetal number and/or evaluation of fetal viability is needed.</t>
  </si>
  <si>
    <t>Four radiographs of the thorax/abdomen are provided. The cardiac silhouette and pulmonary vessels are normal size and shape. No abnormalities in the pulmonary parenchyma or pleural space. Normal tracheal diameter. Small volume fluid in the caudal esophagus is transient and incidental. In the abdomen there is large volume stippled soft tissue density and small accumulation of punctate mineral opaque debris in the stomach. Small intestines are mildly filled with fluid and gas. Formed feces fills the colon. Normal-sized liver, spleen, left kidney. The right kidney is obscured. No radiopaque cystic calculi. Osseous structures are unremarkable.</t>
  </si>
  <si>
    <t>1. Gastric contents appears to be normal ingesta. All or a portion of this could be foreign material but is felt to be very unlikely in the absence of persistent vomiting. Otherwise normal abdomen._x000D_
2. Normal thorax.</t>
  </si>
  <si>
    <t>If vomiting recurs, consider strictly fasted abdominal radiographs +/- positive contrast gastrogram to rule out gastric foreign material at that time.</t>
  </si>
  <si>
    <t>Four radiographs of the thorax, closed mouth rostral ventral to caudodorsal view of the head, and a lateral view of the abdomen are provided. Previous images dated 10/7/23 were reviewed. The cardiac silhouette is normal size and shape for this breed. There is increased opacity with suspect air bronchograms overlying the caudal heart on the right lateral views. Increased opacity overlying the ventral heart on the same projections is most likely normal lung margin. On the VD projection there is hazy increased opacity to the left of the cardiac apex. A mild bronchial pattern is present throughout the lungs as before. No pleural effusion. Normal tracheal diameter. Central venous port noted in the dorsal right cervical tissues as before. Congenital vertebral malformations in the thoracic spine, of doubtful significance today. On the head radiograph, no definitive nasal sinus abnormalities are appreciated, although superimposed anatomy limits thorough evaluation. No soft tissue swelling is appreciated. In the abdomen there is no effusion or organomegaly. The gastrointestinal tract is moderately filled. No abdominal abnormalities are appreciated.</t>
  </si>
  <si>
    <t>1. Suspect focal aspiration pneumonia in the caudoventral left lungs._x000D_
2. Mild bronchial pattern as before may be normal age change versus chronic airway inflammation such as bronchitis._x000D_
3. No head or abdominal abnormalities are appreciated. Nasal abnormalities (rhinitis, neoplasia) is not definitively ruled out.</t>
  </si>
  <si>
    <t>If nasal discharge persists and additional imaging is desired, computed tomography would be recommended.</t>
  </si>
  <si>
    <t>Opposite lateral thoracic/whole body radiographs sees 2 images) dated May 21, 2024._x000D_
_x000D_
_x000D_
Atlantoaxial and atlantooccipital alignment are normal on the lateral views provided. The cervical region is in the periphery of the image, and the disc spaces are not well aligned with the beam=ZZ90= with this limitation, no obvious abnormalities are appreciated. The thoracic and included lumbar vertebral column is unremarkable with no evidence of disc space narrowing, osseous degenerative changes, subluxations, fractures, or aggressive processes._x000D_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_x000D_
The liver, mildly gas-filled stomach, included bowel segments, visible left kidney, and cranial peritoneal detail are normal.</t>
  </si>
  <si>
    <t>Unremarkable vertebral column, thorax, and included abdomen.</t>
  </si>
  <si>
    <t>Referral for spinal CT and neurology consultation.</t>
  </si>
  <si>
    <t>Alfie Headland. Date of study: 05/21/24. Abdominal radiography (3 view, 3 images. 1 VD, 2 Lateral). No prior radiographs are available for comparison. _x000D_
_x000D_
Liver: The liver is normal in size and shape. The caudoventral margins are normal._x000D_
_x000D_
Spleen: The spleen is normal in size and shape with well-defined margins._x000D_
_x000D_
Kidneys: The kidneys are normal in size and shape. No mineral is identified._x000D_
_x000D_
Urinary bladder: The urinary bladder is small/mildly distended with smooth, well-defined margins and homogeneous soft tissue opacity. No mineral is identified._x000D_
_x000D_
Gastrointestinal: The stomach contains some heterogeneous material admixed with gas. On the left lateral projection, the pylorus is appropriately gas filled. The small intestine diffusely contains fluid and is overall normal in size. The colon contains poorly formed fecal material._x000D_
_x000D_
Peritoneum: No significant abnormalities are detected._x000D_
_x000D_
Musculoskeletal: The musculoskeletal structures are unremarkable.</t>
  </si>
  <si>
    <t>1. Relatively normal abdomen. The poorly formed faeces in the colon support a clinical diagnosis of colitis. This may be due to dietary indiscretion, or infectious-inflammatory causes. There is no evidence of a mineral opaque foreign body, or complete mechanical obstruction.  Pancreatitis cannot be excluded.</t>
  </si>
  <si>
    <t>Recommend fecal testing. Start supportive care including anti-emetics, probiotics, antidiarrheal antibiotics, and fluid therapy as indicated. Transition to a bland diet until symptoms resolve, then gradually transition back to normal diet.</t>
  </si>
  <si>
    <t xml:space="preserve">
1.Splenic size, shape and margin are normal._x000D_
2.Serosal detail is adequate to slightly decreased._x000D_
3.Liver size, shape and margin are normal._x000D_
4.The small intestines have a diffuse fragmented gas pattern._x000D_
5.There is a heterogeneous soft tissue opacity associated with the gastric lumen.</t>
  </si>
  <si>
    <t>Three radiographs of the abdomen are provided. There is no peritoneal or retroperitoneal effusion. The stomach contains a moderate amount of gas and small volume fluid. Small intestines are predominantly minimally filled with fluid and gas. There is a moderate to severely dilated loop of small bowel that contains compacted stippled mineral density. The colon contains small volume gas a small amount of formed mineral opaque feces. Normal-sized liver, spleen, kidneys.</t>
  </si>
  <si>
    <t>Compacted mineral opaque material in a loop of small bowel consistent with previous bone ingestion. There is segmental small intestinal ileus with both minimal and moderate to severe dilation consistent with impaction obstruction. Near-complete to complete obstruction is most likely.</t>
  </si>
  <si>
    <t>Surgical intervention is likely necessary. If the patient is not painful or markedly depressed, supportive care with fluid supplementation could be considered, monitoring intestinal appearance with radiographs or ultrasound to confirm that the foreign material progresses aborally and intestinal dilation resolves.</t>
  </si>
  <si>
    <t>3 views of the thorax and abdomen are submitted for review.  A large, rounded, cavitary mass is noted in the caudal thorax in the region of the left caudal lung lobe.  There is mild straightening of the caudal cardiac waist.  The pulmonary vasculature is not enlarged.  No pleural effusion or intrathoracic lymphadenopathy is noted.  Linear soft tissue opacity summates of the dorsal aspect of the caudal cervical trachea._x000D_
In the abdomen, the stomach and small bowel are within normal limits.  Formed stool is noted in the colon.  The liver and spleen are within normal limits.  The renal silhouettes and urinary bladder are unremarkable.  Serosal detail is normal._x000D_
No aggressive bony changes are noted.</t>
  </si>
  <si>
    <t>Large cavitary mass in the left caudal lung lobe.  This is highly consistent with primary pulmonary neoplasia as with carcinoma or adenocarcinoma.  No evidence of left-sided congestive heart failure seen.  The appearance of the heart is consistent with mild left atrial enlargement, consistent with myxomatous mitral valve disease.  The appearance of the trachea could be consistent with dynamic tracheal collapse, redundant dorsal trachealis muscle, or incidental superimposition artifact._x000D_
Radiographically normal abdomen.</t>
  </si>
  <si>
    <t>A CT scan of the thorax and possibly lower airway sampling as with transtracheal wash or BAL, or CT-guided biopsy is needed for more definitive diagnosis of the pulmonary mass.  Consultation with an oncologist is advised.</t>
  </si>
  <si>
    <t>3 images of the thorax and abdomen are presented for review.  The trachea is narrowed in the cervical region.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and feces are present in the colon.  The urinary bladder is small.  The remaining abdominal organs are normal.</t>
  </si>
  <si>
    <t>Radiographically normal abdomen.  Radiographically normal thorax for patient of this age.  Cervical tracheal narrowing suggestive of tracheal collapse.</t>
  </si>
  <si>
    <t>4 images of the abdomen are provided for review.  Serosal detail is adequate in all quadrants.  The stomach contains a small amount of amorphous soft tissue material.  The small intestines are normal in size.  Gas and feces are present in the colon.  The urinary bladder is small.  The remaining abdominal organs are normal.</t>
  </si>
  <si>
    <t xml:space="preserve">
1.The small intestines are a combination of gas-filled and fluid-filled/collapsed, and all are within normal limits for diameter._x000D_
2.The colon contains a combination of gas and granular fecal material._x000D_
3.The spleen and abdominal serosal detail are within normal limits._x000D_
4.No abnormal AI findings reported._x000D_
5.There is borderline hepatomegaly.</t>
  </si>
  <si>
    <t>Study:_x000D_
Thoracic radiography: left and right lateral projections dated May 20, 2024_x000D_
_x000D_
Findings:_x000D_
The cardiac silhouette and pulmonary vasculature are normal in size. The pulmonary parenchyma is unremarkable. The pleural space is normal. There is no intrathoracic lymphadenopathy. The trachea is normal in diameter and course. The larynx is normal. There is no lobar bronchi narrowing. The stomach contains heterogeneous soft tissue material presumed to be ingesta. No skeletal abnormalities are present.</t>
  </si>
  <si>
    <t>Normal thorax. There is no radiographic evidence of cardiopulmonary disease. A cause of coughing is not evident. Lack of a definitive bronchial pulmonary pattern does not exclude the possibility of allergic/inflammatory, infectious, irritant or parasitic bronchitis. Normal diameter of the trachea does not exclude the possibility of dynamic airway disease.</t>
  </si>
  <si>
    <t>Fluoroscopy can be considered to further evaluate for possible dynamic airway disease/tracheal collapse given the reported tracheal sensitivity on physical exam.</t>
  </si>
  <si>
    <t>Opposite lateral and ventrodorsal abdominal radiographs taken as 2 studies approximately 4.5 hours apart and dated May 20, 2024. The patient is moderately rotated on most of the lateral views, which may affect interpretation._x000D_
_x000D_
_x000D_
_x000D_
The liver and spleen are unremarkable in size and shape. The left kidney is partially visible on the VD view and appears unremarkable. The right kidney is less well visualized. The urinary bladder is fairly distended with homogeneous fluid opacity. The stomach is dilated with a large amount of heterogeneous granular soft-tissue content, much of which is organized into ovoid structures that closely resemble undigested kibble. This material occupies all 3 major chambers of the stomach. There is a small amount of gas present in the nondependent pyloric antrum on the left lateral view. The small intestine has a moderate variation in diameter with most segments containing a mixture of gas, homogeneous soft-tissue content, and heterogeneous soft-tissue content. One small bowel segment running in the craniocaudal direction in the right cranial and middle abdomen has an irregular gas pattern in the lumen and is suspected to represent duodenum. The colon contains normal appearing stool and has a normal course._x000D_
In the subsequent study, there is a significant reduction in the overall volume of material in the stomach. A mixture of gas and more homogeneous soft-tissue/fluid content is present in the pyloric antrum on left lateral view. The small intestine are unchanged in appearance.</t>
  </si>
  <si>
    <t>Delayed gastric emptying between studies. The large volume of gastric material in the initial study could represent food bloat. A partial pyloric outflow obstruction is considered relatively unlikely but cannot be completely ruled out. There is no convincing evidence of a small intestinal mechanical obstruction.</t>
  </si>
  <si>
    <t>Supportive care with fluid rehydration, antiemetics, gastroprotectants/omeprazole, and bland diet.  General health profile (CBC, chemistry, UA, fecal + parvo) to screen for underlying causes.  Abdominal ultrasound if the patient fails medical management.</t>
  </si>
  <si>
    <t>Full-body, abdominal, and pelvic/pelvic limb radiographs (5 images) dated May 20, 2024._x000D_
_x000D_
_x000D_
Disc space narrowing is affecting L1-L2 and the LS junction. Questionable disc space narrowing may be present at T12-T13. Both hips have adequate acetabular coverage and normal congruity without degenerative or other pathologic changes noted. The sacroiliac joints trochanters are normal. No abnormalities are detected in the stifles. No long bone pathology is identified. Pelvic limb muscle volume is bilaterally symmetrical and subjectively adequate._x000D_
The included thorax on the VD projection is unremarkable._x000D_
The liver and spleen are normal in size and shape. The urinary bladder is mildly fluid-filled. The kidneys are normal in size and shape. The stomach contains a mild volume of gas mixed with heterogeneous soft-tissue content. The small bowel is unremarkable in size, course, and content. The cecum contains gas. The colon contains unremarkable appearing stool mixed with gas. Retroperitoneal and peritoneal detail are normal. No regional lymphadenopathy is evident.</t>
  </si>
  <si>
    <t>1. L1-L2, LS, and possible T12-T13 intervertebral disc disease. Correlation with orthopedic and neurologic exam is needed to determine significance._x000D_
2. Unremarkable pelvis/hips and stifles._x000D_
3. Unremarkable abdomen.</t>
  </si>
  <si>
    <t>Assess for neurologic deficits=ZZ90= advanced spinal imaging is recommended if present. Anti-inflammatory, analgesic, and muscle relaxant therapy with strict rest if compatible with overall clinical concern.</t>
  </si>
  <si>
    <t xml:space="preserve">
1.The liver and spleen are normal size._x000D_
2.The colon contains gas and scant semiformed feces._x000D_
3.Small intestines are minimally filled. No small intestinal segmental dilation is noted._x000D_
4.In the abdomen the stomach contains small volume gas, soft tissue and mildly prominent rugae._x000D_
5.No abnormal AI findings reported._x000D_
6.The right cranial quadrant has a hazy appearance on the VD projection otherwise serosal detail is adequate.</t>
  </si>
  <si>
    <t>A three view thoracoabdominal study is provided for interpretation._x000D_
_x000D_
There is mild dynamic narrowing of the cervical trachea. No pulmonary abnormalities are identified. The heart is at the upper end of normal size range, with normal shape._x000D_
_x000D_
The liver is mildly enlarged. The caudal margin of the liver is slightly rounded, but no mass lesions are seen. The appearance of the GI tract is within normal limits. The other abdominal organs are within normal limits. Serosal detail in the abdomen is normal._x000D_
No significant musculoskeletal abnormalities are identified.</t>
  </si>
  <si>
    <t>No abnormalities that would explain the primary clinical complaint of diarrhea and abdominal pain are identified._x000D_
Pancreatitis could still be present without significant radiographic changes, and should be considered as a possible explanation for the clinical signs.</t>
  </si>
  <si>
    <t>Abdomen: There is a mild increase in wispy soft tissue opacity and decreased serosal detail within the cranial to mid ventral abdomen.  There is mild diffuse hepatomegaly with rounding of the caudal ventral margins.  The spleen is unremarkable.  There is a heterogeneous soft tissue opacity within the gastric lumen.  The remainder of the gastrointestinal tract is unremarkable.  The left kidney is unremarkable.  The right kidney is not identified.  The urinary bladder is unremarkable.  There are numerous regions of lumbar vertebral spondylosis deformans.  On the visible portions of the pelvis there is bilateral coxofemoral osteoarthrosis.</t>
  </si>
  <si>
    <t>Increase in opacity and decreased serosal detail consistent with peritoneal effusion._x000D_
_x000D_
Mild diffuse hepatomegaly.  Differential considerations are numerous however may include a hepatopathy, hepatitis, congestion, or less likely neoplasia._x000D_
_x000D_
The heterogeneous soft tissue opacity within the gastric lumen may represent normal ingesta, gas outlining rugal folds, or possible foreign material.</t>
  </si>
  <si>
    <t>Recommend abdominal ultrasound for further evaluation.</t>
  </si>
  <si>
    <t>Thorax: The pulmonary parenchyma, cardiac silhouette, and pulmonary vasculature are unremarkable.  There is no evidence of pleural effusion or lymphadenopathy._x000D_
_x000D_
Abdomen: There is mild diffuse hepatomegaly.  The spleen is unremarkable.  There are no abnormalities involving the gastrointestinal tract.  It is difficult to assess the kidneys due to silhouetting and summation with adjacent viscera._x000D_
_x000D_
Pelvis: There are no abnormalities involving the pelvis or coxofemoral joints.  There is bilateral patellar medial luxation.</t>
  </si>
  <si>
    <t>Mild diffuse hepatomegaly.  Differential considerations are numerous however may include a hepatopathy, hepatitis, or less likely diffuse neoplasia._x000D_
_x000D_
Bilateral patellar medial luxation.</t>
  </si>
  <si>
    <t>Right lateral and VD views that include the abdomen and most of the thorax are provided for interpretation._x000D_
_x000D_
The cardiovascular structures are within normal limits. No pulmonary infiltrates or pleural effusion are identified. The thoracic esophagus is mildly gas dilated. The stomach and cecum are also mildly gas dilated. The intestinal tract is mostly gas filled, without distention. The rectum is markedly dilated with a large fecal ball in the first lateral view but this is not present in the second lateral view made. No organomegaly or mass effect is seen in the abdomen. The patient has thin overall body condition.</t>
  </si>
  <si>
    <t>The gassy appearance of the esophagus and GI tract is compatible with aerophagia or dysmotility. If no respiratory abnormalities are present, reduced esophageal and GI motility secondary to metabolic disease or neuromuscular disease should be ruled out._x000D_
No other anatomic abnormalities are seen aside from the thin body condition.</t>
  </si>
  <si>
    <t>Hypoadrenocorticism or other metabolic disease should be ruled out._x000D_
_x000D_
Systemic infectious disease with potential CNS involvement should also be ruled out.</t>
  </si>
  <si>
    <t xml:space="preserve">
1.The pyloroduodenal is widened and the proximal duodenum contains a mild amount of air._x000D_
2.The gastric lumen contains a mild amount of soft tissue and gas opacity._x000D_
3.No abnormal AI findings reported._x000D_
4.The liver and spleen are normal._x000D_
5.There is a focal loss of serosal detail in the cranial abdomen on the VD projection._x000D_
6.The colon contains a mild amount of gas caudally and ill-formed heterogenous fecal material cranially._x000D_
7.The gastric rugae are prominent._x000D_
8.The small intestine is of uniform population size and is diffusely of soft tissue opacity with minimal gas opacity._x000D_
9.No mechanical ileus is visualized.</t>
  </si>
  <si>
    <t>Six orthogonal survey radiographs of the thorax and abdomen dated 20th May 2024 are available for review. There are no previous radiographs available for comparison. The read has been expanded to include the abdomen considering findings._x000D_
_x000D_
Thorax: _x000D_
Airway findings: The cervical and thoracic trachea have a normal size, outline and position. The carina, tracheal bifurcation and mainstem bronchi are normal. The pulmonary lobes are reduced in volume, with rounded margins. In between the pulmonary lobes there is fluid opacification consistent with pleural effusion. Gas outlines the aorta, indicative of pneumomediastinum._x000D_
_x000D_
Cardiovascular findings: The cardiac silhouette is border effaced. It is elevated from the sternum. The pulmonary vasculature and mainstem vessels are poorly visible. The aorta is outlined by gas, and appears small._x000D_
_x000D_
Mediastinum and pleural space: Ventral fluid opacification and widened pleural fissure lines are indicative of pleural effusion._x000D_
_x000D_
Abdomen: There are large and small free gas loculations within the abdomen. Ventral soft tissue attenuation and fluid opaque lines are present indicative of abdominal effusion. The hepatic silhouette is enlarged, consistent with young age. The stomach contains some granular food material. The spleen is poorly visible. The kidneys are poorly visible. The small intestines are variable in shape and size, containing gas loculations. The descending colon contains gas and a moderate amount of faeces._x000D_
_x000D_
Musculoskeletal findings: All physes are open consistent with young age. The outline of the diaphragm is normal.</t>
  </si>
  <si>
    <t>1. Pneumomediastinum and potential pneumothorax. Pleural effusion. Pneumoabdomen. Underlying causes can be multiple, including trauma/wound, visceral rupture, less likely ruptured bulla. Pleural effusion can be an infectious inflammatory transudate exudate. Effusion secondary to cardiac insufficiency or neoplasia is considered unlikely. Abdominal effusion may be inflammatory-infectious transudate. Ascites, paraneoplastic effusion is considered unlikely.</t>
  </si>
  <si>
    <t>Emergency stabilisation including oxygen therapy, therapeutic and diagnostic thoracocentesis and abdominocenthesis and emergency supportive management is advised. depending on outcome, full body CT, explorative laparotomy may need to be considered.</t>
  </si>
  <si>
    <t xml:space="preserve">
1.The G.I. tract is difficult to fully evaluate, in a small subset of cases, severe gastric distension may be present._x000D_
2.There is loss of detail in the abdomen that may represent abdominal fluid, mid-abdominal mass and/or be a component of visceral crowding._x000D_
3.There is diffusely increased soft tissue opacity and decreased abdominal detail. This is likely of splenic origin, but hepatomegaly is also considered. Abdominal distention is also present._x000D_
4.Pendulous abdomen.</t>
  </si>
  <si>
    <t>A two view study of the thorax is provided for interpretation._x000D_
_x000D_
There is a moderate diffuse bronchointerstitial pulmonary pattern. The appearance is excessive in spite of the advanced age of the patient. There is a focal area of alveolar opacity in the left cranioventral lung._x000D_
Severe narrowing of the mainstem bronchi is identified in the lateral view, which appears expiratory. There is mild narrowing of the mid tracheal region._x000D_
There is an unusual opacity superimposed over the cranial trachea, which has a defined ventral margin. Dorsal to this there is a subtle but unusual well defined opacity with a rounded margin that appears to depend on the dorsal tracheal wall._x000D_
The cardiovascular structures are within normal limits._x000D_
_x000D_
The cranial abdomen is unremarkable.</t>
  </si>
  <si>
    <t>1) The pulmonary changes are consistent with bronchitis. The subjective appearance is concerning for infectious causes. There is also a focal area of alveolar opacity in the left cranial ventral lung that would be compatible focal pneumonia or less likely early neoplasia._x000D_
_x000D_
2) There is severe narrowing of the mainstem bronchi in the expiratory lateral view suggesting that dynamic airway collapse is also likely contributing to the cough._x000D_
_x000D_
3) Unusual opacities are seen superimposed over the cranial aspect of the trachea in the lateral view. The appearance is concerning for infiltrative changes, but unusual enough that artifactual causes should also be ruled out.</t>
  </si>
  <si>
    <t>CBC is recommended._x000D_
Antibiotic therapy for suspected infectious bronchitis is recommended._x000D_
_x000D_
Follow up radiographs of the laryngeal area is recommended to better define the unusual shadows seen in this study. A straight lateral view is definitively indicated, a VD view should also be considered.</t>
  </si>
  <si>
    <t xml:space="preserve">
1.The stomach contains gas and ingesta or prominent rugae, suggestive of gastritis. The small bowel is diffusely fluid filled but without segmental small bowel dilation._x000D_
2.Liver size, shape and margin are normal._x000D_
3.Abdominal detail is normal._x000D_
4.Splenic size, shape and margin are normal.</t>
  </si>
  <si>
    <t>Opposite lateral and ventrodorsal abdominal radiographs (3 images) dated May 21, 2024._x000D_
_x000D_
The liver and spleen are unremarkable in size and shape. The stomach is fairly distended with gas and smaller amount of mobile soft-tissue/fluid content. The proximal duodenum is moderately distended with gas on the left lateral view, and tapers to a more normal diameter in the caudal direction. The small intestine is diffusely and mild-moderately distended with fluid and has broad ropelike turns in its course to give it a subjectively turgid appearance. The colon contains gas and has some corrugation in its course. The kidneys are mostly obscured from visualization due to superimposed bowel. The urinary bladder is small and fluid opaque. Fluid is pooling in the caudal esophagus on both lateral views. Retroperitoneal and peritoneal detail are normal. No regional lymphadenopathy is evident. No osseous abnormalities are identified.</t>
  </si>
  <si>
    <t>The appearance of the gastrointestinal tract is suspicious for gastroenteritis and colitis. Furthermore, the fluid pooling in the caudal esophagus on both lateral views is concerning for esophagitis or reflux/GERD._x000D_
Rule out dietary indiscretion or toxin vs. food allergy/intolerance vs. flareup of a chronic enteropathy (ex: IBD) vs. GI infectious vs. systemic/extra GI causes (liver or kidney injury/disease, pancreatitis, endocrine disorder, systemic infection, non-GI neoplasia).</t>
  </si>
  <si>
    <t>Supportive care with fluid rehydration, antiemetics, gastroprotectants/omeprazole, and bland diet.  General health profile (CBC, chemistry, 4Dx, UA, fecal) +/- spec cPL and baseline cortisol to screen for underlying causes. Abdominal ultrasound could be considered, especially if the patient fails medical management or if it is indicated based on lab work results.</t>
  </si>
  <si>
    <t>7 views of the thorax and abdomen, and pelvis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mild to moderate amount of ingesta.  The small bowel is generally normal and uniform in diameter and contains a mild amount of gas.  A moderate amount of stool is noted in the colon.  The liver and spleen are normal in size, shape, and margination.  The bilateral renal silhouettes are within normal limits.  The urinary bladder is unremarkable.  Serosal detail is normal._x000D_
Mild osteophytes are noted on the femoral necks.  There is borderline shallow acetabular coverage of the femoral heads.  The sacroiliac joints are normal.</t>
  </si>
  <si>
    <t>The appearance of the GI tract is nonspecific and consistent with normal postprandial status.  No definitive evidence of mechanical obstruction of the GI tract is seen._x000D_
Radiographically normal thorax._x000D_
Mild degenerative changes in the hips, of doubtful clinical significance.</t>
  </si>
  <si>
    <t>Symptomatic/supportive medical management appears appropriate in the short-term.  Repeat abdominal radiographs after 12 to 24-hour fast could be considered if there is sufficient clinical concern.</t>
  </si>
  <si>
    <t xml:space="preserve">
1.Splenic size, shape and margin are normal._x000D_
2.The stomach contains gas and ingesta or prominent rugae, suggestive of gastritis. The small bowel is diffusely fluid filled but without segmental small bowel dilation._x000D_
3.Abdominal detail is normal._x000D_
4.Liver size, shape and margin are normal.</t>
  </si>
  <si>
    <t>Three radiographs of the thorax/abdomen and a VD view of the abdomen/proximal pelvic limbs are provided. The pelvic limbs are also partially included on the lateral thorax/abdomen images. The cardiac silhouette and pulmonary vessels are normal size and shape. There are no abnormalities in the pulmonary parenchyma. No pleural effusion. Adequate tracheal diameter. Narrowed T11-12 and L2-3 intervertebral disc space, of uncertain significance today. In the abdomen there is no effusion or organomegaly. The gastrointestinal tract is minimally filled. No radiopaque urolithiasis. The coxofemoral joints are congruent and without degenerative change. Pelvic limb musculature is mildly reduced on the left. Patellar location is normal. There is small to moderate volume fluid in the cranial aspect of the left stifle joint. No stifle degenerative change. No abnormalities are appreciated within the right stifle. The viewable tarsi are unremarkable.</t>
  </si>
  <si>
    <t>1. Mild to moderate left stifle effusion most consistent with cranial cruciate ligament tear/rupture. This is the most likely cause for lameness. With the palpable click, meniscal insult may also be present. No right stifle joint abnormalities, and the coxofemoral joints are normal._x000D_
2. Normal thorax and abdomen.</t>
  </si>
  <si>
    <t>If the left pelvic limb lameness is moderate to severe, surgical exploration and stabilization is likely necessary.</t>
  </si>
  <si>
    <t>Kira Perez Cheda. Date of study: 05/20/24. Abdominal radiography (2 view, 3 images. 1 VD, 2 Lateral). No prior radiographs are available for comparison. _x000D_
_x000D_
Liver: The liver is normal in size and shape. The caudoventral margins are normal._x000D_
_x000D_
Spleen: The spleen is normal in size and shape with well-defined margins._x000D_
_x000D_
Kidneys: The kidneys are partially obscured but appear normal in size and shape. No mineral is identified._x000D_
_x000D_
Urinary bladder: The urinary bladder is empty of fluid and filled with innumerable cystic calculi which range from pinpoint to approx. 2.1 x 1.5 cm in diameter. _x000D_
_x000D_
Gastrointestinal: The stomach is mildly distended with gas. On the left lateral projection, the pylorus is appropriately gas filled. The small intestine contains a mild amount of non-contiguous gas or is fluid filled/empty, and is overall uniform in size. The colon contains formed fecal material. There is no segmental dilation or radiopaque foreign material identified.  _x000D_
_x000D_
Peritoneum: The serosal detail is normal._x000D_
_x000D_
Musculoskeletal: Bilateral coxofemoral subluxation with thickening of the femoral necks and moderate osteoarthritic changes associated. Excessive body habitus.</t>
  </si>
  <si>
    <t>1. Numerous variably sized cystic calculi without evidence of complete urinary obstruction given small bladder size. Straining is attributed to cystitis secondary to stones._x000D_
2. Aerophagia with mild gas distension of stomach. Likely secondary to respiratory distress if present during taking of radiographs vs gastritis. _x000D_
3. Moderate bilateral hip subluxation. Moderate osteoarthritic change likely secondary. Ddx: Hip dysplasia.</t>
  </si>
  <si>
    <t>Contrast cystogram to evaluate urethral filling prior to cystotomy to remove calculi as size makes it unlikely for passage of stones. Full bloodwork with UA and urine culture prior to surgery to guide antibiotic choice. Send out stones for analysis.  _x000D_
_x000D_
Weight loss and medical management for osteoarthritis as indicated.</t>
  </si>
  <si>
    <t xml:space="preserve">
1.Small intestines are mildly gas filled._x000D_
2.Formed feces is present in the distal colon._x000D_
3.Moderate volume ingesta fills the stomach._x000D_
4.Abdominal detail is normal._x000D_
5.The liver is upper limits of normal for size to mildly enlarged but retains a smooth margins._x000D_
6.The spleen is normal for size.</t>
  </si>
  <si>
    <t>Three orthogonal thoracic radiographs dated 20th May 2024 are available for review. There are no previous radiographs available for comparison. _x000D_
_x000D_
Airway findings: The cervical and thoracic trachea have a normal size, outline and position. The carina, tracheal bifurcation and mainstem bronchi are normal. Throughout the lung parenchyma there is a severe granular type interstitial opacification. Some bronchial thickening is also present._x000D_
_x000D_
Cardiovascular findings: The cardiac silhouette is normal in shape, size and margination. The cranial and caudal pulmonary vasculature is normal. The caudal vena cava is normal. The aorta and mainstem pulmonary artery have a normal outline in the vd/dv l image. The thorax is hypoinflated._x000D_
_x000D_
Mediastinum and pleural space: Thickened pleural fissure lines are present._x000D_
_x000D_
Musculoskeletal findings: No significant abnormalities are detected._x000D_
_x000D_
Included abdomen: No significant abnormalities are detected.</t>
  </si>
  <si>
    <t>Severe granular interstitial opacification: Differentials include eosinophilic bronchopneumonia, round cell infiltration, fungal pneumonia, parasitic bronchitis. Pulmonary fibrosis should be considered. Pulmonary oedema, heart worm is considered unlikely.</t>
  </si>
  <si>
    <t>Considering severe findings, and multiple aetiologies, airway sampling is advised for targeted therapy. Respiratory workup including CBC, serum chemistry, urinalysis, Baermann faecal testing, 4DX, +/- respiratory panel or fungal testing is also advised. Supportive management with oxygen therapy in the meantime.</t>
  </si>
  <si>
    <t>Radiographs of the pelvis, and stifles (6 images) dated May 20, 2024._x000D_
_x000D_
Both hips are incongruent with severe subluxation. Mild bony remodeling is resulting in femoral neck thickening and bilateral Morgan line=ZZ91=s. Subchondral sclerosis affects acetabula. The sacroiliac joints, remaining pelvic bones, and trochanters are normal._x000D_
Both stifles and tarsi are unremarkable. The open physes and non-articular portions of the long bones are normal. Pelvic limb muscle volume is bilaterally symmetrical and is subjectively adequate._x000D_
The included caudal thoracic and lumbar spine are unremarkable with no evidence of disc space narrowing, osseous degenerative changes, subluxations, fractures, or aggressive processes. _x000D_
The liver and spleen are unremarkable. Both kidneys are normal in size and shape. The urinary bladder is mildly fluid-filled. The stomach contains normal appearing ingesta as well as multiple irregular shaped mineral opaque foreign objects that most likely represents stones. The stones occupy the pyloric antrum. The small intestine is unremarkable in diameter and course with most segments containing gas and ingesta. The colon contains unremarkable appearing stool in addition to a similar appearing stone in the distal descending portion. Retroperitoneal and peritoneal detail are normal. No regional lymphadenopathy is evident.</t>
  </si>
  <si>
    <t>1. Bilateral hip dysplasia with severe subluxation and mild osteoarthritis._x000D_
2. Normal lumbar spine, stifles, and tarsi._x000D_
3. Rock foreign bodies in the stomach and colon. Clinical significance of this finding is unknown=ZZ90= rocks of this size often pass without issue.</t>
  </si>
  <si>
    <t>Consider FHO vs. total hip.</t>
  </si>
  <si>
    <t>Opposite lateral and ventrodorsal whole body radiographs (3 images) dated May 20,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The liver and spleen are normal in size and shape. The stomach contains a mild volume of gas. The small intestine has a mild and unremarkable variation in diameter with segments containing a mixture of fluid and gas. The colon contains gas and a small amount of stool. The kidneys are partially obscured due to superimposed bowel with no overt abnormalities appreciated. The urinary bladder is small and fluid opaque. There is no radiographic evidence of uterine distention. Retroperitoneal and peritoneal detail are normal. No regional lymphadenopathy is evident._x000D_
No aggressive or clinically significant osseous pathology is identified.</t>
  </si>
  <si>
    <t>Supportive care with fluid rehydration, antiemetics, gastroprotectants/omeprazole, and bland diet. General health profile (CBC, chemistry, UA, fecal) +/- spec cPL and baseline cortisol to screen for underlying causes.  Repeat fasted abdominal radiographs or ultrasound if the patient fails medical management.</t>
  </si>
  <si>
    <t xml:space="preserve">
1.The liver is mildly enlarged with normal shape and smooth margins._x000D_
2.No abnormal AI findings reported._x000D_
3.The stomach appears within normal limits. The small bowel contains a mild amount of gas. No obvious signs of obstruction._x000D_
4.Serosal detail is adequate.</t>
  </si>
  <si>
    <t>A three view study of the thorax that includes most of the abdomen is provided for interpretation._x000D_
_x000D_
There is severe heart enlargement. The carina is maximally elevated and there are large bulges in the cardiac silhouette in the area of the left atrium and left auricle. Narrowing of the right caudal lobe bronchus secondary to the atrial distention is suspected in the DV view no tracheal narrowing is identified._x000D_
In the DV view, there is increased opacity in the right cranial thorax that is suspicious for mild alveolar infiltrates in this area. However, this is not corroborated with corresponding opacity in the expected area in the left lateral view and therefore may be artifactual. The other lung fields are within normal limits for patient age. No thoracic lymphadenopathy or pleural effusion is seen._x000D_
The liver is at the small end of normal size range. The other abdominal organs are unremarkable.</t>
  </si>
  <si>
    <t>No pulmonary edema is seen._x000D_
There is suspicion of secondary bronchial compression due to the severe cardiomegaly which could be contributing to the cough. No evidence of collapsing trachea is seen._x000D_
_x000D_
There is suspicious opacity and one thin pleural fissure line in the right cranial thorax in the DV view that is suspicious for mild regional pneumonia, but this cannot be confirmed in the lateral view and is potentially and artifactual opacity.</t>
  </si>
  <si>
    <t>CBC is recommended to help rule out infectious causes of the subtle opacity in the right cranial thorax._x000D_
Symptomatic therapy for the cough is recommended if no clinical or laboratory evidence of infectious disease is found._x000D_
Laryngeal/pharyngeal pathology should still be ruled out as a possible cause of the cough and trouble breathing._x000D_
_x000D_
Pimobendan and enalapril therapy is still indicated due to the severity of heart enlargement. Need for diuretics is equivocal at this time._x000D_
_x000D_
A recheck a three view study in a few weeks is recommended if clinical signs are not responding adequately to symptomatic therapy.</t>
  </si>
  <si>
    <t>Patient name: Piper Hogan 
ABDOMEN (3 views: 3 images, [2 Lateral, 1 VD]) 
Images are dated May 20, 2024.
There are no previous radiographs for comparison. 
Liver: The liver is normal in size and shape with smooth margins.
Spleen: The spleen is normal in size and shape with smooth margins. 
Kidneys and urinary bladder: Both kidneys are normal in size and shape with smooth margins. The urinary bladder is mildly fluid distended. No radiopaque urinary calculi are detected. 
GI: The stomach contains a small volume of gas and scant soft tissue contents.  Rugal folds are prominent.  No gastric enlargement is seen.  The small intestines are empty.  No distinct radiopaque gastrointestinal foreign material is detected.  Gas is observed in the cecum.  Scant semi-formed feces are noted in the ascending colon.  The descending colon is mildly gas dilated and rigid in appearance.  
Abdominal detail: Serosal detail is adequate. 
MSK: Visible musculoskeletal structures are within normal limits. 
Caudal thorax: No abnormalities are detected in the visible cardiopulmonary structures of the thorax.</t>
  </si>
  <si>
    <t>Gastritis and colitis are presumed cause of vomiting and diarrhea (e.g. dietary indiscretion, infection, inflammation, etc.)  No evidence of foreign material or mechanical obstruction.</t>
  </si>
  <si>
    <t>Consider abdominal ultrasound of clinical signs persist or worsen despite medical management</t>
  </si>
  <si>
    <t xml:space="preserve">
1.The liver and spleen are normal._x000D_
2.There is a focal loss of serosal detail in the cranial abdomen on the VD projection._x000D_
3.No abnormal AI findings reported._x000D_
4.The pyloroduodenal is widened and the proximal duodenum contains a mild amount of air._x000D_
5.The gastric lumen contains a mild amount of soft tissue and gas opacity._x000D_
6.The gastric rugae are prominent._x000D_
7.The small bowel is diffusely fluid distended with a mild disparity in small bowel diameter._x000D_
8.Portions of the colon are gas filled and have a rigid appearance.</t>
  </si>
  <si>
    <t>6 images of the thorax and abdomen are presented for review.  The cardiovascular and pulmonary structures are normal.  The pleural and mediastinal structures are normal.  Abdominal serosal detail is adequate in all quadrants.  The stomach contains a small amount of amorphous soft tissue material.  The small intestines are normal in size.  Gas and feces are present in the colon.  The urinary bladder is small.  The remaining abdominal organs are normal.</t>
  </si>
  <si>
    <t xml:space="preserve">
1.Abdominal detail in the cranial abdomen is mildly decreased on the lateral projection._x000D_
2.A mild amount of air is present in the cranial duodenum in the ventrodorsal image._x000D_
3.The small intestinal tract contains normal volumes of fluid, gas and ingesta but portions have a rigid appearance._x000D_
4.The ascending, transverse and descending colon are in a normal position and contain gradually more formed feces._x000D_
5.The stomach contains a small amount of air and either has prominent gastric rugae or contains a small amount of soft tissue material._x000D_
6.Splenic size, shape and margin are normal._x000D_
7.Liver size is at the lower limits of normal but retains a smooth margin.</t>
  </si>
  <si>
    <t>Opposite lateral and VD views of the thorax and abdomen are provided._x000D_
_x000D_
The cardiovascular structures are within normal limits. No pulmonary abnormalities or pleural effusion are seen._x000D_
No foreign bodies are identified in the GI tract. The stomach contains a small quantity of normal appearing amorphous soft tissue dense ingesta. No intestinal dilation or plication is seen. The organs are within normal size and shape limits. Serosal detail is normal._x000D_
No significant musculoskeletal abnormalities are identified.</t>
  </si>
  <si>
    <t>No significant thoracic or abdominal abnormalities are identified.</t>
  </si>
  <si>
    <t>Supportive care and symptomatic therapy for probable gastroenteritis is recommended._x000D_
Metabolic disease or systemic infectious disease should be ruled out with appropriate labwork.</t>
  </si>
  <si>
    <t xml:space="preserve">
1.The liver and spleen are normal size._x000D_
2.The stomach contains a small amount of amorphous soft tissue density._x000D_
3.Semi-formed and formed feces fills the colon._x000D_
4.Small intestines are mildly filled._x000D_
5.No severe intestinal distention is present._x000D_
6.Abdominal detail is adequate._x000D_
7.No abnormal AI findings reported.</t>
  </si>
  <si>
    <t>Study:_x000D_
Thoracic radiography: three images dated May 4, 2024_x000D_
_x000D_
Findings:_x000D_
There is mild left-sided cardiomegaly characterized by dorsal deviation of the trachea and straightening of the caudal cardiac waist. The pulmonary vasculature is normal in size. There is a severe interstitial coalescing to alveolar pattern in the cranioventral lung field on the lateral projections. The pleural space is normal. There is no intrathoracic lymphadenopathy. The trachea is normal in diameter. The included abdomen is unremarkable. There is narrowing of the T 12-T 13 and L1-L2 intervertebral disc spaces with sclerotic endplates and mild to moderate spondylosis deformans. There is also spondylosis deformans at L2-L3 without intervertebral disc space narrowing.</t>
  </si>
  <si>
    <t>1. The interstitial to alveolar pattern in the cranioventral lung fields likely indicates bronchopneumonia given the reported leukocytosis. While heart disease is suspected, cardiogenic pulmonary edema is considered less likely given the cranioventral distribution. Empiric antibiotic therapy with repeat radiography to monitor for response to treatment should be considered._x000D_
2. Mild left-sided cardiomegaly, suggestive of mitral valve disease. Correlate with any heart murmur. Echocardiography should be considered for further evaluation._x000D_
3. Chronic T 12-T 13 and L1-L2 intervertebral disease.</t>
  </si>
  <si>
    <t xml:space="preserve">
1.The stomach contains gas and soft tissue density material. The small bowel is diffusely gas- and fluid-filled without segmental small bowel dilation._x000D_
2.Hepatomegaly._x000D_
3.Splenomegaly._x000D_
4.Decreased mid-abdominal and diffuse detail.</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</si>
  <si>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prominent.  The small intestines are normal in size.  Gas and feces are present in the colon.  The urinary bladder is small.  The remaining abdominal organs are normal.</t>
  </si>
  <si>
    <t>Prominent rugal folds suggestive of gastritis.  This does not rule out underlying pancreatitis, inflammatory bowel disease, infiltrative neoplasia, etc.  If clinical signs persist with supportive therapy, abdominal ultrasound could be considered in further evaluation.  Radiographically normal thorax for patient of this age.</t>
  </si>
  <si>
    <t>Opposite lateral and VD views that include the whole body are provided. There are five images total._x000D_
_x000D_
There is an irregular appearance involving the caudal aspect of the spinous process of the C2 vertebra, with a rounded osseous structure visible between the dorsal lamina of C2 and C3. No soft tissue changes are seen in the area. The rest of the cervical spine is unremarkable. No abnormalities are seen involving the soft tissues of the neck. There is mild narrowing of disc spaces in the thoracolumbar region, most prominent at T12-T13._x000D_
The cardiopulmonary structures are within normal limits._x000D_
No abdominal abnormalities are identified.</t>
  </si>
  <si>
    <t>There is an irregular appearance involving the dorsal aspect of the C2-C3 interface, with a rounded osseous structure at the level of the articulation of these vertebrae._x000D_
This appearance is subjectively felt the most likely represent a benign variant, but considering the clinical signs and articular facet fracture in this area should still be ruled out._x000D_
_x000D_
Mild disc degeneration is suspected in the thoracolumbar region, but this may be incidental.</t>
  </si>
  <si>
    <t>CT or MRI would be ideal for more definitive evaluation of the cranial cervical spine._x000D_
There is concern for possible facet fracture, but this would typically result in significant pain on manipulation which was not reported, so the radiographic appearance could still be an incidental benign variant._x000D_
_x000D_
Need for follow-up imaging and diagnostics would depend on whether clinical improvement continues.</t>
  </si>
  <si>
    <t>Patient name: Ceili Twohey_x000D_
THORAX (3 views, 3 images=ZZ90= [2 lateral, 1 VD])_x000D_
Images are dated May 20, 2024._x000D_
There are no previous radiographs for comparison. _x000D_
_x000D_
Airway/Pulmonary: The lungs are adequately inflated.  Diffusely throughout the lungs, a moderate increase in bronchointerstitial opacity is observed.  No distinct soft tissue pulmonary nodules are detected.  Tracheal and mainstem bronchial diameter is normal. _x000D_
_x000D_
Cardiovascular:   The ascending aorta is prominent in the lateral view.  Otherwise, the cardiac silhouette is normal in size and shape.  Pulmonary vessels are normal in width. _x000D_
_x000D_
Mediastinum: No lymph node enlargement is detected.  The caudal vena cava is normal in height.  _x000D_
_x000D_
Pleural space: No pleural effusion is seen. _x000D_
_x000D_
Cranial abdomen:  The liver is mildly enlarged, caudally deviating the gastric axis.  The spleen is enlarged with rounded/lobular caudal margins in all views.  A moderate volume of soft tissue contents is seen in the stomach, primarily admixed with gas.  The pylorus appropriately fills with gas in the left lateral image.    _x000D_
_x000D_
Musculoskeletal: Smooth new bone is observed along the ventral aspect of vertebral bodies L1-L4 and L5, variably bridging the intervertebral disc spaces.   Two, ovoid, fat opacity subcutaneous masses are present ventral to the sternum and costal arch.</t>
  </si>
  <si>
    <t>1) Prominent aortic arch.  Age related change versus systemic hypertension versus aortic coarctation.  _x000D_
2) Diffuse bronchointerstitial pattern is likely appropriate for the patients age but underlying lower-airway disease is possible. No evidence of intra-thoracic neoplasia.   _x000D_
3) Lobular splenomegaly.  May represent splenic neoplasia (e.g. hemangiosarcoma/hemangioma) vs hematoma vs atypical lymphoid hyperplasia or extramedullary hematopoiesis vs (less likely) abscess/granuloma.   _x000D_
4) Diffuse hepatomegaly.  This is a non-specific finding with many differentials including: vacuolar hyperplasia, infection/inflammation, endocrine/metabolic disease, or neoplasia.   _x000D_
5) Lumbar spondylosis deformans.  _x000D_
6) Subcutaneous ventral fat opacity masses.  Lipomas versus other.</t>
  </si>
  <si>
    <t>Consider cardiac work up (ECG, systemic blood pressure, and echocardiogram) if supported by auscultation._x000D_
_x000D_
Consider abdominal ultrasound for further evaluation of spleen and liver.</t>
  </si>
  <si>
    <t>Three radiographs of the thorax and two views of the abdomen are provided. There is equivocal prominence of the left atrium. Pulmonary vessels are normal size. Mild bronchial pattern is normal for the age of this patient. No pleural effusion is present. The trachea is normal diameter. The patient is overweight, with moderate volume subcutaneous fat. Normal proximal thoracic limbs. Several small round soft tissue opaque nodules in the superficial tissues, likely the reported cutaneous lesions and/or granulomas._x000D_
_x000D_
In the abdomen the liver is mildly enlarged with smooth margins. Normal-sized spleen and kidneys. Moderate volume soft tissue density stippled with gas, and gas filling the stomach. Small intestines are mildly gas and fluid-filled. Semi-formed feces fills the distal colon. No radiopaque cystic calculi. Narrowed T13-L1 intervertebral disc space, of doubtful significance today.</t>
  </si>
  <si>
    <t>1. Gastric contents appears to be normal ingesta. Foreign material causing gastritis and pyloric outflow obstruction is not definitively ruled out._x000D_
2. Mild hepatomegaly, most likely diabetic or other hepatopathy. Acute hepatic inflammation or neoplasia are next on the differential list. This should be correlated with blood work._x000D_
3. Equivocal prominent left atrium suggestive of chronic degenerative mitral valve disease. This is of doubtful clinical significance today. Otherwise normal thorax.</t>
  </si>
  <si>
    <t>Recommend supportive care and repeat abdominal radiographs following a confirmed fast, +/- positive contrast gastrogram to rule out gastric foreign material.</t>
  </si>
  <si>
    <t xml:space="preserve">
1.Detail in the abdomen is adequate._x000D_
2.The spleen is within normal limits._x000D_
3.The liver is enlarged displacing the stomach axis caudally._x000D_
4.The stomach is within normal limits. The small bowel is gas- and fluid-filled without segmental small bowel dilation or signs of obstruction.</t>
  </si>
  <si>
    <t>The AI result for this case is most compelling for: Mild to moderate hepatomegaly. This is a nonspecific finding that may be due to fat deposition, steroid, or endocrine hepatopathy. Less likely considerations include infiltrative neoplasia, or acute inflammation.</t>
  </si>
  <si>
    <t xml:space="preserve">
Virtual Radiologist Case Difficulty: MODERATE_x000D_
Virtual Radiologist Confidence: MODERATE_x000D_
Further evaluation of the liver with routine blood work and abdominal ultrasonography may be beneficial if clinically indicated</t>
  </si>
  <si>
    <t>Opposite lateral and VD views of the thorax and abdomen are provided._x000D_
_x000D_
The heart is at the small end of normal size range. Pulmonary vessels are normal. No pulmonary infiltrates or bronchial thickening are identified. No pleural effusion or pneumothorax is seen. The trachea is normal._x000D_
_x000D_
The abdominal organs are all within normal size and shape limits. There is a mild increase in intestinal gas. No dilation of the stomach or intestine is seen._x000D_
_x000D_
There is moderate spondylosis at multiple locations throughout the thoracic and lumbar spine. No destructive or active productive bone lesions are seen.</t>
  </si>
  <si>
    <t>No anatomic abnormalities that would explain the complaint of panting or fever are identified. Abscess involving the reportedly swollen mammary gland should be ruled out._x000D_
_x000D_
No evidence of neoplasia or major organ pathology is seen in the radiographs. The gassy appearance of the intestine is likely secondary to the panting._x000D_
The thoracic and lumbar spondylosis is generally incidental.</t>
  </si>
  <si>
    <t>No specific recommendations based upon the radiographs.</t>
  </si>
  <si>
    <t>Six radiographs of the thoracolumbar spine, pelvis, and stifles are provided._x000D_
_x000D_
There is moderate chronic remodeling involving both hip joints. No subluxation of the hips is seen. There is slight mottled lucency involving the right femoral neck._x000D_
_x000D_
There is mild swelling of the left stifle joint capsule, and slight swelling of the right stifle joint capsule. No bony abnormalities are seen involving either stifle joint. Both tarsal joints are unremarkable._x000D_
_x000D_
There is slight narrowing of the intervertebral disc space at T13-L1 and L2-L3.</t>
  </si>
  <si>
    <t>There is slight narrowing of disc spaces in the cranial lumbar spine. This is a subtle change but would be compatible with disc degeneration and mild intervertebral disc disease as a cause of the spinal pain and possibly the weakness._x000D_
_x000D_
There is also moderate osteoarthritis involving both hip joints, more severe on the left._x000D_
_x000D_
Mild swelling of the stifle joints is seen, also more prominent on the left. Clinical relevance in the absence of more specific lameness is unknown. Ligamentous or meniscal injury in the stifles should be ruled out if clinically indicated, with sedated orthopedic exam.</t>
  </si>
  <si>
    <t>Medical management for bilateral hip joint osteoarthritis is recommended._x000D_
Restricted activity and anti-inflammatory therapy for possible lumbar disc disease is also suggested.</t>
  </si>
  <si>
    <t>Three radiographs of the thorax are provided. The majority of the abdomen is included on these views. The cardiac silhouette and pulmonary vessels are normal size and shape. Mild age-related changes are present in the lungs. There is no pleural effusion. Normal tracheal diameter and position. There is mild degenerative change in the caudal aspect of both shoulders. No cubital joint abnormalities are appreciated. No thoracic limb soft tissue swelling. In the abdomen there is no effusion or organomegaly. The gastrointestinal tract is minimally filled. Small volume mineral opaque debris in the distal colon, incidental. No radiopaque urolithiasis. Normal lumbar spine.</t>
  </si>
  <si>
    <t>Bilateral mild shoulder osteoarthritis. This, coupled with soft tissue sprain/strain is the most likely cause for lameness. Normal thorax and abdomen.</t>
  </si>
  <si>
    <t xml:space="preserve">
1.No abnormal AI findings reported._x000D_
2.The liver and spleen are normal._x000D_
3.Detail in the abdomen is adequate._x000D_
4.The stomach is minimally distended with gas and some fluid._x000D_
5.The small intestine is fluid filled and normal in diameter._x000D_
6.The colon is normal.</t>
  </si>
  <si>
    <t>This does not rule out gastritis secondary to dietary indiscretion, inflammatory metabolic etiologies.</t>
  </si>
  <si>
    <t>Opposite lateral and ventrodorsal thoracic and abdominal radiographs (9 images) dated May 20, 2024. The patient is significantly rotated on the lateral views, which may affect interpretation._x000D_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unremarkable in size and shape. The left kidney is normal in size and shape. The right kidney is not clearly visible due to superimposed viscera. The urinary bladder is mildly distended with fluid opacity. There is no radiographic evidence of uterine distention. The stomach is fairly distended with gas. The duodenum is also mildly distended with gas and has a normal course on the left lateral view. The remainder of the small intestine is unremarkable in diameter and course with most segments empty/collapsed and others containing a small amount of fluid and gas. The cecum contains gas. The colon contains normal appearing stool and has a normal course. Retroperitoneal and peritoneal detail are normal. No regional lymphadenopathy is evident._x000D_
_x000D_
No aggressive or clinically significant osseous pathology is identified.</t>
  </si>
  <si>
    <t>Supportive care with fluid rehydration, antiemetics, gastroprotectants/omeprazole, and bland diet.  General health profile (CBC, chemistry, UA, fecal) +/- baseline cortisol to screen for underlying causes. Abdominal ultrasound if the patient fails medical management.</t>
  </si>
  <si>
    <t xml:space="preserve">
1.Abdominal detail is normal._x000D_
2.The liver is mildly enlarged but retains a smooth margin._x000D_
3.Splenic size, shape and margin are normal._x000D_
4.The small bowel is diffusely gas- and fluid-filled without segmental small bowel dilation._x000D_
5.The stomach contains a small amount of gas.</t>
  </si>
  <si>
    <t>10 radiographs that include the thorax, abdomen, spine, pelvis, and proximal forelimbs are provided._x000D_
_x000D_
There is slight narrowing of disc spaces in the caudal cervical spine from C5 to C7. There is slight indistinctness of the vertebral endplates at C6-C7. This appearance is subtle and possibly artifactual. No abnormalities are seen involving the shoulder joints or the scapula. The thoracic and lumbar spine are unremarkable. The pelvis and both hip joints are within normal limits._x000D_
The cardiopulmonary structures are within normal limits. No mass lesions or organomegaly are seen in the abdomen.</t>
  </si>
  <si>
    <t>Disc spaces in the caudal cervical spine appear slightly narrowed. Disc disease is a consideration, but these are mild changes that could also be incidental. A definitive explanation for the forelimb pain cannot be identified in the radiographs._x000D_
The vertebral endplates at C6-C7 have a slightly roughened appearance, but this is subtle enough is to possibly be artifactual. Early should still be ruled out if clinically indicated._x000D_
No other significant orthopedic abnormalities are identified._x000D_
_x000D_
The thorax and abdomen are unremarkable.</t>
  </si>
  <si>
    <t>If there is caudal cervical pain, disc disease or less likely discospondylitis should be ruled out with more advanced imaging such as MRI._x000D_
If pain seems to be localized elsewhere in the forelimb, the mild to space narrowing may be incidental._x000D_
Restricted activity and anti-inflammatory therapy for possible soft tissue injury/inflammation is recommended.</t>
  </si>
  <si>
    <t xml:space="preserve">
1.The hepatic serosal margins are mildly rounded and the liver is mildly enlarged._x000D_
2.Equivocal splenomegaly is present._x000D_
3.The stomach contains a small volume of fluid and gas._x000D_
4.The small bowel contains fluid and gas. No segmental small bowel dilation is noted._x000D_
5.The colon is normal._x000D_
6.No abnormal AI findings reported.</t>
  </si>
  <si>
    <t>Patient name: Bogey Cordell_x000D_
THORAX (2 views, 3 images=ZZ90= [2 lateral, 1 VD]) and ABOMEN (2 views, 8 images=ZZ90= [2 lateral, 6 VD])_x000D_
Images are dated May 20, 2024._x000D_
There are no previous radiographs for comparison. _x000D_
_x000D_
Airway/Pulmonary: The lungs are under-inflated.  Diffusely throughout the lungs, a mild increase in bronchointerstitial opacity is observed.  No distinct soft tissue pulmonary nodules are detected.  Tracheal and mainstem bronchial diameter is normal. _x000D_
_x000D_
Cardiovascular: The cardiac silhouette is small.  Pulmonary vessels are normal in width. _x000D_
_x000D_
Mediastinum: A band of fat is observed dorsal to the sternum.  No lymph node enlargement is detected.  The caudal vena cava is narrowed.  _x000D_
_x000D_
Pleural space: No pleural effusion is seen. _x000D_
_x000D_
Musculoskeletal: No abnormalities detected in the visible musculoskeletal structures._x000D_
_x000D_
ABDOMEN: _x000D_
Liver: The liver is normal in size and shape with smooth margins._x000D_
_x000D_
Spleen: The spleen is enlarged with rounded caudal margins, caudally displacing the small intestines.  _x000D_
_x000D_
Kidneys and urinary bladder: Both kidneys are normal in size and shape with smooth margins. The urinary bladder is moderately fluid distended. No radiopaque urinary calculi are detected. _x000D_
_x000D_
GI: The stomach contains a moderate volume of gas without enlargement.  The small intestines are progressively gas filled and more rigid appearing over the course of the study.  No distinct radiopaque gastrointestinal foreign material is detected. Scant formed feces are noted in the caudal descending colon. _x000D_
_x000D_
Abdominal detail: Serosal detail is decreased with soft tissue opacity streaks superimposing the mid-ventral abdomen.  Within the right craniodorsal abdomen, two thin metal wires are seen superimposing the stomach, spleen, and intestines. _x000D_
_x000D_
MSK: Visible musculoskeletal structures are within normal limits.</t>
  </si>
  <si>
    <t>1) Rounded splenomegaly and poor serosal detail is concerning for splenic mass (e.g.  hemangiosarcoma/hemangioma vs hematoma) with hemorrhage.  _x000D_
2) Progressive small intestinal ileus.  Suspect enteritis secondary to #1._x000D_
3) Microcardia and narrowed caudal vena cava.  Consistent with hypovolemia, also secondary to #1. _x000D_
4) Otherwise normal geriatric thorax without evidence of intra-thoracic neoplasia.   _x000D_
5) The metal wires in the craniodorsal abdomen are consistent with ingestion of a grill brush wires that may have migrated out of the stomach.  This typically represents an incidental finding.</t>
  </si>
  <si>
    <t>Abdominal ultrasound +/- abdominocentesis if a fluid pocket can be identified and safely sampled. An explorative laparotomy after adequate stabilisation may also be considered.</t>
  </si>
  <si>
    <t>Three radiographs of the abdomen are provided. There is no effusion. The stomach contains a moderate amount of soft tissue density that is stippled with gas. Small intestines are diffusely mildly filled with stippled soft tissue density and gas. Moderate volume formed feces in the distal colon. Normal-sized liver, spleen. The kidneys are obscured. No radiopaque urolithiasis. The prostate is mildly enlarged, consistent with the reproductive status of this patient. No osseous abnormalities.</t>
  </si>
  <si>
    <t>Gastric contents appears to be normal ingesta. In light of the history, foreign material causing gastritis is not ruled out but given secondary consideration in the absence of vomiting. Otherwise normal abdomen.</t>
  </si>
  <si>
    <t>Recommend supportive care and repeat abdominal radiographs following a confirmed fasted (at least 12 hours nothing by mouth). Oral administration of barium may provide therapeutic benefit, as well as help rule out gastric foreign material on follow-up imaging.</t>
  </si>
  <si>
    <t>Three radiographs of the abdomen are provided. Images dated 4/17/24 are available for comparison. The liver and spleen are normal size. The kidneys are obscured. Moderate volume gas in the stomach and colon. Small bowel are minimally filled. Gastric axis position is normal. No severe small intestinal distention or radiopaque foreign material. The urinary bladder is distended and soft tissue opaque. Serosal detail is adequate.</t>
  </si>
  <si>
    <t>Normal abdomen. A reason for the clinical signs is not identified.</t>
  </si>
  <si>
    <t xml:space="preserve">
1.Liver size, shape and margin are normal._x000D_
2.Splenic size, shape and margin are normal._x000D_
3.It seems to be mostly in the cranial abdomen, where there is also an ill defined decrease in detail with a mild increase in soft tissue opacity._x000D_
4.There are multiple small bowel loops that are mildly to moderately distended with gas._x000D_
5.There is a loop of intestine that appears as if it may be descending colon but the appearance is also concerning for pathologically distended small intestine.</t>
  </si>
  <si>
    <t>3 views of the abdomen are provided for review.  Serosal detail is adequate in all quadrants.  Linear metallic structures visible in the cranial abdomen are consistent with incidental migrating foreign bodies.  The liver margins are rounded and extend beyond the costal arch, causing caudal displacement of the gastric axis.  The stomach contains a small amount of ingesta.  The small intestines are normal in size.  Gas and feces are present in the colon.  The urinary bladder is small.  The remaining abdominal organs are normal.</t>
  </si>
  <si>
    <t>Opposite lateral and ventrodorsal whole body radiographs (3 images) dated May 20, 2024._x000D_
_x000D_
The cardiac silhouette, pulmonary vasculature, and great vessels are within normal limits. The pulmonary parenchyma is unremarkable with no nodules, infiltrates, or other pathology detected. A large soft-tissue opaque rounded mass effect arises from the right axillary region and resulting in lateral displacement of the right shoulder and medial and caudal displacement of the 1st few right ribs. The 1st right rib is missing, suggestive of the osteolysis. Along the lateral margin of the mass there are wispy soft-tissue striations in the adjacent subcutis, indicative of inflammation/fat stranding. No osteolysis is appreciated with regards to the scapula or humerus. The right lateral cortex of the T1 vertebral body is poorly visualized and is relatively radiolucent in this region, concerning for osteolysis. The trachea, remainder of the pleural space, mediastinum, and diaphragm are normal._x000D_
The liver is normal in size and shape, and there is an ovoid area of granular mineral superimposed with the right liver that represents cholelithiasis. The spleen is unremarkable. Both kidneys are normal in size and shape. The urinary bladder is mildly distended with homogeneous fluid opacity. The stomach contains a mild volume of gas. The small intestine and colon are unremarkable. Retroperitoneal and peritoneal detail are normal. No regional lymphadenopathy is evident. No other osseous abnormalities are detected.</t>
  </si>
  <si>
    <t>1. Large right axillary soft-tissue opaque mass with complete 1st right rib osteolysis and suspected lateral cortical osteolysis of T1 (likely some degree of spinal canal invasion). This is compatible with malignant neoplasia and is primarily concerning for a nerve sheath tumor, or a sarcoma extending up the fascial planes of the nerve roots._x000D_
2. No evidence of pulmonary metastatic neoplasia or concern for metastatic neoplasia in the abdomen._x000D_
3. Gallbladder cholelithiasis. The remainder of the abdomen is unremarkable.</t>
  </si>
  <si>
    <t>Analgesic and anti-inflammatory therapy. Medical and/or radiation oncology consultation discuss palliative treatment options. Assess for neurologic deficits, as the tumor could be affecting brachial plexus and right C8-T2 nerve root function, or even compress the spinal cord and create more caudal deficits.</t>
  </si>
  <si>
    <t>Opposite lateral and ventrodorsal abdominal radiographs (6 images) dated May 20, 2024._x000D_
_x000D_
The liver is normal in size and shape. The stomach is dilated with a large amount of homogeneous soft-tissue/fluid and a smaller volume of gas that is mobile between views. The pyloric antrum is gas-filled on the left lateral view. The spleen has an atypical position in which it curves along the ventral and caudal Condor of the stomach on the lateral views, and the tail is probably visible in the right hemiabdomen whereas the head is not clearly visible in the left hemiabdomen. The spleen is not considered enlarged. Both kidneys are unremarkable in size and shape. The urinary bladder is mildly distended with homogeneous fluid opacity. The small intestine is diffusely empty/collapsed or contains a scant amount of fluid and has a normal course. The colon contains a small amount of poorly formed stool mixed with gas. Retroperitoneal and peritoneal detail are adequate. No regional lymphadenopathy is evident._x000D_
There is caudal thoracic spondylosis deformans without disc space narrowing. The caudal vena cava and cardiac silhouette are unremarkable. The included lung field and pleural space are also unremarkable.</t>
  </si>
  <si>
    <t>1. The appearance of the gastrointestinal tract is most compatible gastroenteritis and colitis. The large amount of mobile soft-tissue/fluid content in the stomach likely represents fluid pooling from a functional gastric stasis=ZZ90= clinically significant foreign material hidden within this fluid is considered less likely, and there is no evidence of a pyloric outflow obstruction._x000D_
2. Atypical positioning of the spleen. I suspect this is an incidental finding, and may be manipulated due to the degree of gastric distention. Splenic torsion is unlikely without evidence of enlargement.</t>
  </si>
  <si>
    <t>Supportive care with fluid rehydration, antiemetics, gastroprotectants/omeprazole, antidiarrheal with probiotics, and bland diet.  General health profile (CBC, chemistry, UA, fecal) +/- spec cPL to screen for underlying causes. Abdominal ultrasound would likely provide more information=ZZ90= it is strongly indicated if the patient fails medical management.</t>
  </si>
  <si>
    <t>Patient name: Lucy Ware_x000D_
THORAX (3 views, 3 images=ZZ90= [2 lateral, 1 VD])_x000D_
Images are dated May 20, 2024._x000D_
There are no previous radiographs for comparison. _x000D_
_x000D_
The patient is rotated with respect to the x-ray beam in the lateral views. _x000D_
The thoracic limbs are partially superimposing the cranial thorax.  _x000D_
_x000D_
Airway/Pulmonary: The lungs are under-inflated. The tracheal diameter is mildly variable in between radiographs. Diffusely throughout the lungs, a moderate increase in bronchointerstitial opacity is observed.  No distinct soft tissue pulmonary nodules are detected.  Tracheal and mainstem bronchial diameter is normal. _x000D_
_x000D_
Cardiovascular: The cardiac silhouette is mildly wide and tall with slight bulging in the region of the left atrium.  Pulmonary vessels are normal in width. _x000D_
_x000D_
Mediastinum: No lymph node enlargement is detected.  The caudal vena cava is normal in height.  _x000D_
_x000D_
Pleural space: Thin pleural fissure lines are observed but no pleural effusion is seen. _x000D_
_x000D_
Cranial abdomen: The liver is moderately enlarged with rounded to lobular margins, resulting in caudal deviation of the gastric axis.  A moderate volume or gas admixed with soft tissue and mineral is observed in the stomach.  Variably the small intestines are mildly dilated with gas, fluid, or soft tissue digesta.   There is a questionable mass effect in the right mid-abdomen, caudoventral to the right kidney.          _x000D_
_x000D_
Musculoskeletal: Mild osteophytosis is seen in both shoulders and hips.</t>
  </si>
  <si>
    <t>1) Moderate diffuse bronchointerstitial pattern.  At least partially due to age, poor aeration, and patient obliquity but some degree if lower airway disease is suspected as the cause of heavy breathing and occasional cough.  Cardiogenic edema is not suspected.  No evidence of pneumonia or intra-thoracic neoplasia. Considering patient=ZZ91=s presentation, dynamic airway collapse such as tracheomalacia should also be excluded._x000D_
2) Mild cardiomegaly with left atrial enlargement.  Consistent with degenerative valvular disease.  _x000D_
3) Questionable right mid-abdominal mass.  May be superimposition of normal small intestine versus mass arising from bowel or lymph node (neoplasia vs abscess/granuloma).   _x000D_
4) Hepatomegaly.  This is a non-specific finding with many differentials including: vascular hyperplasia, infection/inflammation, endocrine/metabolic disease, or neoplasia.   _x000D_
5) Mild shoulder and hip osteoarthrosis.</t>
  </si>
  <si>
    <t>Radiography is insensitive for early cardiac insufficiency, therefore ECG, blood pressure measurements, and echocardiography may be considered for further evaluation, or baseline measurements._x000D_
_x000D_
Respiratory workup including CBC, serum chemistry, urinalysis, Baermann fecal testing, 4DX, +/- respiratory panel as indicated is advised. Consider evaluation for airway collapse (fluoroscopy vs. right lateral inspiratory and expiratory radiographs vs. CT with virtual bronchoscopy)._x000D_
_x000D_
Abdominal ultrasound for further evaluation of abdomen.</t>
  </si>
  <si>
    <t>Orthogonal radiographs of the abdomen are provided. Previous abdominal images are not identified for this patient. There is no peritoneal or retroperitoneal effusion. The stomach contains a small amount of soft tissue density that is stippled with gas. Small intestines are mildly filled with soft tissue and gas. The cecum is gas dilated. Moderate volume formed feces fills the colon. There is no radiopaque foreign material. Round faintly mineral density immediately caudal to the stomach on the lateral view is end-on-on transverse colon. The urinary bladder is minimally filled and soft tissue opaque. The uterus is not identified. Normal-sized liver, spleen, and kidneys. The left patella is medially displaced. Normal caudal thorax.
(amended on 05/21/2024 05:19)
Correction to patient information-the patient is a spayed female. The previous study was under patient last name =ZZ92=Priya=ZZ92=, dated 5/17/24, case ID #266151. The previous study was reviewed and compared to the current study. The soft tissue density within the stomach is a new development, consistent with the patient having a meal prior to the study. The cecum is gas dilated on the recent study. No other changes between the two studies.</t>
  </si>
  <si>
    <t>Normal abdomen. Medial patellar luxation on the left.</t>
  </si>
  <si>
    <t>No specific recommendations based on this study.
(amended on 05/21/2024 05:19)
If the abnormal behavior has continued, fasted abdominal ultrasound should be considered.</t>
  </si>
  <si>
    <t>Four radiographs of the thoracic limbs, and a lateral view of the abdomen are provided previous abdominal images dated 11/4/23 are available for comparison. On the VD projection there is a smoothly irregular round 1.4 cm mineral density overlying the caudal aspect of the left scapula. This is not definitively seen on the lateral view, although a large portion of the left scapula is superimposed on other anatomy. The glenohumeral and cubital joints are congruent and without degenerative change. No abnormalities in the viewable carpus or cervicothoracic spine.</t>
  </si>
  <si>
    <t>Mineral density adjacent to the left scapula on the VD projection may represent superimposed superficial debris or cutaneous nodule. A scapular lesion (dystrophic versus neoplasia) is not ruled out but given lesser consideration acute lameness presentation. No other thoracic limb abnormalities are identified to explain the lameness. Soft tissue sprain/strain or a lateralized intervertebral disc lesion remains possible.</t>
  </si>
  <si>
    <t>Recommend palpate to localize thoracic limb discomfort, and a neurologic examination. Additional focused imaging of the left scapula may be necessary.</t>
  </si>
  <si>
    <t>Three radiographs of the thorax/abdomen, and a VD view of the abdomen are provided. The cardiac silhouette and pulmonary vessels are normal size and shape. There is soft tissue opacity with air bronchograms in the ventral left lungs. Possible severe interstitial pattern overlying the right middle lung lobe on the VD projection. Widened cranial lobar bronchus on the left lateral view. No pleural effusion. Tracheal diameter is adequate. In the abdomen the liver is upper normal size with smooth margins. Normal-sized spleen and kidneys. The gastrointestinal tract is moderately filled. The urinary bladder is not included on the lateral views. No osseous abnormalities.</t>
  </si>
  <si>
    <t>Ventral alveolar pattern consistent with aspiration pneumonia. Cranial lobar bronchiectasis on the right suggestive of chronicity. This may be due to pneumonia of several days versus prior airway disease. The abdomen is normal.</t>
  </si>
  <si>
    <t>Antibiotics are recommended, with follow-up radiographs upon completion (same three views) to monitor for resolution of pneumonia.</t>
  </si>
  <si>
    <t xml:space="preserve">
1.Resource: https://platform.v2.vetology.net/doc/liver_disease_x000D_
2.The spleen is normal._x000D_
3.Serosal detail in the abdomen is normal._x000D_
4.The liver is mildly enlarged._x000D_
5.No abnormalities are identified involving the gastrointestinal tract. The stomach is contains mild gas. Small intestinal bowel loops are normal in size and distribution and have a mixed pattern.  No evidence of obstruction.</t>
  </si>
  <si>
    <t>Five orthogonal radiographs of the abdomen dated 19th May 2024 are available for review. There are no previous radiographs available for comparison. _x000D_
_x000D_
Intra-abdominal findings: The gastric axis is normal. The stomach contains a moderate amount of gas, and some soft tissue opaque material. The pylorus is appropriately gas-filled in the left lateral image. The small intestines are variable in size, some mildly dilated with gas and fluid, whereas others are mainly empty. The descending colon contains formed faeces. The hepatic silhouette is normal in size with smooth borders. The spleen is normal in shape, size and position. The kidneys are partially obscured by gastrointestinal contents, but the visible aspect are normal. The serosal detail is normal. The urinary bladder is small._x000D_
_x000D_
Extra-abdominal findings: No significant abnormalities are detected._x000D_
_x000D_
Included thorax: No significant abnormalities are detected.</t>
  </si>
  <si>
    <t>The 2 populations of small intestines are suspicious for a partially obstructing soft tissue opaque foreign body. Gastroenteritis is likely present. This may be due to dietary indiscretion, or infectious-inflammatory causes. There is no evidence of a mineral opaque foreign body, or complete mechanical obstruction. Pancreatitis cannot be excluded.</t>
  </si>
  <si>
    <t xml:space="preserve">
1.The small bowel is diffusely fluid distended with a mild disparity in small bowel diameter._x000D_
2.Portions of the colon are gas filled and have a rigid appearance._x000D_
3.There is a focal loss of serosal detail in the cranial abdomen on the VD projection._x000D_
4.No abnormal AI findings reported._x000D_
5.The liver and spleen are normal._x000D_
6.The pyloroduodenal is widened and the proximal duodenum contains a mild amount of air._x000D_
7.The gastric lumen contains a mild amount of soft tissue and gas opacity._x000D_
8.The gastric rugae are prominent.</t>
  </si>
  <si>
    <t>Opposite lateral and ventrodorsal abdominal radiographs (3 images) dated May 19, 2024._x000D_
_x000D_
The liver and spleen are unremarkable in size and shape. The stomach contains a small volume of gas. The small intestine has a mild variation in diameter with multiple segments having an irregular linear coalescing gas pattern. The cecum and colon contains gas. Both kidneys are normal in size and shape. The urinary bladder is moderately distended with fluid. Retroperitoneal and peritoneal detail are normal. No regional lymphadenopathy is evident._x000D_
The left patella is more caudal in position than expected on the left lateral view, suspicious for patellar luxation.</t>
  </si>
  <si>
    <t>1. Non-obstructive gastroenteritis +/- colitis.  Rule out dietary indiscretion or toxin vs. food allergy/intolerance vs. flareup of a chronic enteropathy (ex: IBD) vs. GI infectious vs. systemic/extra GI causes (liver or kidney injury/disease, pancreatitis, endocrine disorder, systemic infection, non-GI neoplasia)._x000D_
2. Suspect left stifle patellar luxation.</t>
  </si>
  <si>
    <t>Supportive care with fluid rehydration, antiemetics, gastroprotectants/omeprazole, and bland diet.  General health profile (CBC, chemistry, UA, fecal) could be considered to screen for underlying causes.  Repeat fasted abdominal radiographs or ultrasound if the patient fails medical management.</t>
  </si>
  <si>
    <t xml:space="preserve">
1.No abnormal AI findings reported._x000D_
2.The liver and spleen are normal for size._x000D_
3.There is also gas and fluid distention of the cecum and the entire length of the colon._x000D_
4.View GI resource: https://platform.v2.vetology.net/doc/GI_x000D_
5.Abdominal detail is normal._x000D_
6.The stomach is mildly gas and fluid dilated._x000D_
7.There is gas and mild fluid dilation noted within the descending duodenum._x000D_
8.The small bowel contains gas and fluid but is largely normal in diameter throughout.</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</si>
  <si>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No signs of ventral, dorsal or circumferential swelling or cellulitis._x000D_
_x000D_
Abdomen:_x000D_
_x000D_
The stomach is distended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Visible spine is unremarkable without signs of disc herniation, aggressive bone lesions, vertebral fractures or subluxations. No abnormalities seen between T8-T10._x000D_
Unremarkable pelvis.</t>
  </si>
  <si>
    <t>1) Unremarkable thorax without signs of pulmonary metastases nor signs of thoracic lymphadenopathy._x000D_
2) Unremarkable abdomen and spine.</t>
  </si>
  <si>
    <t>Consider abdominal US and full neuro exam with MRI if necessary to further evaluate the clinical presentation.</t>
  </si>
  <si>
    <t xml:space="preserve">
1.The stomach is mildly gas and fluid filled with some soft tissue density material. The small bowel is gas and fluid-containing. No findings of obstruction._x000D_
2.Abdominal detail is within normal limits._x000D_
3.The liver and spleen are normal._x000D_
4.No abnormal AI findings reported.</t>
  </si>
  <si>
    <t>Orthogonal views of the thorax and abdomen are provided:_x000D_
_x000D_
Thorax:_x000D_
_x000D_
Cardiac silhouette has a normal shape and size, shifted to the right side due to positional atelectasis._x000D_
Pulmonary vessels are within normal limits of size and shape._x000D_
Pulmonary parenchyma is within normal limits. _x000D_
Pleural space, mediastinum, diaphragm and thoracic wall within normal limits._x000D_
_x000D_
Abdomen:_x000D_
_x000D_
The stomach is empty with mineral traces in the pyloric antrum._x000D_
Small intestines are mildly gas and fluid filled, not overtly distended. _x000D_
Serosal detail is preserved._x000D_
Liver and spleen are within normal limits of size and smoothly marginated._x000D_
Kidneys and urinary bladder WNL._x000D_
_x000D_
Visible spine is unremarkable without signs of disc herniation, aggressive bone lesions, vertebral fractures or subluxations.</t>
  </si>
  <si>
    <t>Consider CBC and abdominal US to further evaluate causes of fever.</t>
  </si>
  <si>
    <t xml:space="preserve">
1.The liver is mildly enlarged._x000D_
2.The spleen is within normal limits._x000D_
3.No abnormal AI findings reported._x000D_
4.The stomach contains fluid and ingesta. No small bowel segmental dilation is noted.</t>
  </si>
  <si>
    <t>Study:_x000D_
Abdominal radiography: four images dated May 19, 2024_x000D_
_x000D_
Findings:_x000D_
The stomach contains unstructured heterogeneous/granular soft tissue material. Similar material is present in a small intestinal segment in the mid abdomen. The small intestines are normal in size and course. The colon contains gas and poorly formed fecal material. The liver and spleen are normal in size and margin. The renal silhouettes are normal in size and contour. The urinary bladder is normal in size and opacity. The included thorax is normal. No skeletal abnormalities present.</t>
  </si>
  <si>
    <t>Gastrointestinal contents likely represent ingesta. Foreign material cannot be completely excluded. The abdomen is otherwise unremarkable. There is no evidence of small intestinal mechanical obstruction.</t>
  </si>
  <si>
    <t>Opposite lateral and ventrodorsal abdominal radiographs (4 images) dated May 18, 2024._x000D_
_x000D_
The liver and spleen are unremarkable in size and shape. The stomach is fairly centered with gas and a similar amount of homogeneous soft-tissue/fluid content. The pyloric antrum is mostly gas-filled on the left lateral view. The small intestine is uniformly and mildly distended with fluid, and to a lesser extent, gas. The colon contains gas and is suspected contains poorly formed stool as well. The cecum is gas distended. Both kidneys are normal in size and shape. The urinary bladder is small and fluid opaque retroperitoneal and peritoneal detail are adequate. No regional lymphadenopathy is evident. The included caudal thorax and juvenile osseous structures are unremarkable.</t>
  </si>
  <si>
    <t>The appearance of the GI tract is most compatible with gastroenteritis +/- colitis.  There is no evidence of a small intestinal mechanical obstruction. The small amount of mobile gastric soft tissue content likely represents residual fluid pooling or ingesta from a functional gastric stasis=ZZ90= clinically significant foreign material is less likely. Rule out dietary indiscretion or toxin vs. GI infectious vs. food allergy/intolerance vs. less likely systemic/extra GI causes (liver or kidney injury/disease, endocrine disorder, systemic infection).</t>
  </si>
  <si>
    <t>Supportive care with fluid rehydration, antiemetics, gastroprotectants/omeprazole, and bland diet.  General health profile (CBC, chemistry, UA, fecal), parvo testing to screen for underlying causes.  Repeat fasted abdominal radiographs or ultrasound if the patient fails medical management.</t>
  </si>
  <si>
    <t xml:space="preserve">
1.The descending colon contains mainly fluid opaque material._x000D_
2.The hepatic silhouette is normal._x000D_
3.The spleen is normal for size, shape and margin._x000D_
4.Abdominal detail is normal._x000D_
5.There is a moderate amount of fluid and gas within the stomach._x000D_
6.The stomach has a normal axis._x000D_
7.The small intestines are homogenously fluid-filled, and mildly dilated._x000D_
8.The colon is gas-filled.</t>
  </si>
  <si>
    <t>A pelvic extended vd and lateral image and two mediolateral images centered on the stifle joints dated 18th May 2024 are available for review. There are no previous radiographs available for comparison. Three additional thoracic and thoracic limb radiographs are not included in the review. The stifle radiographs are severely overexposed, limiting interpretation._x000D_
_x000D_
Pelvis: There is multisite ventral spondylosis of the lumbar vertebral column. The intervertebral disc width is normal. The vertebral and plates are smooth. There is bridging spondylosis deformans at the lumbosacral junction, with mild narrowing of the intervertebral disc dorsally. There is severe bilateral degenerative modelling of the coxofemoral joints including collapse of the joint space on the presumed left (no laterality markers), and widening on the right, severe cranial acetabular sclerosis and osteophyte formation, and modelling of the femoral heads. Dystrophic mineralisation of the joint capsule on the left is also present. The L7 vertebral body is transitional._x000D_
_x000D_
Joints and long bones: Overexposure does not allow interpretation of the soft tissues of the stifle joints. There is osteophytic remodelling of the distal and proximal aspect of the patella, proximal and distal trochlear ridges, fabella, medial and lateral tibial plateau, and axial margins of the femoral condyles of both stifle joints.there is cranial translation of the left tibial plateau relative to the femoral condyles. There is mild cranial translation of the right tibial plateau relative to the femoral condyles._x000D_
_x000D_
Soft tissues: The caudal thigh musculature is poor.</t>
  </si>
  <si>
    <t>1. Bilateral coxofemoral osteoarthritis secondary to chronic hip dysplasia, with collapse on the left side._x000D_
2. Bilateral likely complete cranial cruciate ligament tearing, or other intra-articular soft tissue pathology, with secondary severe osteoarthritis._x000D_
3. Incidental transitional sacroiliac joints._x000D_
4. Secondary pelvic muscle atrophy.</t>
  </si>
  <si>
    <t>Correlate with manipulative testing under sedation or anaesthesia for presence of cranial cruciate ligament tearing. Depending on outcome, and orthopaedic consultation, or continued medical management may be considered._x000D_
Lifelong management including keeping the patient at an appropriate weight and feeding a healthy diet +/- joint supplementation is recommended. Recommend activity restriction with acute lameness and slow return to function. Medical management is likely necessary with acute lameness. Labwork should be checked consistently when undergoing medical management. Physical therapy and low impact exercise (i.e. water treadmill or other) can be employed to strengthen and build muscle.</t>
  </si>
  <si>
    <t>Study:_x000D_
Abdominal radiography: four images dated May 18, 2024_x000D_
_x000D_
Findings:_x000D_
The abdominal serosal detail is normal. The stomach contains a small volume of gas with the pylorus appropriately gas-filled on the left lateral image. The small intestines are diffusely gas and fluid-filled and normal in size and course. The colon contains gas and poorly formed fecal material. The liver and spleen are normal in size and margin. The renal silhouettes are normal in size and contour. The included thorax is normal. The osseous structures are unremarkable/age appropriate.</t>
  </si>
  <si>
    <t>The diffusely gas and fluid-filled nature of the small intestines may indicate nonspecific enteritis. The abdomen is otherwise unremarkable. There is no radiographic evidence of gastrointestinal foreign material or small intestinal mechanical obstruction. Abdominal sonography can be considered for further evaluation if clinical signs persist or worsen in spite of medical management.</t>
  </si>
  <si>
    <t xml:space="preserve">
1.The liver is normal in shape, size and opacity._x000D_
2.The spleen is visible and within normal limits._x000D_
3.There is a mildly reduced cranial abdominal serosal detail._x000D_
4.The small intestines are mildly dilated with a mixture of gas and fluid, and have a mild turgid appearance._x000D_
5.The ascending, transverse and descending colon contain gradually more formed faeces._x000D_
6.The stomach has a normal axis, with subjectively thickened mucosal folding.</t>
  </si>
  <si>
    <t>Orthogonal views of the thorax and abdomen are provided:_x000D_
_x000D_
Thorax:_x000D_
_x000D_
Cardiac silhouette shows a mild enlargement of the left atrium dorsally displacing the carina._x000D_
Pulmonary vessels are within normal limits of size and shape._x000D_
Pulmonary parenchyma shows a most likely age related interstitial lung pattern._x000D_
Pleural space, mediastinum, diaphragm and thoracic wall within normal limits._x000D_
_x000D_
Abdomen:_x000D_
_x000D_
The stomach gas filled._x000D_
Small intestines are mildly gas and fluid filled, not overtly distended. _x000D_
Serosal detail is questionably decreased._x000D_
Liver and spleen are within normal limits of size and smoothly marginated._x000D_
Kidneys and urinary bladder WNL._x000D_
_x000D_
Visible spine is unremarkable without signs of disc herniation, aggressive bone lesions, vertebral fractures or subluxations.</t>
  </si>
  <si>
    <t>1) Left atrial enlargement secondary to chronic mitral endocardiosis without signs of CHF._x000D_
2) Rule out scant effusion.</t>
  </si>
  <si>
    <t>Consider a cardiology consultation with ECG and echocardiogram and abdominal US.</t>
  </si>
  <si>
    <t xml:space="preserve">Patient Name: Reina Escalante, Date of study: May 18, 2024
3 images are provided for review
There are no previous radiographs for comparison. Abdomen evaluation has been requested.
Abdomen findings:
Liver: The liver is mildly enlarged but retains a smooth margin. 
Spleen: The spleen is caudally displaced by the gastric distention but splenic size is normal and no splenic mass is noted. 
Kidneys and urinary bladder: On the lateral projection, the kidneys are towards the upper limit of normal to mildly enlarged. The left kidney appears normal on the VD projection. The right renal silhouette is poorly visualized. The urinary bladder is moderately distended. No overt radiopaque calculi are noted. 
GI: The stomach is gas distended. The majority of the small bowel is normal with a gas distended proximal duodenum and a single gas distended bowel loop in the left caudal abdomen on the VD projection. The colon is moderate distended with normal feces. 
Mesentery: On the left lateral projection, a soft tissue mass is noted caudal to the stomach causing caudoventral displacement of the colon. The abdomen is distended but abdominal detail ventral to the stomach on the right lateral projection is focally decreased. On the VD projection, a lipoma is present in the left caudal abdomen which may be associated with the spleen. 
Caudal thorax: The cardiac silhouette is enlarged with a suspected soft tissue mass in the heart base. The CVC is distended. Alveolar infiltrates are present in both lung lobes. 
Msk: The T11 pedicle has a mottled appearance. Several T-L disc spaces are narrowed but no disc space is collapsed. Caudal lumbar and L-S ventral spondylosis is present. Bilateral hip arthritis and patella luxation are present. Cranioventral abdominal wall mixed soft tissue and fat opacity mass is present with organized mineralization at the caudodorsal margin of this mass. </t>
  </si>
  <si>
    <t xml:space="preserve">1) Heart base mass with pericardial effusion or causing pulmonary artery obstruction. Enlarged CVC. Concurrent pneumonia. Collectively, these findings can explain the clinical signs.
2) Potential splenic head mass with regional decrease in abdominal detail. Rule out hemangiosarcoma associated with the heart base mass. 
3) Segmental small bowel dilation. Functional ileus suspected over mechanical obstruction.
Other:
4) Caudal abdominal wall mixed soft tissue and fat opacity mass with organized mineralization at the caudodorsal margin of this mass consistent with a lipoma +/- calcification within the lipoma or mammary neoplasia. 
5) Mottled appearance to T11 of unknown significance. Chronic IVDD affecting the lumbar spine. </t>
  </si>
  <si>
    <t xml:space="preserve">AFAST and TFAST to confirm suspected heart base mass, pericardial effusion, splenic mass and abdominal fluid vs. referral for abdominal and cardiac ultrasounds. Abdominal fluid collection if possible, to assess for hemoabdomen. Can consider pericardiocentesis if present, with the understanding that any bleeding heart base or right auricular mass may continue hemorrhaging resulting in a hemothorax after a pericardiocentesis hole has been made.  
Bloodwork if not already performed prior to radiographs including liver values, platelet count and PCV prior to pericardiocentesis. 
Referral to emergency/specialty for continued care and treatment if owners want to pursue additional diagnostics vs. discuss euthanasia if hemangiosarcoma with current hemorrhage is identified. </t>
  </si>
  <si>
    <t>Study:_x000D_
Thoracic/abdominal radiography: six images dated May 18, 2024_x000D_
_x000D_
Findings:_x000D_
The cardiac silhouette and pulmonary vasculature are normal in size. The pulmonary parenchyma is unremarkable. The pleural space is normal. There is no intrathoracic lymphadenopathy. The larynx is normal. The trachea is normal in diameter and course. The stomach and some small intestinal segments contain unstructured heterogeneous/granular soft tissue material presumed to be ingesta. The small intestines are normal in size and course. The colon contains formed fecal material. The liver and spleen are normal in size and margin. The renal silhouettes are normal in size and contour. The urinary bladder is normal in size and opacity. There is no prostatomegaly. No skeletal abnormalities are present._x000D_
_x000D_
A human digit is present in the primary beam on the VD views.</t>
  </si>
  <si>
    <t>1. Normal thorax. There is no radiographic evidence of cardiopulmonary disease. A cause of coughing is not evident. Lack of a definitive bronchial pulmonary pattern does not exclude the possibility of allergic/inflammatory, infectious, irritant or parasitic bronchitis. Normal diameter of the trachea does not exclude the possibility of dynamic airway disease. Sedated laryngeal exam, airway sampling, infectious respiratory disease PCR testing, fluoroscopy plus/minus heartworm testing and Baermann fecal flotation can be considered to further evaluate the reported coughing._x000D_
2. Postprandial gastrointestinal tract=ZZ90= otherwise, unremarkable abdomen.</t>
  </si>
  <si>
    <t>Study:_x000D_
Thoracic radiography: three images dated May 18, 2024_x000D_
A lateral projection of the right thoracic limb is also present in the study._x000D_
_x000D_
Findings:_x000D_
The cardiac silhouette is normal in size and shape. There is mild enlargement of the lobar arteries. There is a moderate generalized bronchial pulmonary pattern. The pleural space is normal. There is no intrathoracic lymphadenopathy. The trachea is normal in diameter. The stomach contains unstructured heterogeneous soft tissue material and multiple mineral opacities measuring up to 1.2 cm. The remainder the included abdomen is unremarkable. There is narrowing of the L1-L2 and L2-L3 intervertebral disc spaces with mild to moderate spondylosis deformans. Mild periarticular bone formation is present at the caudodistal aspect of the left humeral head and infraglenoid tubercle of the left scapula. The right shoulder and elbow joints are normal. The bones of the right carpus and manus are unremarkable.</t>
  </si>
  <si>
    <t>1. Pulmonary arterial enlargement. Rule out pulmonary hypertension versus heartworm disease. Consider heartworm testing and echocardiography for further evaluation._x000D_
2. The moderate generalized bronchial pulmonary pattern may indicate allergic, inflammatory, infectious, parasitic or irritant bronchitis. Airway sampling, heartworm testing and Baermann fecal flotation can be considered for further evaluation._x000D_
3. The mineral opacities in the stomach may indicate dietary indiscretion. The  heterogeneous soft tissue material in the stomach likely indicates ingesta. Foreign material cannot be completely excluded. Repeat fasted radiography can be considered to ensure gastric emptying if clinically relevant._x000D_
4. L1-L2 and L2-L3 intervertebral disc disease. Correlate with any spinal pain and/or proprioceptive deficits._x000D_
5. Mild left shoulder osteoarthrosis._x000D_
6. There is no radiographic evidence of traumatic injury.</t>
  </si>
  <si>
    <t xml:space="preserve">
1.Splenic size, shape and margin are normal._x000D_
2.The stomach is normal. The small bowel contains gas and fluid but no segmental small bowel dilation is noted._x000D_
3.Abdominal detail is normal however the abdomen is mildly pendulous._x000D_
4.The liver is mildly enlarged but with smooth margins. No liver mass is noted.</t>
  </si>
  <si>
    <t>Orthogonal views of the thorax and abdomen are provided:_x000D_
_x000D_
Thorax:_x000D_
_x000D_
Cardiac silhouette shows a suspicious mild enlargement of the left atrium dorsally displacing the carina._x000D_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WNL._x000D_
In the left inguinal region there is an inguinal hernia with at least two tubular structures penetrating from the caudal abdomen with heterogeneous opacity in the hernia._x000D_
_x000D_
Multifocal signs of chronic IVDD.</t>
  </si>
  <si>
    <t>1) Rule out left atrial enlargement secondary to chronic mitral endocardiosis without signs of CHF._x000D_
2) Left inguinal hernia with herniated uterine horns or small intestines with inflammatory process or free fluid in the hernia.</t>
  </si>
  <si>
    <t>Consider abdominal and left inguinal hernia US with centesis, evaluating the uterus and the small intestines. Consider also a cardiology consultation with ECG and echocardiogram.</t>
  </si>
  <si>
    <t xml:space="preserve">
1.The liver is moderately enlarged with sharp, caudal margins._x000D_
2.The spleen is normal._x000D_
3.The gastric lumen contains a mild amount of soft tissue and gas opacity._x000D_
4.The small intestine is a uniform population size and is diffusely of soft tissue opacity with a small amount of gas throughout._x000D_
5.The colon contains a moderate amount of formed, heterogenous fecal material caudally._x000D_
6.No abnormal AI findings reported.</t>
  </si>
  <si>
    <t>Study:_x000D_
Thoracic and abdominal radiography: seven images dated May 18, 2024_x000D_
_x000D_
Findings:_x000D_
There is bilateral pleural effusion, mild on the left and moderate on the right. There is associated reduced lung volume/atelectasis on the right. No pulmonary nodules or masses are present. The cardiac silhouette and pulmonary vasculature are normal in size. There is no apparent intrathoracic lymphadenopathy. There is a moderate amount of peritoneal effusion. A thin linear metallic opacity is present in the mesentery of the left mid abdomen. The stomach contains a small volume of gas with the pylorus appropriately gas-filled on the left lateral image. The small intestines are normal in size, course and content. The colon contains a small volume of gas and a small amount of poorly formed fecal material. The liver and spleen are normal in size and margin. The renal silhouettes are normal in size and contour. The urinary bladder is normal in size and opacity. There is no prostatomegaly. There is mild L1-L2 and severe L7-S1 spondylosis deformans. Moderate periarticular new bone formation is present at the craniolateral margin of the acetabulum bilaterally. Two metallic pellet ballistics present adjacent to the right femur.</t>
  </si>
  <si>
    <t>1.  Non-specific bicavitary effusion. Differentials include infection, inflammation, bile peritonitis and pleuritis, pancreatitis, cardiac disease (less likely in the absence of any cardiomegaly), neoplasia, hypoproteinemia, coagulopathy and nonneoplastic liver disease. Abdominal sonography, abdominocentesis and cPLI testing should be considered for further evaluation._x000D_
2. Perineal wire foreign body. This is a relatively common incidental finding._x000D_
3. Moderate bilateral coxofemoral osteoarthrosis.</t>
  </si>
  <si>
    <t>Three radiographs of the thorax, and two views of the abdomen are provided. Images dated 5/27/23 are available for comparison. The cardiac silhouette and pulmonary vessels are normal size and shape. There are faint bronchial markings consistent with age. No interstitial infiltrates, pulmonary nodules, or pleural effusion. Normal tracheal diameter. Small volume fluid in the caudal esophagus is transient and incidental. The laryngeal region is normal._x000D_
_x000D_
In the abdomen the gastrointestinal tract is mildly filled. Several punctate mineral densities in the stomach and colon are likely incidental. There is no effusion. Normal-sized kidneys, spleen, liver. No radiopaque urolithiasis. Osseous structures are unremarkable.</t>
  </si>
  <si>
    <t>Normal thorax and abdomen. There is no evidence of cardiovascular disease. A small valvular regurgitant jet can result in a relatively loud murmur.</t>
  </si>
  <si>
    <t xml:space="preserve">
1.No abnormal AI findings reported._x000D_
2.There is small-volume gas and soft tissue density present within the stomach._x000D_
3.The liver and spleen appear within normal limits for size._x000D_
4.Small intestines are diffusely mildly filled with gas and fluid._x000D_
5.Formed feces is present in the descending colon._x000D_
6.Serosal detail is normal.</t>
  </si>
  <si>
    <t>Orthogonal views of the abdomen are provided:_x000D_
_x000D_
Abdomen:_x000D_
_x000D_
The stomach is empty._x000D_
Small intestines are fluid filled, not overtly distended. No signs of mechanical ileus._x000D_
Unformed feces in the colon._x000D_
Serosal detail is preserved._x000D_
Liver and spleen are within normal limits of size and smoothly marginated._x000D_
Kidneys and urinary bladder WNL.</t>
  </si>
  <si>
    <t>1) Unformed feces in the colon. Rule out gastroenterocolitis of allergic/inflammatory/idiopathic origin vs pancreatitis vs IBD flare up vs gastroenterocolitis secondary to dietary indiscretion/diet change.</t>
  </si>
  <si>
    <t>Consider abdominal US for further evaluation of the GI signs.</t>
  </si>
  <si>
    <t>Study:_x000D_
Spinal radiography (including the thorax and abdomen): five images dated May 18, 2024_x000D_
_x000D_
Findings:_x000D_
The T 12-T 13 intervertebral disc space appears mildly narrowed on both lateral projections. The remainder the spine is unremarkable. There is no evidence of discospondylitis. There are no vertebral fractures or luxations. The coxofemoral joints are normal. The included appendicular skeletal structures are unremarkable. The cardiac silhouette and pulmonary vasculature are normal in size. The pulmonary parenchyma is unremarkable. The pleural space is normal. There is no intrathoracic lymphadenopathy. The trachea is normal in diameter and course. The stomach contains a small amount of unstructured heterogeneous soft tissue material presumed to be ingesta. The small intestines are normal in size, course and content. The colon contains formed fecal material. The liver is small with associated cranial rotation of the gastric axis. The spleen is normal in size and margin. The kidneys are normal in size and contour. The urinary bladder is normal in size and opacity. There is no uterine dilation.</t>
  </si>
  <si>
    <t>1. The T 12-T 13 intervertebral disc space narrowing could indicate intervertebral disc disease or may be artifact created by patient positioning and beam distortion. Neurology consultation and MRI can be considered for further evaluation of the patient=ZZ91=s clinical signs persist or worsen in spite of strict activity restriction and pain management._x000D_
2. Microhepatia is likely a normal variant in the absence of any liver enzyme abnormalities. A vascular anomaly or chronic hepatitis/cirrhosis cannot be completely excluded._x000D_
3. Normal thorax.</t>
  </si>
  <si>
    <t xml:space="preserve">
1.The stomach is minimally distended with minimal heterogeneous material._x000D_
2.The small intestine is both fluid and gas filled and mildly distended, but no obstructive lesion is identified._x000D_
3.There is gas and some fecal material within the colon._x000D_
4.No abnormal AI findings reported._x000D_
5.No abnormal AI findings reported._x000D_
6.The liver and spleen are normal in size.</t>
  </si>
  <si>
    <t>Nine radiographs are provided, with images of the thorax, proximal thoracic limbs, abdomen, proximal pelvic limbs. There is mild to moderate left atrial enlargement. Cardiac to thoracic ratio and pulmonary vessel size is normal. There are no abnormalities in the pulmonary parenchyma. No pleural effusion. Normal tracheal diameter and cranial mediastinal width. There is mild degenerative change in both shoulders and elbows. No cervicothoracic spinal abnormalities._x000D_
_x000D_
In the abdomen the liver is upper normal size with smooth margins. Normal size kidneys. The spleen is obscured. The gastrointestinal tract and urinary bladder are minimally filled. No radiopaque urolithiasis. Normal lumbar spine. Previous femoral head ostectomy on the right. The left coxofemoral joint is congruent. Patellar location is normal. There is hazy soft tissue density overlying the cranial aspect of the right stifle joint. Well delineated soft tissue density overlying the left stifle is superimposed skinfold. No tarsal abnormalities.</t>
  </si>
  <si>
    <t>1. Mild to moderate left atrial enlargement consistent with acquired mitral valve disease. There is no pulmonary venous congestion or pulmonary edema. Otherwise normal thorax._x000D_
2. Mild right stifle effusion suggestive of cranial cruciate ligament insult. It is unknown at this is the limb on which the patient is lame. This should be correlated with palpation. No left stifle joint abnormalities. Normal left coxofemoral joint, previous right FHO._x000D_
3. Bilateral mild shoulder and elbow osteoarthritis.</t>
  </si>
  <si>
    <t>An echocardiogram should be considered to obtain baseline measurements and help guide treatment. If the patient has severe right pelvic limb lameness and palpable stifle instability, surgical stabilization would be recommended.</t>
  </si>
  <si>
    <t>Nine radiographs are provided, with images of the thorax and thoracic limbs. The cardiac silhouette and pulmonary vessels are normal size and shape. Mild age-related changes are present in the lungs. There is no pleural effusion. Adequate tracheal diameter. Metal opaque wire-like 1.5 cm object in the cranioventral right abdomen is likely incidental chronic migrated gastric foreign material The viewable abdomen is otherwise unremarkable. Cervical spinal abnormalities. There is mild enthesophyte formation on the caudal aspect of both shoulders. Humeral cortical and medullary opacity is normal. The cubital joints are congruent and without degenerative change. Carpal bone alignment is normal. No metacarpal or phalangeal osseous or soft tissue abnormalities. No radiopaque foreign material.</t>
  </si>
  <si>
    <t>Bilateral mild shoulder osteoarthritis. This, coupled with soft tissue sprain/strain may be responsible for discomfort. No other thoracic limb abnormalities are identified to explain the lameness. Other soft tissue sprain/strain or a lateralized intervertebral disc lesion should be considered. The thorax is normal.</t>
  </si>
  <si>
    <t>With the lack of improvement despite conservative treatment, soft tissue imaging of the cervical spine and thoracic limb with MRI should be considered.</t>
  </si>
  <si>
    <t>Right lateral and ventrodorsal abdominal radiographs (2 images) dated May 18, 2024._x000D_
_x000D_
_x000D_
The liver and spleen are normal in size and shape. The stomach contains a mild volume of gas and a small amount of amorphous homogeneous soft-tissue/fluid content. The cecum and colon are variably distended with gas and contain a small amount of soft-tissue/fluid. The small intestine is unremarkable in diameter and course with most segments empty/collapsed or containing a small amount of fluid. The left kidney is normal in size and shape. The right kidney is partially visible with no abnormalities detected. The urinary bladder is small and fluid opaque. Retroperitoneal and peritoneal detail are adequate. No regional lymphadenopathy is evident._x000D_
No osseous abnormalities are identified. The included caudal thorax is unremarkable.</t>
  </si>
  <si>
    <t>The appearance of the gastrointestinal tract is most compatible gastroenteritis and colitis. There is no evidence of a small intestinal mechanical obstruction. The small amount of soft-tissue/fluid in the stomach likely reflects residual ingesta=ZZ90= clinically significant foreign material is less likely.</t>
  </si>
  <si>
    <t>3 views of the abdomen are provided for review.  Serosal detail is adequate in all quadrants.  The stomach contains a small amount of mottled soft tissue material.  The small intestines are normal in size.  Gas and feces with angular mineral opaque structures are present in the colon.  The urinary bladder is small.  The remaining abdominal organs are normal.</t>
  </si>
  <si>
    <t>Material within the stomach may represent residual ingesta or foreign material.  Colonic mineral foreign material without current evidence of intestinal obstruction.</t>
  </si>
  <si>
    <t xml:space="preserve">
1.No abnormal AI findings reported._x000D_
2.Small intestines are minimally filled. No small intestinal segmental dilation is noted._x000D_
3.The liver and spleen are normal size._x000D_
4.In the abdomen the stomach contains small volume gas, soft tissue and mildly prominent rugae._x000D_
5.The right cranial quadrant has a hazy appearance on the VD projection otherwise serosal detail is adequate._x000D_
6.The colon contains gas and scant semiformed feces.</t>
  </si>
  <si>
    <t>Abdomen: There is no evidence of a gastrointestinal foreign body or obstruction.  There is rounding of the caudal ventral margins of the liver.  On the lateral view there is faint mineralization superimposed over the cranial ventral portions of the liver.  There is a mineral opacity (gravel?)  Within the descending colon.  The spleen is unremarkable.  There are no abnormalities involving the visible portions of the urinary tract.  Serosal detail is normal.  There are multiple regions of spondylosis deformans.</t>
  </si>
  <si>
    <t>Diffuse hepatomegaly._x000D_
_x000D_
The mineralization superimposed over the liver most likely represents sediment/small calculi within the gallbladder.</t>
  </si>
  <si>
    <t>In light of clinical history as well as the appearance of the liver, consider abdominal ultrasound for further evaluation.</t>
  </si>
  <si>
    <t xml:space="preserve">
1.The abdomen is pendulous._x000D_
2.Moderate volume ingesta fills the stomach._x000D_
3.No intestinal abnormalities are appreciated._x000D_
4.The cecum is gas filled._x000D_
5.The liver is enlarged._x000D_
6.Splenic size, shape and margin are normal.</t>
  </si>
  <si>
    <t>6 images of the spine are provided for review.  The pelvic limbs are not requested to be reviewed.  No fractures, luxations, or aggressive osseous lesions are seen.  Hemivertebrae are present in the mid thoracic and caudal spine.  No mineralized intervertebral discs or consistently narrowed intervertebral disc spaces are seen.  The coxofemoral joints are congruent.  The soft tissue structures included are normal.</t>
  </si>
  <si>
    <t>Congenital hemivertebrae.  This does not rule out intervertebral disc herniation or other causes of spinal cord compression.</t>
  </si>
  <si>
    <t xml:space="preserve">
1.Abdominal detail is normal._x000D_
2.The liver is mildy enlarged._x000D_
3.Splenic size, shape and margin are normal._x000D_
4.The stomach is normal. The small bowel is diffusely gas- and fluid-filled without segmental small bowel dilation.</t>
  </si>
  <si>
    <t>Patient Name : Chiquita McBurney, Date of study: May 17, 2024
7 images are provided for review
There are no previous radiographs for comparison.
Findings:
Cardiac silhouette: There is mild enlargement and rounding of the right heart which creates a reverse D shape on the VD image.
Pulmonary vessels: Right and left caudal pulmonary arteries are mildly enlarged compared to the corresponding veins. The cranial lobar vessels are normal.
Pulmonary parenchyma: There is a diffuse bronchointerstitial pulmonary pattern which is most conspicuous at the level of the hilus. There is a linear mineral opacity (1.9 cm in length) in the dorsal aspect of the right caudal lung lobe.
Pleural space: The pleural space is within normal limits.
Mediastinum: The mediastinum is normal in width and opacity.
Trachea: The trachea is normal in diameter and course.
Esophagus: The region of the esophagus is unremarkable.
Gastrointestinal tract: The stomach is mildly distended with heterogeneous ingesta admixed with gas. The small intestine is diffusely normal in diameter and is primarily soft tissue opaque. There is loosely formed feces in the descending colon.
Liver: Cranial to the pylorus there are several variably sized gas foci superimposed with the liver. This gas is not identified on the VD views, possibly due to superimposition with the stomach. The liver is moderately enlarged and rounded in margination.
Spleen: The spleen is unremarkable.
Urinary: The kidneys are normal in size, shape, and margination. The urinary bladder is small in size and normal in opacity.
Peritoneal space: There is adequate serosal detail.
Musculoskeletal: The included skeletal and superficial soft tissue structures of the study are normal.</t>
  </si>
  <si>
    <t>1. Moderate hepatomegaly with suspected hepatic gas (versus superimposed gastrointestinal gas). Intrahepatic gas is most concerning for a hepatic abscess. A necrotic mass is also considered.
2. Mild right-sided cardiomegaly. This is most likely secondary to heartworm disease given the previous diagnosis.
-There is no evidence of left-sided congestive heart failure.
3. Diffuse bronchointerstitial pulmonary pattern with a dorsal linear mineral opacity in the right caudal lung lobe.
-Differential diagnoses include pneumonitis from heart worms, non-cardiogenic pulmonary edema, fibrosis from prior disease/age-related changes, and/or chronic infectious/inflammatory lower airway disease.  
-There is no evidence of pneumonia.
-The mineral focus in the right caudal lung may represent bronchial mineralization or an inhaled foreign body. 
4. Normal gastrointestinal tract without evidence of mechanical ileus.</t>
  </si>
  <si>
    <t xml:space="preserve">An abdominal ultrasound or CT (pre- and post-contrast) is recommended to confirm or refute the presence of a hepatic abscess. 
Treatment for heartworm disease as directed by the American Heartworm Society is recommended as this is most likely the cause of the reported cough. </t>
  </si>
  <si>
    <t xml:space="preserve">
1.There is a very large mass-effect within the cranial abdomen that is displacing colon and small intestines into the caudal abdomen. The gastrointestinal tract is considered within normal limits with the exception of being displaced by the mass-effect._x000D_
2.The stomach is normal in position but the intestine is displaced._x000D_
3.There is a marked reduction in serosal detail within the peritoneal space and the abdomen has a pendulous appearance._x000D_
4.The caudoventral hepatic serosal margins are somewhat poorly defined but appear to be rounded._x000D_
5.The splenic serosal margins are also poorly defined.</t>
  </si>
  <si>
    <t>6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small.  The remaining abdominal organs are normal.  There is spondylosis deformans of the lumbar spine.</t>
  </si>
  <si>
    <t>Hepatomegaly=ZZ90= this is a nonspecific finding that may be seen with congestion, vacuolar hepatopathy, inflammation, neoplasia, etc.  Abdominal ultrasound may be helpful in further evaluation if biochemically indicated.  Radiographically normal thorax for patient of this age.  Echocardiography could be considered in further evaluation of the reported heart murmur.</t>
  </si>
  <si>
    <t>3 views of the entire body are provided for review.  The trachea is dorsally deviated, indicating left ventricular enlargement.  A bulge is present in the region of the left atrium.  No pulmonary infiltrates are seen.  The pulmonary vasculature is normal in size.  The primary bronchi are narrowed.  The mediastinal and pleural structures are normal.  Abdominal serosal detail is adequate in all quadrants.  The stomach contains a moderate amount of gas.  The small intestines are normal in size.  Gas and feces are present in the colon.  The urinary bladder is moderately distended.  The remaining abdominal organs are normal.</t>
  </si>
  <si>
    <t>Radiographically normal abdomen.  Left-sided cardiomegaly without current evidence of cardiogenic pulmonary edema.  Echocardiography may be helpful in further evaluation.  Bronchial narrowing may account for the reported cough.  Note that furosemide also has mild anti-inflammatory effects as well as diuretic, which may account for the improvement with furosemide administration.</t>
  </si>
  <si>
    <t>3 views of the abdomen are provided for review.  Serosal detail is adequate in all quadrants.  The stomach contains a small amount of gas and the rugal folds are prominent.  The small intestines are normal in size.  Gas is present in the colon.  The urinary bladder is small.  The remaining abdominal organs are normal.  There is mild consistent narrowing of the intervertebral disc spaces at T12-L2 and L5-6.</t>
  </si>
  <si>
    <t>Prominent rugal folds suggestive of gastritis.  This does not rule out underlying pancreatitis, dietary indiscretion, etc.  If clinical signs persist with supportive therapy, abdominal ultrasound could be considered in further evaluation.  Narrowed intervertebral disc spaces suggestive of intervertebral disc herniations.  This does not rule out intervertebral disc herniation at another site or other causes of spinal cord compression.  CT or MRI could be considered in further evaluation.</t>
  </si>
  <si>
    <t xml:space="preserve">
1.Abdominal detail is normal._x000D_
2.Mild microhepatia is present on the VD projection, either due to the appearance or cropping of the cranial aspect of the liver on the VD projection. However, true microhepatia is not suspected based on the lateral projection._x000D_
3.Splenic size, shape and margin are normal._x000D_
4.The stomach is normal. The small bowel is diffusely gas- and fluid-filled without segmental small bowel dilation.</t>
  </si>
  <si>
    <t>6 images of the spine are provided for review.  Open physes are present.  No fractures, luxations, or aggressive osseous lesions are seen.  No mineralized intervertebral discs or consistently narrowed intervertebral disc spaces are seen.  The soft tissue structures included are normal.</t>
  </si>
  <si>
    <t>Radiographically normal spine.  This does not rule out cervical spondylomyelopathy or other causes of spinal cord compression.</t>
  </si>
  <si>
    <t xml:space="preserve">
1.Abdominal detail is mildly decreased._x000D_
2.The stomach contains a small amount of soft tissue dense material. The small bowel is gas and fluid filled without segmental bowel dilation._x000D_
3.Liver size, shape and margin are normal._x000D_
4.Splenic size, shape and margin are normal.</t>
  </si>
  <si>
    <t>Abdomen: There is a moderate amount of heterogeneous soft tissue and punctate mineral opacity within the gastric lumen as well as several segments of jejunum.  There is no evidence of a small intestinal obstructive process.  The liver and spleen are unremarkable.  There are no abnormalities involving the visible portions of the urinary tract.  Serosal detail is normal.</t>
  </si>
  <si>
    <t>The material within the gastric lumen and segments of jejunum may represent normal ingesta or foreign material.</t>
  </si>
  <si>
    <t xml:space="preserve">
1.The ascending, transverse and descending colon have a normal position and gas and some poorly formed faeces._x000D_
2.The hepatic silhouette is mildly enlarged, with smooth borders._x000D_
3.The visible spleen is within normal limits._x000D_
4.Mid abdominal detail is mildly decreased._x000D_
5.The stomach is empty, and has a normal axis._x000D_
6.The small intestines are distributed evenly and are within normal limits for shape, size and contents.</t>
  </si>
  <si>
    <t>A pelvic extended vd and lateral image and two mediolateral images centered on the stifle joints dated 17th May 2024 are available for review. There are no previous radiographs available for comparison. _x000D_
_x000D_
Pelvis: The included lumbar vertebral column is normal. The iliosacral joints are symmetric. There is good coverage of the femoral heads by the acetabuli.  No degenerative modelling is noted at the acetabular rim and femoral heads and there is good articular congruency. The pelvic and caudal thigh musculature is symmetric. The patella are in an anatomical position considering mild external rotation of the limbs._x000D_
_x000D_
Joints and long bones: Both stifle joints are normal._x000D_
_x000D_
Soft tissues: As described above.</t>
  </si>
  <si>
    <t>No radiographic findings explain the presenting signs. A muscular or tendinous strain,  articular sprain or a neurologic abnormality should be considered as differentials.</t>
  </si>
  <si>
    <t>Full neurologic examination if not already performed. If no proprioceptive deficits or patients back pain is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can be considered.</t>
  </si>
  <si>
    <t>8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reduced in the cranial abdomen.  The tail of the spleen is irregularly margined.  The liver margins are irregular and extend beyond the costal arch, causing caudal displacement of the gastric axis.  The stomach contains a moderate amount of gas.  The small intestines are normal in size.  Gas and feces are present in the colon.  The urinary bladder is small.  The remaining abdominal organs are normal.</t>
  </si>
  <si>
    <t>Hepatomegaly=ZZ90= this is a nonspecific finding that may be seen with hepatitis, neoplasia, etc.  Irregular spleen=ZZ90= consider regeneration, extramedullary hematopoiesis, inflammation, neoplasia.  Reduced serosal detail in the cranial abdomen is likely secondary to mass effect, although mild free fluid cannot be excluded.  Radiographically normal thorax for patient of this age.</t>
  </si>
  <si>
    <t>3 images of the abdomen are provided for review.  Serosal detail is adequate in all quadrants.  The stomach contains a small amount of ingesta and the rugal folds are prominent.  The small intestines are normal in size.  Gas and feces are present in the colon.  The urinary bladder is small.  The remaining abdominal organs are normal.</t>
  </si>
  <si>
    <t>4 images of the entire body are presented for review.  The cardiovascular and pulmonary structures are normal.  The pleural and mediastinal structures are normal.  Two views of the abdomen are provided for review.  Serosal detail is adequate in all quadrants.  The stomach contains a moderate amount of mottled soft tissue material and an angular opaque structure.  The small intestines are normal in size.  Gas and feces are present in the colon.  The urinary bladder is small.  The remaining abdominal organs are normal.</t>
  </si>
  <si>
    <t>Opaque gastric foreign body.  Additional soft tissue material within the stomach may represent residual ingesta or foreign material.  Consider repeat radiographs following strict fasting to determine if gastric contents persist.  Radiographically normal thorax.</t>
  </si>
  <si>
    <t xml:space="preserve">
1.Splenic size, shape and margin are normal._x000D_
2.Liver size, shape and margin are normal._x000D_
3.The stomach is within normal limits. The small bowel is gas- and fluid-filled without segmental small bowel dilation or signs of obstruction._x000D_
4.Abdominal detail is normal.</t>
  </si>
  <si>
    <t>The AI result for this case is most compelling for: Normal abdominal findings of the GI tract, liver, spleen, and abdominal detail. The appearance of the GI tract is likely related to normal ingesta in the absence of GI symptoms. However, if GI symptoms are present, gastroenteritis/colitis secondary to dietary indiscretion or infectious etiology is favored. No evidence of a small intestinal obstruction.</t>
  </si>
  <si>
    <t>Three radiographs of the thorax and three views of the abdomen are provided. Images dated April 5, 2024 were reviewed for comparison. The right heart continues to be increased in size. This appears more pronounced today, when comparing the VD projections. Pulmonary vessels and caudal vena cava are normal size. There are no abnormalities in the pulmonary parenchyma or pleural space. Normal tracheal diameter._x000D_
_x000D_
In the abdomen serosal detail is reduced. The patient is thin. The gastrointestinal tract is mildly filled and no radiopaque foreign material is appreciated. Normal-sized liver and spleen. The kidneys are obscured. No osseous abnormalities.</t>
  </si>
  <si>
    <t>1. Right-sided cardiomegaly, possibly progressed since the previous study. Arrhythmogenic cardiomyopathy is the most likely diagnosis. There is no evidence of heart failure. The thorax is otherwise normal._x000D_
2. Poor abdominal detail likely due to thin body condition and lack of intra-abdominal fat. Peritoneal effusion is not definitively ruled out.</t>
  </si>
  <si>
    <t>An echocardiogram and ECG is recommended.</t>
  </si>
  <si>
    <t xml:space="preserve">
1.The descending colon contains mainly fluid opaque material._x000D_
2.The small intestines are homogenously fluid-filled, and mildly dilated._x000D_
3.The colon is gas-filled._x000D_
4.The hepatic silhouette is normal._x000D_
5.The spleen is normal for size, shape and margin._x000D_
6.Abdominal detail is normal._x000D_
7.There is a moderate amount of fluid and gas within the stomach._x000D_
8.The stomach has a normal axis.</t>
  </si>
  <si>
    <t>6 images of the abdomen are provided for review.  Serosal detail is adequate in all quadrants.  The stomach contains a small amount of gas and the rugal folds are prominent.  The small intestines are normal in size.  Gas is present in the colon.  The urinary bladder is small.  The remaining abdominal organs are normal.</t>
  </si>
  <si>
    <t xml:space="preserve">
1.Splenic size, shape and margin are normal._x000D_
2.No dilation of the small intestine is seen._x000D_
3.The gastric rugae are prominent._x000D_
4.Cranial abdominal detail is decreased._x000D_
5.Liver size is normal to upper limits of normal. Liver margin is normal.</t>
  </si>
  <si>
    <t>2 views of the entire body are presented for review.  The cardiovascular and pulmonary structures are normal.  The pleural and mediastinal structures are normal.  Abdominal serosal detail is adequate in all quadrants.  The stomach contains a large amount of ingesta.  The small intestines are normal in size.  Gas and feces are present in the colon.  The urinary bladder is small.  The remaining abdominal organs are normal.</t>
  </si>
  <si>
    <t>Radiographically normal thorax.  No current evidence of noncardiogenic pulmonary edema secondary to near drowning.  Gastric distention consistent with excessive food ingestion (food bloat).</t>
  </si>
  <si>
    <t>Radiographic evidence pulmonary infiltrates may lag clinical signs by 24 to 48 hours and that pneumonia may additionally take 24 to 48 hours to be visible secondary to aspiration in near drowning.  If clinical signs occur, repeat radiographs may be helpful.</t>
  </si>
  <si>
    <t xml:space="preserve">
1.The spleen is normal._x000D_
2.On the VD projection, there is a mild decrease in cranial abdominal detail. This is attributed to superimposition of soft tissue structures secondary to the caudal extension of the liver._x000D_
3.The ventral abdominal line is mildly pendulous._x000D_
4.The stomach is slightly caudally positioned due to the hepatomegaly and has a normal to slightly caudally displaced gastric axis secondary to the hepatomegaly._x000D_
5.The small intestines are distributed evenly and are within normal limits for shape, size and contents._x000D_
6.The ascending, transverse and descending colon have a normal position and contain gradually more formed feces._x000D_
7.There is smoothly margined hepatomegaly. On the VD projection, the hepatomegaly is mildly asymmetric with the right liver extending further caudal.</t>
  </si>
  <si>
    <t>Three radiographs of the thorax/abdomen are provided. There is mild left atrial, auricular, and ventricular enlargement. Cranial pulmonary vessels are normal size. There is a moderate interstitial pattern in the perihilar region, causing loss of perihilar vessel visibility. No pleural effusion. A mild bronchial pattern is present. Redundant dorsal trachealis membrane causes severe narrowed cervical trachea, worse on the right lateral view. Narrowed C4-5 intervertebral disc space, of doubtful significance today. In the abdomen there is large volume mineral opaque formed feces filling the descending colon. The fecal column measures up to 2.5 cm, relatively large for this size patient. The stomach and small bowel are minimally filled. Normal-sized liver, spleen. The kidneys are obscured. No radiopaque urolithiasis. Multiple narrowed lumbar intervertebral disc spaces, of doubtful significance today.</t>
  </si>
  <si>
    <t>1. Mild left-sided cardiomegaly consistent with acquired mitral valve disease. Loss of perihilar vessel visibility is significantly concerning for pulmonary edema secondary to left-sided cardiac decompensation._x000D_
2. Severe cervical tracheal collapse, likely contributing to the cough. Faint bronchial markings may be normal age-related change, versus allergic bronchitis which could be contributing to the cough._x000D_
3. Possible constipation, otherwise normal abdomen.</t>
  </si>
  <si>
    <t>4 images of the abdomen are presented for review.  Serosal detail is adequate in all quadrants.  The stomach contains a moderate amount of gas.  The small intestines are normal in size.  Gas and feces are present in the colon.  The cecum is gas-filled.  The urinary bladder is small.  No mineral is seen associated with the urinary tract.  The remaining abdominal organs are normal.  Callus formation is seen at the left acetabulum and ischium.  The left acetabulum is medially located when compared with the right.</t>
  </si>
  <si>
    <t>Radiographically normal abdomen.  Left-sided pelvic changes suggest previous fracture with mild malunion.</t>
  </si>
  <si>
    <t>Consider baseline blood work, fecal examination, and supportive therapy.</t>
  </si>
  <si>
    <t>5 images of the abdomen are provided for review.  Serosal detail is adequate in all quadrants.  The stomach contains a small amount of gas and the rugal folds are prominent.  The small intestines are normal in size.  Gas and feces present in the colon.  The urinary bladder is small.  The remaining abdominal organs are normal.</t>
  </si>
  <si>
    <t>3 views of the abdomen are provided for review.  Serosal detail is adequate in all quadrants.  The stomach contains a small amount of ingesta.  The small intestines are normal in size.  Gas and a large amount of mineral opaque feces are present in the colon.  The colonic diameter exceeds the diameter of the pelvic inlet.  The kidneys are difficult to fully visualize but appear small with irregular margins.  The urinary bladder is small.  The remaining abdominal organs are normal.</t>
  </si>
  <si>
    <t>Small and irregular kidneys consistent with chronic renal disease.  Constipation.  The degree of colonic distention suggest megacolon.</t>
  </si>
  <si>
    <t>Serum biochemistry, SDMA, and urinalysis may be helpful.  Consider supportive therapy.</t>
  </si>
  <si>
    <t>Prominent rugal folds suggestive of gastritis.  This does not rule out underlying pancreatitis, and dietary indiscretion, etc.</t>
  </si>
  <si>
    <t xml:space="preserve">
1.The liver and spleen appear within normal limits._x000D_
2.No abnormal AI findings reported._x000D_
3.Serosal detail is normal._x000D_
4.Small intestines are diffusely mild to moderately filled with fluid and gas. No convincing obstruction._x000D_
5.The stomach contains small volume fluid and gas.</t>
  </si>
  <si>
    <t>6 images of the thorax and abdomen are provided for review and compared with the study dated 10/26/2023.  The trachea is dorsally deviated, indicating left ventricular enlargement.  A bulge is present in the region of the left atrium.  Cardiac enlargement is similar to previous images.  No pulmonary infiltrates are seen.  The pulmonary vasculature is normal in size.  The mediastinal and pleural structures are normal.  Abdominal serosal detail is adequate in all quadrants.  The liver margins are rounded and extend beyond the costal arch, similar to previous images.  The stomach contains a moderate amount of ingesta.  The small intestines are normal in size.  Gas and feces are present in the colon.  The urinary bladder is small.  The remaining abdominal organs are normal.</t>
  </si>
  <si>
    <t>Unchanged hepatomegaly=ZZ90= this is a nonspecific finding that may be seen with congestion, vacuolar hepatopathy, inflammation, neoplasia, etc.  Abdominal ultrasound may be helpful in further evaluation if biochemically indicated.  Static left-sided cardiomegaly without current evidence of cardiogenic pulmonary edema.  Echocardiography may be helpful in further staging.</t>
  </si>
  <si>
    <t xml:space="preserve">
1.The ventral abdominal line is mildly pendulous._x000D_
2.No gastrointestinal abnormalities._x000D_
3.On the VD projection, a mild decrease in cranial abdominal detail is present. This is suspected to be secondary to caudal extension of the liver._x000D_
4.On the lateral projection, the liver is mildly enlarged._x000D_
5.Splenic size, shape and margin are normal._x000D_
6.As mentioned above, cranial abdominal detail is mildly decreased. A global reduction in abdominal detail is NOT present.</t>
  </si>
  <si>
    <t>Seven orthogonal pelvic radiographs dated 17th May 2024 are available for review. There are no previous radiographs available for comparison. _x000D_
_x000D_
Pelvis: The included lumbar vertebral column is normal. The iliosacral joints are symmetric. There is good coverage of the femoral heads by the acetabuli.  No degenerative modelling is noted at the acetabular rim and femoral heads and there is good articular congruency. The pelvic and caudal thigh musculature is symmetric. The patella are in an anatomical position considering outward rotation of the limb._x000D_
_x000D_
Joints and long bones: The stifle joints are normal. There is no soft tissue attenuation of the stifle joint spaces. No degenerative modelling is noted. The included aspects of the tarsal joints are normal._x000D_
_x000D_
Soft tissues: The patient is severely obese.</t>
  </si>
  <si>
    <t>No radiographic findings explain the presenting signs. A muscular or tendinous strain or articular sprain should be considered as differentials. A source of lameness further distally should also be considered.</t>
  </si>
  <si>
    <t>Careful empirical management, including controlled exercise, non-steroidal anti-inflammatories, or multimodal analgesia, after normal blood work may be considered. If pain can be localised to a particular region, centred orthogonal images, or musculoskeletal ultrasound may be considered.</t>
  </si>
  <si>
    <t>Orthogonal views of the thorax are provided:_x000D_
_x000D_
Thorax:_x000D_
_x000D_
Cardiac silhouette has a normal shape and size._x000D_
Pulmonary vessels are within normal limits of size and shape._x000D_
Pulmonary parenchyma shows an alveolar pulmonary pattern with air bronchograms ventrally located on both cranial lung lobes and in the right middle lung lobe. No evidence of pulmonary nodules/masses._x000D_
Pleural space, mediastinum, diaphragm and thoracic wall within normal limits._x000D_
_x000D_
C3-C4 IVDS is markedly collapsed.</t>
  </si>
  <si>
    <t>1) Alveolar pulmonary pattern with air bronchograms on both cranial lung lobes and on the right middle lung lobe consistent with infectious pneumonia. Can not exclude a concomitant parasitic component._x000D_
2) C3-C4 IVDS. Consistent with accelerated chronic IVDD with probably future block vertebrae.</t>
  </si>
  <si>
    <t>Consider empirical treatment for pneumonia with deworming and follow up radiographs every 48/72 hours to evaluate response to treatment. _x000D_
Consider full neuro exam.</t>
  </si>
  <si>
    <t xml:space="preserve">
1.Liver size, shape and margin are normal._x000D_
2.Small small-volume amorphous soft tissue opacity is present within the stomach. The small bowel is diffusely gas- and fluid-filled without segmental small bowel dilation._x000D_
3.Splenic size, shape and margin are normal._x000D_
4.Abdominal detail is normal.</t>
  </si>
  <si>
    <t>4 images of the thorax are provided for review.  The cardiovascular structures are normal.  There is a moderate bronchial pattern in all lung lobes.  The mediastinal and pleural structures are normal.  The trachea is uniform in diameter.  Cranial abdominal detail is adequate.</t>
  </si>
  <si>
    <t>Four radiographs of the thorax and four views of the abdomen are provided. The cardiac silhouette and pulmonary vessels are normal size and shape. There are no abnormalities in the pulmonary parenchyma. No pleural effusion. Tracheal diameter and position are normal. Only on the last right lateral radiograph of the abdomen, there is curved soft tissue opacity overlying the caudodorsal thorax at the level of the esophagus. Osseous structures are age-appropriate._x000D_
_x000D_
In the abdomen large volume semi-formed and formed feces fills the colon. The stomach contains a moderate amount of gas, amorphous soft tissue density and fluid. There is scant mineral opaque debris in the stomach. Small intestines are diffusely mildly fluid filled. Serosal detail is adequate. The liver, left kidney, and spleen are normal size. The right kidney is obscured. No radiopaque cystic calculi.</t>
  </si>
  <si>
    <t>1. Sliding hiatal hernia. This is the most likely cause for the clinical signs. Otherwise no thoracic abnormalities._x000D_
2. Mineral debris in the stomach is likely incidental. Foreign material causing gastritis and pyloric outflow obstruction is given lesser consideration. No other abdominal abnormalities.</t>
  </si>
  <si>
    <t>Recommend strictly fasted abdominal radiographs +/- positive contrast gastrogram to rule out gastric foreign material. With the chronicity of clinical signs, consultation with an internist and gastroscopy should be considered.</t>
  </si>
  <si>
    <t>Three radiographs of the abdomen are provided. There is no peritoneal or retroperitoneal effusion. Small volume gas and fluid in the stomach. Small and large bowel are minimally distended. No radiopaque foreign material is appreciated. The liver, spleen, and kidneys are normal size and shape. No radiopaque urolithiasis. Normal caudal thorax.</t>
  </si>
  <si>
    <t>Normal abdomen. A reason for acute vomiting is not identified. Gastroenteritis is suspected. Small radiolucent gastric foreign material is not ruled out. There is no evidence of small bowel obstruction.</t>
  </si>
  <si>
    <t>A positive contrast gastrogram could be considered to rule out gastric foreign material. Strictly fasted abdominal ultrasound is another option, as long as the patient has minimal gas in the stomach at the time of imaging.</t>
  </si>
  <si>
    <t>Two views of the abdomen are provided for review.  Serosal detail is adequate in all quadrants.  The stomach contains a small amount of gas and the rugal folds are prominent.  The small intestines are normal in size.  Gas and feces are present in the colon.  The urinary bladder is small.  The remaining abdominal organs are normal.  There is hypoplasia of the 13th ribs bilaterally.  The intervertebral disc spaces at T11-13 are consistently narrowed.</t>
  </si>
  <si>
    <t>Prominent rugal folds suggestive of gastritis.  This does not rule out underlying pancreatitis or infiltrative neoplasia.  Abdominal ultrasound could be considered in further evaluation.  Narrowed intervertebral disc spaces suggestive of intervertebral disc herniations.  CT or MRI could be considered.</t>
  </si>
  <si>
    <t>Patient name: Harper Valentine  _x000D_
ABDOMEN (3 views=ZZ90= 4 images, [3 Lateral, 1 VD]) _x000D_
Images are dated May 17, 2024._x000D_
There are previous radiographs dated February 13, 2024 (Vetology #2572278) and December 15, 2023 (Vetology #2512364) available for comparison. _x000D_
Images of the thorax are included in the study but were not evaluated.  _x000D_
_x000D_
Liver: The liver is unchanged in size and shape with smooth margins._x000D_
_x000D_
Spleen: The spleen is progressively enlarged across all studies but displays smooth margins. _x000D_
_x000D_
Kidneys and urinary bladder: Both kidneys remain normal in size and shape with smooth margins. The urinary bladder is again mildly fluid distended. No radiopaque urinary calculi are detected. _x000D_
_x000D_
GI: The stomach now contains a small volume of gas and scant amorphous fluid/soft tissue contents.  Rugal folds are prominent.  No gastric enlargement is seen. Variably the small intestines contain fluid or gas while maintaining normal diameter and distribution. No distinct radiopaque gastrointestinal foreign material is detected. Gas and formed feces are noted in the colon.  The cecum contains gas.   _x000D_
_x000D_
Abdominal detail: Serosal detail is adequate. _x000D_
_x000D_
MSK: Visible musculoskeletal structures are within normal limits. _x000D_
_x000D_
Caudal thorax: No abnormalities are detected in the visible cardiopulmonary structures of the thorax.</t>
  </si>
  <si>
    <t>1) Appearance of the stomach could indicated gastritis (e.g. dietary indiscretion, infection, inflammation).  No evidence of foreign material or mechanical obstruction.  _x000D_
2) Progressive splenomegaly.  This is a non-specific finding with many differentials including: sedation, lymphoid hyperplasia, infection/inflammation, extra-medullary hematopoiesis, or (less likely) neoplasia.</t>
  </si>
  <si>
    <t>Consider abdominal ultrasound if clinical signs persist or worsen despite medical management.</t>
  </si>
  <si>
    <t>Three radiographs of the abdomen are provided. Serosal detail is adequate. There is equivocal prominent liver versus normal splenic tail nestled adjacent to the liver. The stomach contains small volume gas and a moderate accumulation of smoothly marginated rock-like mineral densities that measure up to 2.2 cm. Small intestines are mildly filled with gas. There is gas, small volume=ZZ90= feces, and several small rock-like mineral densities measuring up to 1.2 cm in the colon. The prostate is severely enlarged, consistent with the reproductive status of this patient. Normal-sized kidneys and splenic head. The caudal thorax is unremarkable.</t>
  </si>
  <si>
    <t>1. Rock-like mineral foreign objects in the stomach. These are of a size that should be able to pass successfully, but could be responsible for gastritis._x000D_
2. Possible prominent liver versus normal splenic tail. Differentials for hepatomegaly include acute inflammation, hepatopathy, or neoplasia. This should be correlated with history and blood work.</t>
  </si>
  <si>
    <t>Retrieval of the gastric rock objects with inducing emesis could be considered. Alternatively, repeat abdominal imaging (radiographs or ultrasound) following feeding of a bulky meal and fasting could be considered to determine if the objects are persistent.</t>
  </si>
  <si>
    <t xml:space="preserve">
1.The small bowel contains gas and fluid. No evidence of obstruction._x000D_
2.No abnormal AI findings reported._x000D_
3.The spleen is smoothly marginated and within normal limits for size._x000D_
4.The stomach contains a small volume of gas._x000D_
5.There is mild hepatomegaly with smooth margins.</t>
  </si>
  <si>
    <t>Three radiographs of the thorax and three views of the abdomen are provided. The cardiac silhouette and pulmonary vessels are normal size and shape. The lungs are clear. No esophageal dilation. The trachea is normal diameter._x000D_
_x000D_
In the abdomen mid abdominal detail is reduced. There is small volume gas in the stomach. Small intestines are diffusely mildly fluid filled. Scant gas in the colon. No radiopaque foreign material. No organomegaly. Osseous structures and the urinary bladder are unremarkable.</t>
  </si>
  <si>
    <t>Poor mid abdominal detail suggestive of scant effusion. Gastroenteritis/pancreatitis is most likely. There is no evidence of an obstructive process. Small radiolucent gastric foreign material remains possible. No other definitive abdominal abnormalities.</t>
  </si>
  <si>
    <t xml:space="preserve">
1.Small intestinal bowel loops are normal in size and distribution._x000D_
2.The colon contains feces._x000D_
3.There is decreased detail in the cranial abdomen._x000D_
4.The stomach is mild to moderately distended with mixed gas and fluid._x000D_
5.The duodenum is mildly distended._x000D_
6.The liver and spleen are normal._x000D_
7.No abnormal AI findings reported.</t>
  </si>
  <si>
    <t>Five radiographs of the abdomen are provided. There is no effusion. Moderate volume gas and small volume amorphous soft tissue density in the stomach. Small intestines are diffusely mildly filled with fluid. Small volume of formed feces in the colon. No radiopaque foreign material. No organomegaly. There is a round 2.6 cm contour extending cranial to the splenic tail on all of the lateral views. No osseous abnormalities.</t>
  </si>
  <si>
    <t>Suspect small splenic nodule. In a patient of this young age, a congenital variant or hyperplasia is suspected. This could also be artifact caused by adjacent loop of small bowel. Otherwise normal postprandial abdomen. Gastric contents appears to be normal ingesta. Foreign material is felt to be very unlikely in the absence of vomiting.</t>
  </si>
  <si>
    <t>Strictly fasted abdominal ultrasound could be considered to evaluate the gastrointestinal tract and spleen.</t>
  </si>
  <si>
    <t>4 images of the abdomen are provided for review.  Serosal detail is adequate in all quadrants.  The stomach contains a moderate amount of mottled soft tissue material.  The small intestines are normal in size.  Gas and feces are present in the colon.  The urinary bladder is small.  The remaining abdominal organs are normal.  A lumbosacral transitional vertebra is present.  There is spondylosis deformans of the lumbosacral space.</t>
  </si>
  <si>
    <t xml:space="preserve">
1.Liver size, shape and margin are normal._x000D_
2.Abdominal detail is normal._x000D_
3.The stomach contains gas and ingesta or prominent rugae, suggestive of gastritis. The small bowel is diffusely fluid filled but without segmental small bowel dilation._x000D_
4.Splenic size, shape and margin are normal.</t>
  </si>
  <si>
    <t>5 views of the thorax and abdomen are submitted for review.  There is narrowing of the intervertebral disc space at T13-L1.  Mild endplate sclerosis and ventral spondylosis deformans is noted at this location.  The remainder of the thoracic and lumbar spine appears within normal limits.  The bilateral coxofemoral joints are within normal limits._x000D_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moderate amount of food-like material.  The small bowel contains mild amount of ingesta.  Formed stool is noted in the colon.  The liver and spleen are normal in size, shape, and margination.  The bilateral renal silhouettes are within normal limits.  The urinary bladder is unremarkable.  Serosal detail is normal.</t>
  </si>
  <si>
    <t>Chronic intervertebral disc space narrowing with endplate sclerosis and spondylosis deformans at T13-L1.  This is consistent with intervertebral disc disease and correlates with the presenting clinical signs._x000D_
Otherwise, radiographically normal thorax and postprandial abdomen.</t>
  </si>
  <si>
    <t>Cross-sectional imaging of the TL spine is indicated.  Neurology/surgery consultation should be considered.</t>
  </si>
  <si>
    <t xml:space="preserve">
1.Liver size, shape and margin are normal._x000D_
2.Abdominal detail is normal._x000D_
3.Splenic size, shape and margin are normal._x000D_
4.The stomach contains gas and ingesta or prominent rugae. The small bowel is diffusely fluid filled but without segmental small bowel dilation.</t>
  </si>
  <si>
    <t>Three radiographs of the thorax/abdomen are provided. The cardiac silhouette and pulmonary vessels are normal size and shape. The lungs are clear. No pleural effusion or esophageal abnormalities. In the abdomen serosal detail is adequate. There is small volume of gas in the stomach. Small intestines are diffusely mildly filled with fluid and scant gas. The cecum is gas-filled. Small volume of formed feces in the colon. Punctate mineral densities overlying the urinary bladder on the right lateral view are not persistent and is likely artifact on the plate/table. No osseous abnormalities.</t>
  </si>
  <si>
    <t>Normal thorax and abdomen. A reason for vomiting is not identified. Gastroenteritis/pancreatitis is suspected. Small radiolucent gastric foreign material causing gastritis and pyloric outflow obstruction is not ruled out.</t>
  </si>
  <si>
    <t>Consider a positive contrast gastrogram to rule out gastric foreign material. Abdominal ultrasound is another option to evaluate the entire abdomen, as long as the patient has been strictly fasted and there is minimal gas in the stomach at the time of imaging.</t>
  </si>
  <si>
    <t xml:space="preserve">
1.No radiopaque gastrointestinal foreign material or effusion is present._x000D_
2.Small intestines are mildly fluid filled. No evidence of intestinal obstruction._x000D_
3.Small-volume gas and scant amorphous soft tissue opacity within the stomach._x000D_
4.The liver is slightly small. The spleen is within normal limits for size._x000D_
5.No abnormal AI findings reported._x000D_
6.No abnormal AI findings reported.</t>
  </si>
  <si>
    <t>Three radiographs of the thorax/abdomen, VD pelvis, and lateral view of each pelvic limb are provided. There is equivocal prominence of the left atrium on the left lateral view, but is not seen on the other two projections. Fat deposition encircles the heart and extends into the cranial mediastinum on the VD projection. There are no abnormalities in the pulmonary parenchyma. No pleural effusion. Normal tracheal diameter. In the abdomen large volume of formed feces fills the distal colon. The fecal column is relatively large for this patient, measuring up to 3.2 cm diameter. The stomach contains moderate volume kibble-like soft tissue density. Small bowel are mildly filled. Normal-sized liver, spleen, kidneys. No radiopaque cystic calculi. No lumbar spinal abnormalities. The coxofemoral joints are congruent. Pelvic limb musculature is symmetric. The right patella is medially displaced. Normal position of the left patella. There is scant fluid in the cranial aspect of the right stifle joint. The cranial aspect of the left stifle joint is soft tissue opaque, with poor visibility of the infrapatellar fat pad. There is obliquity present on this view. Obliquity also causes the left tibial tuberosity to appear blunted. There is no osseous lysis or proliferation. No tarsal abnormalities.</t>
  </si>
  <si>
    <t>1. Soft tissue opaque left stifle may be artifact due to obliquity. Stifle joint effusion due to cranial cruciate ligament insult is typically the cause for this appearance, however is felt to be unlikely in the absence of discomfort or instability upon palpation. No other definitive pelvic limb abnormalities are identified to explain the left pelvic limb signs. There is medial patellar luxation on the right._x000D_
2. Normal thorax._x000D_
3. Possible constipation. Otherwise normal abdomen.</t>
  </si>
  <si>
    <t>ABDOMEN (2 radiographs for review). Compared to 05/16/24._x000D_
_x000D_
- Peritoneal detail within normal._x000D_
- Stomach is progressively less distended than prior, now containing mild gas and soft-tissue opaque material._x000D_
- Small intestine mild multifocal gas and soft tissue opaque material._x000D_
- Colon gas and formed fecal material._x000D_
- Liver, spleen, kidneys and urinary bladder normal._x000D_
- Caudal thorax and included MSK structures are normal.</t>
  </si>
  <si>
    <t>1. Reduced gastric soft-tissue material and now mildly distended small intestine, without foreign material, mechnical obstruction or clear cause for the reported clinical signs of anorexia. A non-specific gastrointestinal functional ileus, such as gastroenteritis, is possible. Consider abdominal ultrasonography for further assessment, if clinically indicated.</t>
  </si>
  <si>
    <t xml:space="preserve">
1.The liver and spleen are normal._x000D_
2.No abnormal AI findings reported._x000D_
3.Abdominal detail is normal._x000D_
4.The colon is normal._x000D_
5.The small intestines are diffusely fluid filled without segmental dilation._x000D_
6.The gastric rugae are prominent._x000D_
7.The stomach is empty.</t>
  </si>
  <si>
    <t>Appearance to the stomach and small intestines is most consistent with gastroenteritis. No mechanical obstruction is identified.</t>
  </si>
  <si>
    <t xml:space="preserve">
Virtual Radiologist Case Difficulty: MODERATE_x000D_
Virtual Radiologist Confidence: MODERATE_x000D_
If clinically warranted, supportive care for non-specific gastroenteritis._x000D_
Full blood work and fecal if not already performed._x000D_
Consider empirical deworming and diet trial._x000D_
If the signs continue despite supportive care, abdominal ultrasound should be considered.</t>
  </si>
  <si>
    <t>Three radiographs of the thorax, orthogonal views of the abdomen and of the pelvis are provided. The cardiac silhouette and pulmonary vessels are normal size and shape. Mild age-related changes are present in the lungs. There is no pleural effusion, intrathoracic lymphadenopathy, or pulmonary nodules. Normal tracheal diameter. No cervical spinal abnormalities are identified. Metal opaque 0.8 cm pellet in the dorsolateral right extrathoracic tissues is incidental today._x000D_
_x000D_
In the abdomen gastrointestinal tract is mildly filled. Fluid-filled pylorus causes the round soft tissue contour in the cranioventral abdomen on the right lateral view. Normal-sized liver, spleen, kidneys. No radiopaque cystic calculi. The L1-2 intervertebral foramen is slightly smaller than those on either side. No other thoracic or lumbar spinal abnormalities are appreciated. Mild spondylosis deformans at the lumbosacral junction is likely incidental. The coxofemoral joints are congruent. Pelvic limb musculature is symmetric. Patellas are in normal position.</t>
  </si>
  <si>
    <t>The appearance of L1-2 is suggestive of a protruding/extruded intervertebral disc. Such a lesion at this or another site is the most likely cause for the clinical signs. The coxofemoral joints, abdomen, and thorax are normal.</t>
  </si>
  <si>
    <t>Recommend a neurologic examination. If there are significant deficits, consultation with a neurologist could be considered.</t>
  </si>
  <si>
    <t xml:space="preserve">ABDOMEN (1 image):
Images are dated May 17, 2024.
Liver: The liver is subjectively normal in size.
Spleen: The spleen is normal in size with smooth margins and homogeneous soft tissue.
Kidneys: The kidneys are obscured without obvious renomegaly or mineral.
Retroperitoneum: Retroperitoneal detail is adequate.
Urinary bladder: The urinary bladder is normal in size, homogeneous soft tissue, and smoothly marginated.
Peritoneum: Peritoneal detail is adequate.
Gastrointestinal tract: The stomach contains a moderate volume of gas. 
The small intestine contains fluid or is empty with a subjectively uniform population for size. 
The colon contains mild soft tissue material with gas. The colon is normal in size.  
Musculoskeletal: The included musculoskeletal structures are normal.
</t>
  </si>
  <si>
    <t>1. Normal gastrointestinal tract versus non-specific enteritis.
- Differential diagnose include dietary indiscretion, toxin ingestion, diet/antibiotic responsive disease, inflammatory bowel disease, or occult systemic disease.
2. There is no evidence of small intestinal mechanical ileus.</t>
  </si>
  <si>
    <t xml:space="preserve">Consider empirical therapy and supportive care with fecal analysis/empirical deworming.  Routine blood work may be beneficial to screen for occult systemic disease if not recently performed.  Monitoring with repeat abdominal radiographs versus ultrasonography, especially if signs fail to improve or worsen in the face of empirical therapy.  </t>
  </si>
  <si>
    <t xml:space="preserve">
1.The stomach contains gas and ingesta or prominent rugae. The small bowel is diffusely fluid filled but without segmental small bowel dilation._x000D_
2.Abdominal detail is normal._x000D_
3.Splenic size, shape and margin are normal._x000D_
4.Resource: https://platform.v2.vetology.net/doc/liver_disease_x000D_
5.Liver size is normal to upper limits of normal. Liver margin is normal.</t>
  </si>
  <si>
    <t>Three radiographs of the thorax and three views of the abdomen are provided. Images under different last name format =ZZ92=Mehler/Irvine=ZZ92= were identified, 11/27/23, Case ID number 249-2100. There is mild left atrial enlargement, not present on the previous study. Pulmonary vessels are normal size. Mild unstructured interstitial pattern is normal for the age of this patient. There is no pleural effusion. Fat deposition separates the ventral lungs from the sternum on the lateral views. Adequate tracheal diameter._x000D_
_x000D_
In the abdomen the liver is upper normal size with smooth margins. The splenic head is normal size. The splenic tail is obscured. Normal left kidney. The right kidney is incompletely visible. No radiopaque urolithiasis. No osseous abnormalities.</t>
  </si>
  <si>
    <t>1. Mild left atrial enlargement consistent with acquired mitral valve disease. There is no pulmonary venous congestion or pulmonary edema on this study. The thorax is otherwise normal._x000D_
2. Normal abdomen.</t>
  </si>
  <si>
    <t>Current plan is appropriate.</t>
  </si>
  <si>
    <t xml:space="preserve">
1.Decreased mid-abdominal and diffuse detail._x000D_
2.The stomach contains gas and soft tissue density material. The small bowel is diffusely gas- and fluid-filled without segmental small bowel dilation._x000D_
3.Splenomegaly._x000D_
4.Hepatomegaly.</t>
  </si>
  <si>
    <t>Right lateral and VD views of the thorax and abdomen including the spine are provided._x000D_
_x000D_
Narrowing of the intervertebral disc space is suspected at L2-L3. No destructive/productive bone lesions or soft tissue swelling are identified. The rest of the thoracolumbar spine is unremarkable._x000D_
_x000D_
The cardiovascular structures are within normal limits. No pulmonary infiltrates or pleural effusion are seen._x000D_
The abdominal organs are all within normal size and shape limits. Small intestinal gas is mildly increased. No dilation or plication the intestine is seen. No mass lesions or loss of detail are seen in the abdomen.</t>
  </si>
  <si>
    <t>Intervertebral disc degeneration is suspected at L2-L3. Disc disease at this location would be a probable explanation for the clinical signs. Other soft tissue pathology affecting the spine not visible in the radiographs still cannot be excluded._x000D_
The mildly gassy appearance of the intestine is likely a transient incidental finding.</t>
  </si>
  <si>
    <t>Restricted activity and anti-inflammatory therapy for suspected lumbar disc disease is recommended._x000D_
If clinical signs worsen or do not improve, more advanced imaging such as MRI should be considered.</t>
  </si>
  <si>
    <t>WHOLE-BODY (3 radiographs for review). No previous examinations for comparison._x000D_
_x000D_
- Markedly excessive body habitus._x000D_
- Peritoneal serosal detail is normal._x000D_
- The liver is mildly enlarged extending caudal to the costal arch with rounded margins._x000D_
- Stomach contains mild gas and gas stippled soft-tissue opaque material._x000D_
- Small intestine contains mild multifocal soft-tissue opaque material and gas._x000D_
- Colon contains formed fecal material and gas._x000D_
- Spleen, kidneys, urinary bladder and remaining abdominal structures normal._x000D_
- Cardiac silhouette, pulmonary vasculature, pulmonary parenchyma, pleural space, trachea, esophagus, mediastinum and remaining included intrathoracic structures are normal._x000D_
- Included osseous structures are normal.</t>
  </si>
  <si>
    <t>1. A discrete radiographic cause for the reported decreased appetite is not clearly identified. You may consider abdominal ultrasonography for further assessment if clinically indicated._x000D_
_x000D_
2. Mild hepatomegaly. DDx metabolic (vacuolar) hepatopathy, less likely hepatitis, congestion or neoplasia. If there is a history of hepatic enzyme elevation, sonographic assessment of the liver +/- FNA may be considered._x000D_
_x000D_
3. Aerophagia._x000D_
_x000D_
4. Normal thorax._x000D_
_x000D_
5. Markedly excessive body habitus.</t>
  </si>
  <si>
    <t xml:space="preserve">
1.On the lateral projection, the liver is mildly enlarged with rounded margins. The ventral abdominal line is pendulous._x000D_
2.On the VD projection, an increase in soft tissue opacity is noted in the region of the spleen and left kidney. DDx: superimposition of the spleen and left kidney vs. less likely, splenic mass or other mass in this region._x000D_
3.Cranial abdominal detail is mildly decreased on the VD projection. This is attributed to the increase in soft tissue opacity in the cranial abdomen._x000D_
4.Formed feces in the distal colon._x000D_
5.The stomach and small bowel are minimally filled.</t>
  </si>
  <si>
    <t>Mild hepatomegaly with a pendulous abdomen. Fat deposition or early steroid hepatopathy are the top differentials. An inflammatory or neoplastic process are next on the differential list. This should be correlated with clinical signs and blood work. Abdominal distention secondary to the hepatomegaly and increased intra-abdominal fat deposition causing pulmonary hypoinflation (Pickwickian syndrome).</t>
  </si>
  <si>
    <t>Left lateral and ventrodorsal whole body radiographs (4 images) dated May 16, 2024._x000D_
_x000D_
_x000D_
The cranial mediastinum is widened on the VD projection=ZZ90= no abnormalities are detected in the mediastinum on the lateral view, suggestive of incidental fat deposition as the cause. The cardiac silhouette, pulmonary vasculature, and great vessels are within normal limits. The pulmonary parenchyma is unremarkable with no nodules, infiltrates, or other pathology detected. The pleural space and diaphragm are normal. The trachea is normal in diameter and course with gas filling its lumen. No intrathoracic lymphadenopathy is evident._x000D_
_x000D_
The liver is mildly enlarged. The spleen is unremarkable. Both kidneys are normal in size and shape. The urinary bladder is fairly distended with homogeneous fluid opacity. The stomach contains a mild volume of gas. The small intestine is unremarkable in diameter and course and also predominantly contains gas. Lastly, the colon predominantly contains gas, and there is evidence of wall corrugation in the transverse portion of the left lateral view, and the descending portion on 1 of the VD views. Retroperitoneal and peritoneal detail are normal. No regional lymphadenopathy is evident._x000D_
_x000D_
The thoracolumbar spine is unremarkable with no evidence of disc space narrowing, osseous degenerative changes, subluxations, craft is, or aggressive processes. The hips are unremarkable. No aggressive osseous lesions are identified.</t>
  </si>
  <si>
    <t>1. Diffuse gas buildup in the GI tract and colonic wall corrugation is suspicious for gastroenteritis and colitis. Incidental gas buildup related to fasting remains possible._x000D_
2. Unremarkable thoracolumbar spine. This does not completely rule out intervertebral disc disease, other causes press myelopathy, and noncompressive causes of myelopathy._x000D_
3. Mild hepatomegaly. Rule out a benign metabolic/vacuolar hepatopathy vs. less likely inflammatory and infiltrative neoplastic conditions._x000D_
4. Cranial mediastinal widening due to fat deposition.</t>
  </si>
  <si>
    <t>Treat for presumed gastroenteritis and colitis vs. presumed intervertebral disc disease based on clinical suspicion.</t>
  </si>
  <si>
    <t>9 images of the thorax and abdomen are presented for review.  The cardiovascular structures are normal.  There is a diffuse interstitial pulmonary pattern that is considered appropriate for the age of the patient.  Rounded soft tissue structures are seen in the cranioventral thorax dorsal to the second and third sternal segments on both left and right lateral views.  Additionally, on the right lateral view a rounded soft tissue nodule is seen superimposed over the heart and the distal portions of the fourth ribs.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There is spondylosis deformans of the thoracolumbar and lumbosacral spine.</t>
  </si>
  <si>
    <t>Radiographically normal abdomen.  Pulmonary nodule concerning for metastasis.  CT could be considered in confirmation and further staging.  The additional nodular structures in the cranioventral thorax are in a position suggestive of mild sternal lymphadenopathy.  As the sternal lymph node drains the abdomen, abdominal ultrasound may be helpful to evaluate for inflammatory or neoplastic disease.</t>
  </si>
  <si>
    <t xml:space="preserve">
1.No abnormal AI findings reported._x000D_
2.Moderate volume soft tissue opacity and/or gas fills the stomach._x000D_
3.Small intestines are mildly filled with a mixture of fluid and gas._x000D_
4.No segmental small intestinal distention is present._x000D_
5.The liver and spleen are normal size._x000D_
6.No effusion is present.</t>
  </si>
  <si>
    <t>WHOLE-BODY (3 radiographs for review). No previous examinations for comparison._x000D_
_x000D_
- On the VD projection only, there is a rounded soft-tissue opacity caudal to the tracheal bifurcation superimposed over the region of the left atrium. This appearance is not noted orthogonally._x000D_
- Cardiac silhouette, pulmonary vasculature, pulmonary parenchyma normal._x000D_
- Trachea, pleural space, mediastinum normal._x000D_
- Mild gas and mixed soft tissue opaque material in the stomach._x000D_
- Small intestine mild multifocal gas and soft-tissue opaque material._x000D_
- Colon contains a small volume of formed fecal material and gas._x000D_
- Liver, spleen, kidneys and what is included of the urinary bladder normal._x000D_
- Mild multifocal spondylosis deformans.</t>
  </si>
  <si>
    <t>1. Overall, a distinct radiographic cause for the reported coughing is not identified. The region caudal to the tracheal bifurcation on the VD projection is somewhat atypical and could theoretically represent left atrial enlargement or tracheobronchial lymphadenopathy, however I am uncertain it is real, as there is no distinct cardiomegaly or lymphadenopathy identified on the orthogonal lateral projections, and no heart murmur is reported. Further assessment of this region could be considered with recheck thoracic radiographs (especially if the cough is worsening or does not improve) and/or thoracic CT. Otherwise, the trachea and pulmonary parenchyma are normal._x000D_
_x000D_
2. Mild aerophagia. Otherwise unremarkable abdomen.</t>
  </si>
  <si>
    <t xml:space="preserve">
1.No abnormal AI findings reported._x000D_
2.The stomach has a normal axis._x000D_
3.The small intestinal tract contains normal volumes of fluid, gas and ingesta._x000D_
4.The ascending, transverse and descending colon are in a normal position and contain gradually more formed feces._x000D_
5.The cranial peritoneal serosal detail is mildly reduced._x000D_
6.The liver and spleen are normal for size, shape and contour.</t>
  </si>
  <si>
    <t>WHOLE-BODY (6 radiographs for review). No previous examinations for comparison._x000D_
_x000D_
- Excessive body habitus._x000D_
- Peritoneal serosal detail is normal._x000D_
- The stomach contains mild gas and gas stippled soft-tissue opaque material. In the pyloric antral region of the stomach there are a few small mineral opacities._x000D_
- The small intestine contains mild gas and soft-tissue opaque material._x000D_
- The colon contains gas and formed fecal material._x000D_
- The liver, spleen, kidneys, urinary bladder and remaining abdominal structures are normal._x000D_
- The cardiac silhouette has a generally prominent appearance however there is a large degree of pericardiac fat which is at least partially contributing. There is the impression of mild straightening of the caudal cardiac margin and dorsal displacement of the caudal aspect of the thoracic trachea which would support mild left-sided cardiomegaly._x000D_
- Mild diffuse mixed bronchial and peribronchial unstructured interstitial pulmonary pattern._x000D_
- Mild multifocal spondylosis deformans.</t>
  </si>
  <si>
    <t>1. Distinct radiographic cause for urinary incontinence and/or polydipsia not clearly identified._x000D_
_x000D_
2. A few small nonspecific mineral opaque gastric foreign bodies (e.g. pebbles/rocks)._x000D_
_x000D_
3. Otherwise unremarkable abdomen._x000D_
_x000D_
4. Questionable left-sided cardiomegaly. This may be due to excessive pericardiac fat deposition, cardiac cycle and/or a prominent patient variant however the possibility of cardiac disease such as valvular degeneration or cardiomyopathy is considered. Correlate to presence or absence of a clinically audible cardiac murmur._x000D_
_x000D_
5. Mild diffuse bronchial pulmonary pattern. Most likely representing expected age-related chronic lower airway changes however could also indicate a component of chronic bronchitis, especially if there is a history of wheezing and/or coughing. _x000D_
_x000D_
6. Mild multifocal spondylosis deformans.</t>
  </si>
  <si>
    <t>Thorax: On the lateral view there is a diffuse bronchointerstitial pattern most likely augmented by pulmonary underinflation as this is not identified on the ventrodorsal view.  There is moderate left-sided and mild right-sided cardiomegaly.  There is no evidence of cardiac decompensation.  There is no evidence of pleural effusion or lymphadenopathy.  On the lateral view there is possible compression of the mainstem bronchi.  There are no abnormalities involving the trachea.  There are no abnormalities involving the visible portions of the abdominal viscera.  There is possible collapse of intervertebral disc space at L1-2.  Spondylosis deformans is noted at T13-L1, L1-2, and lumbosacral junction.</t>
  </si>
  <si>
    <t>Possible collapse of the mainstem bronchi._x000D_
_x000D_
Generalized cardiomegaly without evidence of decompensation._x000D_
_x000D_
Possible intervertebral disc disease at L1-2.</t>
  </si>
  <si>
    <t>8 views of the thorax, abdomen, pelvis, and thoracic limbs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  The ventral cervical soft tissues are within normal limits._x000D_
In the abdomen, the stomach contains a mild amount of ingesta.  The small bowel contains a mild amount of gas without dilation or plication.  Formed stool is noted in the colon.  The liver and spleen are normal in size, shape, and margination.  The bilateral renal silhouettes are within normal limits.  The urinary bladder is unremarkable.  Serosal detail is normal._x000D_
The bilateral femoral heads are well-seated in the acetabula.  The coxofemoral joint spaces are congruent.  No degenerative changes are noted in either hip.  The sacroiliac joints are within normal limits._x000D_
Mild to moderate osteophytosis is noted at the caudal aspect of both humeral heads.  No definitive abnormalities noted in either elbow joint or distal aspect of the thoracic limb. No definitive abnormalities noted in the cervical, thoracic, or lumbar spine.</t>
  </si>
  <si>
    <t>Radiographically normal thorax and postprandial abdomen._x000D_
Mild to moderate osteoarthritis in both shoulders.</t>
  </si>
  <si>
    <t>Symptomatic/supportive medical management appears appropriate.</t>
  </si>
  <si>
    <t xml:space="preserve">
1.Serosal detail is normal._x000D_
2.The stomach contains gas, fluid, and a small amount of amorphous soft tissue opaque material._x000D_
3.The small intestines contain gas and fluid and are normal in diameter. No findings to indicate obstruction._x000D_
4.The spleen is smoothly marginated and prominent to mildly enlarged._x000D_
5.The liver is normal in size with smooth serosal margins.</t>
  </si>
  <si>
    <t>WHOLE-BODY (3 radiographs for review). No previous examinations for comparison._x000D_
_x000D_
- Peritoneal serosal detail is normal._x000D_
- The stomach contains a moderate volume of gas stippled soft-tissue opaque material and a small volume of gas._x000D_
- The small intestine contains mild multifocal gas and soft-tissue opaque material._x000D_
- The colon contains formed fecal material and gas._x000D_
- The liver, spleen, kidneys, urinary bladder and remaining abdominal structures are normal._x000D_
- There is a soft-tissue opaque band dorsally overlying the trachea at the level of the thoracic inlet._x000D_
- A small volume of fluid is present in the caudal portion of the thoracic esophagus._x000D_
- No discrete musculoskeletal abnormalities are noted.</t>
  </si>
  <si>
    <t>1. The appearance of the stomach, small intestine and colon can be compatible with a combination of recent meal, aerophagia and nonspecific generalized functional ileus (e.g. gastroenterocolitis). There is no evidence of small intestinal foreign material or mechanical obstruction. Consider initiation of therapy for generalized functional ileus and if clinically indicated, abdominal ultrasound might be pursued for further investigation._x000D_
_x000D_
2. Mild caudal esophageal fluid can be esophagitis and/or esophageal reflux._x000D_
_x000D_
3. The appearance of the trachea at the level of the thoracic inlet is compatible with tracheal collapse secondary to chondromalacia.</t>
  </si>
  <si>
    <t>Study:_x000D_
Thoracic and abdominal radiography: five images dated April 16, 2024_x000D_
_x000D_
Findings:_x000D_
The cardiac silhouette and pulmonary vasculature are normal in size. The pulmonary parenchyma is unremarkable. The pleural space is normal. There is no intrathoracic lymphadenopathy. There is a broad-based soft tissue opaque band superimposed with the dorsal aspect of the cervical trachea lumen representing either a redundant dorsal tracheal membrane or superimposition of the esophagus. The trachea is normal in diameter and course. The larynx is unremarkable. The stomach contains a large amount of unstructured heterogeneous soft tissue material presumed to be ingesta with interspersed granular mineral. Similar granular mineral is scattered throughout the small intestines. The small intestines are normal in size and course. The colon contains formed fecal material. The liver and spleen are normal in size and margin. The renal silhouettes are normal in size and contour. The urinary bladder is normal in size and opacity. There is narrowing of the T 12-T 13 and L1-L2 intervertebral disc spaces with mild spondylosis deformans at T 12-T 13.</t>
  </si>
  <si>
    <t>1. Normal thorax. There is no radiographic evidence of cardiopulmonary disease. A cause of coughing is not evident. Lack of a definitive bronchial pulmonary pattern does not exclude the possibility of allergic/inflammatory, infectious, irritant or parasitic bronchitis. Normal diameter of the trachea does not exclude the possibility of dynamic airway disease. Fluoroscopy, infectious respiratory disease PCR testing, airway sampling plus/minus heartworm testing and Baermann fecal flotation can be considered to further evaluate the reported coughing._x000D_
2. Postprandial gastrointestinal tract=ZZ90= otherwise, unremarkable abdomen._x000D_
3. T 12-T 13 and L1-L2 intervertebral disc disease.</t>
  </si>
  <si>
    <t>Study:_x000D_
Abdominal radiography: five images dated May 16, 2024_x000D_
_x000D_
Findings:_x000D_
The stomach contains a small volume of gas. The small intestines are gas and fluid-filled and normal in size and course. The colon contains poorly formed fecal material. The liver and spleen are normal in size and margin. The renal silhouettes are normal in size and contour. The urinary bladder is normal in size and opacity. The uterine body is visualized situated between the descending colon/urinary bladder and superimposed with the dorsal aspect of the apical portion of the urinary bladder on the lateral projections. There is variable mild to severe multifocal thoracolumbar and lumbosacral spondylosis deformans. The included thorax is normal.</t>
  </si>
  <si>
    <t>As stated above, there is visualization of the uterine body. This could be an incidental finding if the patient is in estrus or could indicate pyometra, mucometra, metritis, hydrometra or early pregnancy.</t>
  </si>
  <si>
    <t>Ovariohysterectomy can be considered if the vulvar discharge becomes purulent.</t>
  </si>
  <si>
    <t>Study:_x000D_
Abdominal radiography: three images dated May 15, 2024_x000D_
_x000D_
Findings:_x000D_
On the right lateral projection, there is a small amount of granular mineral in the pylorus. The stomach is otherwise contains gas with the pylorus appropriately gas-filled on the left lateral image. On the right lateral projection, two punctate mineral foci are present in a small intestinal segment in the caudoventral abdomen. The small intestines are otherwise normal in size, course and content. The colon contains formed fecal material. The liver and spleen are normal in size and margin. The renal silhouettes are normal in size and contour. The urinary bladder is normal in size and opacity. There is no prostatomegaly. The included thorax is normal. No skeletal abnormalities present.</t>
  </si>
  <si>
    <t>The small amount of granular mineral material in the gastrointestinal tract is confirmatory of the suspected recent bone ingestion but is likely of no clinical significance in the absence of any gastrointestinal signs. There is no evidence of small intestinal mechanical obstruction.</t>
  </si>
  <si>
    <t>A three view thoracoabdominal study is provided for interpretation._x000D_
_x000D_
There is moderate dynamic narrowing of the caudal cervical trachea. There is a mild bronchial pattern in the lungs. No pulmonary nodules or pleural effusion are identified. The cardiovascular structures are within normal limits._x000D_
_x000D_
The liver is at the upper end of normal range to slightly enlarged. Shape and margination of the liver is normal. The other abdominal organs are unremarkable. No mass lesions or loss of detail are seen in the abdomen._x000D_
_x000D_
There is severe narrowing of the T9-T10 intervertebral disc space. No destructive or productive bone lesions are identified. A nodular shadow is seen superimposed over the caudal lumbar spine is processes in the lateral views, which is suspected to represent an artifact caused by superimposition of a dermal nodule (over L5 in the right lateral view, over L7 in the left lateral view).</t>
  </si>
  <si>
    <t>There is dynamic narrowing of the trachea. Tracheal collapse may be contributing coughing is present._x000D_
Mild bronchial pattern is equivocal considering the age of the patient, and would be compatible with low-grade allergic or chronic bronchitis vs. prominent age related change._x000D_
_x000D_
Liver size is borderline. Clinical relevance should be correlated with relevant labwork abnormalities.</t>
  </si>
  <si>
    <t>No findings concerning for metastatic neoplasia or significant major organ disease are identified.</t>
  </si>
  <si>
    <t>6 views of the thorax and abdomen are submitted for review.  The cardiac silhouette is normal in size and shape.  The pulmonary vasculature is normal.  Mild generalized bronchointerstitial pattern is noted in the lung fields.  A mild nonstructured interstitial to possible alveolar pattern is noted in the region of the caudal subsegment of the left cranial lung lobe on the VD view.  No pleural effusion or intrathoracic lymphadenopathy is seen.  The trachea is normal._x000D_
The abdomen is moderately distended.  There is diffuse loss of serosal detail, consistent with severe peritoneal effusion.  The serosal margins of the organs are not well-visualized but the liver appears to be markedly enlarged.  The unobscured margins of the renal silhouettes are normal.  A mild amount of gas is noted in the stomach._x000D_
No aggressive bony changes are noted.</t>
  </si>
  <si>
    <t>Severe peritoneal effusion.  Differentials include severe portal hypertension or elevated central venous pressures, inflammation, paraneoplastic disease, or less likely hemorrhage.  The prominent appearance of the liver could be consistent with venous congestion, diffuse inflammation, or neoplasia._x000D_
The possible pulmonary infiltrates in the caudal subsegment of the left cranial lung lobe could be consistent with mild bronchopneumonia or possibly artifact.</t>
  </si>
  <si>
    <t>Sampling of the peritoneal fluid is recommended.  A full abdominal ultrasound is also indicated.  Correlation with a CBC and chemistry panel is also recommended.</t>
  </si>
  <si>
    <t xml:space="preserve">
1.Moderate volume gas fills the stomach._x000D_
2.Abdominal detail is diffusely decreased and the abdomen is pendulous._x000D_
3.The liver is moderately enlarged with potential for a hepatic mass._x000D_
4.The spleen is enlarged with potential for a splenic mass._x000D_
5.Small intestines are mildly fluid-filled._x000D_
6.Segments of the colon have a rigid appearance.</t>
  </si>
  <si>
    <t>Pelvis: There is right femoral head and neck osseous remodeling and right coxofemoral joint incongruency.  The remainder of the pelvis is unremarkable._x000D_
_x000D_
Thorax: There is a mediastinal shift with the cardiac silhouette displaced to the right (patient is under general anesthesia).  The remainder of the thorax is unremarkable.  There are no abnormalities involving the visible portions of the abdomen._x000D_
_x000D_
Spine: There are no abnormalities involving the cervical, thoracic, or lumbar vertebral columns.</t>
  </si>
  <si>
    <t>Right coxofemoral osteoarthrosis._x000D_
_x000D_
Mediastinal shift of the cardiac silhouette displaced to the right most likely secondary to atelectasis drained anesthesia.</t>
  </si>
  <si>
    <t xml:space="preserve">
1.The gastrointestinal tract is also unremarkable._x000D_
2.There is mild hepatomegaly with smooth margins. No hepatic mass is identified._x000D_
3.The spleen is unremarkable._x000D_
4.The serosal detail is normal.</t>
  </si>
  <si>
    <t>Five radiographs of the thorax and abdomen are provided. The cardiac silhouette is normal size with no chamber enlargement. Mild age-related changes are present in the lungs. There is no intrathoracic lymphadenomegaly, pulmonary nodules, or pleural effusion. Small volume fluid in the caudal esophagus is transient and incidental. The trachea is normal diameter._x000D_
_x000D_
In the abdomen the gastrointestinal tract is mildly filled. Serosal detail is mildly reduced, likely due to trim body condition. There is formed feces in the colon. The stomach and small bowel are minimally filled. The gastric axis is in normal position indicating normal size liver. The spleen and kidneys are also normal size. No radiopaque urolithiasis. No osseous abnormalities.</t>
  </si>
  <si>
    <t>A three view thoracoabdominal study is provided for interpretation._x000D_
_x000D_
The trachea has smooth walls and normal uniform diameter. No pulmonary infiltrates or bronchial thickening are identified. No pleural effusion is seen. The cardiovascular structures are within normal limits._x000D_
Abdominal organs are within normal size and shape limits. No abnormalities are seen involving the GI tract._x000D_
_x000D_
There is narrowing of the L4-L5 intervertebral disc space. Mineral opacity is seen superimposed over the intervertebral foramen dorsal to this disc space, suspicious for extruded mineralized disc material. There is soft tissue mineralization dorsal to the thoracic spine, suspected to be involving the nuchal ligament. No destructive or productive bone lesions are identified.</t>
  </si>
  <si>
    <t>No thoracic abnormalities are identified. There is no evidence of tracheal collapse. The cause of cough is not apparent in the radiographs. Allergic lung disease or viral tracheobronchitis could still be present without more significant radiographic changes._x000D_
The soft tissue mineralization dorsal to the thoracic spine is presumed incidental._x000D_
_x000D_
No abdominal abnormalities are identified._x000D_
_x000D_
There is evidence of chronic disc degeneration at L4-L5. Clinical relevance would depend on associate clinical signs.</t>
  </si>
  <si>
    <t>Five radiographs of the thorax and thoracic limbs are provided. The cardiac silhouette is normal size and shape for this breed. Mild bronchial markings consistent with the patient=ZZ91=s age. There is no pleural effusion. Normal tracheal diameter. Narrowed C3-4 and C6-7 intervertebral disc spaces. No scapular abnormalities. The glenohumeral joints are congruent. There is no lysis, periosteal proliferation, or fracture. The cubital joints are congruent. No carpal abnormalities. There is broad-based curve 1.9 x 0.6 cm soft tissue thickening axial to the right 2nd metacarpal bone.</t>
  </si>
  <si>
    <t>1. The appearance of C3-4 and C6-7 are suggestive of intervertebral disc disease. A lateralized disc at these or another site may be responsible for the clinical signs._x000D_
2. Soft tissue swelling in the medial aspect of the right manus, with no underlying osseous abnormalities. This may represent a dermatologic abnormality, granuloma, or neoplasm. No other thoracic abnormalities. _x000D_
3. Normal thorax.</t>
  </si>
  <si>
    <t>Recommend a neurologic examination. If there are no abnormalities, this patient may benefit from anti-inflammatories and strict rest. Cytology of the right manus lesion should also be considered.</t>
  </si>
  <si>
    <t>Orthogonal abdomen views are provided._x000D_
_x000D_
Gastric rugal folds in the stomach are prominent. The stomach is not dilated or malpositioned. There is a mild increase in small intestinal gas. No intestinal dilation or plication is seen. No foreign bodies are visible in the GI tract. Serosal detail in the abdomen is normal. The other organs are within normal limits.</t>
  </si>
  <si>
    <t>The appearance of the GI tract is compatible with gastroenteritis. Pancreatitis should also be ruled out. No foreign bodies or obstructive pattern are identified.</t>
  </si>
  <si>
    <t>Symptomatic therapy for gastroenteritis/pancreatitis and supportive care is recommended.</t>
  </si>
  <si>
    <t>A three view study of the abdomen is provided for interpretation._x000D_
_x000D_
There is a small to moderate quantity of amorphous soft tissue dense ingesta in the stomach. The appearance is typical of food. No foreign objects are identified in the GI tract. There is a moderate increase in overall small intestinal gas volume. No pathologic dilation or plication the intestine is seen. Serosal detail in the abdomen is normal. The organs are within normal size and shape limits. No musculoskeletal abnormalities are identified.</t>
  </si>
  <si>
    <t>The gassy appearance of the intestinal tract is compatible with enteritis. No foreign bodies or obstructive pattern are identified._x000D_
_x000D_
The presence of what appears to be food in the stomach in spite of the history of anorexia is unexpected, but likely still be incidental. Radiolucent gastric foreign material cannot be entirely excluded.</t>
  </si>
  <si>
    <t>Supportive care as needed and symptomatic therapy for gastroenteritis is recommended._x000D_
A recheck a three view study after fasting at least 18 hours is recommended if clinical signs are not improved over the next few days.</t>
  </si>
  <si>
    <t xml:space="preserve">
1.The hepatic silhouette is normal._x000D_
2.There is a moderate amount of fluid and gas within the stomach._x000D_
3.The stomach has a normal axis._x000D_
4.The small intestines are homogenously fluid-filled, and mildly dilated._x000D_
5.The spleen is normal for size, shape and margin._x000D_
6.Abdominal detail is normal._x000D_
7.The colon is gas-filled._x000D_
8.The descending colon contains mainly fluid opaque material.</t>
  </si>
  <si>
    <t>7 views of the thorax, abdomen, pelvis, and pelvic limbs are submitted for review._x000D_
The bilateral femoral heads are well-seated in the acetabula.  The coxofemoral joint spaces are congruent.  No degenerative changes are noted in either hip.  The sacroiliac joints are within normal limits._x000D_
Moderate intracapsular effusion is noted in the cranial aspect of the left stifle.  There is cranial displacement of the proximal tibia relative to the femoral condyles.  The left tarsus and distal aspect of the left pelvic limb appear within normal limits.  The right stifle and distal aspect of the right pelvic limb are within normal limits.  No significant abnormalities are noted in the lumbar spine._x000D_
The stomach contains a moderate amount of ingesta.  The small bowel and colon are within normal limits.  The liver and spleen are normal in size, shape, and margination.  The bilateral renal silhouettes are within normal limits.  The urinary bladder is unremarkable.  Serosal detail is normal._x000D_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t>
  </si>
  <si>
    <t>Moderate intracapsular effusion and tibial thrust in the left stifle, without significant degenerative change.  This is consistent with acute cranial cruciate ligament injury._x000D_
Radiographically normal postprandial abdomen and radiographically normal thorax.</t>
  </si>
  <si>
    <t>A three view study of the thorax is provided for interpretation._x000D_
_x000D_
Mild heart enlargement is identified. Vertebral Heart Score is mildly increased at 11.4. The shape of the heart is consistent with left sided chamber dilation. The pulmonary vessels are within normal limits. No pulmonary infiltrates or edema are identified. The trachea is normal. There is mild gas dilation of the thoracic esophagus._x000D_
The liver is at the upper end of normal range. The spleen is prominent but still within normal limits. The other cranial abdominal organs are unremarkable.</t>
  </si>
  <si>
    <t>Mild left sided cardiomegaly is identified. The appearance is consistent with chronic mitral valve regurgitation. There is no evidence of congestive heart failure at this time._x000D_
_x000D_
The mild gas dilation of the esophagus is probably the result of aerophagia, or sedation if sedation was used for the radiographs.</t>
  </si>
  <si>
    <t>Pimobendan therapy should be considered due to the cardiomegaly._x000D_
Sildenafil may also be indicated depending on the documented severity of pulmonary hypertension.</t>
  </si>
  <si>
    <t>Orthogonal views of the thorax are provided:_x000D_
_x000D_
Thorax:_x000D_
_x000D_
Cardiac silhouette shows a mild enlargement of the left atrium dorsally displacing the carina._x000D_
Pulmonary vessels are within normal limits of size and shape._x000D_
Pulmonary parenchyma is within normal limits. No evidence of pulmonary nodules/masses._x000D_
Pleural space, mediastinum, diaphragm and thoracic wall within normal limits._x000D_
_x000D_
Unremarkable abdomen (absent spleen)._x000D_
Multifocal signs of chronic IVDD.</t>
  </si>
  <si>
    <t>1) Left atrial enlargement secondary to chronic mitral endocardiosis without signs of CHF._x000D_
2) No signs of pulmonary metastases.</t>
  </si>
  <si>
    <t>Consider a cardiology consultation with ECG and echocardiogram.</t>
  </si>
  <si>
    <t xml:space="preserve">
1.Liver size, shape and margin are normal._x000D_
2.Splenic size, shape and margin are normal._x000D_
3.Serosal detail is adequate._x000D_
4.There is a heterogeneous soft tissue opacity associated with the gastric lumen._x000D_
5.The small intestines have a diffuse fragmented gas pattern.</t>
  </si>
  <si>
    <t>Study:_x000D_
Thoracic/abdominal radiography: three images dated May 16, 2024_x000D_
_x000D_
Findings:_x000D_
The cardiac silhouette and pulmonary vasculature are normal in size. The pulmonary parenchyma is unremarkable. The pleural space is normal. There is no intrathoracic lymphadenopathy. The trachea is normal in diameter and course. On the VD view, there is an indistinct round soft tissue opacity in the fundic portion of the stomach. The pylorus is appropriately gas-filled on the left lateral image. The small intestines are normal in size, course and content. The colon contains formed fecal material. The liver and spleen are normal in size and margin. The kidneys are normal in size and contour. The urinary bladder is normal in size and opacity. The prostate is not visualized. The osseous structures are unremarkable. There is no intervertebral disc space or foraminal narrowing.</t>
  </si>
  <si>
    <t>1. The indistinct round soft tissue opacity in the fundic portion of the stomach on the VD view may represent ingesta. A foreign body cannot be completely excluded. The abdomen is otherwise unremarkable._x000D_
2. Normal thorax._x000D_
3. The lack of any apparent intervertebral disc space narrowing does not exclude the possibility of intervertebral disc disease.</t>
  </si>
  <si>
    <t>Repeat fasted radiography can be considered to monitor for persistence or resolution of the round soft tissue opacity in the stomach. Alternatively, abdominal sonography and cPLI testing can be considered to further evaluate for intra-abdominal causes of the clinical signs.</t>
  </si>
  <si>
    <t>A two view thoracoabdominal study is provided for interpretation._x000D_
_x000D_
An endotracheal tube is visible in the cervical trachea terminating at the level of C6 consistent with general anesthesia._x000D_
No fractures or soft tissue swelling are identified._x000D_
The cardiovascular structures are within normal limits. There is a rightward mediastinal shift and moderate interstitial pattern right middle and caudal lung fields. The pulmonary changes are consistent with anesthesia and recumbency. No findings indicative of active pulmonary disease or pleural pathology are identified._x000D_
The stomach is mildly dilated with gas and a small quantity of ingesta compatible with kibbles. There are a few loops of small intestine that appear fluid filled or possibly thickened. None appear pathologically distended. Serosal detail in the abdomen is normal. The other abdominal organs are within normal limits.</t>
  </si>
  <si>
    <t>1) No musculoskeletal abnormalities are identified._x000D_
_x000D_
2) The content seen within the stomach is compatible with normal food. Foreign material cannot be entirely excluded. No convincing evidence of major organ anatomic pathology or ascites is identified in the abdomen._x000D_
_x000D_
3) The pulmonary changes are most likely secondary to the anesthesia and recumbency. Mild pulmonary contusions involving the right middle lung field still cannot be entirely excluded. No evidence of thoracic hemorrhage or pneumothorax is identified._x000D_
_x000D_
4) No esophageal abnormalities are identified. No changes that would specifically For the reported severe ptyalism are identified in the radiographs.</t>
  </si>
  <si>
    <t>Pharyngeal pathology should be ruled out as a cause of the ptyalism.</t>
  </si>
  <si>
    <t xml:space="preserve">
1.Small intestines are diffusely mild to moderately filled with fluid and gas. No convincing obstruction._x000D_
2.The stomach contains small volume fluid and gas._x000D_
3.No abnormal AI findings reported._x000D_
4.Serosal detail is normal._x000D_
5.The liver and spleen appear within normal limits.</t>
  </si>
  <si>
    <t>Eight radiographs of the thorax, abdomen, and pelvis are provided. The cardiac silhouette and pulmonary vessels are normal size and shape. Mild age-related changes are present in the lungs. No soft tissue pulmonary nodules or pleural effusion. Small volume fat deposition in the cranial mediastinum. Moderate narrowed cervical trachea on the left lateral view._x000D_
_x000D_
In the abdomen the gastrointestinal tract is moderately filled. There is no effusion. The liver is upper normal size. Normal-sized spleen and kidneys. Punctate nephrolith on the left are likely incidental. No radiopaque cystic calculi. Narrowed L2-3 intervertebral disc space, of doubtful clinical significance today. The coxofemoral joints are congruent. The reported inguinal abnormality is not appreciated on this study. There is no evidence of abdominal organs being displaced into the inguinal region. The right patella is medially displaced.</t>
  </si>
  <si>
    <t>1. Probable cervical tracheal collapse. No intrathoracic abnormalities._x000D_
2. Normal abdomen. The described inguinal lesion is not identified on this study. There is no evidence of a hernia._x000D_
3. Medial patellar luxation on the right.</t>
  </si>
  <si>
    <t>Recommend cytology of the inguinal lesion.</t>
  </si>
  <si>
    <t xml:space="preserve">
1.No abnormal AI findings reported._x000D_
2.Serosal detail is within normal limits._x000D_
3.Serosal detail is normal._x000D_
4.The stomach is mildly gas and fluid filled with some soft tissue density materal. The small bowel is gas and fluid-containing. No obvious obstruction._x000D_
5.The liver is mildly enlarged.</t>
  </si>
  <si>
    <t>Tanner Rutledge. Date of study: 05/1/24. Thoracic radiography (2 view, 3 images. 1 VD, 2 Lateral). No prior radiographs are available for comparison. 
Airway/pulmonary findings: The trachea is normal in size. The trachea is dorsally deviated. The tracheal bifurcation is widened and the left caudal lobar bronchus appears narrowed on the VD projection. Also on the VD projection, the left cranial lung lobe is lucent compared to the other lung lobes. Additionally, on both the right lateral and VD projections, an oval (1.6 cm in length x 0.9 cm in height) soft tissue nodule overlies the cranial lungs (VD projection) and 1st intercostal space (lateral projection). The remainder of the lung lobes have a diffuse mixed bronchial and unstructured interstitial pulmonary pattern, more significantly in the caudodorsal lungs. The right cranial lung lobe bronchus has an undulating appearance on the left lateral projection compatible with bronchiectasis. On this same projection, the left caudal lung lobe bronchus is narrowed while the right caudal lung lobe bronchus is dilated and also has an undulating wall. 
Cardiovascular findings: The cardiac silhouette is tall, extending over 2/3 the height of the thoracic cavity and extends 4 intercostal spaces on the lateral projection indicative of right heart enlargement. There is a soft tissue bulge at the level of the left atrium. On the VD the left ventricle is rounded. The pulmonary veins are enlarged compared to the arteries. The caudal vena cava is enlarged. 
Mediastinum: No intrathoracic lymphadenomegaly is noted. Mild widening of the cranial mediastinum is present secondary to fat deposition. Fluid is present in the caudal thoracic esophagus. 
Pleural space: The pleural space is normal.
Musculoskeletal: The included musculoskeletal structures are normal.
Cranial abdomen: The liver is enlarged, extending caudal to the costal arch with rounded caudoventral margins. Excessive body habitus.</t>
  </si>
  <si>
    <t xml:space="preserve">1. Potential cranial lung lobe nodule based on 2 of the 3 projections. 
2. Lucent left cranial lung lobe on the VD projection. Rule out PTE with secondary overcirculation to the remaining lung lobes. 
3. CVC distention and right sided cardiomegaly. This finding along with #2 is concerning for pulmonary hypertension. 
4. Generalized cardiomegaly. Enlarged pulmonary veins compared to arteries. A combination of myxomatous mitral valvular disease and pulmonary vasculature congestion along with overcirculation due to left cranial lung lobe PTE is suspected. Caudodorsal interstitial pattern is also concerning for emerging, low-grade or resolving cardiogenic pulmonary edema. 
5. The generalized hepatomegaly is nonspecific but given CVC size, a component of hepatic venous distention is suspected. </t>
  </si>
  <si>
    <t>Repeat cardiac ultrasound to assess for development of pulmonary hypertension in the recheck interim. Thoracic CT with contrast is recommended to assess for PTE and to evaluate the cranial lung lobes. Prior to thoracic CT, consider diuretic trial and repeat thoracic radiographs after 4-6 hours to monitor for progression/resolution of the pulmonary pattern. Inclusion of the abdomen and mass at the time of the CT should also be considered for surgical planning. 
Develop a cardiac-sparing anesthetic protocol (ex: CRIs of an opioid, benzodiazepine, ketamine, +/- etomidate if available to minimize inhalant and propofol use) if owners wish to proceed with surgical removal of mass.
Sonography can be considered for further evaluation of the hepatomegaly.</t>
  </si>
  <si>
    <t xml:space="preserve">
1.Borderline enlarged spleen._x000D_
2.No abnormal AI findings reported._x000D_
3.No abnormal AI findings reported._x000D_
4.The stomach and intestinal tract appear within normal limits.</t>
  </si>
  <si>
    <t>Opposite lateral and ventrodorsal thoracic and abdominal radiographs (6 images) dated May 16, 2024._x000D_
_x000D_
_x000D_
_x000D_
The cardiac silhouette, pulmonary vasculature, and great vessels are within normal limits. The pulmonary parenchyma is mixed unstructured interstitial and milder bronchial pattern. No pulmonary nodules are detected. The pleural space and diaphragm are normal. No mediastinal abnormalities are appreciated. The trachea is normal in diameter and course with gas filling its lumen. No intrathoracic lymphadenopathy is evident._x000D_
_x000D_
The liver and spleen are normal in size and shape. The stomach contains a fair amount of heterogeneous soft-tissue content mixed with a small volume of gas. The small intestine is unremarkable in diameter and course and predominantly contains a small volume of gas. The colon contains normal appearing stool and has a normal course. Within the right central abdomen and in the region of the cecum, there are 3 large ovoid smoothly marginated mineral opacities that range in diameter between 3.2 and 4.1 cm. The kidneys are best visualized on the lateral views with no abnormalities appreciated. The urinary bladder is small and fluid opaque. Retroperitoneal and peritoneal detail are normal. No regional lymphadenopathy is evident._x000D_
_x000D_
There is a soft-tissue opaque convexity arising from the ventral abdominal body wall and appears more left-sided on the VD projection. The body wall in this region appears intact on the lateral views, although there is a focal area of indistinct muscular body wall along the cranial aspect of the convexity on the VD projection. No osseous abnormalities are identified.</t>
  </si>
  <si>
    <t>1. Large broad soft tissue opacity arising from the left ventrolateral abdominal body wall. There is a focally indistinct area of the muscular body wall on the VD projection, raising some suspicion for possible hernia vs. infiltrative mass or mixed lipoma._x000D_
2. Cluster of 3 large ovoid mineral opacities in the right central abdomen. I suspect these represent large rocks within the cecum. These do not appear to be resulting in a mechanical obstruction._x000D_
3. Unremarkable geriatric thorax. The bronchointerstitial pulmonary pattern is suspected represent incidental age-associated changes vs. chronic lower airway disease. There is no evidence of metastatic neoplasia.</t>
  </si>
  <si>
    <t>Focal body wall ultrasound to confirm or rule out the left lateral/ventrolateral body wall defect. FNA of the mass could also be considered based on US findings.</t>
  </si>
  <si>
    <t xml:space="preserve">
1.The stomach contains a moderate amount of food material, but has a normal axis._x000D_
2.The small intestines are within normal limits for shape, size and contents._x000D_
3.The large colon contains a minor amount of poorly formed faeces._x000D_
4.The hepatic silhouette is enlarged, with smooth, rounded borders._x000D_
5.The peritoneal serosal detail is normal._x000D_
6.Prominent spleen.</t>
  </si>
  <si>
    <t>6 views of the thorax and abdomen are submitted for review._x000D_
In the thorax, the cardiovascular structures are within normal limits.  A severe disseminated nodular pulmonary pattern is noted throughout the lung fields.  No definitive intrathoracic lymphadenopathy is noted.  No pleural effusion is noted.  The trachea is normal._x000D_
In the abdomen, a medium to large rounded soft tissue opacity mass is seen associated with the tail of the spleen.  The liver is subjectively normal.  The renal silhouettes and urinary bladder are normal.  The GI tract is unremarkable.  Serosal detail is adequate._x000D_
No aggressive bony changes are noted.</t>
  </si>
  <si>
    <t>Disseminated nodular pulmonary pattern.  This is highly concerning for metastatic neoplasia, possibly associated with a splenic mass such as hemangiosarcoma.  Other neoplasia is also possible.  Severe fungal pneumonia cannot be excluded but is considered less likely._x000D_
The mass in the spleen is most consistent with malignant neoplasia as with hemangiosarcoma or other neoplasia.  Benign change cannot be excluded radiographically.</t>
  </si>
  <si>
    <t>An abdominal ultrasound and potentially sampling of the lower airways could be considered for more definitive diagnosis.</t>
  </si>
  <si>
    <t>7 images of the thoracic limbs, pelvis, and thoracolumbar spine are provided for review.  No fractures, luxations, or aggressive osseous lesions are seen.  Coverage of the femoral heads by the acetabular rims is adequate.  No mineralized intervertebral discs or consistently narrowed intervertebral disc spaces are seen.  The joint surfaces are smooth and regular the soft tissue structures included are normal.</t>
  </si>
  <si>
    <t>Radiographically normal thoracic limbs, pelvis, and thoracolumbar spine.  This does not rule out intervertebral disc herniation or other causes of spinal cord compression.</t>
  </si>
  <si>
    <t>Four radiographs of the thorax and abdomen are provided. The cardiac silhouette and pulmonary vessels are normal size and shape. A mild bronchial pattern and numerous pulmonary osteomas is normal for the age of this patient. There is no pleural effusion or soft tissue pulmonary nodules. Normal tracheal diameter. Smoothly irregular mineral densities in the tissues dorsal to the scapulae are likely incidental granulomas. In the abdomen the liver is upper normal size with smooth margins. Normal-sized kidneys and spleen. Moderate volume soft tissue opaque ingesta fills the stomach. Ingesta in the pylorus causes the round soft tissue contour in the cranioventral abdomen. There are several metal opaque wire objects measuring 1.5 cm in the cranial peritoneal space, representing incidental chronic migrated gastric forming. No radiopaque urolithiasis. Narrowed L1-2, L2-3 intervertebral disc spaces, likely an incidental finding today.</t>
  </si>
  <si>
    <t>Normal thorax and abdomen. A reason for the blood work abnormalities is not identified.</t>
  </si>
  <si>
    <t xml:space="preserve">
1.The ventral abdominal line is likely pendulous._x000D_
2.In most cases, there is a small quantity of ingesta in the stomach and the pylorus is caudally displaced by the hepatomegaly. Infrequently, the stomach is ingesta distended and overlying the liver creating the appearance of hepatomegaly._x000D_
3.No small intestinal obstruction is noted._x000D_
4.Abdominal detail is satisfactory._x000D_
5.Mild to moderate hepatomegaly with smooth margins is likely present on the lateral projection._x000D_
6.Splenic size, shape and margin are normal.</t>
  </si>
  <si>
    <t>Three radiographs of the thorax and three views of the abdomen are provided. The cardiac silhouette is upper normal size. Pulmonary vessels are normal size. No abnormalities in the pulmonary parenchyma. No pleural fluid or gas. Fat deposition separates the heart from the sternum on the lateral views. The diaphragm is intact. No rib fractures. Few punctate gas lucencies in the tissues ventral to the cranial sternum. No scapular fractures. Normal tracheal diameter. Cervicothoracic spine is normal._x000D_
_x000D_
In the abdomen there is no effusion. The urinary bladder is well delineated and moderately filled. Large volume soft tissue opaque and just tight in the stomach. Small and large bowel are minimally filled. Normal-sized liver, spleen, kidneys. The coxofemoral joints are congruent. No pelvic limb abnormalities.</t>
  </si>
  <si>
    <t>Cranioventral sternal subcutaneous emphysema consistent with puncture wounds. Otherwise normal thorax and abdomen.</t>
  </si>
  <si>
    <t>Recommend wound management and supportive care.</t>
  </si>
  <si>
    <t xml:space="preserve">
1.Splenic size, shape and margin are normal._x000D_
2.Liver size, shape and margin are normal._x000D_
3.Abdominal detail is normal._x000D_
4.Small small-volume amorphous soft tissue opacity is present within the stomach. 
The small intestines are mildly filled with gas and fluid. No signs of obstruction.</t>
  </si>
  <si>
    <t>Three radiographs of the thorax and three views of the abdomen are provided. Images dated 6/16/22 were reviewed. There is mild left atrial enlargement that was not present previously. Cardiac to thoracic ratio remains normal. The cranial lobar vein is larger than the artery. There are mild age-related changes in the lungs. No pleural effusion or soft tissue pulmonary nodules. Linear mineral density overlying the craniodorsal thorax on the left lateral view is incidental platelike atelectasis. The soft tissue mass ventral to the sternum was present previously, a similar size, and appears fat opaque today consistent with incidental lipoma. The C6-7 intervertebral disc space is narrowed, also present on the previous study. No other cervical spinal abnormalities. Normal proximal thoracic limbs._x000D_
_x000D_
In the abdomen there is no effusion. The stomach contains a large amount of soft tissue opacity that is stippled with gas, small accumulation of punctate mineral densities, and a cylindrical mineral opaque 1.5 x 0.4 cm structure. Small intestines are mildly filled with gas and soft tissue density. The cecum is gas-filled. Moderate volume of formed feces in the colon. The liver and spleen are normal size. The kidneys are incompletely visible. No radiopaque cystic calculi. Normal lumbar spine and coxofemoral joints.</t>
  </si>
  <si>
    <t>1. Cylindrical gastric foreign object. This is of a size that should be able to pass successfully. Remaining gastric contents appears to be normal ingesta. Additional foreign material is not ruled out but given lesser consideration in the absence of persistent vomiting. No other abdominal abnormalities._x000D_
2. Mild left atrial enlargement consistent with acquired mitral valve disease. There is pulmonary venous congestion but no evidence of heart failure. The thorax is otherwise normal._x000D_
3. The appearance of C6-7 may represent an intervertebral disc protrusion/extrusion. This was present previously, and such a lesion at this or another site may be responsible for recent cervical pain.</t>
  </si>
  <si>
    <t>If cervical pain is severe/persistent or there are significant neurologic deficits, consultation with a neurologist and spinal imaging with MRI/CT would be recommended. Otherwise, this patient may benefit from anti-inflammatories and strict rest. An echocardiogram could be considered to obtain baseline measurements. If vomiting recurs, recommend strictly fasted repeat abdominal radiographs to rule out persistent gastric foreign material.</t>
  </si>
  <si>
    <t xml:space="preserve">
1.On the VD projection, a mild decrease in cranial abdominal detail is present. This is suspected to be secondary to caudal extension of the liver._x000D_
2.As mentioned above, cranial abdominal detail is mildly decreased. A global reduction in abdominal detail is NOT present._x000D_
3.The ventral abdominal line is mildly pendulous._x000D_
4.No gastrointestinal abnormalities._x000D_
5.Splenic size, shape and margin are normal._x000D_
6.On the lateral projection, the liver is mildly enlarged.</t>
  </si>
  <si>
    <t>3 images of the abdomen are presented for review.  Serosal detail is adequate in all quadrants.  The stomach contains a small amount of gas.  The small intestine segment in the caudal abdomen is dilated with gas and normal soft tissue material.  This is above normal limits for size and larger than other segments.  Gas is present in the colon.  The urinary bladder is small.  The remaining abdominal organs are normal.</t>
  </si>
  <si>
    <t>Segmental small intestinal dilation consistent with mechanical obstruction.  Intraluminal contents suggest foreign material (cough or similar).</t>
  </si>
  <si>
    <t>Consider abdominal exploratory versus repeat radiographs following supportive therapy to monitor for passage of material.</t>
  </si>
  <si>
    <t>Study:_x000D_
Abdominal radiography: three images dated May 15, 2024_x000D_
_x000D_
Findings:_x000D_
There is mild to moderate peritoneal effusion. The stomach contains a small volume of gas. The small intestines are normal in size, course and content. The colon contains gas and poorly formed fecal material. The liver and spleen are normal in size and margin. There is no overt renomegaly. The urinary bladder is also not visualized and is likely small/empty. The included thorax is normal. The patient has eight lumbar vertebrae. There is narrowing of the L2-L3 intervertebral disc space. There is mild multifocal lumbar spondylosis deformans. There is a small mineral opacity superimposed with the L4-L5 intervertebral foramen.</t>
  </si>
  <si>
    <t>1. Mild to moderate nonspecific peritoneal effusion. A cause is not radiographically evident. Recommend cPLI testing, abdominal sonography and abdominocentesis for further evaluation._x000D_
2. L2-L3 intervertebral disc disease._x000D_
3. The mineral opacity superimposed the L4-L5 intervertebral foramen may indicate herniated mineralized disc material, lateralized spondylosis deformans or incidental dural ossification.</t>
  </si>
  <si>
    <t>A three view study of the thorax and orthogonal abdomen views are provided for interpretation._x000D_
_x000D_
There is reduced detail in the abdomen consistent with free fluid. No mass lesions or organomegaly are seen. The margins of the spleen are suspected to be slightly irregular in the VD view, but this is a subtle change that could be artifactual._x000D_
_x000D_
A small volume of free pleural fluid is identified in the thorax. No pulmonary nodules are identified. The cardiovascular structures are within normal limits._x000D_
No destructive or productive bone lesions are identified.</t>
  </si>
  <si>
    <t>There is radiographic evidence of mild ascites and slight pleural effusion. No specific underlying cause is seen in the radiographs. There are no visible mass lesions or evidence of trauma._x000D_
_x000D_
Coagulopathy would be a primary differential. Platelet dysfunction should be ruled out in light of the normal PT and PTT._x000D_
Neoplasia should also be considered, although radiographic evidence of this is not specifically seen. Spleen contour appears slightly altered in one view, but the appearance is equivocal._x000D_
Traumatic injury also still cannot be excluded.</t>
  </si>
  <si>
    <t>Assessment mucosal bleeding time is suggested to rule out platelet dysfunction as a possible cause of bicavitary hemorrhage._x000D_
Ultrasound or CT of the abdomen should be considered to look for evidence of neoplasia.</t>
  </si>
  <si>
    <t>Study:_x000D_
Abdominal radiography: three images dated May 5, 2024_x000D_
_x000D_
Findings:_x000D_
The stomach is mildly gas and fluid distended. There are two populations of small bowel. Multiple small intestinal segments are gas and fluid distended with secondary stacking and hairpin turns. Other small intestinal segments contain gas and are within normal limits for size. There is gas and poorly formed fecal material within the descending colon. The liver and spleen are normal in size and margin. The renal silhouettes are poorly visualized due to visceral crowding. There is no overt renomegaly. The urinary bladder is normal in size and opacity. There is no prostatomegaly. The included thorax is normal. The osseous structures are unremarkable. The patient is of thin body condition.</t>
  </si>
  <si>
    <t>The two populations of small bowel are concerning for mechanical ileus. Partial obstruction is considered given the chronicity of the clinical signs=ZZ90= however, a cause is not evident. Abdominal sonography is recommended for further evaluation.</t>
  </si>
  <si>
    <t xml:space="preserve">
1.The stomach is mildly gas and fluid filled with some soft tissue density material. The small bowel is gas and fluid-containing with regions of mild distension. No signs of complete obstruction._x000D_
2.The liver and spleen are normal size._x000D_
3.Abdominal detail is mildly decreased._x000D_
4.No abnormal AI findings reported.</t>
  </si>
  <si>
    <t>3 views of the abdomen are presented for review.  Serosal detail is adequate in all quadrants.  The stomach contains a small amount of ingesta with mineral structures.  The small intestines are normal in size.  Gas and feces with small mineral structures are present in the colon.  The urinary bladder is small.  The remaining abdominal organs are normal.  Gas is present in the left inguinal region.  The abdominal wall appears intact.  No fractures are seen.</t>
  </si>
  <si>
    <t>Gastric and colonic mineral foreign material, likely incidental.  Subcutaneous emphysema.  No evidence of abdominal penetration.</t>
  </si>
  <si>
    <t>Consider supportive therapy for wound management.</t>
  </si>
  <si>
    <t xml:space="preserve">
1.Splenic size, shape and margin are normal._x000D_
2.Abdominal detail is normal._x000D_
3.Small small-volume amorphous soft tissue opacity is present within the stomach. The small bowel is diffusely gas- and fluid-filled without segmental small bowel dilation._x000D_
4.Liver size, shape and margin are normal.</t>
  </si>
  <si>
    <t>4 images of the abdomen are presented for review.  Serosal detail is adequate in all quadrants.  The stomach contains a moderate amount of gas.  Overall small intestinal segments are distended with gas and mottled soft tissue material.  These are within normal limits for size but larger than other segments.  Gas and feces are present in the colon.  The urinary bladder is small.  The remaining abdominal organs are normal.</t>
  </si>
  <si>
    <t>Segmental small intestinal dilation distention concerning for early/partial obstruction.  Intraluminal contents suggest foreign material.</t>
  </si>
  <si>
    <t>Consider abdominal exploratory versus repeat radiographs following supportive therapy to monitor for movement of material.</t>
  </si>
  <si>
    <t>3 views of the abdomen are provided for review.  Serosal detail is adequate in all quadrants.  The stomach contains a small amount of amorphous soft tissue material and the rugal folds are prominent.  The small intestines are normal in size.  Gas is present in the colon.  The urinary bladder is small.  The remaining abdominal organs are normal.</t>
  </si>
  <si>
    <t>Gastric contents may represent residual ingesta, mucus, or foreign material.  Consider repeat radiographs following strict fasting to determine if gastric contents persist.  Prominent rugal folds suggestive of gastritis.  This does not rule out underlying pancreatitis, dietary indiscretion, etc.  If clinical signs persist with supportive therapy, abdominal ultrasound could be considered in further evaluation.</t>
  </si>
  <si>
    <t>SPINE and THORAX/ABDOMEN (six total radiographs for review). Multiple previous examinations are available for comparison, most recently from 2022._x000D_
_x000D_
- Mild multifocal spondylosis deformans in the caudal cervical and cervicothoracic junction. _x000D_
- Thoracic vertebral column relatively unremarkable._x000D_
- Thoracolumbar junction normal._x000D_
- Lumbar vertebral column normal, except for minimal multifocal spondylosis deformans._x000D_
- Lumbosacral junction unremarkable._x000D_
- Sacroiliac joints normal._x000D_
- Pelvic bones, coxofemoral joints and proximal portions of the pelvic limbs normal._x000D_
- There are multiple prior rib fractures appreciated (right T6-T9 and left T8). T6 rib is fractured near the vertebral articulation, T7 rib is segmentally fractured in the mid body, and there is synostosis between the proximal portions of T8 and 9 ribs. Left T8 rib is fractured near the proximal portion of the body and mildly displaced._x000D_
- Mild left-sided cardiomegaly, characterized by straightening of the caudal cardiac margin and dorsal displacement of the caudal aspect of the thoracic trachea._x000D_
- Pulmonary vasculature and parenchyma normal._x000D_
- Remaining included intrathoracic structures and visible portions of the abdomen are normal, besides mild gastric aerophagia.</t>
  </si>
  <si>
    <t>1. A discrete radiographic spinal abnormality to explain the patient=ZZ91=s reported clinical signs is not clearly identified. There is mild multifocal spondylosis deformans along the spine which implies a degree of disc degeneration. Extruded intervertebral disc disease is not excluded despite lack of overt changes, as radiographic sensitivity for lesions affecting the vertebral column is limited. No evidence of fracture, subluxation, discospondylitis or aggressive bone lesions._x000D_
_x000D_
2. Multiple, bilateral (mostly right-sided) prior/chronic rib fractures in various stages of healing as described. The left T8 rib fracture could be more recent as I cannot appreciate obvious callus. Pathologic fractures would be less likely but are theoretically possible. You might consider radiographic follow-up examination in this patient to evaluate how these fractures heal/progress over time._x000D_
_x000D_
3. Mild left-sided cardiomegaly, without pulmonary vascular congestion or congestive heart failure. Compatible with the historically reported degenerative mitral valve disease. No discrete radiographic evidence of pulmonary hypertension is appreciated.</t>
  </si>
  <si>
    <t>This patient may be a good candidate for a whole-body CT if the current clinical condition does not improve or worsens despite medical management.</t>
  </si>
  <si>
    <t xml:space="preserve">
1.The small intestinal track is mostly fluid filled and mildly dilated._x000D_
2.There is soft appearing fecal material within the colon._x000D_
3.Detail in the abdomen is adequate._x000D_
4.The stomach is distended with gas, fluid and some granular luminal material._x000D_
5.The entire liver or a portion of the liver is at the lower limits of  normal for size to slightly small._x000D_
6.Splenic size, shape and margin are normal.</t>
  </si>
  <si>
    <t>Two views of the entire body are provided for review.  2 additional duplicate lateral views are included in the study.  The cardiac silhouette is enlarged with a bulge in the region of the left atrium.  There is a moderate bronchial pattern in all lung lobes.  The mediastinal and pleural structures are normal.  The trachea is mildly narrowed in the cervical region.  Abdominal serosal detail is adequate in all quadrants.  The stomach contains a moderate amount of gas.  The small intestines are normal in size.  Gas and feces are present in the colon.  The urinary bladder is distended.  The remaining abdominal organs are normal.</t>
  </si>
  <si>
    <t>Radiographically normal abdomen.  Moderate bronchial pulmonary pattern=ZZ90= consider bronchitis, response to inhaled irritants, response to circulating parasites, eosinophilic bronchopneumopathy.  Airway sampling may be helpful in further evaluation.  Left-sided cardiomegaly without current evidence of cardiogenic pulmonary edema.  Echocardiography may be helpful in further evaluation.</t>
  </si>
  <si>
    <t>Three orthogonal radiographs of the abdomen dated 15th May 2024 are available for review. There are no previous radiographs available for comparison. _x000D_
_x000D_
Intra-abdominal findings: The stomach is moderately filled/mildly distended with fluid, soft tissue opaque material with gas loculations in the fundus, and some gas. The gastric axis is normal, however it is mild segmentation of the pylorus is visible in the left lateral image. The small intestines are distributed evenly and are within normal limits for shape, size and contents. The ascending, transverse and descending colon have a normal position and contain gradually more formed faeces. The hepatic silhouette is normal in size with smooth borders. The spleen is normal in shape, size and position. The kidneys are partially obscured by gastrointestinal contents, but the visible aspect are normal. The urinary bladder is small. The serosal detail is normal._x000D_
_x000D_
Extra-abdominal findings: No significant abnormalities are detected._x000D_
_x000D_
Included thorax: No significant abnormalities are detected.</t>
  </si>
  <si>
    <t>1. The moderate amount of soft tissue opaque material within the stomach may be indicative of a recent meal. Alternatively, dietary indiscretion, soft tissue foreign material may be present. This needs to be correlated with time of feeding. The distension of the stomach relative to the minimal filling of the small intestines does raise suspicion of reduced gastric outflow, either due to soft tissue opaque foreign material, pyloric mucosal hypertrophy, mild gastric displacement/partial torsion.</t>
  </si>
  <si>
    <t>Supportive management, and repeat radiographs post fasting is indicated. Abdominal ultrasound to evaluate for non-radiopaque foreign material is advised. depending on outcome, an upper GI contrast study may be considered.</t>
  </si>
  <si>
    <t>3 views of the thorax are submitted for review.  Heart is generally markedly enlarged being increased in height and width.  The left atrium is severely enlarged.  The pulmonary vasculature is subjectively normal in size.  Mild bronchointerstitial markings are noted in the caudal dorsal lung fields on the lateral views.  The caudal fields appear essentially normal on the VD view.  No pleural effusion or intrathoracic lymphadenopathy is seen.  The trachea is normal in diameter._x000D_
In the abdomen, the caudal ventral serosal margins of the liver are mildly rounded.  The liver is not overtly enlarged.  A mild amount of granular mineral opacity debris is noted in the gallbladder.  The spleen is well within normal limits in size but the tail of the spleen has a mildly nodular contour on the lateral views.  The stomach contains a mild amount of gas and ingesta.  The small bowel is within normal limits.  Formed stool is noted in the colon.  The renal silhouettes are partially obscured but appear mildly irregular.  The extreme caudal abdomen is not included in the field-of-view.  Serosal detail is adequate._x000D_
No significant osseous abnormalities are seen.</t>
  </si>
  <si>
    <t>Severe generalized cardiomegaly with severe left atrial enlargement.  This is most consistent with advanced myxomatous mitral and likely tricuspid valve endocardiosis.  Equivocal pulmonary pattern in the caudal dorsal lung fields on the lateral views.  This could be artifact or associated with mild/transitional cardiogenic pulmonary edema._x000D_
The mildly rounded serosal margins of the liver could be consistent with vacuolar change, venous congestion, or less likely inflammation or neoplasia._x000D_
The mildly nodular appearance of the tail of the spleen could be consistent with benign changes with lymphoid hyperplasia or extramedullary hematopoiesis, or possibly neoplasia._x000D_
Possible remodeling of the kidneys, consistent with chronic renal disease.  This is not definitive.</t>
  </si>
  <si>
    <t>Empirical medical management for stage C myxomatous mitral valve disease and left-sided congestive heart failure appears appropriate.  Pimobendan, diuretic, and ACE inhibitor therapy are all likely indicated.  An echocardiogram is recommended for more complete evaluation of the heart.  An abdominal ultrasound could be considered to further evaluate the spleen, liver, and kidneys.  Correlation with blood work is also recommended.</t>
  </si>
  <si>
    <t>Three radiographs of the thorax, and four views of the abdomen are provided. The cardiac silhouette and pulmonary vessels are normal size and shape. A mild unstructured interstitial pattern is normal for the age of this patient. There are no soft tissue pulmonary nodules or pleural effusion. Small round soft tissue densities adjacent to the heart represent end-on pulmonary vessels. Normal tracheal diameter and position. No esophageal dilation. Broad-based fat opaque right extrathoracic 13.0 x 5.0 cm mass is a lipoma, incidental._x000D_
_x000D_
In the abdomen there is no effusion. The gastrointestinal tract is mildly filled. No radiopaque urolithiasis. The liver, kidneys, and spleen are normal size and shape. Mild narrowed T13-L1 intervertebral disc space, of doubtful significance today. Fat opaque thickening in the inguinal region consistent with a lipoma. Mild fat opaque thickening in the left flank region, also incidental lipoma. The coxofemoral joints are congruent.</t>
  </si>
  <si>
    <t>1. Normal thorax. A reason for coughing is not identified. Inhaled irritant/allergens is most likely._x000D_
2. Normal abdomen.</t>
  </si>
  <si>
    <t xml:space="preserve">
1.Serosal detail is normal._x000D_
2.The liver and spleen appear within normal limits for size._x000D_
3.There is small-volume gas and soft tissue density present within the stomach._x000D_
4.Small intestines are diffusely mildly filled with gas and fluid._x000D_
5.Formed feces is present in the descending colon._x000D_
6.No abnormal AI findings reported.</t>
  </si>
  <si>
    <t>Three radiographs of the thorax/abdomen are provided. There is slight prominence of the left atrium on the left lateral and VD view. Pulmonary vessels are normal size. Mild bronchial pattern is present consistent with age. There is no pleural effusion. The appearance of leftward mediastinal shift on the VD projection is due to patient rotation. Small volume fluid in the caudal esophagus is transient and incidental. In the abdomen there is no effusion or organomegaly. The gastrointestinal tract is minimally filled. Fluid-filled pylorus causes the round soft tissue contour in the cranioventral abdomen on the left lateral view. No radiopaque cystic calculi. Vertebral alignment is normal. No narrowed intervertebral disc spaces or foramina are appreciated.</t>
  </si>
  <si>
    <t>Prominent left atrium consistent with acquired mitral valve disease. There is no pulmonary venous congestion or pulmonary edema. This is an incidental finding today. Otherwise normal thorax and abdomen. A reason for her discomfort is not identified. With the signalment, intervertebral disc protrusion/extrusion is most likely.</t>
  </si>
  <si>
    <t>If discomfort can be medically managed and there are no significant neurologic deficits, conservative treatment with anti-inflammatories and strict rest could be considered. Otherwise, consultation with a neurologist and advanced spinal imaging with CT/MRI would be recommended.</t>
  </si>
  <si>
    <t xml:space="preserve">
1.Minimal hepatomegaly has been detected._x000D_
2.There is suspicion of moderate splenomegaly or a soft tissue mass in the region of the spleen._x000D_
3.A minimal decrease in abdominal detail has been detected._x000D_
4.The small bowel is fluid filled but without significant distention. The stomach and colon are normal.</t>
  </si>
  <si>
    <t xml:space="preserve">
Blood work. Abdomiinal ultrasound._x000D_
A single laterality has been detected which may affect the virtual radiologist evaluation. If complete orthogonal views were submitted, click &lt;a href=mailto:Info@vetology.net&gt;here&lt;/a&gt; and include the case ID and the issue, otherwise complete the orthogonal views for this study and a new report will generate.</t>
  </si>
  <si>
    <t>WHOLE-BODY (3 radiographs for review). No previous examinations for comparison._x000D_
_x000D_
- Multiple open physes are present, which is consistent with the patient clinical age._x000D_
- Decreased peritoneal detail can be normal given the patient young age._x000D_
- The stomach is moderately distended with gas and contains a mixture of heterogeneous and homogenous soft-tissue opaque and curvilinear mineral opaque material._x000D_
- Multiple small intestinal segments are homogenously distended with soft-tissue/fluid and tiny/amorphous mineral-opaque foreign bodies._x000D_
- The colon contains gas, granular mineral opaque material and minimal formed fecal material._x000D_
- The liver, spleen, kidneys and urinary bladder are of limited assessment due to decreased peritoneal detail however no obvious abnormalities are noted._x000D_
- Cardiac silhouette, pulmonary vasculature, pulmonary parenchyma, pleural space, trachea, esophagus mediastinum and remaining included intrathoracic structures are normal._x000D_
- No obvious musculoskeletal abnormalities identified.</t>
  </si>
  <si>
    <t>1. The appearance of the stomach, small intestine and colon can be compatible with a nonspecific generalized functional ileus (e.g. gastroenterocolitis), in this case most likely secondary to nonspecific dietary indiscretion with multiple tiny mineral foreign bodies. There is no discrete evidence of small intestinal mechanical obstruction. Consider initiation of therapy for generalized functional ileus and if clinically indicated, abdominal ultrasound might be pursued for further investigation._x000D_
_x000D_
2. Normal thorax. A radiographic cause for the reported coughing is not clearly identified however if the patient has been vomiting, radiographic signs of aspiration pneumonia can lag behind clinical signs and if the respiratory signs worse in order not improve it may be reasonable to consider recheck thoracic radiographs.</t>
  </si>
  <si>
    <t xml:space="preserve">
1.The stomach is normal. The small bowel contains gas and fluid but no segmental small bowel dilation is noted._x000D_
2.Splenic size, shape and margin are normal._x000D_
3.The liver is mildly enlarged but with smooth margins. No liver mass is noted._x000D_
4.Abdominal detail is normal however the abdomen is mildly pendulous.</t>
  </si>
  <si>
    <t>Thorax: On the lateral view there appears to be left-sided cardiomegaly however this is not repeated on the ventrodorsal view and may be artifactual due to patient rotational obliquity.  The pulmonary parenchyma and pulmonary vasculature are unremarkable.  The trachea is narrow (especially near its bifurcation).  There is no evidence of pleural effusion or lymphadenopathy._x000D_
_x000D_
Abdomen: There are numerous small mineral opacities seen throughout the abdomen.  It is uncertain if these are located within the gastrointestinal tract, dystrophic mineralization within the mesentery, or summation artifacts.</t>
  </si>
  <si>
    <t>Narrowed trachea which is common in this breed of patient.  An underlying tracheitis cannot be ruled out._x000D_
_x000D_
The described multi focal regions of mineralization within the abdomen is of uncertain origin/etiology.  The majority of these appear to be within the mesentery.</t>
  </si>
  <si>
    <t xml:space="preserve">
1.Liver size is at the upper limits of normal to mildly enlarged but no mass is noted in the region of the liver._x000D_
2.Splenic size is at the upper limits of normal to mildly enlarged but no mass is noted in the region of the spleen._x000D_
3.The stomach contains a small amount of gas and ingesta. The small bowel is diffusely gas- and fluid-dilated. The degree of distention raises concern for both a severe functional ileus and segment bowel dilation due to a mechanical obstruction._x000D_
4.The colon is gas filled and a portion of the colon has a rigid appearance._x000D_
5.Cranial abdominal detail is mildly decreased. DDx: confluence of soft tissue structures vs. less suspected, regional inflammation.</t>
  </si>
  <si>
    <t>Three radiographs of the thorax are provided. There is mild left atrial and ventricular enlargement. Pulmonary vessels are normal size and there is no loss of perihilar vessel visibility. The caudal thoracic trachea and mainstem bronchi are dorsally deviated by the enlarged heart, and the left mainstem bronchus is compressed. Mild unstructured interstitial pattern is normal for the age of this patient. Normal tracheal diameter. Small volume fluid in the caudal esophagus is transient and incidental. The viewable abdomen is unremarkable.</t>
  </si>
  <si>
    <t>Mild left-sided cardiomegaly consistent with acquired mitral valve disease. There is no pulmonary venous congestion or pulmonary edema, however there is mainstem bronchial compression which is the most likely cause for the cough.</t>
  </si>
  <si>
    <t>Three radiographs of the thorax are provided. The abdomen is included on the 2nd right lateral view. The right heart is prominent on the lateral views. The right heart also appears enlarged on the VD projection but may be exaggerated by rotation. Caudal pulmonary arteries are enlarged. There is a diffuse severe interstitial pattern throughout the lungs, with concurrent mild bronchial pattern. No pleural effusion. Complete collapse of the thoracic trachea and mainstem bronchi on the 1st lateral view. There is severe narrowed cervical trachea. In the abdomen there is no effusion or organomegaly. The gastrointestinal tract is mildly filled. No radiopaque cystic calculi.</t>
  </si>
  <si>
    <t>1. Severe bronchointerstitial pattern. Chronic airway inflammation such as bronchitis is most likely. Concurrent pneumonia is not ruled out but given lesser consideration in the absence of lethargy or hyporexia. No pulmonary metastatic disease is appreciated, however small nodules could be obscured by the interstitial pattern._x000D_
2. Severe tracheal and mainstem bronchial collapse._x000D_
3. Prominent right heart and enlarged pulmonary arteries, consider heartworm disease or pulmonary hypertension secondary to chronic airway disease.</t>
  </si>
  <si>
    <t>Recommend a heartworm test and echocardiogram.</t>
  </si>
  <si>
    <t>Thorax: There is moderate left and mild right-sided cardiomegaly.  On the lateral view there is a slight increase in opacity within the perihilar region.  Pleural fissure lines are noted.  The pulmonary vasculature is unremarkable.  There is no evidence of lymphadenopathy.  Abdomen: There are several segments of jejunum that have a heterogeneous soft tissue opacity within their lumens.  There is no evidence of an obstruction.  The liver and spleen are unremarkable.  The visible portions of the urinary tract are unremarkable.  Serosal detail is normal.</t>
  </si>
  <si>
    <t>Generalized cardiomegaly._x000D_
_x000D_
The increase in opacity at the level of the perihilar region may represent cardiogenic pulmonary edema._x000D_
_x000D_
Pleural fissure lines which may be incidental however mild pleural effusion cannot be ruled out._x000D_
_x000D_
The appearance of the jejunum most likely represents normal ingesta however foreign material progressing through the gastrointestinal tract cannot be ruled out.</t>
  </si>
  <si>
    <t xml:space="preserve">
1.The spleen is normal size._x000D_
2.Formed feces fills the colon._x000D_
3.The liver extends slightly beyond the costal arch but maintains sharp margins and there is no deviation of the gastric axis._x000D_
4.The abdomen is pendulous but abdominal detail is normal._x000D_
5.Small-volume amorphous soft tissue ingesta within the stomach._x000D_
6.Small intestines are mildly filled.</t>
  </si>
  <si>
    <t>6 images of the thorax and abdomen are presented for review.  A large amount of gas is seen in the subcutaneous tissues dorsal and lateral to the thorax.  Changes are slightly more severe to the left and dorsally.  The thoracic wall appears intact.  Additional subcutaneous gas is seen in the inguinal region and dorsal to the lumbosacral spine.  The abdominal wall also appears intact.  The cardiovascular and pulmonary structures are normal.  The pleural and mediastinal structures are normal.  Abdominal serosal detail is adequate in all quadrants.  The stomach contains a moderate amount of ingesta with angular mineral structure.  The small intestines are normal in size.  Gas and feces are present in the colon.  The urinary bladder is small.  The remaining abdominal organs are normal.</t>
  </si>
  <si>
    <t>Subcutaneous emphysema.  No evidence of thoracic or abdominal penetration.  Gastric mineral foreign material.</t>
  </si>
  <si>
    <t>A three view study of the thorax including the neck and cranial abdomen is provided._x000D_
_x000D_
In the right lateral view, the trachea and lungs appear entirely normal. No laryngeal abnormalities are identified._x000D_
The left lateral view is more expiratory. In this view, the dorsal two thirds of the mid trachea is mostly obscured with soft tissue opacity that appears to be largely due to redundant dorsal tracheal membrane, but also mild narrowing of the tracheal cartilage. Collapse of one caudal lobe bronchus at the tracheal bifurcation is also suspected in this view._x000D_
_x000D_
Mild heart enlargement is identified. The shape of the heart is compatible with left sided chamber dilation. Pulmonary vessels are normal Vertebral Heart Score is slightly increased at 10.9._x000D_
The cranial abdominal organs are unremarkable.</t>
  </si>
  <si>
    <t>There is mild left sided cardiomegaly, but no evidence of congestive heart failure is seen. This is not likely to be associated with the cough._x000D_
_x000D_
The tracheal changes are more prominent than what is typically seen as benign variation, but also not severe enough to be convincingly diagnostic for tracheal collapse. Tracheal collapse is still a potential explanation for the coughing, along with allergic lung disease which could be present without more significant radiographic changes.</t>
  </si>
  <si>
    <t>The radiographic changes are somewhat limited. Collapsing trachea and possible dynamic caudal lobe bronchial collapse is the most likely explanation for the coughing._x000D_
Allergic lung disease could also be present._x000D_
_x000D_
Symptomatic therapy is recommended. If more aggressive treatment such as tracheal stenting is being considered, more advanced imaging such as fluoroscopy or bronchoscopy is indicated to localize and verify severity of dynamic airway collapse.</t>
  </si>
  <si>
    <t xml:space="preserve">
1.Moderate volume ingesta fills the stomach._x000D_
2.Small intestines are mildly gas filled._x000D_
3.Formed feces is present in the distal colon._x000D_
4.The spleen is normal for size._x000D_
5.Abdominal detail is normal._x000D_
6.The liver is upper limits of normal for size to mildly enlarged but retains a smooth margins.</t>
  </si>
  <si>
    <t>Right lateral and ventrodorsal abdominal radiographs (2 images) dated May 15, 2024._x000D_
_x000D_
The liver and spleen are normal in size and shape. The stomach is distended with a moderate amount of homogeneous soft-tissue/fluid content. Some small irregular mineral sediment is suspended in this soft-tissue/fluid content. There is also some gas in the stomach. Small intestine has a mild and unremarkable variation in diameter with most segments containing fluid and a minority containing gas. The colon contains unremarkable appearing stool and has a normal course. Both kidneys are normal in size and shape. The urinary bladder is fairly distended with fluid opacity. Retroperitoneal and peritoneal detail are normal. No regional lymphadenopathy is evident._x000D_
No aggressive or clinically significant osseous pathology is identified.</t>
  </si>
  <si>
    <t>The appearance of the gastrointestinal tract is primarily concerning for gastroenteritis. There is no evidence of a small intestinal mechanical obstruction. The gastric content is suspected to represent residual ingesta or fluid pooling from a functional gastric stasis=ZZ90= however, clinically significant foreign material causing gastric irritation or a pyloric outflow obstruction cannot be completely ruled out.</t>
  </si>
  <si>
    <t>Supportive care with fluid rehydration, antiemetics, gastroprotectants/omeprazole, and bland diet.  General health profile (CBC, chemistry, UA, fecal) +/- spec cPL and baseline cortisol to screen for underlying causes.  Repeat fasted 3-view abdominal radiographs or ultrasound if the patient fails medical management._x000D_
_x000D_
For future cases with upper G.I. clinical signs such as vomiting, three-view abdominal radiographs obtained in the order of left lateral, ventrodorsal, and right lateral are strongly recommended for more confident evaluation of the gastric content and pyloric antrum.</t>
  </si>
  <si>
    <t>6 images of the thorax, cervical region, and abdomen are provided for review.  The trachea is dorsally deviated, indicating left ventricular enlargement.  The cardiac silhouette is also widened with rounding of the right ventricular margin.  No pulmonary infiltrates are seen.  The pulmonary vasculature is normal in size.  The mediastinal and pleural structures are normal.  The cervical and intrathoracic trachea is severely narrowed on several views.  The primary bronchi are also variably narrowed.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is moderately distended.  The remaining abdominal organs are normal.</t>
  </si>
  <si>
    <t>Hepatomegaly=ZZ90= this is a nonspecific finding that may be seen with congestion, vacuolar hepatopathy, inflammation, neoplasia, etc.  Abdominal ultrasound may be helpful in further evaluation if biochemically indicated.  Generalized cardiomegaly without current evidence of cardiogenic pulmonary edema.  Echocardiography may be helpful in further evaluation.  Variable tracheobronchial narrowing suggestive of dynamic tracheal collapse.  This is considered the most likely cause of the reported cough.  Fluoroscopy or bronchoscopy could be considered in further staging.</t>
  </si>
  <si>
    <t>Opposite lateral and ventrodorsal thoracic radiographs and a right lateral whole body radiograph (4 images) dated May 15, 2024._x000D_
_x000D_
_x000D_
The cardiac silhouette is normal in size and shape. The pulmonary vasculature and great vessels are unremarkable. There is persistent severe collapse of the carina, mainstem bronchi, and lobar bronchi on the lateral views. This is resulting in poor pulmonary inflation. There is also variable narrowing of the thoracic inlet trachea between views. No pharyngeal abnormalities are detected. No pulmonary nodules or infiltrates identified. No intrathoracic lymphadenopathy is evident. The pleural space, mediastinum, and diaphragm are normal._x000D_
_x000D_
The liver is moderately enlarged. The stomach contains a large amount of heterogeneous granular soft-tissue content that most closely resembles normal ingesta. The small intestine has a mild and unremarkable variation in diameter with segments containing gas and soft-tissue content. The colon contains a moderate amount of formed stool, and the cecum contains gas. The kidneys are only partially visible with no overt abnormalities detected. The urinary bladder is moderately fluid-filled. Retroperitoneal and peritoneal detail are adequate. No regional lymphadenopathy is evident._x000D_
_x000D_
There is multifocal spondylosis deformans with T12-T13 and L4 through L6 disc space narrowing. The left thoracic limb is surgically absent. No aggressive osseous lesions are identified.</t>
  </si>
  <si>
    <t>1. Chondromalacia and bronchomalacia, characterized by variable narrowing of the thoracic inlet trachea and severe collapse of the carina, mainstem bronchi, and lobar bronchi. This is likely the cause for the coughing._x000D_
2. Moderate hepatomegaly. Rule out a benign metabolic/vacuolar hepatopathy vs. less likely infiltrative neoplasia._x000D_
3. Unremarkable postprandial abdomen. The cause for the vomiting is not radiographically apparent._x000D_
4. Multifocal intervertebral disc disease and spondylosis deformans._x000D_
5. Surgically absent left thoracic limb.</t>
  </si>
  <si>
    <t>Treatment includes antitussives and anti-inflammatory steroidal therapy, maintaining a lean body condition, reducing overexertion and overexcitement, and maintaining a cool and non-humid environment. Fluoroscopy of the airway could be performed to further assess the dynamic severity of the collapse. Internal medicine consultation in refractory cases._x000D_
_x000D_
_x000D_
Hepatic lab work and ultrasound to further assess the hepatomegaly._x000D_
Repeat fasted abdominal radiographs vs. abdominal ultrasound to further workup the vomiting.</t>
  </si>
  <si>
    <t xml:space="preserve">
1.The liver is enlarged._x000D_
2.Splenic size, shape and margin are normal._x000D_
3.The abdomen is pendulous._x000D_
4.No intestinal abnormalities are appreciated._x000D_
5.The cecum is gas filled._x000D_
6.Moderate volume ingesta fills the stomach.</t>
  </si>
  <si>
    <t>Abdomen: On the ventrodorsal view there appears to be a soft tissue opacity within the proximal duodenum.  There is no evidence of an obstructive process.  Also on the ventrodorsal view there is an unusual soft tissue opacity within the fundus of the stomach.  The remainder of the gastrointestinal tract is unremarkable.  On the lateral view there is no defined ovoid mineral opacity superimposed over the cranial ventral portion of the liver.  The visible portions of the spleen and urinary tract are unremarkable.  On the visible portions of the thorax there is mild left-sided cardiomegaly.  The remainder of the visible portions of the thorax are unremarkable.</t>
  </si>
  <si>
    <t>Possible foreign material within the stomach and proximal duodenum._x000D_
_x000D_
Mild left-sided cardiomegaly without evidence of decompensation.</t>
  </si>
  <si>
    <t xml:space="preserve">
1.On the lateral projection, the increase in soft tissue opacity in the mid-abdomen could represent a portion of the spleen or superimposition of the spleen and other soft tissue structures in this region._x000D_
2.There is a reduction in serosal detail in the cranial abdomen, caudal to the stomach, on the lateral projection. Portions of the small bowel are displaced caudally from this region suggestive of a mass effect._x000D_
3.The small and large bowel have gas filled portions with a rigid appearance. The small bowel is displaced caudally from the cranial abdomen. No segmental small bowel dilation is noted._x000D_
4.There is increased soft tissue opacity in the cranial abdomen. DDx: moderate hepatomegaly vs. less commonly, moderate gastric distention.</t>
  </si>
  <si>
    <t>Increased soft tissue in the cranial abdomen. DDx: hepatomegaly most commonly vs. less commonly, gastric distention. With hepatomegaly, diffuse hepatopathies including hepatitis, hepatic lymphoma, or metabolic/ endocrine hepatopathies should still be ruled out. Mild decrease in cranial abdominal detail, caudal to the stomach, on the lateral projection. This is suggestive of a potential inflammatory process, but mild hemorrhage or transudative ascites should also be ruled out. Primary considerations based on the clinical signs would include pancreatitis or an unseen splenic mass with regional inflammation.</t>
  </si>
  <si>
    <t xml:space="preserve">
Virtual Radiologist Case Difficulty: MODERATE_x000D_
Virtual Radiologist Confidence: MODERATE_x000D_
The radiographic findings are somewhat limited given the potential for hepatomegaly or gastric distention. Consider submission of this study for radiologist evaluation or further evaluation via abdominal ultrasound._x000D_
However, a component of cranial abdominal pathology of an inflammatory nature is suspected.</t>
  </si>
  <si>
    <t>Five radiographs of the thorax/abdomen are provided. The cardiac silhouette and pulmonary vessels are normal size and shape. There are mild bronchial markings in the lungs consistent with age. Linear mineral density cranial to the heart on the left lateral views is incidental platelike atelectasis. No soft tissue pulmonary nodules or pleural effusion. Mild narrowed cervical trachea on one of the lateral views, of uncertain significance today. The esophagus is persistently diffusely gas dilated. No pleural effusion. In the abdomen the liver is prominent with smooth margins. Normal-sized spleen. The kidneys are obscured. The gastrointestinal tract is mildly filled. No radiopaque cystic calculi. Narrowed T 13-L1 intervertebral disc space, and mineral density overlying the L3-4 intervertebral foramen, likely incidental. Multipartite lateral fabellae on the left, also incidental.</t>
  </si>
  <si>
    <t>1. Megaesophagus. This could be due to sedation (if used), esophagitis, endocrinopathy (hypothyroidism, hypoadrenocorticism), myasthenia gravis, idiopathic etiology. Otherwise normal thorax._x000D_
2. Mild hepatomegaly, a nonspecific finding that may be steroid or other hepatopathy, acute inflammation, or neoplasia. This should be correlated with history and blood work.</t>
  </si>
  <si>
    <t>If the patient was not sedated for the study, additional workup to determine cause of megaesophagus is recommended. There is no contraindication for general anesthesia based on this study.</t>
  </si>
  <si>
    <t xml:space="preserve">
1.The small intestine is predominantly mildly gas-filled and normal in size. No signs of obstruction._x000D_
2.The stomach contains a moderate volume of heterogeneous soft tissue material mixed with gas_x000D_
3.No abnormal AI findings reported._x000D_
4.The liver is mildly enlarged but retains a smooth margin._x000D_
5.The spleen and abdominal detail are normal.</t>
  </si>
  <si>
    <t>Three radiographs of the thorax/abdomen are provided. Images dated 12/2/23 were reviewed, case ID number 249-8203. The cardiac silhouette and pulmonary vessels are normal size and shape. The well-defined smoothly marginated soft tissue mass in the left caudal lung lobe is 4.6 x 4.9 cm today (previously 3.4 cm). No additional pulmonary nodules or masses are present. There is no pleural effusion. Tracheal diameter is adequate. No enlarged intrathoracic lymph nodes. Wispy soft tissue thickening dorsal to the thoracic spine consistent with subcutaneous fluid administration. In the abdomen there is no effusion. Small volume gas in the stomach. Small bowel are minimally distended with fluid. The colon is minimally filled. No radiopaque foreign material. The liver, spleen, and left kidney are normal size. The right kidney is obscured. Round 0.9 cm mineral density overlying the ventral right liver consistent with a cholelith, typically incidental. Peritoneal detail is mildly reduced in the mid and caudal abdomen. Narrowed L2-3 intervertebral disc space, of doubtful significance today.</t>
  </si>
  <si>
    <t>1. Progressive pulmonary mass in the left caudal lung, most consistent with primary pulmonary neoplasia such as bronchogenic carcinoma. No new lung lesions are present. The thorax is otherwise normal._x000D_
2. Small intestinal functional ileus, a nonspecific finding that may be due to enteritis, metabolic abnormality, other primary gastrointestinal disorder. Reduced abdominal detail may be due to inflammation or scant effusion.</t>
  </si>
  <si>
    <t>If the gastrointestinal signs do not rapidly improve with supportive care, abdominal ultrasound would be recommended.</t>
  </si>
  <si>
    <t xml:space="preserve">
1.The stomach contains small volume fluid and gas._x000D_
2.The liver and spleen appear within normal limits._x000D_
3.Serosal detail is normal._x000D_
4.Small intestines are diffusely mild to moderately filled with fluid and gas. No convincing obstruction._x000D_
5.No abnormal AI findings reported.</t>
  </si>
  <si>
    <t>Opposite lateral and ventrodorsal whole body radiographs (3 images) dated May 15, 2024._x000D_
_x000D_
_x000D_
The cardiac silhouette is normal in size and shape. The pulmonary vasculature and great vessels are within normal limits. The patient is intubated with the endotracheal tube terminating distal thoracic trachea and adjacent to the carina. There is ventral displacement of the caudal thoracic trachea on both lateral views due to a large ovoid and somewhat poorly marginated soft-tissue opacity in the right medial thorax is cranial and partially border effacing is with the cardiac heart base. A small volume of gas is visible just cranial to this soft-tissue opacity, likely representing the esophagus. On the VD projection the trachea is slightly more left-sided. The pulmonary parenchyma is unremarkable with no nodules, infiltrates, or other pathology detected. The pharynx is gas distended. There is suspected soft tissue swelling in the mandibular region. The pleural space and diaphragm are normal._x000D_
_x000D_
The stomach is severely dilated with gas. The liver is enlarged, although this can be within normal limits for a juvenile dog. The small intestine has a mild variation in diameter with multiple segments distended with gas. The colon contains normal stool. That detail is adequate. The kidneys and small urinary bladder are only partially visible with no abnormalities detected. Peritoneal detail is adequate._x000D_
_x000D_
No abnormalities are identified in the juvenile skeleton.</t>
  </si>
  <si>
    <t>1. Large soft-tissue opacity in the right craniomedial thorax and resulting in ventral displacement of the trachea is concerning for focal esophageal dilation. This can occur due to a persistent right aortic arch (or similar vascular anomaly) causing esophageal obstruction vs. esophageal foreign body vs. rarely a combination of both conditions. Alternative causes for this soft-tissue opacity, such as an esophageal diverticulum or paraesophageal abscess/granuloma, is unlikely._x000D_
2. The remainder the thorax is unremarkable._x000D_
3. Suspect mandibular soft tissue swelling. This could be related to the reported swelling of the based the tongue and larynx and represent edema (ex: anaphylaxis), hemorrhage, and less likely mandibular lymphadenopathy._x000D_
4. Gastric dilation with gas is consistent with aerophagia from respiratory distress.</t>
  </si>
  <si>
    <t>Options to further assess the soft tissue opacity includes a positive contrast esophagram vs. endoscopy vs. thoracic CT.</t>
  </si>
  <si>
    <t>3 views of the abdomen are provided for review.  Serosal detail is adequate in all quadrants.  The stomach contains a small amount of amorphous soft tissue material.  The small intestines are normal in size.  Gas and feces are present in the colon.  The urinary bladder is small.  The remaining abdominal organs are normal.
(amended on 05/15/2024 16:21)
Small mineral structures are present in the urinary bladder.</t>
  </si>
  <si>
    <t>Material within the stomach may represent residual ingesta or foreign material.
(amended on 05/15/2024 16:21)
Cystic calculi.</t>
  </si>
  <si>
    <t>ABDOMEN (3 radiographs for review). A previous examination is available for comparison from January 2024._x000D_
_x000D_
- The stomach is moderately distended with gas stippled soft-tissue opaque material and a small volume of gas. In the ventral portion of the gastric lumen there is a curvilinear accumulation of mineral opacities._x000D_
- The small intestine contains mild multifocal gas and heterogeneous soft-tissue opaque material._x000D_
- The colon contains mildly desiccated formed fecal material._x000D_
- The liver, spleen, kidneys, urinary bladder and remaining abdominal structures are normal._x000D_
- The caudal thorax and included musculoskeletal structures are normal.</t>
  </si>
  <si>
    <t>1. Moderate gastric distention with heterogeneous soft-tissue opaque undigested food and/or foreign material. The curvilinear accumulation of the ventral mineral opacities could be compatible with a gravel sign which may indicate partial pyloric outflow tract obstruction. I would recommend considering fasted recheck abdominal radiographs in 12-24h to reevaluate for the degree of gastric distention._x000D_
_x000D_
2. The appearance of the small intestine can be compatible with a nonspecific generalized functional ileus such as enteritis. There is no evidence of small intestinal mechanical obstruction. Empirical treatment for this pathology may provide clinical benefit to the patient.</t>
  </si>
  <si>
    <t>4 images of the entire body are provided for review.  The cardiac silhouette is mildly generally enlarged.  There is a moderate bronchial pattern in all lung lobes.  The mediastinal and pleural structures are normal.  Abdominal serosal detail is adequate in all quadrants.  The liver margins are rounded and extend beyond the costal arch, causing caudal displacement of the gastric axis.  The stomach contains a moderate amount of gas.  The small intestines are normal in size.  Gas and feces are present in the colon.  The urinary bladder contains multiple variably sized mineral structures.  The remaining abdominal organs are normal.</t>
  </si>
  <si>
    <t>Hepatomegaly=ZZ90= this is a nonspecific finding that may be seen with congestion, vacuolar hepatopathy, inflammation, neoplasia, etc.  Abdominal ultrasound may be helpful in further evaluation if biochemically indicated.  Cystic calculi.  Moderate bronchial pulmonary pattern=ZZ90= consider bronchitis, response to inhaled irritants, response to circulating parasites, eosinophilic bronchopneumopathy.  Airway sampling may be helpful in further evaluation.  Mild generalized cardiomegaly.  Pulmonary hypertension cannot be excluded.  Echocardiography may be helpful.</t>
  </si>
  <si>
    <t>Opposite lateral and ventrodorsal abdominal radiographs (4 images) dated May 15, 2024._x000D_
_x000D_
The liver and spleen are unremarkable in size and shape. The stomach contains a moderate volume of gas and a small amount of mobile soft-tissue/fluid content that is mobile between views. The pyloric antrum is mostly gas-filled on the left lateral view. The descending duodenum is suspected to be visible as a mildly gas-filled segment in the right lateral abdomen. The remaining small intestine is empty/collapsed or contains a scant amount of soft-tissue/fluid. The colon contains unremarkable appearing stool and has a normal course. Both kidneys are normal in size and shape. The urinary bladder is small and fluid opaque. Retroperitoneal and peritoneal detail are normal. No regional lymphadenopathy is evident._x000D_
No aggressive or clinically significant osseous pathology is identified.</t>
  </si>
  <si>
    <t>The appearance of the gastrointestinal tract is most compatible with gastritis or gastroenteritis. There is no convincing evidence of a gastrointestinal mechanical obstruction. The mobile gastric soft-tissue content can represent normal ingesta vs. foreign material.</t>
  </si>
  <si>
    <t>Supportive care with fluid rehydration, antiemetics, gastroprotectants/omeprazole, and bland diet.  General health profile (CBC, chemistry, UA, fecal)  +/- spec cPL and baseline cortisol to screen for underlying causes. Gastric ultrasound could be considered to further scrutinize the gastric content vs. repeat fasted abdominal radiographs, upper GI barium study (5 ml/kg PO or via NG tube), or ultrasound if the patient fails medical management.</t>
  </si>
  <si>
    <t xml:space="preserve">
1.Splenic size, shape and margin are normal._x000D_
2.Abdominal detail is normal._x000D_
3.Liver size, shape and margin are normal._x000D_
4.The stomach contains small volume gas and scant amorphous soft tissue density material. Diffuse, mild to moderate gas dilation of the small bowel without evidence of obstruction.</t>
  </si>
  <si>
    <t>Three radiographs of the abdomen are provided. There is no abdominal effusion. Small volume fluid and gas in the colon. Small bowel are minimally distended. Small volume gas in the stomach. No radiopaque foreign material or severe intestinal distention. Normal size liver, spleen, kidneys. The prostate is equivocally visible but not significantly enlarged. No osseous abnormalities, and the caudal thorax is normal.</t>
  </si>
  <si>
    <t>Liquid diarrhea. Otherwise normal abdomen. Gastroenteritis secondary to dietary indiscretion is most likely. There is no evidence of an obstructive process.</t>
  </si>
  <si>
    <t>A CBC, blood chemistry profile, and supportive care are recommended. Based on lab results and patient response, further investigation with abdominal ultrasound may be indicated.</t>
  </si>
  <si>
    <t xml:space="preserve">
1.No mechanical ileus is visualized._x000D_
2.The colon is gas filled and has a rigid appearance._x000D_
3.The small intestine is of uniform population size and is diffusely of soft tissue and gas opacity with a rigid appearance to several loops._x000D_
4.On the lateral projection, the liver size is at the lower limits of normal to slightly small or a portion of the liver has been cut-off from the image._x000D_
5.The spleen is normal._x000D_
6.There is a focal loss of serosal detail in the cranial abdomen on the lateral projection._x000D_
7.The gastric rugae are prominent.</t>
  </si>
  <si>
    <t>Three radiographs of the thorax/abdomen are provided. Images dated 8/16/19 are available for comparison. There is mild left atrial enlargement as before. There are faint bronchial markings in the lungs, similar to the previous study. No pleural effusion. Tracheal diameter is adequate. Normal plane of the esophagus. In the abdomen the liver is mildly enlarged with rounded margins. Hepatic size is similar to the previous study. There is no effusion. Normal-sized spleen. The kidneys are partially visible and appear to be normal size. Formed feces in the colon. The stomach and small bowel are minimally filled. No radiopaque cystic calculi. No osseous abnormalities.</t>
  </si>
  <si>
    <t>This study is essentially unchanged compared to the previous study._x000D_
1. Mild bronchial pattern may be normal age-related change versus chronic airway inflammation such as bronchitis. This is the only abnormality identified to explain the cough._x000D_
2. Mild left atrial enlargement consistent with acquired mitral valve disease. There is no pulmonary venous congestion or evidence of heart failure. This is of doubtful clinical significance, and not responsible for the cough._x000D_
3. Mild hepatomegaly, likely steroid hepatopathy. Otherwise normal abdomen.</t>
  </si>
  <si>
    <t>Recommend CBC, blood chemistry profile, and palpation for spinal/musculoskeletal discomfort.</t>
  </si>
  <si>
    <t xml:space="preserve">
1.This mass causes deviation of bowel loops._x000D_
2.Formed feces fills the colon._x000D_
3.Small intestines are mildly filled._x000D_
4.There is a mid-ventral abdominal soft tissue mass._x000D_
5.Mid abdominal peritoneal detail is decreased._x000D_
6.The stomach contains a moderate amount of soft tissue opacity._x000D_
7.The liver is normal size._x000D_
8.Mineral dense material and distended viscus are present in the region of the uterine horns._x000D_
9.In cases of pregnancy, fetal mineralization indicates fetal age of &gt;45 days._x000D_
10.IMPORTANT: This AI evaluation currently DOES NOT assess for the presence of fetal mummification and/or abnormal gas within or around the fetus (fetal viability) and/or fetal number.</t>
  </si>
  <si>
    <t xml:space="preserve">
Virtual Radiologist Case Difficulty: MODERATE_x000D_
Virtual Radiologist Confidence: MODERATE_x000D_
Evaluate fetal skeletal structures on radiographs, via ultrasound or submit for radiology review if fetal number and/or evaluation of fetal viability is needed.</t>
  </si>
  <si>
    <t>Three radiographs of the abdomen are provided. Mid abdominal detail is mildly reduced. There is small volume fluid in the colon. Small intestines are minimally fluid filled. Volume gas in the stomach. No radiopaque foreign material. Normal-sized liver, kidneys, spleen. The urinary bladder is minimally filled. No radiopaque urolithiasis. Osseous structures are unremarkable.</t>
  </si>
  <si>
    <t>Liquid diarrhea and scant effusion. Gastroenteritis/pancreatitis is most likely. There is no evidence of an obstructive process. Small radiolucent gastric foreign material is not definitively ruled out.</t>
  </si>
  <si>
    <t>A CBC, blood chemistry profile, and supportive care are recommended. If the patient does not rapidly improve, strictly fasted abdominal ultrasound would be recommended.</t>
  </si>
  <si>
    <t>Study:_x000D_
Abdominal radiography: two images dated May 15, 2024_x000D_
_x000D_
Findings:_x000D_
The stomach contains is empty. The small intestines are normal in size, course and content. The colon contains formed fecal material. The liver and spleen are normal in size and margin. The kidneys are normal in size and contour. There multiple indistinct punctate mineral foci in the central aspect of the urinary bladder.no calculi present in the region of the urethra. There is severe smooth and continuous, bridging new bone formation along the ventral aspect of the vertebrae from T 13 to L1. The caudal vertebrae are malformed and fused, typical for the breed of the patient. There is mild bilateral stifle periarticular bone formation. The included thorax is normal.</t>
  </si>
  <si>
    <t>1. cystolithiasis. Correlate with pending urinalysis. Consider dissolution versus cystotomy._x000D_
2. The severe smooth and continuous new bone formation along the ventral aspect of the lumbosacral spine may indicate diffuse idiopathic skeletal hyperostosis and/or severe spondylosis deformans._x000D_
3. Mild bilateral stifle osteoarthrosis. Consider underlying cranial cruciate and/or meniscal injury.</t>
  </si>
  <si>
    <t>3 views of the entire body are provided for review.  The trachea is dorsally deviated, indicating left ventricular enlargement.  A bulge is present in the region of the left atrium.  No pulmonary infiltrates are seen.  The pulmonary vasculature is normal in size.  The mediastinal and pleural structures are normal.  Abdominal serosal detail is adequate in all quadrants.  The stomach contains a small amount of gas and the rugal folds are prominent.  The small intestines are normal in size.  Gas is present in the colon.  The urinary bladder is small.  Mineral is present in the renal pelves.  The remaining abdominal organs are normal.</t>
  </si>
  <si>
    <t>Prominent rugal folds suggestive of gastritis.  This does not rule out underlying pancreatitis or infiltrative neoplasia.  Abdominal ultrasound could be considered in further evaluation.  Nephrolithiasis.  Left-sided cardiomegaly without current evidence of cardiogenic pulmonary edema.  Echocardiography may be helpful in further evaluation.</t>
  </si>
  <si>
    <t xml:space="preserve">
1.Splenic size, shape and margin are normal._x000D_
2.The abdomen is mildly pendulous but abdominal detail is normal._x000D_
3.The stomach contains a mild amount of gas and amorphous, food material._x000D_
4.No dilated loops of small bowel are noted._x000D_
5.The colon contains gas and formed feces._x000D_
6.On the lateral projection, the liver is mildly enlarged, extending beyond the costal arch and has rounded serosal margins.</t>
  </si>
  <si>
    <t>Caudal abdomen, pelvis and HINDLIMBS (eight radiographs for review). No previous for comparison._x000D_
_x000D_
- Lumbar vertebral column normal._x000D_
- Lumbosacral junction unremarkable. _x000D_
- Sacroiliac joints normal._x000D_
- Pelvic bones normal._x000D_
- Coxofemoral joints unremarkable._x000D_
- Stifle joints within normal limits bilaterally. Slightly limited assessment due to obliquity._x000D_
- Included portions of the tarsi unremarkable._x000D_
- Included portions of the abdomen are normal.</t>
  </si>
  <si>
    <t>1. An obvious osseous or soft-tissue abnormality to explain the patient=ZZ91=s reported left hindlimb lameness is not clearly identified. No fractures or luxations are seen. The stifle joint is unremarkable, however radiographs may have limited sensitivity for small volumes of synovial effusion. A radiographically inapparent soft-tissue injury is possible, and if the patient does not improve or worsens despite medical management you may consider orthopedic consultation and/or pelvic/pelvic limb CT for further assessment.</t>
  </si>
  <si>
    <t>Three radiographs of the thorax and a lateral view of the abdomen are provided. The heart and pulmonary vessels are normal size and shape. There is a patchy bronchointerstitial pattern throughout the lungs, and several areas appear as small poorly delineated nodular contours measuring up to 0.7 cm. There is no pleural effusion. Normal tracheal diameter. No esophageal dilation or intrathoracic lymphadenomegaly. Osseous structures are unremarkable._x000D_
_x000D_
In the abdomen serosal detail is adequate. The urinary bladder is minimally filled. No radiopaque urolithiasis. Normal-sized liver, spleen. The kidneys are incompletely visible. The gastrointestinal tract is minimally filled.</t>
  </si>
  <si>
    <t>Bronchointerstitial pattern with faint nodular component. Neoplasia is most likely. Bronchopneumonia with small pulmonary abscesses, bronchial mucous plugs, or coalescing interstitial infiltrates are next on the differential list. The abdomen is normal.</t>
  </si>
  <si>
    <t>Recommend continue antibiotics. Consider ultrasound evaluation of the abdomen to identify potential primary neoplastic lesions.
(amended on 05/15/2024 09:45)
Discussed the case with Dr. Billhartz and Dr. Carlow. This patient is a rescue. Fungal disease needs to be added to the differential list, as complete patient history is not known. Fungal disease is felt to be less likely than neoplasia or bronchopneumonia. This patient also did not have a cough until the morning of the veterinary appointment, which is concerning for neoplasia. Recommend close inspection for evidence of oral or external lesions that might be a primary neoplasm, and continued antibiotics. Lack of resolution of the nodular pattern despite antibiotics would support a diagnosis of neoplasia. At that time if no external/oral lesions are present, abdominal ultrasound would be recommended.</t>
  </si>
  <si>
    <t xml:space="preserve">
1.The liver and spleen are normal._x000D_
2.There is no effusion._x000D_
3.The stomach contains a small to moderate amount of amorphous soft tissue density._x000D_
4.No abnormal AI findings reported._x000D_
5.Small intestines and the colon are minimally filled.</t>
  </si>
  <si>
    <t>ABDOMEN (3 radiographs for review). Multiple previous examinations are available for comparison most recently from 2023._x000D_
_x000D_
- Peritoneal serosal detail is normal._x000D_
- The stomach contains mild gas and gas stippled soft-tissue opaque material._x000D_
- The small intestine contains mild multifocal gas and soft-tissue opaque material._x000D_
- The colon contains gas and formed fecal material._x000D_
- The liver, spleen, kidneys, urinary bladder and remaining abdominal structures are normal._x000D_
- The included musculoskeletal structures and caudal portion of the thorax are normal.</t>
  </si>
  <si>
    <t>1. A discrete radiographic cause for the reported clinical signs is not clearly identified. The appearance of the stomach, small intestine and colon are compatible with a nonspecific generalized aerophagia and could indicate functional ileus such as gastroenteritis. Radiographic sensitivity is limited. Consider abdominal ultrasound for further assessment if clinically indicated.</t>
  </si>
  <si>
    <t xml:space="preserve">
1.The stomach contains a small amount of gas and the gastric rugae are prominent._x000D_
2.The liver is mildly enlarged but retains a smooth margin._x000D_
3.No abnormal AI findings reported._x000D_
4.The spleen and kidneys are normal size.</t>
  </si>
  <si>
    <t>Seven radiographs of the thorax and abdomen are provided. The cardiac silhouette and pulmonary vessels are size and shape. There are no abnormalities in the pulmonary parenchyma. No pleural effusion. Normal cranial mediastinal width and tracheal diameter. Increased opacity overlying the caudal cervical trachea on the 1st lateral view is caused by superimposed scapula._x000D_
_x000D_
In the abdomen the liver is prominent with smooth margins. Normal-sized spleen. The kidneys are partially visible and also appear to be normal size. The gastrointestinal tract is minimally filled. No radiopaque foreign material or urolithiasis. Hazy ovoid 1.7 x 1.0 cm soft tissue opacity in the inguinal region. No osseous abnormalities.</t>
  </si>
  <si>
    <t>Prominent liver and inguinal lymphadenopathy. Coupled with the history of diffuse lymphadenopathy, neoplasia such as lymphoma is of concern. Hepatopathy or acute inflammation could also cause enlarged liver. Otherwise normal abdomen and thorax.</t>
  </si>
  <si>
    <t>Recommend fine-needle aspirates of the enlarged peripheral lymph nodes.</t>
  </si>
  <si>
    <t xml:space="preserve">
1.Abdominal detail is mildly decreased._x000D_
2.The stomach contains a small amount of soft tissue dense material. The small bowel is gas and fluid filled without segmental bowel dilation. The colon is gas-containing._x000D_
3.Liver size, shape and margin are normal._x000D_
4.Splenic size, shape and margin are normal.</t>
  </si>
  <si>
    <t>3 images of the pelvis and thoracolumbar spine are provided for review.  No fractures, luxations, or aggressive osseous lesions are seen.  There is consistent narrowing of the intervertebral disc space at T10-11.  The coxofemoral joints are congruent.  No stifle effusion is seen.  The soft tissue structures included are normal.</t>
  </si>
  <si>
    <t>Narrowed intervertebral disc space suggestive of intervertebral disc herniation.  This does not rule out intervertebral disc herniation at another site or other causes of spinal cord compression.  CT or MRI could be considered in further evaluation.  Radiographically normal pelvis and stifles.</t>
  </si>
  <si>
    <t>3 images of the pelvis and pelvic limbs are provided for review.  2 images of the entire body are not requested to be reviewed.  Coverage of the femoral heads by their acetabulae is adequate bilaterally.  No fractures, luxations, or aggressive osseous lesions are seen.  The joint surfaces are smooth and regular.  Increased soft tissue is seen in the left stifle joint.  The remaining soft tissue structures included are normal.</t>
  </si>
  <si>
    <t>Left stifle effusion suggestive of soft tissue injury such as to the cranial cruciate ligament or meniscus.</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</si>
  <si>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ingesta. No signs of radiopaque GI FBs._x000D_
Small intestines are mildly gas and fluid filled, not overtly distended. No signs of mechanical ileus._x000D_
Serosal detail is preserved._x000D_
Liver and spleen are within normal limits of size and smoothly marginated. Incidental gallbladder choleliths._x000D_
Kidneys and urinary bladder WNL._x000D_
_x000D_
Multifocal signs of chronic IVDD.</t>
  </si>
  <si>
    <t>1) Unremarkable thorax without signs of cardiomegaly (this does not exclude a cardiac disease), pulmonary metastases nor signs of thoracic lymphadenopathy. _x000D_
2) Gallblader choleliths.</t>
  </si>
  <si>
    <t>Given the lack of cardiomegaly but audible murmur, consider a cardiology consultation with ECG and echocardiogram._x000D_
Consider abdominal US to further evaluate the GI contents and billiary system.</t>
  </si>
  <si>
    <t xml:space="preserve">
1.Small intestines are mildly gas filled._x000D_
2.Formed feces is present in the distal colon._x000D_
3.Abdominal detail is normal._x000D_
4.The liver is upper limits of normal for size to mildly enlarged but retains a smooth margins._x000D_
5.The spleen is normal for size._x000D_
6.Moderate volume ingesta fills the stomach.</t>
  </si>
  <si>
    <t>Orthogonal views of the abdomen and thoraco-lumbar spine, pelvis are provided:_x000D_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Visible spine is unremarkable without signs of disc herniation, aggressive bone lesions, vertebral fractures or subluxations._x000D_
Unremarkable pelvis.</t>
  </si>
  <si>
    <t>1) Unremarkable abdomen, spine and pelvis. Unremarkable spine on plain radiographs do not exclude some extradural an none of the intradural or intramedullary processes of the spine.</t>
  </si>
  <si>
    <t>Consider a neuro exam with MRI of the affected segment.</t>
  </si>
  <si>
    <t xml:space="preserve">
1.The stomach contains gas and ingesta or prominent rugae. The small bowel is diffusely fluid filled but without segmental small bowel dilation._x000D_
2.Splenic size, shape and margin are normal._x000D_
3.Liver size, shape and margin are normal._x000D_
4.Abdominal detail is normal.</t>
  </si>
  <si>
    <t>Orthogonal views of the abdomen are provided:_x000D_
_x000D_
Abdomen:_x000D_
_x000D_
The stomach is filled with food._x000D_
Small intestines are mildly gas and fluid filled, not overtly distended. No signs of mechanical ileus._x000D_
Unformed feces in the colon consistent with the history._x000D_
Serosal detail is decreased in the central abdomen due to soft tissue summation. Can not exclude a small central abdominal mass._x000D_
Liver and spleen are within normal limits of size and smoothly marginated._x000D_
Kidneys and urinary bladder WNL.</t>
  </si>
  <si>
    <t>1) Poor central serosal detail is due to soft tissue summation structures especially small intestines. Rule out a chronic infiltrative disease of the small intestinal wall or chronic obstruction with +/- small mass, scant effusion, adhesions and/or mesenteric lymphadenopathy._x000D_
2) Unformed feces in the colon compatible with a chronic GI process as mentioned vs chronic enteropathy vs colitis of allergic/inflammatory/idiopathic origin.</t>
  </si>
  <si>
    <t>Consider abdominal US to further evaluate these changes with 3 views of the thorax.</t>
  </si>
  <si>
    <t xml:space="preserve">
1.Liver size, shape and margin are normal._x000D_
2.Splenic size, shape and margin are normal._x000D_
3.Material is identified in the stomach._x000D_
4.Gastric rugal folds appear prominent._x000D_
5.Serosal detail appears mildly reduced in the cranial abdomen._x000D_
6.The colon is mildly gas dilated and has a rigid appearance._x000D_
7.No segmental dilation of the small intestine is seen.</t>
  </si>
  <si>
    <t xml:space="preserve">
1.The stomach contains a moderate amount of mixed gas and fluid._x000D_
2.Small intestinal bowel loops are normal in size and distribution and have mainly a soft tissue pattern._x000D_
3.The colon contains gas and fluid._x000D_
4.Resource: https://platform.v2.vetology.net/doc/gi_protectants_1_x000D_
5.The liver is mildly enlarged._x000D_
6.The spleen is normal._x000D_
7.Cranial abdominal detail is mildly decreased._x000D_
8.Resource: https://platform.v2.vetology.net/doc/pancreatitis</t>
  </si>
  <si>
    <t>Abdomen: The liver is diffusely enlarged with rounded somewhat lobar caudal ventral margins.  The tail the spleen has rounded margins.  There are no abnormalities involving the gastrointestinal tract or visible portions of the urinary tract.  Serosal detail is normal.  On the visible portions of the pelvis there is mild bilateral femoral neck osseous remodeling._x000D_
_x000D_
Thorax: On the right lateral view there is an ill-defined soft tissue opacity within the cranial ventral thorax immediately cranial to the cardiac silhouette.  This is not identified on the ventrodorsal view.   On the lateral views there is an ill-defined circular soft tissue opacity located within the caudal dorsal thorax at the level of the sixth ribs (best visualized on the right lateral view).  There is a diffuse bronchointerstitial pattern.  The cardiac silhouette and pulmonary vasculature are unremarkable.</t>
  </si>
  <si>
    <t>The size and appearance of the liver have numerous differentials however primary differentials include a hepatopathy, hepatitis, or neoplasia._x000D_
_x000D_
The appearance of the spleen may represent variation of normal, reactive process, extramedullary hematopoiesis, or neoplasia._x000D_
_x000D_
Mild bilateral coxofemoral osteoarthrosis._x000D_
_x000D_
The soft tissue opacity within the caudal dorsal thorax may represent a summation artifact with vessels and thickened airways.  Alternatively a pulmonary nodule cannot be ruled out._x000D_
_x000D_
The ill-defined soft tissue opacity cranial to the cardiac silhouette may represent a summation artifact, pulmonary nodule, or possible focal pneumonia._x000D_
_x000D_
Diffuse bronchointerstitial pattern which may be age-related or bronchitis.</t>
  </si>
  <si>
    <t xml:space="preserve">
1.The gastric axis is deviated caudally indicating an enlarged liver._x000D_
2.Serosal detail is poor._x000D_
3.Small-volume gas is present within the stomach._x000D_
4.The colon is minimally filled._x000D_
5.The spleen is also questionably enlarged but poorly visible.</t>
  </si>
  <si>
    <t>Patient name: Chungus Martinez. Date of study: 5/14/24. 4 abdominal radiographs (1 VD and 3 Laterals) and a single lateral thoracic radiograph are included in this study. Abdominal evaluation has been requested. 
Abdomen:
Liver: The liver is minimally enlarged but retains a smooth margin. 
Spleen: Normal for size but positioned caudally from the normal location on the lateral projections. 
Kidneys and urinary bladder: The visible portion of the kidneys appear normal. The urinary bladder is small. The cranial half of the urinary bladder appears normal. There is decreased detail overlying the caudal half of the urinary bladder and trigone on the lateral projections.
GI: The stomach contains soft tissue opaque material. Normal gas filling the pylorus is not identified on the left lateral projection. The proximal duodenum contains gas but no radiopaque foreign material or duodenal distention is noted. The small bowel in the cranioventral abdomen on the lateral projections is uniformly soft tissue opaque, mild distended compared to the other loops of small bowel and has an atypical circular pattern with a focal decrease in abdominal detail at the center of this bowel pattern. Caudally, the small bowel is diffusely gas filled and has a rigid appearance but no segmental bowel dilation is noted. Additionally, the majority of the small bowel is positioned away from the cranioventral abdomen on the lateral projection. The small bowel is also displaced ventrally away from the craniodorsal abdomen on the lateral projection and the descending colon is displaced axially from the left cranial abdomen on the VD projection. The colon is gas filled proximally and empty distally. The entire colon has a rigid appearance.
Abdominal detail: Only on the VD projection is a focal linear region of gas opacity between the splenic margin and abdominal wall. As mentioned above, there is a focal decrease in cranioventral and craniodorsal abdominal detail on the lateral projections associated with a region of small bowel and a decrease in left cranial and caudal abdominal detail overlying the trigone/proximal urethral region. 
Caudal thorax: A diffuse bronchointerstitial pattern is present. No focal pneumonia is noted ventrally on the lateral projections. CVC size is normal.
Msk: The caudal thoracic and lumbar spine are normal. Congenital vertebral abnormalities affect the caudal vertebrae. Congenital subluxation affects both hips.</t>
  </si>
  <si>
    <t xml:space="preserve">1) Left cranial abdominal mass effect with decreased abdominal detail. Primary consideration is pancreatitis affecting the left limb. Decreased gastric emptying, enteritis and colitis secondary to pancreatitis or gastric wall disease are the primary considerations. 
2) Gastric contents in a vomiting dog is an abnormal finding. DDx: normal ingesta persisting in the stomach secondary to functional ileus from abdominal disease vs. secondary consideration of gastric foreign material. No radiopaque bone foreign body identified which does not exclude a penetrating foreign body through the gastric wall causing left cranial abdominal inflammation.
3) Questionable free abdominal air between the spleen and abdominal wall. If abdominal air is present, concern for a gastric or intestinal perforation or ulceration increases above pancreatitis.  </t>
  </si>
  <si>
    <t xml:space="preserve">AFAST or immediate abdominal ultrasound to further evaluate for abdominal fluid and free abdominal air. Abdominocentesis if abdominal fluid is present and can be sampled. If abdominal fluid is present but cannot be sampled, consider a diagnostic peritoneal lavage. If free abdominal air is confirmed on ultrasound, exploratory laparotomy is recommended. 
Full bloodwork and urinalysis prior to surgery. Cytology and glucose comparison on any abdominal fluid obtained to assess for septic peritonitis. </t>
  </si>
  <si>
    <t>3 views of the abdomen are presented for review.  Serosal detail is adequate in all quadrants.  The stomach contains a moderate amount of gas.  The small intestines are normal in size.  Gas and feces are present in the colon.  The urinary bladder is small.  The remaining abdominal organs are normal.</t>
  </si>
  <si>
    <t>Radiographically normal abdomen.  This does not rule out chronic pancreatitis, inflammatory bowel disease, infiltrative neoplasia, etc.</t>
  </si>
  <si>
    <t xml:space="preserve">
1.There is mild hepatomegaly with smooth margins._x000D_
2.The stomach contains a small volume of gas._x000D_
3.The spleen is smoothly marginated and within normal limits for size._x000D_
4.No abnormal AI findings reported._x000D_
5.The small bowel contains gas and fluid. No evidence of obstruction.</t>
  </si>
  <si>
    <t>Three radiographs of the thorax/abdomen are provided. The cardiac silhouette and pulmonary vessels are normal size and shape. Mild unstructured interstitial pattern is normal for the age of this patient. No esophageal dilation or pleural effusion. In the abdomen the stomach contains a moderate amount of amorphous soft tissue density. Small intestines are mildly fluid filled. Scant minimally formed feces in the colon. No effusion. Normal size kidneys, liver, spleen. The urinary is minimally filled. Osseous structures are unremarkable.</t>
  </si>
  <si>
    <t>Gastric contents appears to be normal ingesta. All or a portion of this could be foreign material but is felt to be unlikely in the absence of vomiting. No other abdominal abnormalities. The thorax is normal.</t>
  </si>
  <si>
    <t>A CBC, blood chemistry profile, and supportive care are recommended. Based on lab work results and patient response, further investigation with abdominal ultrasound may be indicated. Strict fasting would be recommended prior to additional imaging.</t>
  </si>
  <si>
    <t>Paco Raga. Date of study: 05/14/24. Thoracic radiography (2 view, 3 images. 1 VD, 2 Lateral). No prior radiographs are available for comparison. _x000D_
_x000D_
Airway/pulmonary findings: The trachea is normal in size and position. The tracheal bifurcation is normal. There is a mild diffuse mixed bronchial and unstructured interstitial pattern. There are numerous punctate mineral opacities thought to represent both end-on pulmonary vessels and incidental pulmonary osteomas scattered throughout the pulmonary parenchyma. No pulmonary masses or nodules are present._x000D_
_x000D_
Cardiovascular findings: The cardiac silhouette is normal in size. There is a mild increase in soft tissue opacity in the region of the left atrium on the lateral view. The cranial and caudal pulmonary vasculature are normal. The caudal vena cava is normal in size._x000D_
_x000D_
Mediastinum: No intrathoracic lymphadenomegaly is noted. The remainder of the mediastinum is normal._x000D_
_x000D_
Pleural space: The pleural space is normal._x000D_
_x000D_
Musculoskeletal: The included musculoskeletal structures are normal. _x000D_
_x000D_
Cranial abdomen: There is mineralized debris within the gallbladder/small cholecystoliths.</t>
  </si>
  <si>
    <t>1. Minimal left atrial enlargement. There is no evidence for left heart failure. The murmur reported is most likely a physiologic murmur, or a compensated valvular disease such as myxoid degeneration of the mitral valve._x000D_
2. The diffuse bronchointerstitial pulmonary pattern is a nonspecific finding. This most likely represents benign age-related change if there are no clinical signs. Other considerations if clinical signs are present include allergic, inflammatory, infectious, inhaled irritant or parasitic bronchitis._x000D_
3. Mineralized gallbladder debris/cholecystolithiasis. This is likely incidental.</t>
  </si>
  <si>
    <t>In absence of reported clinical signs indicative of cardiac disease, conservative management may be considered. Radiography is insensitive for early cardiac morphologic and functional changes, therefore echocardiography is recommended if any doubt persists relative to cardiac functionality.</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</si>
  <si>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empty._x000D_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are WNL._x000D_
The urinary bladder is distended with irregular dystrophic mineralization in the trigone region._x000D_
_x000D_
Visible spine is unremarkable without signs of disc herniation, aggressive bone lesions, vertebral fractures or subluxations.</t>
  </si>
  <si>
    <t>1) Unremarkable thorax without signs of pulmonary metastases nor signs of thoracic lymphadenopathy._x000D_
2) Hepatomegaly: Metabolic vs Vacuolar infiltration vs Hepatic nodular hyperplasia vs Inflammatory vs Toxic vs Neoplastic or a combination of these differentials._x000D_
3) Irregular dystrophic mineralization in the trigone region. Rule out superimposed mineralized debris vs mineralized bladder neoplasm.</t>
  </si>
  <si>
    <t>Consider a contralateral view of the thorax and abdominal US to further evaluate the liver and the urinary tract with renal function test, urinalysis, UPC and urine culture._x000D_
Consider a neuro exam with MRI if necessary.</t>
  </si>
  <si>
    <t xml:space="preserve">
1.The stomach is slightly caudally positioned due to the hepatomegaly and has a normal to slightly caudally displaced gastric axis secondary to the hepatomegaly._x000D_
2.The intestines are displaced caudally into the mid- and caudal abdomen by the cranial abdominal organomegaly. The intestines are gas- and fluid-filled with the bowel being distended suggestive of a functional ileus or potentially a mechanical obstruction._x000D_
3.The ventral abdominal line is mildly pendulous._x000D_
4.There is smoothly margined hepatomegaly. On the VD projection, the hepatomegaly is mildly asymmetric._x000D_
5.The spleen is normal._x000D_
6.There is a decrease in abdominal detail. This may be attributed to superimposition of soft tissue structures secondary to the caudal extension of the liver however a component of mesenteric inflammation and/or small volume of fluid cannot be excluded.</t>
  </si>
  <si>
    <t>Nine radiographs are provided, with images of the thorax, abdomen, pelvis, stifles. The cardiac silhouette is mildly enlarged. Pulmonary vessels are normal size. There are no abnormalities in the pulmonary parenchyma. No pleural effusion. Redundant dorsal trachealis membrane in the cervical region, of uncertain significance today._x000D_
_x000D_
In the abdomen the liver is upper normal size. Normal-sized spleen and kidneys. The gastrointestinal tract and urinary bladder are minimally filled. No lumbar spinal abnormalities. The coxofemoral joints are congruent. Pelvic limb musculature is slightly reduced on the left. Both patellas are in normal position. There is small volume fluid in the cranial aspect of the left stifle joint, and the left tibia is mildly cranially positioned with respect to the femoral condyles. Right stifle evaluation is limited by rotation.</t>
  </si>
  <si>
    <t>1. Left stifle effusion and radiographic drawer sign consistent with cranial cruciate ligament tear/rupture. This is the cause for lameness. Normal coxofemoral joints._x000D_
2. Mild cardiomegaly, likely due to acquired mitral and tricuspid valve regurgitation. There is no pulmonary venous congestion or pulmonary edema. In the absence of a murmur or arrhythmia, significance is uncertain. No other thoracic abnormalities._x000D_
3. Normal abdomen.</t>
  </si>
  <si>
    <t>Surgical stabilization of the left stifle is recommended. If the patient has a murmur or arrhythmia, an echocardiogram could be considered to obtain baseline measurements, guide anesthetic protocol and treatment.</t>
  </si>
  <si>
    <t>Eight radiographs are provided, with images of the thorax, abdomen, and stifles. The cardiac silhouette is normal size. Soft tissue bulge along the cranial left aspect of the heart on the VD projection is normal aortic arch. This appears more prominent due to slight rotation and patient conformation. There is a smoothly marginated ovoid 2.6 x 2.0 cm soft tissue opacity dorsal to the 2nd sternal segment. Numerous pulmonary osteomas throughout the lungs. No soft tissue pulmonary nodules or pleural effusion. Normal tracheal diameter._x000D_
_x000D_
In the abdomen serosal detail is reduced, and the patient is thin. Normal-sized liver. A few small round mineral densities measuring up to 0.8 cm overlying the right liver consistent with choleliths, typically incidental. The gastrointestinal tract is mildly filled. Two punctate mineral densities in the intestines are likely incidental. 1.0 x 0.4 cm mineral density ventral to L2 on the lateral views is not definitively seen on the VD projection. No radiopaque cystic calculi. Mineralized intervertebral disc material in situ at T12-13. No lumbar spinal abnormalities. The coxofemoral joints are congruent and without degenerative change. Smoothly marginated ovoid 3.0 x 1.7 cm fat opacity lateral to the distal left femur consistent with a lipoma, incidental. Mild mottled appearance of mid femoral diaphyses is likely normal age-related trabecular variant. Suspect small volume fluid in the cranial aspect of the left stifle joint. No definitive right stifle abnormalities.</t>
  </si>
  <si>
    <t>1. Sternal lymphadenopathy. This is typically due to a disease process originating from the cranial peritoneal space. Neoplasia is suspected. No other intrathoracic abnormalities. No cardiovascular abnormalities on this study. A small valvular regurgitant jet can result in a relatively loud murmur._x000D_
2. Suspect left stifle effusion. Partial cranial cruciate ligament tear is the most likely cause for lameness. No other definitive pelvic limb abnormalities._x000D_
3. Retroperitoneal mineralization is most likely a renolith. Adrenal mineralization indicating neoplasia is next on the differential list. Reduced abdominal detail is concerning for mild effusion but may be due to lack of intra-abdominal fat. No other definitive abdominal abnormalities.</t>
  </si>
  <si>
    <t>Recommend palpate for stifle discomfort and instability, and abdominal ultrasound.</t>
  </si>
  <si>
    <t xml:space="preserve">
1.No abnormal AI findings reported._x000D_
2.The stomach contains small volume gas and equivocal scant soft tissue density._x000D_
3.Small intestines are minimally distended. No evidence of obstruction._x000D_
4.The liver and spleen are normal size and shape._x000D_
5.Abdominal detail is normal.</t>
  </si>
  <si>
    <t xml:space="preserve">Patient Name: Kona Gassmann, Date of study: May 14, 2024
3 images are provided for review
Canine Abdomen (3 Images) - 1 VD, 2 Lateral
There are no previous radiographs for comparison.
Findings:
The stomach is gas distended and has prominent gastric rugae. The descending duodenum is distended on the left lateral projection but the remainder of the small bowel is empty. On the VD projection, the descending duodenum also appears distended to the level of the duodenal flexure and the small bowel in the right caudal abdomen appears plicated. The colon is diffusely gas distended and has a rigid appearance. Abdominal detail is decreased and a few gas opacities are present in the right cranial abdomen that raise concern for free abdominal air. The CVC is small. 
The liver is slightly small and has a minimally irregular caudal margin. The spleen is mildly enlarged but retains a smooth margin.
The kidneys, while poorly visualized, do appear slightly small and irregular on at least one of the lateral projections. The urinary bladder is normal. 
Caudal thorax: The CVC is small. A diffuse bronchointerstitial pattern is present that is excessive for the dog's age. A focal opacity overlies the heart on the left lateral projection. </t>
  </si>
  <si>
    <t xml:space="preserve">1) Small bowel distention and plication. This is concerning for a mechanical obstruction.
2) Gas opacities in the right cranial abdomen that cannot be localized to within viscus. Rule out free abdominal air. Decreased abdominal detail compatible with peritonitis. Rule out septic peritonitis.
3)  Small CVC compatible with dehydration vs. less likely, hypovolemia. 
4) Focal pulmonary opacity. Focal pneumonia secondary to vomiting suspected.
Other:
4) Mild microhepatia. DDx: microvascular dysplasia vs. chronic liver disease. 
6) Splenomegaly. Lymphoid hyperplasia secondary to abdominal inflammation suspected.
7) Questionably small kidneys which is atypical for a dog of this age. </t>
  </si>
  <si>
    <t xml:space="preserve">Abdominal ultrasound to assess for a mechanical obstruction. Abdominal fluid collection if a fluid pocket can be identified and safely sampled. Comparison of fluid glucose to blood glucose and cytology of abdominal fluid to assess for evidence of sepsis. 
If abdominal ultrasound is not available, consider an iodinated upper GI series along with fluid therapy. </t>
  </si>
  <si>
    <t xml:space="preserve">
1.The liver, spleen, and kidneys appear within normal limits._x000D_
2.The stomach contains a moderate amount of gas._x000D_
3.Small intestines are moderately fluid filled. No obvious signs of obstruction._x000D_
4.No abnormal AI findings reported._x000D_
5.No abnormal AI findings reported.</t>
  </si>
  <si>
    <t>Thorax: There is moderate left-sided cardiomegaly.  There is no evidence of cardiogenic pulmonary edema or pleural effusion.  The pulmonary vasculature and pulmonary parenchyma are unremarkable.  There are no abnormalities involving the visible portions of the abdominal viscera._x000D_
_x000D_
Cervical vertebral column: Although obliquity compromises evaluation of intervertebral disc spaces there appears to be narrowing/collapse of intervertebral disc spaces C3-4 through C7-T1._x000D_
_x000D_
Thoracolumbar spine: There are numerous regions of spondylosis deformans.  Due to obliquity evaluation of intervertebral disc spaces is compromised however there appears to be collapse/narrowing of intervertebral disc spaces T12-13, T13-L1, L1-2, L2-3, and L4-5.</t>
  </si>
  <si>
    <t>Left-sided cardiomegaly without evidence of decompensation._x000D_
_x000D_
Numerous regions of intervertebral disc disease involving the cervical and lumbar vertebral columns.</t>
  </si>
  <si>
    <t>Three radiographs of the abdomen are provided. There is no peritoneal or retroperitoneal effusion. Small volume gas and scant amorphous soft tissue densities present within the stomach. Normal rugal folds are also visible. Small intestines are mildly filled with a mixture of fluid and gas. Small-volume semi-formed feces in the proximal colon, with gas and small volume of formed feces in the distal colon. No radiopaque foreign material is appreciated. The liver, kidneys, and spleen are normal size. Probable medial patellar luxation on the right.</t>
  </si>
  <si>
    <t>No definitive abdominal abnormalities are appreciated. Gastric contents appears to be residual ingesta and normal rugal folds. Gastric foreign material causing gastritis and intermittent pyloric outflow obstruction is not definitively ruled out.</t>
  </si>
  <si>
    <t>Consider a positive contrast gastrogram. Another option is strictly fasting abdominal ultrasound, as long as there is minimal gas in the stomach at the time of imaging.</t>
  </si>
  <si>
    <t xml:space="preserve">
1.Liver size, shape and margin are normal._x000D_
2.The small bowel is diffusely fluid filled without segmental small bowel dilation._x000D_
3.The colon is normal._x000D_
4.Splenic size, shape and margin are normal._x000D_
5.Abdominal detail is normal._x000D_
6.The gastric rugae are prominent on the VD proojection suggestive of gastritis. Alternatively, gastric luminal contents could be mimicking the appearance of prominent gastric rugae.</t>
  </si>
  <si>
    <t>Study:_x000D_
Thoracic, abdominal, pelvic and pelvic limb radiography: nine images dated May 14, 2024_x000D_
_x000D_
Findings:_x000D_
The T 13 vertebra is transitional with bilateral hypoplastic ribs. There is narrowing of the, T3-T4, T6-T7 through T8-T9 and T 12-T 13 through L2-L3 intervertebral disc spaces. There is mild to moderate multifocal thoracolumbar and L7-S1 spondylosis deformans. There is severe bilateral hip dysplasia and remodeling/thickening of the femoral head and neck. The patella is in the correct anatomic location bilaterally. There is no stifle joint effusion/capsular thickening or degenerative change. The tarsus is normal bilaterally. The pelvic limb musculature is bilaterally symmetric._x000D_
_x000D_
The cardiac silhouette and pulmonary vasculature are normal in size. The pulmonary parenchyma is unremarkable. The pleural space is normal. There is no intrathoracic lymphadenopathy. The trachea is normal in diameter and course. The stomach contains a small volume of gas. The small intestines are normal in size, course and content. The colon contains a small amount of poorly. The liver and spleen are normal in size and margin. The kidneys are normal in size and contour. The urinary bladder is normal in size and opacity. The prostate is moderately enlarged with smooth margins.</t>
  </si>
  <si>
    <t>1. T3-T4, T6-T7 through T8-T9 and T 12-T 13 through L2-L3 intervertebral disc disease. Consider neurology consultation and MRI for further evaluation if clinical signs persist or worsen in spite of strict activity restriction and pain management._x000D_
2. Severe bilateral hip dysplasia coxofemoral osteoarthrosis._x000D_
3. Normal thorax._x000D_
4. The moderate prostatomegaly likely indicates benign prostatic hyperplasia given the intact status of the patient.. Concurrent prostatitis, prostatic abscess or para-prostatic cyst or possible. Urinalysis and abdominal sonography can be considered for further evaluation if clinically relevant.</t>
  </si>
  <si>
    <t xml:space="preserve">
1.The spleen is within normal limits._x000D_
2.There is decreased detail in the cranial abdomen._x000D_
3.The stomach is partially distended with food material and fluid._x000D_
4.The colon is gas filled in corrugated._x000D_
5.Liver size, shape and margin are normal._x000D_
6.The small intestinal track is mostly fluid filled uniform in diameter.</t>
  </si>
  <si>
    <t>7 views of the neck, thorax and abdomen are submitted for review.  The ventral cervical soft tissues are within normal limits._x000D_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stent contains a mild amount of gas and ingesta.  The small bowel also contains a mild amount of ingesta without dilation or plication.  Formed stool is noted in the colon.  The liver and spleen are normal in size, shape, and margination.  The bilateral renal silhouettes are within normal limits.  The urinary bladder is unremarkable.  Serosal detail is normal._x000D_
No significant osseous abnormalities are seen.</t>
  </si>
  <si>
    <t>Radiographically normal neck, thorax, and postprandial abdomen.  Acute tracheobronchitis is not ruled out.</t>
  </si>
  <si>
    <t>Empirical medical management appears appropriate.</t>
  </si>
  <si>
    <t xml:space="preserve">
1.The stomach contains gas and ingesta or prominent rugae, suggestive of gastritis. The small bowel is diffusely fluid filled but without segmental small bowel dilation._x000D_
2.Splenic size, shape and margin are normal._x000D_
3.Abdominal detail is normal._x000D_
4.Liver size, shape and margin are normal.</t>
  </si>
  <si>
    <t>Opposite lateral and ventrodorsal thoracic radiographs and right lateral and ventrodorsal whole body radiographs (7 images) dated May 14,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moderately enlarged. The spleen is unremarkable in size and shape. The left kidney is normal in size and shape. The right kidney is mostly obscured from visualization due to superimposed viscera. The urinary bladder is fairly distended with homogeneous fluid opacity. The stomach contains a large amount of heterogeneous soft-tissue content mixed with gas. The small intestine has similar content and is unremarkable in diameter and course. The colon contains unremarkable appearing stool and has a normal course. Retroperitoneal and peritoneal detail are normal. No regional lymphadenopathy is evident._x000D_
_x000D_
There is questionable disc space narrowing affecting L4 through L6. The hips are mildly incongruent with minimal periarticular bony remodeling. Both elbows have moderate periarticular bony remodeling affecting them. No aggressive osseous lesions are identified.</t>
  </si>
  <si>
    <t>1. Normal cardiovascular structures. The cause for the murmur is not radiographically apparent. Rule out valvular disease that has yet to result in gross structural changes to the heart vs. a benign or physiologic flow murmur._x000D_
2. Unremarkable thorax._x000D_
3. Moderate hepatomegaly. Rule out a benign metabolic/vacuolar hepatopathy vs. less likely inflammatory or infiltrative neoplastic conditions._x000D_
4. Equivocal L4 through L6 intervertebral disc disease._x000D_
5. Mild bilateral hip osteoarthritis and moderate bilateral elbow osteoarthritis.</t>
  </si>
  <si>
    <t>Consider pairing rhinoscopy with a CT scan + contrast._x000D_
Hepatic lab work and ultrasound to workup the hepatomegaly._x000D_
Echocardiogram to elucidate the cause for the murmur.</t>
  </si>
  <si>
    <t>Opposite lateral and ventrodorsal abdominal radiographs (3 images) dated May 14, 2024._x000D_
_x000D_
The liver and spleen are normal in size and shape. The left kidney is normal in size and shape. The right kidney is only partially visible on the lateral views with no abnormalities appreciated. The urinary bladder is small and poorly visualized. The stomach contains a fair amount of gas and has prominent rugal folds. The pyloric antrum is gas-filled on the left lateral view. The proximal duodenum is not clearly visible. There is a mildly complex area of soft-tissue content visible just caudal to the stomach on the left lateral view, in addition to a small volume of gas. The remainder of the small bowel is empty/collapsed or contains a scant amount of gas and fluid. The cecum and proximal colon contains a negligible amount of gas. The distal descending colon contains heterogeneous and poorly formed stool. Retroperitoneal and peritoneal detail are adequate. No regional lymphadenopathy is evident.</t>
  </si>
  <si>
    <t>1. The appearance of the gastrointestinal tract is most compatible with gastroenteritis and colitis. However, with the lack of a visible proximal duodenum on the left lateral view and heterogeneous soft-tissue opacity in this region on the left lateral view, I cannot completely rule out a proximal duodenal mechanical obstruction._x000D_
2. The remainder the small bowel is empty/collapsed, and the colon has stool consistent with the reported diarrhea.</t>
  </si>
  <si>
    <t>Options include abdominal ultrasound to further scrutinize the duodenum vs. upper GI barium study (5 ml/kg PO or via NG tube) vs. fluids, single antiemetic injection, and repeat abdominal radiographs after 16 hours NPO food and 4 hours NPO water. CBC, chemistry, UA, fecal, 4Dx.</t>
  </si>
  <si>
    <t xml:space="preserve">
1.Splenic size, shape and margin are normal._x000D_
2.Liver size, shape and margin are normal._x000D_
3.Abdominal detail is normal._x000D_
4.The stomach is moderately gas-distended and the gastric rugae are prominent. The small bowel is diffusely gas- and fluid-filled without segmental small bowel dilation.</t>
  </si>
  <si>
    <t>A three view study of the abdomen is provided for interpretation._x000D_
_x000D_
No foreign bodies are identified in the GI tract. The volume of small intestinal gas is mildly increased overall. There is one segment of slightly gas dilated small intestine in the mid abdomen. No obstructive pattern is seen. Serosal detail in the abdomen is normal. The other abdominal organs are within normal limits.</t>
  </si>
  <si>
    <t>The small intestine is mildly gassy. No other anatomic abnormalities are identified. This finding would be compatible with enteritis. No foreign bodies/obstructive pattern or evidence of neoplasia or peritonitis are seen.</t>
  </si>
  <si>
    <t xml:space="preserve">
1.The spleen and liver appear within normal limits._x000D_
2.Adequate serosal detail is noted in the peritoneal space._x000D_
3.The stomach contains a moderate amount of food-like material and a mild amount of gas._x000D_
4.Several small bowel loops also are mildly gas filled._x000D_
5.No overtly dilated loops of bowel are noted._x000D_
6.The colon appears to contain a small amount of formed stool and a mild but variable amount of gas._x000D_
7.No abnormal AI findings reported.</t>
  </si>
  <si>
    <t>A lateral radiograph of the thorax, and three views of the abdomen are provided. In the thorax the cardiac silhouette and pulmonary vessels are normal size and shape. The lungs are clear. There is no pleural effusion. Normal tracheal diameter. Small volume fluid in the caudal esophagus is transient and incidental._x000D_
_x000D_
In the abdomen there is small volume gas in the stomach and throughout the small bowel. No radiopaque foreign material. Scant semi-formed feces in the distal descending colon. Normal-sized liver, spleen. The kidneys are incompletely visible. No radiopaque cystic calculi. No significant prostatic enlargement. The caudal thorax is unremarkable.</t>
  </si>
  <si>
    <t>Small volume gas throughout the gastrointestinal tract consistent with aerophagia. Otherwise normal abdomen. A reason for vomiting is not identified. Gastroenteritis is suspected. Small radiolucent gastric foreign material is not definitively ruled out.</t>
  </si>
  <si>
    <t>Consider a positive contrast gastrogram to rule out gastric foreign material. Strictly fasted abdominal ultrasound as another option, as long as there is minimal gas in the stomach at the time of imaging.</t>
  </si>
  <si>
    <t>Opposite lateral and ventrodorsal thoracic and abdominal radiographs (6 images) dated May 14, 2024._x000D_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and spleen are normal in size and shape. The stomach contains a mild volume of gas and a smaller amount of homogeneous soft-tissue/fluid content. The pyloric antrum is not clearly visible on the left lateral view. The small intestine is unremarkable in diameter and course with most segments empty/collapsed and a minority containing gas. The cecum and colon contains gas. The urinary bladder is small and fluid opaque. Both kidneys are normal in size and shape and have radiating mineral striations that represent diverticulum mineralization and nephrolithiasis._x000D_
_x000D_
No aggressive or clinically significant osseous pathology is identified.</t>
  </si>
  <si>
    <t>1. The appearance of the gastrointestinal tract is suspicious for gastritis or gastroenterocolitis. _x000D_
2. Diverticular mineralization of both kidneys._x000D_
3. Normal thorax.</t>
  </si>
  <si>
    <t>Supportive care with fluid rehydration, antiemetics, gastroprotectants/omeprazole, and bland diet.  General health profile (CBC, chemistry, UA, 4Dx, fecal) +/- spec cPL and baseline cortisol to screen for underlying causes.  Abdominal ultrasound if the patient fails medical management or if indicated by lab work results.</t>
  </si>
  <si>
    <t xml:space="preserve">
1.No mechanical ileus is visualized._x000D_
2.The gastric rugae are prominent._x000D_
3.The small intestine is of uniform population size and is diffusely of soft tissue opacity with minimal gas opacity._x000D_
4.The colon contains a mild amount of gas caudally and ill-formed heterogenous fecal material cranially._x000D_
5.The pyloroduodenal is widened and the proximal duodenum contains a mild amount of air._x000D_
6.The gastric lumen contains a mild amount of soft tissue and gas opacity._x000D_
7.The liver and spleen are normal._x000D_
8.There is a focal loss of serosal detail in the cranial abdomen on the VD projection._x000D_
9.No abnormal AI findings reported.</t>
  </si>
  <si>
    <t>4 images of the abdomen and thorax are presented for review.  Serosal detail is adequate in all quadrants.  The stomach contains a moderate amount of gas.  Multiple small intestinal segments are dilated with gas and an ovoid structure with a lucent center.  These are above normal limits for size and larger than other segments.  Gas and feces are present in the colon.  The urinary bladder is small.  The remaining abdominal organs are normal.  The cardiovascular and pulmonary structures are normal.  The pleural and mediastinal structures are normal.</t>
  </si>
  <si>
    <t>Radiographically normal thorax on the view provided.  Segmental small intestinal dilation consistent with mechanical obstruction.  Intraluminal contents suggest foreign material (fruit pit or similar).</t>
  </si>
  <si>
    <t xml:space="preserve">
1.It seems to be mostly in the cranial abdomen, where there is also an ill defined decrease in detail with a mild increase in soft tissue opacity._x000D_
2.Liver size, shape and margin are normal._x000D_
3.Splenic size, shape and margin are normal._x000D_
4.There are multiple small bowel loops that are mildly to moderately distended with gas._x000D_
5.There is a loop of intestine that appears as if it may be descending colon but the appearance is also concerning for pathologically distended small intestine.</t>
  </si>
  <si>
    <t>Opposite lateral and ventrodorsal abdominal radiographs (4 images) dated May 14, 2024._x000D_
_x000D_
_x000D_
_x000D_
The liver is unremarkable in size and shape. The spleen is not clearly visible. The kidneys are not well visualized. The urinary bladder is small and also poorly visualized. The stomach contains a large amount of heterogeneous granular soft-tissue content, much of which is organized into ovoid structures that likely represent kibble. This material occupies all 3 major chambers of the stomach on all views. There is a moderate variation in small intestinal diameter, and multiple segments containing slightly heterogeneous soft-tissue content mixed with gas. The is unclear if there are some dilated bowel segments containing more stippled heterogeneous material superimposed with the stomach on the lateral views. The cecum contains gas. The colon contains a small amount of poorly formed stool mixed with gas. Peritoneal detail is reduced. No regional lymphadenopathy is evident.</t>
  </si>
  <si>
    <t>1. A small intestinal mechanical obstruction cannot be confidently confirmed or ruled out. There are concerning segments of small bowel that are suspected to be superimposed with the ventral aspect of the stomach on the lateral views. _x000D_
2. Gastric content most closely umbel normal ingesta. Concurrent foreign material cannot be ruled out._x000D_
3. Reduced peritoneal detail. Although this can be normal in a juvenile dog, I am concerned for a pathologic process, such as mesenteric inflammation or scant effusion secondary to an obstruction.</t>
  </si>
  <si>
    <t>Abdominal ultrasound is strongly recommended.</t>
  </si>
  <si>
    <t xml:space="preserve">
1.Cranial abdominal detail is mildly decreased._x000D_
2.The liver is mildly to moderately enlarged but retains a smooth margin. On the VD projection, asymmetric liver enlargement is present._x000D_
3.On the lateral projection, the small bowel is diffusely gas- and fluid-filled but without segmental small bowel dilation. Portions of the colon are gas filled and have a rigid appearance._x000D_
4.The abdomen is pendulous._x000D_
5.The stomach and gastric axis are caudally displaced secondary to the hepatomegaly._x000D_
6.The spleen is caudally positioned secondary to the hepatomegaly. Splenic size is normal to upper limits of normal.</t>
  </si>
  <si>
    <t>Three radiographs of the thorax/abdomen are provided. The cardiac silhouette is normal size and shape. Pulmonary vessels are normal size. There are no abnormalities in the pulmonary parenchyma. No pleural effusion. Tracheal diameter is adequate. In the abdomen serosal detail is adequate. The liver, kidneys, spleen are normal size and shape. The gastrointestinal tract is mildly filled. Several punctate mineral densities in the intestines are likely incidental. The urinary bladder is distended and soft tissue opaque. The prostate is mildly enlarged consistent with intact reproductive status. Narrowed T13-L1 intervertebral disc space. Curved 2.8 cm soft tissue opacity in inguinal region is likely the retained testicle. The left patella is medially displaced.</t>
  </si>
  <si>
    <t>1. Normal thorax and abdomen. A reason for hyporexia is not identified. There is no evidence of cardiovascular disease on this study. A small valvular regurgitant jet can result in a relatively loud murmur._x000D_
2. The appearance of T13-L1 is suggested of intervertebral disc disease. Such a lesion at this or another site may be responsible for the pelvic limb weakness._x000D_
3. Medial patellar luxation on the left.</t>
  </si>
  <si>
    <t xml:space="preserve">
1.On the lateral projection, the liver is at the upper limits of normal for size to mildly enlarged, but has smooth margins._x000D_
2.On the VD projection, the spleen appears normal. On the lateral projection, the increase in soft tissue opacity and mild bowel displacement away from the region caudal to the stomach raises concern for a small mass effect, potentially due to splenic or pancreatic pathology._x000D_
3.A mild increase in soft tissue opacity and mild displacement of the bowel away from this region is noted caudal to the stomach on the lateral projection._x000D_
4.The stomach contains a mild amount of gas._x000D_
5.No segmental small intestinal dilation is noted._x000D_
6.The colon contains a moderate amount of heterogeneous soft tissue material.</t>
  </si>
  <si>
    <t>Four radiographs of the thorax/abdomen are provided. Images dated 10/27/23 are available for comparison. There is mild left atrial and ventricular enlargement, increased in size compared to the previous study. The left ventricle is shifted to the left due to thoracic confirmation. Pulmonary vessels are normal size. There are no abnormalities of the pulmonary parenchyma. Enlarged heart and congenital dorsoventral narrowed thoracic cavity causes mainstem bronchial compression. Tracheal diameter is adequate. In the abdomen there is a large (8.5 cm) round soft tissue opaque mass in the mid ventral peritoneal space. This causes dorsal deviation of bowel loops. Mid abdominal detail is reduced. The liver is prominent with smooth margins. Focal area of stippled mineral densities overlying the ventral right liver consistent with gallbladder debris, typically incidental. Moderate volume of gas in his stomach and small bowel consistent with aerophagia. Large volume of formed feces in the colon. The fecal column measures up to 2.9 cm diameter.</t>
  </si>
  <si>
    <t>1. Large ventral abdominal mass, increased in size since the previous study and most likely neoplasia originating from the spleen such as hemangiosarcoma. Hematoma or hemangioma or next on the differential list. Reduced abdominal detail may be due to mass-effect and/or scant effusion._x000D_
2. Prominent liver as before, a nonspecific finding that may be steroid or other hepatopathy, or neoplasia._x000D_
3. Mild left-sided cardiomegaly, increased in size compared to the previous study. This is required mitral valve disease. There is no pulmonary venous congestion or heart failure, however there is mainstem bronchial compression. No other thoracic abnormalities._x000D_
4. Constipation.</t>
  </si>
  <si>
    <t>An echocardiogram and abdominal ultrasound are recommended, particularly if splenectomy might be considered. This would help determine if there are other intra-abdominal abnormalities and if the patient is a good anesthetic candidate.</t>
  </si>
  <si>
    <t xml:space="preserve">
1.Pendulous abdomen._x000D_
2.The G.I. tract is difficult to fully evaluate, in a small subset of cases, severe gastric distension may be present._x000D_
3.There is diffusely increased soft tissue opacity and decreased abdominal detail. This is likely of splenic origin, but hepatomegaly is also considered. Abdominal distention is also present._x000D_
4.There is loss of detail in the abdomen that may represent abdominal fluid, mid-abdominal mass and/or be a component of visceral crowding.</t>
  </si>
  <si>
    <t>Orthogonal views of the abdomen made 5-13-24 approximately 4:30 PM and follow up radiographs made 5-14-24 approximately 8:45 AM are provided for interpretation and comparison. All the images have a study date of 5-13-24._x000D_
_x000D_
The initial radiographs demonstrate a radiodense foreign body consistent with a smoothly marginated ovoid rock in the range of 3 x 5 cm in the right cranial abdomen. No intestinal dilation is seen. Rugal folds in the stomach are prominent. The stomach appears empty and contracted. The other abdominal organs are within normal limits. Serosal detail is normal._x000D_
_x000D_
In the radiographs made the next morning, the rock is still in the right cranial abdomen, more cranial than it was in the previous study. There are several loops of small intestine that are mildly fluid or gas dilated. The foreign body cannot be definitively identified as within any particular intestinal loop. Serosal detail is still normal.</t>
  </si>
  <si>
    <t>There is a radiodense foreign body consistent with a rock that is presumed to be within the intestinal tract, but cannot be definitively localized._x000D_
The foreign body has moved cranially in the recheck interim between the two studies, but location in the small vs. large intestine still cannot be definitively determined. General location suggests the rock is near the ileocolic junction._x000D_
A foreign body at this size may not be able to pass through the ICJ, and is considered an obstruction hazard although convincing obstructive pattern is not seen. The bowel pattern is more concerning in the follow up radiographs this morning, but still not convincing for complete obstruction.</t>
  </si>
  <si>
    <t>Surgical exploration could be considered due to the rock remaining in a relatively similar location over the last 16 hours. However, the rock did move more cranially and could still possibly pass through the ileocolic junction without surgery. This is speculative, and surgery may still be indicated._x000D_
Options at this time would include surgical exploration soon vs. conservative management with follow up radiographs in another six hours, or sooner if patient condition declines.</t>
  </si>
  <si>
    <t>Study:_x000D_
Thoracic radiography: three images dated May 14, 2024_x000D_
_x000D_
Findings:_x000D_
The cardiac silhouette is overall normal in size (VHS approximately 10.5)=ZZ90= however, there is straightening of the caudal cardiac waist on the lateral projections. The pulmonary vasculature is normal in size. The pulmonary parenchyma is unremarkable. The pleural space is normal. There is no intrathoracic lymphadenopathy. The trachea is normal in diameter. There is no lobar bronchi narrowing. Innumerable punctate mineral foci are present in the retroperitoneal space and seemed to be within the the kidneys. There is multifocal cervical and thoracolumbar intervertebral disc space narrowing with variable mild to severe spondylosis deformans.</t>
  </si>
  <si>
    <t>1. Straightening of the caudal cardiac waist can be an indicator of mild specific left atrial enlargement/mitral valve disease. There is no evidence of cardiac decompensation. Echocardiography should be considered for further evaluation._x000D_
2. A cause of coughing is not evident. Lack of a definitive bronchial pulmonary pattern does not exclude the possibility of allergic/inflammatory, infectious, irritant or parasitic bronchitis. Normal diameter of the trachea does not exclude the possibility of dynamic airway disease._x000D_
3. Bilateral nephrolithiasis and/or nephrocalcinosis._x000D_
4. Multifocal cervical and thoracolumbar intervertebral disc disease.</t>
  </si>
  <si>
    <t xml:space="preserve">
1.Abdominal detail is normal._x000D_
2.The stomach is normal. The small bowel is diffusely gas- and fluid-filled without segmental small bowel dilation._x000D_
3.Splenic size, shape and margin are normal._x000D_
4.The liver is mildly enlarged, and retains a smooth margin.</t>
  </si>
  <si>
    <t>Opposite lateral and ventrodorsal thoracic radiographs (3 images) dated May 14, 2024._x000D_
_x000D_
The cardiac silhouette is severely enlarged with dorsal deviation of the trachea, a large soft tissue bulge in the region of left atrium, and widening on the VD projection. The right caudal lobar vein is enlarged. The left cranial lobar vein is also enlarged. The remaining pulmonary vessels are unremarkable. The lungs have a mild diffuse bronchointerstitial pulmonary pattern. There is an unstructured interstitial pattern in the caudodorsal lung field on the lateral views that does not persist on the VD projection and likely represents transient atelectasis. There is severe collapse of the carina and mainstem bronchi. Moderate narrowing of the caudal trachea is also present. A pleural fissure line is noted between the segments of the left cranial lung lobe on the VD view. The remainder of the pleural space is normal. The mediastinum and diaphragm are normal._x000D_
The liver is moderately enlarged with a rounded ventral lobe margin. The remainder the included abdomen is unremarkable._x000D_
No aggressive or clinically significant osseous pathology is identified.</t>
  </si>
  <si>
    <t>1. Severe generalized and predominantly left-sided cardiomegaly is consistent with myxomatous mitral valve disease. Although there is enlargement of some of the pulmonary lobar veins, there is no convincing evidence of pulmonary edema/fulminant heart failure._x000D_
2. Severe collapse/narrowing of the carina and mainstem bronchi. This can be due to chronic compression from cardiomegaly vs. primary degenerative bronchomalacia. I suspect this is the cause for the respiratory difficulties._x000D_
3. Moderate hepatomegaly. Rule out a benign metabolic/vacuolar hepatopathy vs. less likely inflammatory and accretive neoplastic conditions.</t>
  </si>
  <si>
    <t>Albuterol and fluticasone inhaler, followed by Rx of Fluticasone inhaler._x000D_
A single furosemide injection (3 mg/kg IV or IM) and monitoring response if no improvement with the inhalers after 3-4 hours of monitoring._x000D_
Echocardiogram if not performed in the last 4-6 months.</t>
  </si>
  <si>
    <t xml:space="preserve">
1.The cecum is gas filled._x000D_
2.No intestinal abnormalities are appreciated._x000D_
3.The liver is enlarged._x000D_
4.Splenic size, shape and margin are normal._x000D_
5.The abdomen is pendulous._x000D_
6.Moderate volume ingesta fills the stomach.</t>
  </si>
  <si>
    <t>Survey radiographs of the abdomen followed by a barium study are provided for interpretation._x000D_
_x000D_
In the initial radiographs, there is a small quantity of soft tissue dense content within the stomach, some of which has a linear and reticulated pattern of subtle lucent shadows that gives the impression of possible textile foreign material in the stomach. The stomach is not dilated. There is a linear metal foreign body compatible with a segment of fine wire superimposed over the cranial aspect of the stomach. Small intestinal gas is moderately increased overall. No dilation or plication the intestine is seen. Serosal detail is normal. The other organs are within normal limits. There is severe spondylosis deformans involving the cranial lumbar spine._x000D_
_x000D_
After oral barium administration, there is a similar reticulated pattern within the body of the stomach that is suspicious for textile foreign material soaking up barium. Traverses the intestine and reaches the colon with a normal appearance and normal time frame. However, five hours post. Administration there is still a moderate quantity of barium in the stomach and small intestine consistent with delayed transit. The last set of x-rays made three hours later shows all the barium to be gone from the upper GI tract and in the colon. There is still a small quantity of irregular soft tissue density within the stomach, and a gassy appearance to the small intestine._x000D_
In the initial radiographs the location of the wire foreign body cannot be definitively determined as to whether this is outside the stomach or embedded and the gastric wall. In the post barium images, the wire appears to be outside the stomach.</t>
  </si>
  <si>
    <t>The initial radiographs and the barium study are suspicious for amorphous foreign material in the stomach, possibly of a textile nature. No evidence of obstruction is seen._x000D_
In the final radiographs made eight hours after barium administration, there is still some irregular soft tissue content within the stomach, implying that textile foreign material may still be present, or that the patient was fed between the five hour post barium radiographs and the eight hour post barium radiographs._x000D_
_x000D_
The wire in the cranial abdomen is suspected to be an incidental finding, since this appears to be outside the stomach and no evidence of barium leakage was seen in the area.</t>
  </si>
  <si>
    <t>No evidence of obstruction or discrete foreign body is identified. There is still suspicion of amorphous appearing soft tissue dense foreign material in the stomach, possibly of a textile nature._x000D_
_x000D_
Endoscopy should be considered if available, if not, a negative contrast gastrogram after definitive fasting of at least 18 hours is recommended to verify presence of gastric foreign material prior to gastrotomy.</t>
  </si>
  <si>
    <t xml:space="preserve">
1.Hepatomegaly. Differential diagnoses include individual variation of normal, artifact and/or vacuolar hepatopathy (such as from hyperadrenocorticism or diabetes mellitus), nodular hyperplasia, hepatitis/cholangiohepatitis, or evolving neoplasia (metastatic versus primary)._x000D_
2.The gastric rugae are prominent or the stomach contains soft tissue opaque material that has the appearance of prominent gastric rugae._x000D_
3.Several bowel loops through the mid-abdomen are distended with gas- and/or fluid. These distended loops also have a rigid appearance._x000D_
4.The ventral abdominal line is pendulous._x000D_
5.On the lateral projection, there is increased soft tissue opacity and a mild decrease in abdominal detail in the splenic region.</t>
  </si>
  <si>
    <t>Nine radiographs of the abdomen are provided. On the 1st three images, there is no effusion. In the stomach and small bowel are mildly filled. There are several smoothly angular mineral opaque fragments in the stomach measuring up to 2.8 x 2.2 cm. Several smaller mineral opaque fragments are present in small and large bowel. Formed feces fills the colon. No severe intestinal distention. Normal-sized liver, spleen, kidneys. The urinary bladder is minimally filled. Incidental round metal opaque 0.5 cm BB in the right lateral extra-abdominal tissues. On the two images obtained in the afternoon of May 13, the stomach contained small volume gas and the mineral fragments previously seen in the stomach are no longer present. Small bowel remain minimally filled and there are a few small mineral opaque fragments in the intestines. Serosal detail remains adequate. On the last four images which have a label of =ZZ92=5/14/24 AM=ZZ92=, the stomach and small intestines are mildly gas-filled, with no radiopaque foreign material appreciated. Formed feces and several small mineral opaque fragments are present in the distal colon.</t>
  </si>
  <si>
    <t>Bone gastrointestinal foreign material, with the largest fragment located in the stomach on the initial images. The largest fragment is no longer present on the additional images, and the fragments progressed aborally throughout the intestines and are present in the colon on the last set of images. There is no evidence of an obstructive process.</t>
  </si>
  <si>
    <t>Consider supportive care as needed. If vomiting persists, an upper GI series or strictly fasted abdominal ultrasound could be considered.</t>
  </si>
  <si>
    <t xml:space="preserve">
1.The descending colon contains mainly fluid opaque material._x000D_
2.The stomach has a normal axis._x000D_
3.The colon is gas-filled._x000D_
4.The spleen is normal for size, shape and margin._x000D_
5.The hepatic silhouette is normal._x000D_
6.Abdominal detail is normal._x000D_
7.There is a moderate amount of fluid and gas within the stomach._x000D_
8.The small intestines are homogenously fluid-filled, and mildly dilated.</t>
  </si>
  <si>
    <t>Opposite lateral and ventrodorsal abdominal radiographs (3 images) dated May 14, 2024._x000D_
_x000D_
The liver and spleen are normal in size and shape. The stomach contains a fair amount of gas and a scant amount of mobile soft-tissue/fluid content. The there are a few dilated small intestinal segments containing gas and fluid that contrast from the minimally distended small bowel segments. One segment in particular in the right caudoventral abdomen contains stippled soft tissue-gas material that is highly suspicious for a foreign body. Some of the nondistended small bowel segments contain a thin layer of mineral sediment. The colon is mostly empty/collapsed. Both kidneys are normal in size and shape. The urinary bladder is small and fluid opaque. Retroperitoneal and peritoneal detail are normal. No regional lymphadenopathy is evident. There is soft tissue swelling and emphysema along the right dorsolateral thoracic subcutis. No osseous abnormalities are identified.</t>
  </si>
  <si>
    <t>Segmental small intestinal bowel dilation is highly concerning for a partial or complete mechanical obstruction due to the stippled soft tissue-gas material (likely a foreign body).</t>
  </si>
  <si>
    <t>There are enough image findings to warrant exploratory laparotomy for foreign body retrieval. Abdominal ultrasound could be considered prior to surgery if expediently available.</t>
  </si>
  <si>
    <t>3 views of the abdomen are provided for review and compared with previous images.  Serosal detail is adequate in all quadrants.  The stomach contains a small amount of gas and the rugal folds are prominent.  Previous gastric contents have resolved.  The small intestines are normal in size.  Gas is present in the colon.  The urinary bladder is small.  The remaining abdominal organs are normal.</t>
  </si>
  <si>
    <t xml:space="preserve">
1.No abnormal AI findings reported._x000D_
2.Small intestines are minimally distended. No evidence of obstruction._x000D_
3.The stomach contains small volume gas and equivocal scant soft tissue density._x000D_
4.The liver and spleen are normal size and shape._x000D_
5.Abdominal detail is normal.</t>
  </si>
  <si>
    <t>Orthogonal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From T11 through L1 the IVDS (especially T12-T13) are subjectively narrow. The rest of the spine is unremarkable without signs of disc herniation, aggressive bone lesions, vertebral fractures or subluxations.</t>
  </si>
  <si>
    <t>1) Unremarkable thorax without signs of pulmonary metastases nor signs of thoracic lymphadenopathy._x000D_
2) Unremarkable abdomen._x000D_
3) T11 through L1 IVDS consistent with chronic IVDD. Rule out acute on chronic or acute disc herniation.</t>
  </si>
  <si>
    <t>Consider a neuro exam with MRI if necessary. Evaluate the need/benefit of an orthopedic exam under sedation.</t>
  </si>
  <si>
    <t>Three radiographs of the thorax and three views of the abdomen are provided. Images dated 11/20/23 were reviewed. The cardiac silhouette and pulmonary vessels are normal size and shape. There are faint bronchial markings. No interstitial infiltrates or pleural effusion. Normal tracheal diameter and position. No esophageal dilation. Soft tissue thickening with punctate gas lucencies dorsal to the thoracic spine consistent with subcutaneous fluid administration. Mild degenerative change in the shoulders._x000D_
_x000D_
In the abdomen the liver, spleen, and kidneys are normal size and shape. The gastrointestinal tract is minimally filled. The colon is transiently corrugated consistent with hyperperistalsis, incidental. No radiopaque cystic calculi.</t>
  </si>
  <si>
    <t>Bronchial markings is most likely normal age-related change. Inhaled irritant/allergens could also cause this appearance and the coughing. There is no evidence of pneumonia or fluid overload. Otherwise normal thorax and abdomen.</t>
  </si>
  <si>
    <t>Abdomen: There is a soft tissue mass located within the mid abdomen.  A mass effect is noted with intestines displaced dorsally and to the right.  There is an increase in wispy soft tissue opacity and decreased serosal detail.  The remainder of the abdomen is unremarkable.</t>
  </si>
  <si>
    <t>Mid abdominal mass.  Primary differential consideration is a splenic origin._x000D_
_x000D_
Peritoneal effusion.</t>
  </si>
  <si>
    <t xml:space="preserve">
1.The liver is moderately enlarged._x000D_
2.The spleen is normal._x000D_
3.Cranial abdominal detail is mildly decreased._x000D_
4.The colon contains gas and fluid._x000D_
5.Small intestinal bowel loops are normal in size and distribution and have mainly a soft tissue pattern._x000D_
6.The stomach contains a moderate amount of mixed gas and fluid. In a small number of cases, the AI finding of hepatomegaly above may actually be due to severe gastric distention.</t>
  </si>
  <si>
    <t>Abdomen: There are segments of small intestine with mild gas distention (not considered dilated).  A gastrointestinal foreign body is not identified.  The liver and spleen are unremarkable.  There are no abnormalities involving the visible portions of the urinary tract.</t>
  </si>
  <si>
    <t>The segments of jejunum that are gas-filled may be secondary to enteritis.</t>
  </si>
  <si>
    <t xml:space="preserve">
1.The small intestinal track is mostly fluid filled uniform in diameter._x000D_
2.The colon is gas filled in corrugated._x000D_
3.The liver is enlarged with rounded borders._x000D_
4.The stomach is partially distended with food material and fluid._x000D_
5.There is decreased detail in the cranial abdomen._x000D_
6.The spleen is within normal limits.</t>
  </si>
  <si>
    <t>Sophia Reese. Date of study: 05/13/24. Forelimb radiography (2 view, 3 images. 1 CrC, 2 R Lateral). No prior radiographs are available for comparison. Age is incorrect. _x000D_
_x000D_
Spine: The spine is only visible on the lateral view. There is equivocal intervertebral disc space narrowing at C3-4, however significant obliquity at the spine is present which may falsely contribute to this appearance. _x000D_
 _x000D_
Shoulder Joints: The joint surfaces are congruent. There is mild osteophyte formation at the caudal aspect of the femoral heads bilaterally. _x000D_
 _x000D_
Elbow Joints: There is significant bilateral osteoarthrosis of the elbows. Large enthesophytes are present bilaterally on the medial epicondyles of the humeri at the origin of the lateral collateral ligaments. Less severe enthesophytes are present at the lateral epicondyles at the origin of the medial collateral ligaments and at the medial coronoid process bilaterally. The lateral joint space of the right elbow is widened on the CrC view. Osteophytes are present on the medial coronoid processes bilaterally but they appear intact. There is bilateral sclerosis of the trochlear notch of the ulna.  Both elbow joints are mildly incongruent with irregularity of the humeroulnar joint spaces._x000D_
_x000D_
Carpal Joints: On the right lateral view the anterior aspect of the medial styloid process of the radius appears fragmented with a fracture line extending into the carpal joint articular surface. This is not as well visualized on the AP view due to superimposition. The left carpal joint is not fully imaged on the lateral view but there appears to be a similar sized mineral fragment anterior to the medial styloid process of the left radius, however this cannot be confirmed with other views. There are bilateral enthesophytes present on the proximal metaphysis of the fifth metacarpal bones at the insertion of the accessoriometacarpal ligaments. There is irregular periosteal proliferation on the palmar aspect of the right accessory carpal bone._x000D_
_x000D_
Long Bones: No evidence of fractures, osteolytic, or proliferative lesions are identified._x000D_
_x000D_
Soft Tissues: There is bilateral soft tissue thickening of the elbows and carpal joints, more severe on the right. There is diffuse muscle atrophy of the forelimbs. Skin tags are present on the palmar aspect of the right carpal joint and dorsal aspect of the right metacarpals. On the CrC view there is a round soft tissue opacity nodule at the lateral aspect of the right antebrachium at the distal diaphysis of the radius.</t>
  </si>
  <si>
    <t>1. Bilateral marked elbow osteoarthrosis and epicondylitis, worse on the right. Thoracic limb lameness is attributed to described chronic degenerative elbow changes that may be due to elbow dysplasia such as medial coronoid process disease or fragmentation and radioulnar incongruency. Acute on chronic trauma may be present. No evidence of an aggressive bone lesion is present._x000D_
2. Suspected fragmented or fracture medial styloid processes of the radius bilaterally. Ddx: dystrophic mineralization vs avulsion fracture vs fragmented osteophytes. _x000D_
3. Right accessory carpal bone enthesophytosis of the flexor carpi radialis ligaments and bilateral proximal metacarpal bone enthesophytosis of the accessoriometacarpal ligament. _x000D_
4. Soft tissue thickening of the carpal joints bilaterally secondary to #2 and/or #3. _x000D_
5. Diffuse bilateral forelimb muscle atrophy secondary to above. _x000D_
6. Mild bilateral shoulder osteoarthritic change. Unlikely to be the driver of the lameness. _x000D_
7. Equivocal C3-4 intervertebral disc space narrowing vs positioning.</t>
  </si>
  <si>
    <t>Findings are age related degenerative change with suspected acute injury from increased activity leading to lameness, the elbow changes are suspected to be the driver of the lameness described given the severity of change._x000D_
_x000D_
Recommend activity restriction with acute lameness and slow return to function. Medical management is likely necessary with acute lameness. Labwork should be checked consistently when undergoing medical management._x000D_
_x000D_
Physical therapy and low impact exercise (i.e. water treadmill or other) can be employed to strengthen and build muscle. Orthopedic consultation especially if medical management does not control clinical signs. Recheck radiographs as clinically indicated.</t>
  </si>
  <si>
    <t>Spine: There are no abnormalities involving the cervical vertebral column.  There is a hemivertebra at T12.  Spondylosis deformans is at this level as well.  Spondylosis deformans is noted at L2-3, L3-4, and L6-7._x000D_
_x000D_
Pelvis: There are no abnormalities identified._x000D_
_x000D_
Thorax: The pulmonary parenchyma, cardiac silhouette, and pulmonary vasculature are unremarkable.  There is no evidence of pleural effusion or lymphadenopathy._x000D_
_x000D_
Abdomen: There are no abnormalities identified.</t>
  </si>
  <si>
    <t>Hemivertebra which is a common finding and breed of patient._x000D_
_x000D_
Regions of lumbar spondylosis deformans.</t>
  </si>
  <si>
    <t xml:space="preserve">
1.On the lateral projection, the liver is at the upper limits of normal for size to mildly enlarged, but has smooth margins._x000D_
2.The spleen is unremarkable._x000D_
3.The stomach contains a mild amount of gas._x000D_
4.No segmental small intestinal dilation is noted._x000D_
5.The colon contains a moderate amount of heterogeneous soft tissue material._x000D_
6.The serosal detail in the cranial abdomen is mildly decreased on the VD projection but normal on the lateral projection. The appearance on the VD projection is attributed to a confluence of soft tissue structures and bowel._x000D_
7.The ventral abdominal line is mildly pendulous.</t>
  </si>
  <si>
    <t>Orthogonal thoracoabdominal views and a VD view the pelvis and caudal abdomen are provided._x000D_
_x000D_
The cardiopulmonary structures are within normal limits. No esophageal abnormalities are identified. The liver is smaller than expected for patient size. Some of the intestinal loops appear fluid filled, but none appear distended. Intestinal thickening cannot be excluded. The other abdominal organs are within normal size and shape limits. No mass lesions or loss of detail are seen in the abdomen._x000D_
_x000D_
There is severe narrowing of the L1-L2 intervertebral disc space. Moderate to severe spondylosis is present at L1-L2 and also from L4 to L6. There is incomplete fusion of the dorsal spinous process of T1 system with congenital deformity. No destructive bone lesions are identified.</t>
  </si>
  <si>
    <t>The liver is small. This is sometimes incidental, so relevance to the current clinical signs is unknown. Pathologic causes of small liver such as portosystemic shunt or chronic hepatopathy with fibrosis/cirrhosis should still be ruled out. The other abdominal organs are within normal limits._x000D_
_x000D_
No thoracic abnormalities are identified._x000D_
_x000D_
There is evidence of disc degeneration in the cranial lumbar spine.</t>
  </si>
  <si>
    <t>Bile acids testing is recommended to rule out pathologic causes of small liver._x000D_
_x000D_
No other abnormalities that would specifically explain the weight loss and reduced appetite are identified. Supportive care is recommended. Ultrasound the abdomen could be considered to rule out infiltrative intestinal disease.</t>
  </si>
  <si>
    <t>Thorax: There is moderate bilateral pleural effusion.  It is difficult to assess the size and shape of the cardiac silhouette due to the pleural effusion._x000D_
_x000D_
Abdomen: There is a subtle loss of serosal detail.  The visible portions of the liver and spleen are unremarkable.  The visible portions of the urinary tract are unremarkable.</t>
  </si>
  <si>
    <t>Bilateral pleural effusion._x000D_
_x000D_
Suspect peritoneal effusion.</t>
  </si>
  <si>
    <t xml:space="preserve">
1.No abnormal AI findings reported._x000D_
2.The stomach contains small volume gas and scant soft tissue density._x000D_
3.Small intestines are mildly fluid filled. No signs of obstruction._x000D_
4.Mild splenic enlargement._x000D_
5.Slight decrease in abdominal detail.</t>
  </si>
  <si>
    <t>Opposite lateral and VD thorax views and orthogonal views of the abdomen are provided._x000D_
_x000D_
The liver is slightly small for patient size. The other abdominal organs are within normal size and shape limits. Some of the small intestinal loops appear fluid filled or possibly thickened. No foreign bodies are identified in the GI tract. Serosal detail in the abdomen is normal._x000D_
_x000D_
The heart is at the upper end of normal range, with normal shape. The pulmonary vessels and parenchyma are within normal limits. No tracheal or esophageal abnormalities are seen._x000D_
_x000D_
There is severe spondylosis involving the thoracolumbar region from T13 to L2. The T13-01 disc space is moderately narrowed. In the right lateral abdomen view there is suspicion of endplate lucency involving the cranial endplate of L1, this cannot be corroborated in the other views and may be artifactual.</t>
  </si>
  <si>
    <t>No thoracic abnormalities are identified._x000D_
_x000D_
The liver is small for patient size. This is still sometimes a benign variant. Pathologic causes of small liver could include portosystemic shunt or chronic hepatopathy with cirrhosis. This is less likely than benign variation in this case._x000D_
_x000D_
The appearance of the intestinal tract is compatible with enteritis. Infiltrated changes such as IBD or lymphoreticular neoplasia should also be ruled out._x000D_
_x000D_
The thoracolumbar spinal changes are suspected to be degenerative. There is suspicion of possible discospondylitis in one view but this cannot be corroborated on other views. Recheck radiographs of the thoracolumbar junction in a few weeks should still be considered.</t>
  </si>
  <si>
    <t>Supportive care and symptomatic therapy for gastroenteritis/pancreatitis is recommended._x000D_
Ultrasound should be considered if clinical signs are not improving over the next 48 hours._x000D_
Bile acids testing should be considered to rule out pathologic causes of small liver.</t>
  </si>
  <si>
    <t>Three radiographs of the abdomen, and a lateral view of the caudal abdomen/pelvis are provided. Images dated 6/16/21 are available for comparison. There is no effusion. The urinary bladder is mildly filled and contains several (at least five) smoothly marginated ovoid mineral opaque calculi measuring up to 0.6 cm. No abnormalities along the plane of the urethra or in the region of the medial iliac lymph nodes. The kidneys are normal size, shape, and opacity. The gastrointestinal tract is mildly filled. Normal liver and spleen. Narrowed T12-13 intervertebral disc space is a new development but is of doubtful clinical significance. Narrowed T 13-L1, L3-4, L4-5 disc spaces, unchanged.</t>
  </si>
  <si>
    <t>Cystic calculi, measuring up to a size that may or may not be able to pass the urethra. Otherwise normal abdomen.</t>
  </si>
  <si>
    <t>Urine culture, empiric treatment for cystitis, and diet modification in an effort to dissolve the calculi and prevent further formation should be considered.</t>
  </si>
  <si>
    <t xml:space="preserve">
1.No small intestinal obstruction is noted._x000D_
2.Mild to moderate hepatomegaly with smooth margins is likely present on the lateral projection._x000D_
3.Abdominal detail is satisfactory._x000D_
4.The ventral abdominal line is likely pendulous._x000D_
5.In most cases, there is a small quantity of ingesta in the stomach and the pylorus is caudally displaced by the hepatomegaly. Infrequently, the stomach is ingesta distended and overlying the liver creating the appearance of hepatomegaly._x000D_
6.Splenic size, shape and margin are normal.</t>
  </si>
  <si>
    <t>Five orthogonal radiographs of lumbar vertebral column and pelvis and proximal pelvic limbs dated 13th May 2024 are available for review. There are no previous radiographs available for comparison. Many images are obliqued, limiting interpretation._x000D_
_x000D_
Vertebral column: The vertebral body alignment is good. No mineral opaque material is seen within, or dorsal to the intervertebral disc spaces. The intervertebral disc width is within normal limits and the vertebral endplates are smooth._x000D_
_x000D_
Pelvis: The iliosacral joints are symmetric. There is good coverage of the femoral heads by the acetabuli.  No degenerative remodelling is noted at the acetabular rim and femoral heads and there is good articular congruency. The pelvic and caudal thigh musculature is symmetric. The patella are in an anatomical position._x000D_
_x000D_
Joints and long bones: There is stifle joints are superimposed on soft tissues, limiting interpretation. No degenerative modelling is present._x000D_
_x000D_
Soft tissues: As described above.</t>
  </si>
  <si>
    <t>No radiographic findings explain the presenting signs. Occult intervertebral disc disease such as intervertebral disk protrusion or other spinal cord pathology including embolic (FCE), high velocity disk, inflammatory or neoplastic disease or degenerative myelopathy is not excluded by a normal appearance.</t>
  </si>
  <si>
    <t>Full neurologic examination if not already performed. Considering patient has severe proprioceptive deficits,  referral to a neurologist for discussion regarding feasibility of MRI vs. CT of the spine is advised.</t>
  </si>
  <si>
    <t>Orthogonal views of the thorax are provided:_x000D_
_x000D_
Thorax:_x000D_
_x000D_
Endotracheal tube in place._x000D_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t>
  </si>
  <si>
    <t>1) Unremarkable thorax without signs of cardiomegaly (this does not exclude a cardiac disease), pulmonary metastases nor signs of thoracic lymphadenopathy.</t>
  </si>
  <si>
    <t xml:space="preserve">
1.The stomach contains a small volume of gas and is displaced caudally by the hepatomegaly._x000D_
2.The small intestines are normal in size, course and content._x000D_
3.The colon contains partially formed fecal material._x000D_
4.The liver extends moderately beyond the costal arch with a smooth margin._x000D_
5.Abdominal detail is normal._x000D_
6.The spleen is normal in size and margin.</t>
  </si>
  <si>
    <t>Five radiographs of the thorax and abdomen are provided. The cardiac silhouette is normal size and shape. Mild age-related changes in the lungs. There are no soft tissue pulmonary nodules, pleural effusion, or intrathoracic lymphadenomegaly. Normal tracheal diameter. No cervicothoracic spinal abnormalities. In the abdomen there is no effusion. Normal-sized liver, spleen, and kidneys. The gastrointestinal tract is moderately filled. No radiopaque cystic calculi. Narrowed T13-L1 and L4-5 intervertebral disc space. No vertebral endplate lysis. The coxofemoral joints are congruent.</t>
  </si>
  <si>
    <t>The appearance of T13-L1 and L4-5 are both suggestive of intervertebral disc disease. Such a lesion at these are another site is the most likely cause for acute discomfort. The abdomen and thorax are normal.</t>
  </si>
  <si>
    <t>Consultation with a neurologist and advanced a spinal imaging with CT/MRI should be considered.</t>
  </si>
  <si>
    <t xml:space="preserve">
1.No gastrointestinal abnormalities._x000D_
2.On the lateral projection, the liver is mildly enlarged._x000D_
3.On the VD projection, a mild decrease in cranial abdominal detail is present. This is suspected to be secondary to caudal extension of the liver._x000D_
4.As mentioned above, cranial abdominal detail is mildly decreased. A global reduction in abdominal detail is NOT present._x000D_
5.The ventral abdominal line is mildly pendulous._x000D_
6.Splenic size, shape and margin are normal.</t>
  </si>
  <si>
    <t>Three orthogonal survey radiographs of the thorax and abdomen dated 13th May 2024 are available for review. There are no previous radiographs available for comparison. These images are submitted for assessment of the vertebral column._x000D_
_x000D_
Vertebral column: There is narrowing of the C3-C4 intervertebral disc space with smooth vertebral endplates. No mineralised material is seen within or dorsal to the intervertebral disc spaces. There is mild widening of the C4-C5 intervertebral disc space with smooth vertebral endplates. Mild malalignment of the vertebral bodies is present. There is collapse of the C5-C6 and C6-C7 intervertebral discs with vertebral endplate sclerosis, and extensive ventral spondylosis. Some mineralised material is suspected dorsal to the intervertebral disc spaces._x000D_
There is collapse of the T4-T8 intervertebral disc spaces with mild ventral spondylosis, and smooth vertebral and plates._x000D_
There is collapse of the T11-T12 and T12-T13 intervertebral disc spaces with smooth vertebral and plates and ventral spondylosis.</t>
  </si>
  <si>
    <t>Multisite intervertebral disc disease, with potential mineralised disc extrusion, or non mineralised disc protrusion at 1 or multiple sites. The widened C4-C5 intervertebral disc space is suspicious of instability, likely compensatory due to the collapse of the caudal intervertebral disc spaces. Herniation of nonmineralised material there could cause pain.</t>
  </si>
  <si>
    <t>Full neurologic examination if not already performed. If no proprioceptive deficits or patients neck pain is mild, consider treating for intervertebral disk disease/arthritis (exercise restriction, NSAIDs with supportive bloodwork, +/- multimodal analgesia). If no response to therapy, patient has proprioceptive deficits or is worsening in general, referral to a neurologist for discussion regarding feasibility of MRI vs. CT of the spine is advised.</t>
  </si>
  <si>
    <t xml:space="preserve">
1.The stomach is normal. The small bowel is diffusely gas- and fluid-filled without segmental small bowel dilation._x000D_
2.Abdominal detail is normal._x000D_
3.Liver size, shape and margin are normal._x000D_
4.Mild irregularity of the splenic contour.</t>
  </si>
  <si>
    <t>Six orthogonal radiographs of the abdomen dated 13th May 2024 are available for review. There are no previous radiographs available for comparison. _x000D_
_x000D_
Intra-abdominal findings: The stomach contains a small amount of soft tissue opaque material and gas, and has a normal axis. The pylorus is appropriate gas in the left lateral image. The small intestines are variably filled/mildly distended with gas and fluid/soft tissue opaque material. Some smaller gas loculations are mixed in with fluid. The descending colon contains poorly formed faeces. The urinary bladder is filled.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</si>
  <si>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1. No evidence of metallic foreign body. The overall impression is one of mild gastroenteritis/colitis.  This may be due to dietary indiscretion, or infectious-inflammatory causes. There is no evidence of complete mechanical obstruction.  A partial obstruction by non-mineral opaque foreign material is possible. Pancreatitis is possible.</t>
  </si>
  <si>
    <t xml:space="preserve">
1.Abdominal detail is adequate._x000D_
2.The stomach is within normal limits. The small bowel is gas- and fluid-filled without segmental small bowel dilation or signs of obstruction._x000D_
3.The liver appears within normal limits._x000D_
4.The spleen appears within normal limits.</t>
  </si>
  <si>
    <t>Four radiographs of the thorax and abdomen are provided. The cardiac silhouette is normal size with no chamber enlargement. A mild bronchial pattern is present throughout the lungs, along with a few incidental pulmonary osteomas. There are no soft tissue pulmonary nodules or pleural effusion. Fat deposition causes the curved increased opacity overlying the ventral heart on the last right lateral view. There is severe narrowed cervical trachea. On the right lateral views the mainstem bronchi are also severely narrowed. Small volume fluid in the caudal esophagus is transient and incidental. In the cranial abdomen there is smoothly marginated soft tissue opacity ventral to the pylorus on the right lateral projections, not seen on the left lateral view.</t>
  </si>
  <si>
    <t>1. Severe cervical tracheal and mainstem bronchial collapse, the most likely cause for coughing._x000D_
2. Mild bronchial pattern may be normal age-related changes versus allergic bronchitis which could be contributing to the cough._x000D_
3. The appearance of the cranioventral abdomen may represent prominent liver (steroid or other hepatopathy, acute inflammation, neoplasia) versus normal spleen nestled adjacent to the liver. This should be correlated with history and blood work.</t>
  </si>
  <si>
    <t>Recommend utilization of a body harness in place of a neck lead, weight management as needed, and symptomatic treatment for the cough.</t>
  </si>
  <si>
    <t>Twelve radiographs are provided, with images of the thorax, thoracic limbs, abdomen, and pelvis. Thoracic and abdominal radiographs dated October 31, 2023 are available for comparison. The cardiac silhouette and pulmonary vessels are normal size and shape. There are a few incidental pulmonary osteomas, otherwise the lungs are clear. There is no pleural effusion. Normal cranial mediastinal width. No cervicothoracic spinal abnormalities. The glenohumeral joints are congruent. In both elbows, there is anconeal process enthesophyte formation, and poor delineation of the medial coronoid process. Mild proliferation on the left radial head. No carpal/manus osseous or soft tissue abnormalities._x000D_
_x000D_
In the abdomen there is no effusion or organomegaly. Formed feces fills the colon. The stomach and small bowel are minimally filled. Normal-sized liver, spleen, kidneys. No radiopaque urolithiasis. Mild degenerative change in the left coxofemoral joint. Pelvic limb musculature is reduced on the right side, where previous tibial plateau leveling osteotomy procedure has been performed.</t>
  </si>
  <si>
    <t>1. Mild changes in both elbows is not pathognomonic, but suggestive of medial coronoid process disease. This, coupled with soft tissue sprain/strain is the most likely cause for current lameness. Soft tissue sprain/strain is next on the differential list._x000D_
Mild left coxofemoral osteoarthritis,_x000D_
2. Normal thorax and abdomen._x000D_
3. Mild left coxofemoral osteoarthritis.</t>
  </si>
  <si>
    <t>If thoracic limb lameness is severe and further evaluation of the elbows is desired, computed tomography would be recommended.</t>
  </si>
  <si>
    <t>Four radiographs of the thorax and abdomen are provided. Caudal abdominal images dated 7/28/22 are available for comparison. There is severe left-sided cardiomegaly. Moderate enlarged right heart. Subsequent dorsal deviation of the thoracic trachea and mainstem bronchi. The left mainstem bronchus is compressed. Enlarged cranial lobar vein on the right lateral view. There is loss of perihilar vessel visibility. Increased opacity with faint lobar sign in the right caudal lung lobe. No pleural effusion. Normal tracheal diameter. In the abdomen the liver is mildly enlarged with rounded margins. Normal-sized spleen and left kidney. The right kidney is obscured. The gastrointestinal tract is moderately filled. No radiopaque urolithiasis. Moderate thickened left femoral neck. Smoothly marginated 1.1 cm osseous body medial to the left stifle was present previously and is likely incidental.</t>
  </si>
  <si>
    <t>1. Moderate to severe, predominantly left-sided cardiomegaly consistent with acquired mitral and tricuspid valve disease. There is pulmonary venous congestion and pulmonary edema indicating left-sided heart failure. Concurrent mainstem bronchial compression likely contributing to the cough. Concurrent pneumonia is given at lesser consideration._x000D_
2. Mild hepatomegaly as before, a nonspecific finding that may be steroid or other hepatopathy. An inflammatory or neoplastic process is given much lesser consideration in light of the chronicity._x000D_
3. Left coxofemoral osteoarthritis.</t>
  </si>
  <si>
    <t>Treatment for heart failure is recommended. If the patient does not improve clinically and radiographically and has elevated white blood cell count, addition of antibiotics may be necessary.</t>
  </si>
  <si>
    <t xml:space="preserve">
1.Abdominal detail is normal._x000D_
2.Splenic size, shape and margin are normal._x000D_
3.The liver is prominent._x000D_
4.The stomach is normal. The small bowel is diffusely gas- and fluid-filled without segmental small bowel dilation.</t>
  </si>
  <si>
    <t>Opposite lateral and ventrodorsal abdominal radiographs (3 images) dated May 13, 2024. The patient is moderately rotated on the lateral views, which may affect interpretation._x000D_
_x000D_
_x000D_
_x000D_
The liver and spleen are unremarkable in size and shape. The stomach contains a mild volume of gas. The majority the small intestine is minimally distended with gas. There are segments of tubular soft-tissue opacities that are mildly larger in diameter compared to the gas-filled small bowel segments in the caudoventral and predominantly left hemiabdomen=ZZ90= it is unclear if this represents uterine distention or additional small bowel segments. The colon contains normal appearing stool and has a normal course. The left kidney is mildly irregular in shape. The right kidney is only partially visible with no overt abnormalities appreciated. The urinary bladder is small and fluid opaque. Retroperitoneal and peritoneal detail are normal. No regional lymphadenopathy is evident.</t>
  </si>
  <si>
    <t>The tubular soft-tissue opacities that are larger than the small bowel segments containing gas are suspicious for uterine distention. Rule out pyometra vs. less likely early pregnancy or other =ZZ92=metras=ZZ92= (hydrometra, mucometra, hematometra).
(amended on 05/13/2024 13:17)
Irregularly-shaped left kidney is concerning for chronic renal disease or renal dysplasia.</t>
  </si>
  <si>
    <t>Vaginal discharge cytology and abdominal ultrasound.
(amended on 05/13/2024 13:17)
Renal blood work, urinalysis, and ultrasound of the kidneys.</t>
  </si>
  <si>
    <t xml:space="preserve">
1.Splenic size, shape and margin are normal._x000D_
2.Serosal detail is adequate._x000D_
3.The small intestines have a diffuse fragmented gas pattern._x000D_
4.Liver size, shape and margin are normal.</t>
  </si>
  <si>
    <t>A three view thoracoabdominal study is provided for interpretation. These images are compared to the previous study dated 5-3-24._x000D_
_x000D_
The heart is at the upper end of normal range. There is a small bulge in the region of the left atrium. Pulmonary vessels are normal. The pulmonary parenchyma is within normal limits for patient age. The hiatal hernia seen in the previous radiographs is resolved, and does not appear in any of the images today._x000D_
_x000D_
The mineral dense foreign body seen in the stomach in the previous study is still present and similar in appearance. The three tiny mineral densities seen in the right dorsal abdomen are also still present and similar in appearance. The liver is at the upper end of normal range. The other organs are within normal size and shape limits. There is a small calculus in the urinary bladder._x000D_
_x000D_
There is severe narrowing of the T12-T13 intervertebral disc space. Severe disc space narrowing is also seen in the caudal cervical spine from C5 to C7.</t>
  </si>
  <si>
    <t>The gastric foreign body seen in the previous study 5-3-24 still present in the stomach. The appearance would be most compatible with a piece of irregularly shaped bone. A hollow foreign body made of dense plastic could appear similar. There is no evidence of obstruction._x000D_
_x000D_
The exact location of the three small mineral densities in the right dorsal abdomen remains unknown. This could be associated with the right adrenal gland, kidney, or liver. There not likely to be clinic with significant._x000D_
_x000D_
There is one small calculus in the urinary bladder._x000D_
_x000D_
There is evidence of chronic disc degeneration in the caudal cervical spine and caudal thoracic spine. Disc disease would be a likely explanation for the recent neurologic changes.</t>
  </si>
  <si>
    <t>Endoscopy is recommended if possible. If this is not an option, gastrotomy to remove the foreign body in the stomach is recommended._x000D_
_x000D_
Anti-inflammatory therapy and restricted activity for suspected intervertebral disc disease is recommended._x000D_
Depending on the severity of the ataxia and pelvic limb signs, more advanced imaging such as MRI considered for surgical planning.</t>
  </si>
  <si>
    <t xml:space="preserve">
1.Serosal detail is adequate._x000D_
2.The liver is mildly enlarged with normal shape and smooth margins._x000D_
3.No abnormal AI findings reported._x000D_
4.The stomach appears within normal limits. The small bowel contains a mild amount of gas. No obvious signs of obstruction.</t>
  </si>
  <si>
    <t>Three radiographs of the thorax, and three views of the abdomen are provided. Images dated 9/3/2020 are available for comparison. There is mild left atrial enlargement, not present on the previous study. Pulmonary vessels are normal size. There are mild age-related changes in the lungs as before. No pleural effusion. Moderate narrowed cervical trachea. No esophageal dilation._x000D_
_x000D_
In the abdomen the liver is prominent with smooth margins. Normal-sized spleen and kidneys. No gastrointestinal or urinary bladder abnormalities. Bilateral mild coxofemoral osteoarthritis.</t>
  </si>
  <si>
    <t>1. Cervical tracheal collapse, the most likely cause for coughing. Inhaled irritant/allergens could be contributing._x000D_
2. Mild left atrial enlargement consistent with acquired mitral valve disease. There is no pulmonary venous congestion or evidence of heart failure. This is not responsible for the cough._x000D_
3. Prominent liver as before, a nonspecific finding that may be steroid or other hepatopathy. An inflammatory or neoplastic process are given lesser consideration in light of the chronicity.</t>
  </si>
  <si>
    <t>Three radiographs of the thorax and three views of the abdomen are provided. Images dated 1/13/2020 are available for comparison. The cardiac silhouette is normal size and shape with no chamber enlargement. There are mild bronchial markings throughout the lungs. No interstitial infiltrates or pleural effusion. Adequate tracheal diameter. Small volume fluid in the caudal esophagus is transient and incidental._x000D_
_x000D_
In the abdomen the liver is prominent with smooth margins. Normal-sized spleen and kidneys. The gastrointestinal tract is mildly filled. No radiopaque cystic calculi. Osseous structures are unremarkable. Several punctate gas lucencies dorsal to the caudal lumbar spine, likely recent injection site.</t>
  </si>
  <si>
    <t>1. Mild bronchial markings is most likely normal age-related change. Chronic airway inflammation due to inhaled irritants/allergens is also possible. Otherwise normal thorax. No tracheal abnormalities are appreciated, however dynamic collapse may not be imaged on a static radiographic study. No evidence of cardiovascular disease. A small valvular regurgitant jet can result in a relatively loud murmur._x000D_
2. Prominent liver, a nonspecific finding that may be steroid or other hepatopathy, acute inflammation, or least likely neoplasia. This should be correlated with history and blood work. No other abdominal abnormalities.</t>
  </si>
  <si>
    <t xml:space="preserve">
1.Liver size, shape and margin are normal._x000D_
2.Splenic size, shape and margin are normal._x000D_
3.Abdominal detail is normal._x000D_
4.Moderate volume gas and small-volume amorphous soft tissue opacity is present within the stomach.  The small bowel is diffusely gas- and fluid-filled without segmental small bowel dilation.</t>
  </si>
  <si>
    <t>Gastric findings likely represent residual ingesta. However, with appropriate clinical symptoms findings could be seen with gastritis or a small intestinal functional ileus.</t>
  </si>
  <si>
    <t>Opposite lateral and ventrodorsal thoracic and abdominal radiographs (6 images) dated May 13,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normal in size and shape. The splenic tail is prominent in appearance on the lateral views, and the splenic head is normal. The stomach is empty. The small intestine is unremarkable in diameter with most segments containing a small amount of gas. The cecum and colon are diffusely gas distended. The kidneys are only partially visible with no abnormalities appreciated. The urinary bladder is small and fluid opaque. Retroperitoneal and peritoneal detail are normal. No regional lymphadenopathy is evident.</t>
  </si>
  <si>
    <t>1. Non-obstructive gastroenteritis +/- colitis.  Rule out dietary indiscretion or toxin vs. food allergy/intolerance vs. flareup of a chronic enteropathy (ex: IBD) vs. GI infectious vs. systemic/extra GI causes (liver or kidney injury/disease, pancreatitis, endocrine disorder, systemic infection, non-GI neoplasia)._x000D_
2. The prominent appearance of the splenic tail is likely incidental and related to variable splenic tail positioning. True splenomegaly is considered less likely but cannot be completely ruled out and could be due to benign causes (extramedullary hematopoiesis, lymphoid hyperplasia, sedation if applicable) vs. infectious splenitis (usually tickborne, such as Ehrlichiosis) vs. least likely infiltrative round cell neoplasia._x000D_
3. Normal thorax.</t>
  </si>
  <si>
    <t>Supportive care with fluid rehydration, antiemetics, gastroprotectants/omeprazole, and bland diet.  General health profile (CBC, chemistry, UA, 4Dx, fecal) could be considered to screen for underlying causes.  Repeat fasted abdominal radiographs or ultrasound if the patient fails medical management.</t>
  </si>
  <si>
    <t>Opposite lateral and ventrodorsal abdominal radiographs (4 images) dated May 13, 2024._x000D_
_x000D_
_x000D_
The liver and spleen are unremarkable in size and shape. The stomach is mildly gas-filled and has prominent rugal folds. The small intestine is unremarkable in diameter and course with most segments empty/collapsed or containing a scant amount of fluid and gas. The colon contains a small amount of poorly formed stool. Both kidneys are normal in size and shape. The urinary bladder is small and fluid opaque. Peritoneal detail is reduced. Retroperitoneal detail is adequate.</t>
  </si>
  <si>
    <t>1. Non-obstructive gastroenteritis +/- colitis.  Rule out dietary indiscretion or toxin vs. food allergy/intolerance vs. flareup of a chronic enteropathy (ex: IBD) vs. GI infectious vs. systemic/extra GI causes (liver or kidney injury/disease, pancreatitis, endocrine disorder, systemic infection)._x000D_
2. Reduced peritoneal detail likely represents mesenteric inflammation or scant effusion secondary to gastroenteritis +/- pancreatitis.</t>
  </si>
  <si>
    <t>Supportive care with fluid rehydration, antiemetics, gastroprotectants/omeprazole, antidiarrheal with probiotic, and bland diet. General health profile (CBC, chemistry, UA, fecal) +/- spec cPL and baseline cortisol to screen for underlying causes.  Repeat fasted abdominal radiographs or ultrasound if the patient fails medical management.</t>
  </si>
  <si>
    <t xml:space="preserve">
1.Splenic size, shape and margin are normal._x000D_
2.Serosal detail is adequate to slightly decreased._x000D_
3.The small intestines have a diffuse fragmented gas pattern._x000D_
4.Liver size, shape and margin are normal.</t>
  </si>
  <si>
    <t>Opposite lateral and ventrodorsal thoracic radiographs followed by an upper GI barium study (25 images) dated May 13, 2024._x000D_
_x000D_
_x000D_
_x000D_
The cardiac silhouette and great vessels are within normal limits. Some of the caudal lobar pulmonary vessels are enlarged with some tortuosity in their course. The remaining pulmonary vessels are normal. The pulmonary parenchyma has a moderate diffuse bronchointerstitial pulmonary pattern. No pulmonary nodules or masses are identified. No intrathoracic lymphadenopathy is evident. The trachea is normal in diameter and course with gas filling its lumen. The pleural space, mediastinum, and diaphragm are normal._x000D_
_x000D_
The stomach contains a small volume of gas. The small intestine has a mild-moderate variation in diameter with the more distended segments containing gas. The colon contains normal appearing stool and has a normal course. The liver is enlarged. The spleen is unremarkable. The urinary bladder is mildly distended with fluid opacity. The left kidney is normal in size and shape. The right kidney is not clearly visible._x000D_
_x000D_
The left hip is incongruent with reduced acetabular coverage and periarticular bony remodeling. The right femoral head and neck is surgically absent. There is cranial lumbar spondylosis deformans without disc space narrowing. There is focal smooth soft tissue swelling along the left craniolateral thoracic body wall._x000D_
_x000D_
Initially the stomach is dilated with a large amount of positive contrast. A column of barium is present in the caudal esophagus on the image time stamped 10:39:17 AM. Within 20 minutes, there is some barium contrast leaving the stomach and entering into the small intestine. The last images obtained 3 hours later, in which the stomach is mostly empty aside from a small amount of residual barium and large amount of gas, and the rest of the barium resides in the small bowel and proximal colon.</t>
  </si>
  <si>
    <t>1. No abnormalities are identified in the gastrointestinal tract regarding barium transit in this incomplete barium study._x000D_
2. Focal barium column in the caudal esophagus on the image described. This is towards the beginning of the study, and it is unclear if this is due to recent ingestion of barium or regurgitation of barium._x000D_
3. The radiographic evidence of a hiatal hernia._x000D_
4. Hepatomegaly. Rule out a benign metabolic/vacuolar hepatopathy vs. less likely inflammatory or infiltrative neoplastic conditions._x000D_
5. Mildly enlarged and tortuous caudal pulmonary vessels raises concern for pulmonary hypertension. Rule out heartworm infection vs. cor pulmonale vs. idiopathic vs. less likely other causes._x000D_
6. Bronchointerstitial pulmonary pattern is suspicious for chronic lower airway disease/bronchitis. _x000D_
7. Hip dysplasia with historical right hip FHO.</t>
  </si>
  <si>
    <t>Rx omeprazole and low fat bland diet trial for a minimum of 5 weeks.  Fluoroscopic barium esophagram with internal medicine for more sensitive screening of an upper GI issue._x000D_
Heartworm testing.</t>
  </si>
  <si>
    <t>Opposite lateral whole body and opposite lateral and ventrodorsal abdominal radiographs (5 images) dated May 13, 2024. A prior study from May 9, 2024 is available for comparison._x000D_
_x000D_
_x000D_
_x000D_
The liver and spleen are normal in size and shape. The stomach contains a small amount of soft-tissue content mixed with gas. The small intestine is moderately and diffusely distended with gas and has broad ropelike turns in its course to give it a subjectively turgid appearance. The colon contains unremarkable appearing stool and gas=ZZ90= there is corrugation to the colonic wall on the VD view. The urinary bladder is mildly fluid-filled. Retroperitoneal and peritoneal detail are normal. No regional lymphadenopathy is evident._x000D_
_x000D_
The cardiac silhouette, pulmonary vasculature, and aorta are within normal limits. The caudal vena cava is narrowed on both lateral views.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thoracolumbar spine is unremarkable with no evidence of disc space narrowing, osseous degenerative changes, subluxations, fractures, or aggressive processes.</t>
  </si>
  <si>
    <t>1. The appearance of the small intestine is suspicious for enteritis. There is no evidence of a gastrointestinal mechanical obstruction._x000D_
2. The remainder of the abdomen is unremarkable._x000D_
3. Narrowed caudal vena cava can represent dehydration vs. an incidental variation in cardiorespiratory cycling._x000D_
4. No spinal abnormalities are detected.</t>
  </si>
  <si>
    <t>Assess for neurologic deficits._x000D_
Supportive care with fluid rehydration, antiemetics, gastroprotectants/omeprazole, and bland diet.  General health profile (CBC, chemistry, UA, 4Dx, fecal) +/- spec cPL and baseline cortisol to screen for underlying causes.</t>
  </si>
  <si>
    <t xml:space="preserve">
1.No effusion is present._x000D_
2.No abnormal AI findings reported._x000D_
3.Moderate volume soft tissue opacity and/or gas fills the stomach._x000D_
4.Small intestines are mildly filled with a mixture of fluid and gas._x000D_
5.No segmental small intestinal distention is present._x000D_
6.The liver and spleen are normal size.</t>
  </si>
  <si>
    <t>Study:_x000D_
Abdominal radiography: three images dated May 13, 2024_x000D_
_x000D_
Findings:_x000D_
The abdominal serosal detail is normal. The stomach contains a small volume of gas with the pylorus appropriately gas-filled on the left lateral image. The small intestines are normal in size, course and content. The colon contains a small volume of gas with a normal diameter. The liver is normal in size and margin. The tail the spleen moderately enlarged coursing along the ventral abdomen on both lateral projections. The kidneys are normal in size and contour. The urinary bladder is normal in size and opacity. The included thorax is normal. The osseous structures are unremarkable.</t>
  </si>
  <si>
    <t>1.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2. The  splenomegaly is nonspecific. Rule out extramedullary hematopoiesis, lymphoid hyperplasia, splenitis, congestion or infiltrative neoplasia. Sonography can be considered for further evaluation.</t>
  </si>
  <si>
    <t>2 views of the abdomen are presented for review.  Serosal detail is adequate in all quadrants.  The stomach contains a small amount of gas.  The small intestines are normal in size.  Gas and feces are present in the colon.  The urinary bladder is small.  No mineral is seen associated with the urinary tract.  The remaining abdominal organs are normal.  A lumbosacral transitional vertebra is present.  Coverage of the femoral heads by their acetabular rims is reduced bilaterally.</t>
  </si>
  <si>
    <t>Radiographically normal abdomen.  Abdominal ultrasound could be considered to rule out radiolucent calculi.  Urinalysis and culture may be helpful.  Lumbosacral transitional vertebra.  Bilateral coxofemoral subluxation suggestive of hip dysplasia.</t>
  </si>
  <si>
    <t>Study:_x000D_
Thoracic and abdominal radiography: four images dated May 13, 2024_x000D_
_x000D_
Compared to attached JPEG images from prior study dated May 2, 2024_x000D_
_x000D_
Findings:_x000D_
The cardiac silhouette and pulmonary vasculature are normal in size. The pulmonary parenchyma is unremarkable. The pleural space is normal. There is no intrathoracic lymphadenopathy. The trachea is normal in diameter and course. Evaluation the abdomen is limited by the lack of a VD view. The stomach contains a small volume of gas. The small intestines are normal in size, course and content. The colon contains formed fecal material. The liver and spleen are normal in size and margin. The kidneys are normal in size and contour. The urinary bladder is normal in size and opacity. There is mild multifocal thoracic and L6-L7 spondylosis deformans. On the abdominal image, there is soft tissue swelling had a mild amount of subcutaneous emphysema along the dorsal thorax presumably from subcutaneous fluid administration.</t>
  </si>
  <si>
    <t>1. The (static) mild generalized bronchial pulmonary pattern is a nonspecific finding. This could be a breed normal variation or may indicate infectious (given prior housemate respiratory PCR testing results), allergic, inflammatory, inhaled irritant or parasitic bronchitis. Airway sampling plus/minus heartworm testing and Baermann fecal flotation be considered for further evaluation. There is no evidence of pneumonia._x000D_
2. There is no evidence of an esophageal motility disorder._x000D_
3. Unremarkable incomplete abdominal study. Consider abdominal sonography and an esophagogram for further evaluation of the reported vomiting/regurgitation persists or worsens in spite of medical management.</t>
  </si>
  <si>
    <t>Orthogonal radiographs of the thorax and of the abdomen are provided. The cardiac silhouette is normal size. Pulmonary arteries are mildly enlarged. A mild mixed bronchointerstitial pattern is present throughout the lungs. No pleural effusion. Increased opacity dorsal to the 1st and 2nd sternal segment on the lateral view is likely superimposed thoracic limb tissue. Normal tracheal diameter._x000D_
_x000D_
In the abdomen there is no effusion. Normal-sized liver and left kidney. The right kidney is obscured. The spleen is upper normal size, and the caudal margins of the splenic tail are poorly delineated. The gastrointestinal tract is mildly filled. No radiopaque cystic calculi. Spondylosis deformans is likely incidental.</t>
  </si>
  <si>
    <t>1. Pulmonary arterial enlargement and mild mixed bronchointerstitial pattern consistent with Class II heartworm disease. This is the most likely cause for respiratory signs. Concurrent infectious tracheobronchitis or thromboembolic insult is not ruled out._x000D_
2. Poorly delineated caudal splenic tail margins is concerning for a mass lesion could be artifact caused by adjacent fluid-filled loops of small bowel. Otherwise normal abdomen.</t>
  </si>
  <si>
    <t>Ultrasound evaluation of the spleen could be considered to rule out a mass lesion.</t>
  </si>
  <si>
    <t xml:space="preserve">
1.The spleen is enlarged with potential for a splenic mass._x000D_
2.Abdominal detail is diffusely decreased and the abdomen is pendulous._x000D_
3.The liver is moderately enlarged with potential for a hepatic mass._x000D_
4.Moderate volume gas fills the stomach._x000D_
5.Small intestines are mildly fluid-filled._x000D_
6.Segments of the colon have a rigid appearance.</t>
  </si>
  <si>
    <t>SPINE (7 radiographs for review). Previous examination is available for comparison from 2023._x000D_
_x000D_
- Cervical vertebral column normal._x000D_
- Cervicothoracic junction normal._x000D_
- Thoracic vertebral column normal._x000D_
- Thoracolumbar junction unremarkable._x000D_
- Ill-defined mineral opacity superimposed dorsal to the L5-6 intervertebral disc space._x000D_
- Lumbosacral junction normal._x000D_
- Sacroiliac joints normal._x000D_
- Pelvis and coxofemoral joints unremarkable._x000D_
- Bilateral distal femoral varus angular limb deformity with medial luxation of both patellas._x000D_
- Soft-tissue opaque band dorsally overlying the trachea through the thoracic inlet. No other obvious thoracic or abdominal abnormalities are noted beyond mild aerophagia.</t>
  </si>
  <si>
    <t>1. A discrete radiographic spinal or vertebral column abnormality to explain the patient=ZZ91=s reported clinical signs is not clearly identified. There is mineralized material superimposed over L5-6 which likely supports chronic/prior intervertebral disc extrusion at this site and is of uncertain clinical relevance. Intervertebral disc disease at other sites is not excluded despite lack of overt radiographic changes, as radiographic sensitivity for lesions affecting the vertebral column is limited. No evidence of fracture, subluxation, discospondylitis or aggressive bone lesions. _x000D_
_x000D_
If clinically indicated, consultation with a veterinary neurologist +/- advanced imaging of the spine (CT/MRI) may be considered._x000D_
_x000D_
2. Bilateral medial patellar luxation and predisposing distal femoral varus angular limb deformity._x000D_
_x000D_
3. The appearance of the trachea at the level of the thoracic inlet can be compatible with tracheal collapse secondary to chondromalacia.</t>
  </si>
  <si>
    <t>Three radiographs of the thorax, and three views of the abdomen are provided. There is equivocal prominence of the left atrium. Cardiac to thoracic ratio and pulmonary vessel size is normal. There is a mild bronchial pattern throughout the lungs. No pleural effusion. Fat deposition separates the heart and lungs from the sternum on the lateral views, and causes wide cranial mediastinum. Normal tracheal diameter and position. No esophageal dilation._x000D_
_x000D_
In the abdomen, smoothly marginated soft tissue density ventral to the pylorus may represent prominent liver or normal splenic tail nestled adjacent to the liver. There is no effusion. Normal size kidneys. The gastrointestinal tract is mildly filled. Smoothly marginated round 0.3 cm mineral opaque calculus. Nondistended uterus visible. No osseous abnormalities.</t>
  </si>
  <si>
    <t>1. Mild bronchial pattern is most likely normal age-related change. Chronic airway inflammation such as bronchitis could also cause this appearance but is given lesser consideration the absence of coughing. _x000D_
2. Equivocal prominent left atrium suggestive of chronic degenerative mitral valve disease. There is no pulmonary venous congestion or pulmonary edema. This is of doubtful clinical significance today._x000D_
3. Small cystic calculus, of a size that should be able to pass the urethra._x000D_
4. Equivocal mild hepatomegaly versus normal splenic tail. Differentials for mild hepatomegaly are varied and include steroid or other hepatopathy, acute inflammation, or neoplasia.</t>
  </si>
  <si>
    <t>A CBC and blood chemistry profile are recommended. Visual inspection of the pharyngeal/laryngeal region should be considered</t>
  </si>
  <si>
    <t>5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ingesta.  The small intestines are normal in size.  Gas and feces are present in the colon.  The urinary bladder is small.  The remaining abdominal organs are normal.  Hemivertebrae are present in the thoracic spine.  Osteophytes present on the right femoral neck and acetabular rim.</t>
  </si>
  <si>
    <t>Radiographically normal abdomen.  Radiographically normal thorax for patient of this age.  Congenital hemivertebrae.  Right coxofemoral DJD.</t>
  </si>
  <si>
    <t>Four orthogonal survey radiographs of the thorax and abdomen dated 13th May 2024 are available for review. There are no previous radiographs available for comparison. _x000D_
_x000D_
Thorax: _x000D_
Airway findings: The cervical and thoracic trachea have a normal size, outline and position. The carina, tracheal bifurcation and mainstem bronchi are normal. The pulmonary parenchyma is normal._x000D_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stomach is mainly empty, with a normal axis. There is appropriate gas in the pylorus on the left lateral image. In the ventral dorsal image, there is narrowing of the pyloroduodenal angle, and mild dilation of the duodenum. The small intestines are homogenously filled with fluid/soft tissue opaque material and within normal limits for shape and size. The descending colon contains formed faeces. The hepatic silhouette is normal in size with smooth borders. The spleen is normal in shape, size and position. The kidneys are partially obscured by gastrointestinal contents, but the visible aspect are normal. The urinary bladder is small. The serosal detail is normal._x000D_
_x000D_
Musculoskeletal findings: No significant abnormalities are detected.</t>
  </si>
  <si>
    <t>1. The findings are supportive of the laboratory diagnosis of pancreatitis.</t>
  </si>
  <si>
    <t>Empiric management of pancreatitis is advised. consider complete abdominal ultrasonographic examination depending on clinical response.</t>
  </si>
  <si>
    <t xml:space="preserve">
1.The colon contains mild to moderate heterogeneous soft tissue material and gas._x000D_
2.Mild microhepatia is present with cranial positioning to the gastric axis._x000D_
3.Resouce: https://platform.v2.vetology.net/doc/liver_disease_x000D_
4.Splenic size, shape and margin are normal._x000D_
5.Abdominal detail is normal._x000D_
6.The stomach contains a mild to moderate volume of gas and soft tissue material. The gastric axis is cranially positioned due to the microhepatia._x000D_
7.The small bowel is diffusely gas- and fluid-filled without segmental small bowel dilation.</t>
  </si>
  <si>
    <t>6 images of the thorax.  Are presented for review.  The cardiovascular and pulmonary structures are normal.  The pleural and mediastinal structures are normal.  Abdominal serosal detail is adequate in all quadrants.  The stomach contains a small amount of soft tissue material.  The small intestines are normal in size.  Gas and feces are present in the colon.  The urinary bladder is small.  The remaining abdominal organs are normal.</t>
  </si>
  <si>
    <t>Material within the stomach may represent residual ingesta or foreign material.  Radiographically normal thorax.</t>
  </si>
  <si>
    <t>Donald Rutherford. Date of study: 05/13/24. Thoracic radiography (2 view, 3 images. 1 VD, 2 Lateral). No prior radiographs are available for comparison. No laterality markers are present which hinders evaluation. _x000D_
_x000D_
Airway/pulmonary findings: The trachea is narrowed from the thoracic inlet through the tracheal bifurcation and is dorsally displaced. The tracheal bifurcation is widened. There is narrowing of the right cranial lobar bronchus on the left lateral view. There is a diffuse mixed bronchial and unstructured interstitial pulmonary pattern, slightly more severe in the caudodorsal lungs. No pulmonary masses or nodules are present._x000D_
_x000D_
Cardiovascular findings: The cardiac diffusely enlarged, extending over 2/3 the height of the thoracic cavity and extending over four intercostal spaces with rounding of the cranial aspect of the cardiac silhouette on the lateral views. There is a prominent soft tissue bulge in the region of the left atrium on the lateral views. On the VD view there is soft tissue bulge at the level of the left auricle. The cranial and caudal pulmonary vasculature are normal. The caudal vena cava is normal in size._x000D_
_x000D_
Mediastinum: No intrathoracic lymphadenomegaly is noted. The remainder of the mediastinum is normal._x000D_
_x000D_
Pleural space: The pleural space is normal._x000D_
_x000D_
Musculoskeletal: There is bilateral shoulder osteoarthritis. Excessive body habitus. _x000D_
_x000D_
Cranial abdomen: The liver is enlarged, extending caudal to the costal arch, but retains sharp caudoventral margins.</t>
  </si>
  <si>
    <t>1. Moderate left- and right-sided cardiomegaly. Normal pulmonary vasculature. Ddx: myxomatous mitral valvular disease with/without tricuspid valvular disease vs pulmonary hypertension/cor pulmonale, vs less likely dilated cardiomyopathy, or unlikely other._x000D_
2. Dynamic lower airway diameter consistent with a component of dynamic airway collapse. This is likely contributing to the cough. Rule out recurrent microaspiration as the cause for chronic lower airway disease. Other considerations are bacterial vs. allergic vs. parasitic disease._x000D_
3. Trachea collapse or redundant trachealis membrane most significantly at the level of thoracic inlet. Component of cough likely related to tracheal collapse as well as venous congestion from left sided heart changes_x000D_
4. Mild mixed bronchial and unstructured interstitial pattern, more significant in caudodorsal lung fields. Ddx: Early cardiogenic pulmonary edema, fibrosis from prior disease, age-related changes. Possible artifact due to positioning should be accounted for._x000D_
5. Hepatomegaly. Ddx: fat deposition and hepatic venous distention vs. hepatitis vs. infiltrative neoplasia or less suspected, granulomatous disease._x000D_
6. Moderate bilateral shoulder osteoarthritis secondary to age related degenerative disease.</t>
  </si>
  <si>
    <t>The patient=ZZ91=s coughing may be multifactorial, but likely driven by airway compression by the left sided heart enlargement with a component of tracheal/airway collapse +/- lower airways disease. _x000D_
_x000D_
Given the cardiomegaly recommend echocardiography, ECG and blood pressure, routine blood work and urinalysis for further evaluation if not recently performed. If echocardiography is not available to assess cardiac insufficiency, consider increase in diuretic with repeat thoracic radiographs after 4-6 hours to monitor for progression/resolution of the pulmonary pattern. If no improvement in pulmonary pattern, reduce these medication back to baseline._x000D_
_x000D_
Further evaluation on physical examination +/- fluoroscopy may be considered to assess for tracheal collapse._x000D_
_x000D_
If there is a history of hepatic enzyme elevation, sonographic assessment of the liver +/- FNA may be considered.</t>
  </si>
  <si>
    <t xml:space="preserve">
1.The liver is enlarged with rounded borders._x000D_
2.The spleen is within normal limits._x000D_
3.The colon is gas filled in corrugated._x000D_
4.The stomach is partially distended with food material and fluid._x000D_
5.The small intestinal track is mostly fluid filled uniform in diameter._x000D_
6.There is decreased detail in the cranial abdomen.</t>
  </si>
  <si>
    <t>Patient Name: Macy Henry _x000D_
Study date: May 13, 2024_x000D_
Vertebral column radiography: 3 images total (2 lateral, 1 DV)_x000D_
There are no previous radiographs for comparison._x000D_
_x000D_
The DV view is mislabeled with the Right marker along the left side of the patient._x000D_
The patient is rotated with respect to the x-ray beam in all images but more severe in the lateral views. _x000D_
_x000D_
Included vertebral bodies (C2-L7) are normal with smooth end plates.  All visible intervertebral disc spaces are normal and uniform in width, however interpretation is limited by obliquity in some images. No fractures, lytic regions, or periosteal reactions are detected.  Visible cardiopulmonary and abdominal organs are unremarkable.</t>
  </si>
  <si>
    <t>A cause of the suspected neck/back pain is not radiographically identified.  Musculotendinous injury (e.g. strain or sprain) or occult intervertebral disc disease (e.g. disc herniation) are possible.  There is no evidence of aggressive osseous disease or discospondylitis.</t>
  </si>
  <si>
    <t>Recommend repeat radiographs with collimation centered on each region of the spine for optimal evaluation._x000D_
_x000D_
Full neurologic examination if not already performed. Consider neurology consult and MRI if clinical signs worsen.</t>
  </si>
  <si>
    <t>Four radiographs of the thorax, and three views of the abdomen are provided. Previous images dated April 15, 2024 are available, under different patient last name =ZZ92=Lucatno=ZZ92=. The cardiac silhouette and pulmonary vessels are normal size and shape. The appearance of prominent heart and leftward mediastinal shift on the VD projection is due to thoracic conformation and mild rotation. There is also fat deposition adjacent to the heart which is likely contributing to this appearance. Pulmonary vessels are normal size. There is persistent poorly delineated soft tissue opacity overlying the ventral heart on the right lateral view. There are no air bronchograms in this area. No pleural effusion. Normal tracheal diameter and position._x000D_
_x000D_
In the abdomen the liver remains upper normal size with smooth margins. Normal-sized spleen. The kidneys are incompletely visible. The gastrointestinal tract is minimally filled. Bilateral coxofemoral osteoarthrosis. No other significant osseous abnormalities.</t>
  </si>
  <si>
    <t>The soft tissue density overlying the ventral heart is unchanged compared to the previous study and is most likely pleural fat deposition. There is no convincing evidence of aspiration pneumonia. Otherwise normal thorax and abdomen.</t>
  </si>
  <si>
    <t xml:space="preserve">
1.On the lateral projection, the liver is mildly enlarged with rounded margins. Less commonly, gastric distention silhouetting with the liver can trigger this AI result._x000D_
2.Abdominal detail is satisfactory._x000D_
3.Resource: https://platform.v2.vetology.net/doc/liver_disease_x000D_
4.Splenic size, shape and margin are normal._x000D_
5.The ventral abdominal line is pendulous._x000D_
6.In most cases, the stomach and small bowel are minimally filled however in a small number of cases, gastric distention will silhouette with the liver artifactually creating the appearance of hepatomegaly._x000D_
7.Formed feces in the distal colon.</t>
  </si>
  <si>
    <t>Opposite lateral and ventrodorsal abdominal radiographs (3 images) dated May 13, 2024._x000D_
_x000D_
The liver is unremarkable in size and shape. No abnormalities are identified in the spleen. Intimately associated with the left kidney is a large and irregularly shaped mass. The right kidney is only partially visible with no overt abnormalities appreciated. The tail is suspected to be reduced, especially surrounding the right kidney. The urinary bladder is mildly distended with homogeneous fluid opacity. The stomach is moderately distended with gas and contains some heterogeneous soft-tissue content as well. The small intestine is unremarkable in diameter and course. The colon contains a scant amount of stool mixed with gas. Peritoneal detail appears adequate. No regional lymphadenopathy is evident. No aggressive or clinically significant osseous pathology is identified. The included caudal thorax is unremarkable.</t>
  </si>
  <si>
    <t>1. Large and irregularly-shaped left kidney is concerning for a renal mass (malignant neoplasia vs. less likely granuloma or abscess/pyonephrosis). A mass unrelated to the left kidney is considered less likely._x000D_
2. Loss of retroperitoneal detail is suggestive of retroperitoneal effusion (tumor rupture or inflammation, pyonephrosis with regional inflammation).</t>
  </si>
  <si>
    <t>Three-view thoracic radiographs._x000D_
Abdominal ultrasound to further evaluate the kidneys, adrenal glands, and remainder of the abdomen. Based on findings, ultrasound-guided fine needle aspirates of the mass may be indicated for attempted cytologic diagnosis (and ideally after PT/PTT and platelet check).</t>
  </si>
  <si>
    <t xml:space="preserve">
1.On the VD projection, at least one gas filled, rigid appearing bowel segment is present._x000D_
2.Liver size, shape and margin are normal._x000D_
3.There is a small to moderate quantity of normal appearing soft tissue dense ingesta in the stomach._x000D_
4.On the VD projection, there is increased soft tissue opacity in the splenic region. This may be due to splenomegaly or superimposition of a normal spleen and the left kidney. No splenic mass is identified._x000D_
5.Cranial abdominal detail, caudal to the stomach, is slightly decreased.</t>
  </si>
  <si>
    <t>Patient history entered is incorrect. Patient history for Coby: =ZZ92=Pre-op checking for metastasis grade 2/6 HM no symptoms=ZZ92=_x000D_
_x000D_
Three radiographs of the thorax, and three views of the abdomen are provided. The cardiac silhouette and pulmonary vessels are normal size and shape. There is a mild bronchial pattern throughout the lungs. No interstitial infiltrates or pleural effusion. Fat deposition in the cranial mediastinum. Redundant dorsal trachealis membrane causes mild narrowed cervical trachea. Mild degenerative change in one of the elbows._x000D_
_x000D_
In the abdomen the liver is mildly enlarged with smooth margins. Normal-sized kidneys and spleen. The gastrointestinal tract is minimally filled. No radiopaque cystic calculi. Osseous structures are unremarkable.</t>
  </si>
  <si>
    <t>1. Probable cervical tracheal collapse, of uncertain significance in the absence of coughing. Mild bronchial pattern is likely normal age-related change. No evidence of pulmonary metastatic disease._x000D_
2. Mild hepatomegaly, a nonspecific finding that may be steroid or other hepatopathy, acute inflammation, or least likely neoplasia. This should be correlated with history and blood work.</t>
  </si>
  <si>
    <t xml:space="preserve">
1.Abdominal detail is satisfactory._x000D_
2.The ventral abdominal line is pendulous._x000D_
3.In most cases, the stomach and small bowel are minimally filled however in a small number of cases, gastric distention will silhouette with the liver artifactually creating the appearance of hepatomegaly._x000D_
4.Formed feces in the distal colon._x000D_
5.On the lateral projection, the liver is mildly enlarged with rounded margins. Less commonly, gastric distention silhouetting with the liver can trigger this AI result._x000D_
6.Resource: https://platform.v2.vetology.net/doc/liver_disease_x000D_
7.Splenic size, shape and margin are normal.</t>
  </si>
  <si>
    <t>Orthogonal views of the abdomen are provided:_x000D_
_x000D_
Abdomen:_x000D_
_x000D_
The stomach is gas filled with no evidence of radiopaque foreign material or bodies._x000D_
Small intestines are mildly gas and fluid filled, not overtly distended. No signs of mechanical ileus._x000D_
Unformed feces in the colon._x000D_
Serosal detail is preserved._x000D_
Liver and spleen are within normal limits of size and smoothly marginated._x000D_
Kidneys and urinary bladder WNL.</t>
  </si>
  <si>
    <t>1) Unformed feces in the colon. Rule out colitis secondary to dietary indiscretion/foreign material ingested.</t>
  </si>
  <si>
    <t>Consider abdominal US to completely rule out soft tissue in opacity soft tissue material prior to any empirical treatment of colitis.</t>
  </si>
  <si>
    <t>Opposite lateral and ventrodorsal abdominal radiographs (3 images) dated May 12, 2024._x000D_
_x000D_
_x000D_
_x000D_
The liver and spleen are unremarkable in size and shape. Both kidneys are normal in size and shape. The urinary bladder is small and fluid opaque. On the left lateral view there is the impression of a small ovoid soft-tissue opacity in the cranial pelvic inlet and caudal to the urinary=ZZ90= however, this is less clearly evident on the right lateral view and is suspected to represent superimposition artifact of the thigh musculature. The stomach is moderately distended with gas and has a small amount of mobile soft-tissue/fluid content. The pyloric antrum is gas-filled on the left lateral view. The descending duodenum is also mildly gas distended and has a normal course on the left lateral view. The remainder of the small intestine has a mild and unremarkable variation in diameter with most segments empty/collapsed or containing a small amount of gas and fluid. The small intestine has broad ropelike turns in its course to give it a subjectively turgid appearance. The colon contains gas and a small amount of poorly formed stool. Retroperitoneal and peritoneal detail are adequate. No regional lymphadenopathy is evident._x000D_
The lumbosacral spondylosis deformans. Both hips are incongruent with reduced acetabular coverage and moderate periarticular bony remodeling.</t>
  </si>
  <si>
    <t>1. Non-obstructive gastroenteritis +/- colitis.  Rule out dietary indiscretion or toxin vs. food allergy/intolerance vs. flareup of a chronic enteropathy (ex: IBD) vs. GI infectious vs. systemic/extra GI causes (liver or kidney injury/disease, pancreatitis, endocrine disorder, systemic infection, non-GI neoplasia)._x000D_
2. Suspect superimposition artifact of normal anatomy in the region of the prostate vs. less likely true prostatomegaly._x000D_
3. Lumbosacral spondylosis and bilateral hip dysplasia with moderate osteoarthritis.</t>
  </si>
  <si>
    <t>Supportive care with fluid rehydration, antiemetics, gastroprotectants/omeprazole, and bland diet.  General health profile (CBC, chemistry, UA, fecal) +/- spec cPL to screen for underlying causes. Abdominal ultrasound if the patient fails medical management. Rectal exam to more confidently rule out prostatomegaly.</t>
  </si>
  <si>
    <t xml:space="preserve">
1.The liver is moderately enlarged._x000D_
2.Increased soft tissue is present in the splenic region with a mild mass effect._x000D_
3.Abdominal detail is diffusely decreased, particularly on the lateral projection._x000D_
4.The abdomen is pendulous secondary to the hepatomegaly._x000D_
5.The small bowel is diffusely gas- and fluid-distended with concern for small bowel dilation approaching the max:min bowel diameter ratio of 2:1 on the lateral projection._x000D_
6.The gastric rugae are prominent or the gastric lumen contains soft tissue material mimicking the appearance of prominent gastric rugae._x000D_
7.A portion of the colon is gas filled and has a rigid appearance.</t>
  </si>
  <si>
    <t>Orthogonal views of the thorax and abdomen are provided:_x000D_
_x000D_
Thorax:_x000D_
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 No signs of mineral FB in the GI tract._x000D_
Small intestines are mildly gas and fluid filled, not overtly distended. _x000D_
Serosal detail is preserved._x000D_
Liver and spleen are within normal limits of size and smoothly marginated._x000D_
Kidneys and urinary bladder WNL.</t>
  </si>
  <si>
    <t>Consider CBC and electrolytes along with abdominal US to further evaluate causes of vomition.</t>
  </si>
  <si>
    <t xml:space="preserve">
1.No abnormal AI findings reported._x000D_
2.There is no effusion._x000D_
3.The stomach contains a small to moderate amount of amorphous soft tissue density._x000D_
4.Small intestines and the colon are minimally filled._x000D_
5.The liver and spleen are normal.</t>
  </si>
  <si>
    <t>1) Unremarkable abdomen. Rule out gastroenterocolitis of allergic/inflammatory/idiopathic origin vs IBD flare up vs pancreatitis vs Gi anaphylactic reaction vs gastroenterocolitis secondary to dietary indiscretion.</t>
  </si>
  <si>
    <t>Consider abdominal US to further evaluate causes of vomition and diarrhea.</t>
  </si>
  <si>
    <t>Orthogonal views of the abdomen are provided:_x000D_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are WNL. _x000D_
Multiple cystic calculi seen in the urinary bladder and at least two proximal urethral calculi.</t>
  </si>
  <si>
    <t>1) Multiple cystic calculi seen in the urinary bladder and at least two proximal urethral calculi. The urethral calculi can explain the inability to urinate.</t>
  </si>
  <si>
    <t>Consider abdominal US to further evaluate the urinary tract with renal function test, retrograde hydropulsion, urinalysis, UPC and urine culture with surgical treatment and long term diet.</t>
  </si>
  <si>
    <t>WHOLE-BODY (3 radiographs for review). No previous for comparison._x000D_
_x000D_
- Peritoneal serosal detail is within normal._x000D_
- The stomach contains mild gas and moderate soft-tissue opaque material, as well as multiple small, gravity-dependent mineral opaque material._x000D_
- The small intestine contains mild gas and homogeneous soft-tissue opaque material._x000D_
- The colon contains moderate formed fecal material, as well as a few small mineral opaque foci in the descending colon._x000D_
- The liver, spleen, kidneys and urinary bladder are normal._x000D_
- The included intrathoracic structures are normal._x000D_
- No discrete musculoskeletal abnormalities are identified.</t>
  </si>
  <si>
    <t>1. Although I cannot appreciate a discrete cause for the reported vomiting, there is mild to moderate gastric material (including a few small mineral-opaque foci, similar to those present in the descending colon) which may support dietary indiscretion +/- gastritis/gastrointestinal functional ileus. There is no clear pyloric outflow tract obstruction or small intestinal foreign material. If clinically indicated, you may consider fasted (12-24h) recheck abdominal radiographs and/or abdominal ultrasound for further assessment.</t>
  </si>
  <si>
    <t>Orthogonal views of the thorax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Liver extends beyond the costal arch with sharp margins._x000D_
_x000D_
Visible spine is unremarkable without signs of disc herniation, aggressive bone lesions, vertebral fractures or subluxations.</t>
  </si>
  <si>
    <t>1) Unremarkable thorax without signs of pulmonary metastases nor signs of thoracic lymphadenopathy._x000D_
2) Hepatomegaly: Metabolic vs Vacuolar infiltration vs Hepatic nodular hyperplasia vs Inflammatory vs Toxic vs Neoplastic is unlikely at this age, or a combination of these differentials.</t>
  </si>
  <si>
    <t>Consider abdominal US to further evaluate the liver. Evaluate the benefit of a CT of the nasal cavity with +/- rhinos copy to further evaluate the reported snoring._x000D_
Consider a neuro exam with MRI if necessary: if negative, consider an orthopedic exam under sedation.</t>
  </si>
  <si>
    <t xml:space="preserve">
1.Abdominal detail is satisfactory_x000D_
2.Splenic size, shape and margin are normal._x000D_
3.The liver is mildly enlarged with rounding to the caudoventral liver margin._x000D_
4.There is a moderate amount of soft-tissue dense material present in the stomach._x000D_
5.The small intestines are predominantly fluid-filled._x000D_
6.No segmental small bowel dilation is identified.</t>
  </si>
  <si>
    <t>Three radiographs of the abdomen are provided. There is no peritoneal or retroperitoneal effusion. Soft tissue opaque ingesta fills the stomach. Small bowel are mildly filled. Formed feces fills the descending colon. No radiopaque urolithiasis. Normal-sized liver, kidneys, spleen. No osseous abnormalities. The caudal thorax is normal.</t>
  </si>
  <si>
    <t>Normal abdomen. A reason for lethargy is not identified.</t>
  </si>
  <si>
    <t xml:space="preserve">
1.On the lateral projection, the liver is mildly enlarged with rounded margins. Less commonly, gastric distention silhouetting with the liver can trigger this AI result._x000D_
2.Resource: https://platform.v2.vetology.net/doc/liver_disease_x000D_
3.Abdominal detail is satisfactory._x000D_
4.The ventral abdominal line is pendulous._x000D_
5.Splenic size, shape and margin are normal._x000D_
6.In most cases, the stomach and small bowel are minimally filled however in a small number of cases, gastric distention will silhouette with the liver artifactually creating the appearance of hepatomegaly._x000D_
7.Formed feces in the distal colon.</t>
  </si>
  <si>
    <t>Orthogonal views of the thorax and abdomen are provided:_x000D_
_x000D_
Thorax:_x000D_
_x000D_
The esophagus is mildly gas filled._x000D_
Cardiac silhouette has a normal shape and size._x000D_
Pulmonary vessels are within normal limits of size and shape._x000D_
Pulmonary parenchyma shows an alveolar pulmonary patches with air bronchograms ventrally located on both cranial lung lobes and in the right middle lung lobe, questionably in the left caudal lung lobe. Pleural space, mediastinum, diaphragm and thoracic wall within normal limits._x000D_
_x000D_
Abdomen:_x000D_
_x000D_
The stomach is empty. No foreign bodies are sene in the GI tract._x000D_
Small intestines are mildly gas and fluid filled, not overtly distended. _x000D_
Serosal detail is preserved._x000D_
Liver and spleen are within normal limits of size and smoothly marginated._x000D_
Kidneys and urinary bladder WNL.</t>
  </si>
  <si>
    <t>1) Alveolar pulmonary patches with air bronchograms ventrally located on both cranial lung lobes and in the right middle lung lobe, questionably in the left caudal lung lobe consistent withinfectious pneumonia vs aspiration pneumonia._x000D_
2) Unremarkable abdomen.</t>
  </si>
  <si>
    <t>Consider abdominal US to further evaluate the vomition and empirical treatment for pneumonia with follow up radiographs every 48/72 hours to evaluate response to treatment.</t>
  </si>
  <si>
    <t xml:space="preserve">
1.The hepatic silhouette is normal._x000D_
2.The spleen is normal for size, shape and margin._x000D_
3.Abdominal detail is normal._x000D_
4.The small intestines are homogenously fluid-filled, and mildly dilated._x000D_
5.The colon is gas-filled._x000D_
6.The descending colon contains mainly fluid opaque material._x000D_
7.There is a moderate amount of fluid and gas within the stomach._x000D_
8.The stomach has a normal axis.</t>
  </si>
  <si>
    <t>THORAX (3 radiographs for review). Compared to 05/13/23._x000D_
_x000D_
- In comparison to the previous examination, there is a new, mild left sided cardiomegaly that is characterized by straightening of the caudal cardiac margin and mild dorsal displacement of the caudal aspect of the thoracic trachea._x000D_
- The pulmonary vasculature remains normal._x000D_
- A small soft-tissue opaque band dorsally overlies the trachea in the cervical region._x000D_
- Remaining intrathoracic structures normal._x000D_
- Stomach contains mild gas and gas-stippled soft-tissue opaque material. Visible small intestinal segments mildly diffusely distended with gas._x000D_
- Mild bilateral glenohumeral osteophyte formation.</t>
  </si>
  <si>
    <t>1. New, mild left-sided cardiomegaly, without pulmonary vasculature congestion or congestive heart failure. Most likely compatible with degeneration of the mitral valve. Consider echocardiography/ECG and cardiologist consultation for further assessment._x000D_
_x000D_
2. The appearance of the trachea in the mid-cervical region can be compatible with tracheal collapse, secondary to chondromalacia._x000D_
_x000D_
3. Aerophagia.</t>
  </si>
  <si>
    <t>Study:_x000D_
Abdominal radiography: two images dated April 30, 2024_x000D_
_x000D_
Findings:_x000D_
The cranial extent of the abdomen is not included on the VD view. On the lateral projection, there is a small amount of unstructured heterogeneous soft tissue material in the stomach. The small intestines are segmentally gas filled. There is no small intestinal dilation. The colon contains gas and a small amount of poorly formed fecal material. The liver and spleen are normal in size and margin. The renal silhouettes are normal in size and contour. The urinary bladder is normal in size and opacity. There is mild L1-L2 and L2-L3 spondylosis deformans. The included thorax is unremarkable.</t>
  </si>
  <si>
    <t>Gastric contents likely represent ingesta. Foreign material cannot be completely excluded. There is no evidence of small intestinal mechanical obstruction. If the patient=ZZ91=s clinical signs of persisted since the time of this examination in spite of medical management, abdominal sonography should be considered for further evaluation.</t>
  </si>
  <si>
    <t>11 images of the thorax and abdomen are provided for review.  The trachea is normal in diameter.  The laryngeal and pharyngeal structures are normal.  The cardiovascular structures are normal.  Alveolar opacity is present in the right cranial, right middle, and left cranial lung lobes.  The mediastinal and pleural structures are normal.  Abdominal serosal detail is adequate in all quadrants.  Small amounts of free peritoneal gas are present.  The stomach contains a small amount of ingesta.  The small intestines are normal in size.  Gas and feces are present in the colon.  The urinary bladder is small.  The remaining abdominal organs are normal.  There is spondylosis deformans of the lumbosacral spine.</t>
  </si>
  <si>
    <t>Small amounts of free peritoneal gas consistent with recent laparotomy.  Alveolar pulmonary pattern concerning for aspiration type pneumonia.</t>
  </si>
  <si>
    <t>Orthogonal views of the thorax and abdomen are provided:_x000D_
_x000D_
Thorax:_x000D_
_x000D_
Cardiac silhouette and pulmonary vessels are small._x000D_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</si>
  <si>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1) Microcardias and oligemia compatible with dehydration secondary to GI signs._x000D_
2) Unremarkable abdomen: Rule out gastroenterocolitis of allergic/inflammatory/idiopathic origin vs gastroenterocolitis secondary to dietary indiscretion vs parvo or Giardia infection.</t>
  </si>
  <si>
    <t>Consider abdominal US to further evaluate causes of vomition and diarrhea with parvo or Giardia tests.
(amended on 05/12/2024 07:36)
Consider CBC and total proteins with electrolytes, IV fluid and abdominal US to further evaluate causes of vomition and diarrhea with parvo or Giardia tests.</t>
  </si>
  <si>
    <t xml:space="preserve">
1.Abdominal detail is normal._x000D_
2.The stomach contains gas and a small amount of fluid. Loops of small bowel are minimally gas and fluid filled._x000D_
3.Splenic size, shape and margin are normal._x000D_
4.Liver size, shape and margin are normal.</t>
  </si>
  <si>
    <t>Nine orthogonal radiographs of the thoracic limbs dated 10th May 2024 are available for review. There are no previous radiographs available for comparison. _x000D_
_x000D_
Shoulder joints: Both shoulder joints are normal. There is subjective swelling of the _x000D_
 left suprascapular musculature. _x000D_
_x000D_
Elbow joints: The left elbow is normal. The dorsal anconeal process is smooth. The medial coronoid process is smooth. There is no subtrochlear sclerosis. The epicondylar fossa are smooth. No degenerative modelling is present. Surrounding the elbow there is moderate soft tissue swelling, which extends down the antebrachium. A linear lucency is seen dorsal to the elbow in the soft tissues, consistent with fascial separation._x000D_
_x000D_
Carpi: Both carpi are normal._x000D_
_x000D_
Extremities: The extremities are normal._x000D_
_x000D_
Soft tissues: As described above</t>
  </si>
  <si>
    <t>Differentials for the swelling include trauma (haemorrhage, oedema), cellulitis (puncture wound, non-radiopaque migrating foreign body), insect bite hypersensitivity, less likely lymphangitis. Considering the reported wound, soft tissues cellulitis is most likely. Septic arthritis of the elbow joint cannot be excluded.</t>
  </si>
  <si>
    <t>Empirical management is advised. If a localised swelling develops, consider musculoskeletal ultrasound. Depending on clinical progression, consider repeat radiographs._x000D_
Consider synoviocenthesis of the left elbow, if puncture wounds are present overlying the joint. Aspirate from a site most removed from any wounds.</t>
  </si>
  <si>
    <t xml:space="preserve">
1.Liver size, shape and margin are normal._x000D_
2.The stomach contains a small amount of gas and ingesta. The small bowel is diffusely gas- and fluid-filled without segmental small bowel dilation._x000D_
3.The colon is gas filled and a portion of the colon has a rigid appearance._x000D_
4.Splenic size is at the upper limits of normal to mildly enlarged but no mass is noted in the region of the spleen._x000D_
5.Abdominal detail is normal.</t>
  </si>
  <si>
    <t>Eight orthogonal radiographs of the vertebral column, and thorax and abdomen dated 10th May 2024 are available for review. There are no previous radiographs available for comparison. The radiographs are submitted for evaluation of the vertebral column, however vertebral column and thorax are interpreted in light of findings._x000D_
_x000D_
Vertebral column: There is complete lysis of the spinous processes of the L5, L6 and partially L7 vertebral bodies. Dystrophic mineralisation of the soft tissues dorsally is present. A large poorly marginated soft tissue mass is present. The vertebral arch of the L5 vertebral body is slightly indistinct in 1 image. The remainder of the lumbar vertebral column is normal. The thoracic vertebral column is normal. The cervical vertebral column is incompletely included._x000D_
_x000D_
Thorax: _x000D_
Airway findings: No nodules, masses, or lymphadenomegaly is visible. The trachea has a normal position, shape and size. The pulmonary parenchyma is normal. _x000D_
_x000D_
Cardiovascular findings: The cardiac silhouette, and pulmonary vasculature is within normal limits._x000D_
_x000D_
Mediastinum and pleura: There is no evidence of pleural effusion,</t>
  </si>
  <si>
    <t>1. Aggressive bony and soft tissue lesion of the dorsal lumbar area: This may be a primary bone tumour, or a soft tissue tumour considering multiple spinous processes are involved. Squamous cell carcinoma, fibrosarcoma should be considered first._x000D_
2. Negative metastasis check, normal thorax for age.</t>
  </si>
  <si>
    <t>Contrast enhanced computed tomography is advised of the mass as well as thorax, as well as a FNA/biopsy of the mass. Depending on results, consider oncologic or palliative consultation.</t>
  </si>
  <si>
    <t xml:space="preserve">
1.Abdominal detail is normal._x000D_
2.Splenic size, shape and margin are normal._x000D_
3.Small small-volume amorphous soft tissue opacity is present within the stomach. 
The small intestines are mildly filled with gas and fluid. No signs of obstruction._x000D_
4.Liver size, shape and margin are normal.</t>
  </si>
  <si>
    <t>Patient Name: Lupin Buschmann, Date of study: May 10, 2024
8 images are provided for review
There are no previous radiographs for comparison.
Findings:
There is in situ disc mineralization of T9-10 and T11-12. There are no repeatable sites of intervertebral disc space narrowing. The vertebral bodies of the thoracolumbar spine are normal. The endplates are intact. The articular process joints are within normal limits. For text</t>
  </si>
  <si>
    <t xml:space="preserve">1. A compressive spinal cord lesion affecting the thoracolumbar spine is highly suspected based on the history (e.g. disc extrusion). A specific site cannot be identified radiographically.
2. In situ T9-10 and T11-12 disc mineralization.  </t>
  </si>
  <si>
    <t>An MRI of the thoracolumbar spine and consultation with a neurologist are recommended. CBC/serum biochemistry to screen for systemic disease prior to advanced imaging if not already performed.</t>
  </si>
  <si>
    <t xml:space="preserve">
1.The stomach is unremarkable._x000D_
2.The spleen is smoothly margined and at the upper limits of normal for size to mildly enlarged on the lateral projection._x000D_
3.The small intestines contain gas and fluid and are normal in diameter._x000D_
4.The colon is unremarkable._x000D_
5.Serosal detail is normal._x000D_
6.The liver is normal in size with smooth serosal margins.</t>
  </si>
  <si>
    <t>Thorax: There is moderate left and mild to moderate right-sided cardiomegaly.  There is no evidence of cardiogenic pulmonary edema.  There is rounding of the lung lobes within the right hemithorax suggesting pleural effusion.  The pulmonary parenchyma is unremarkable.  There is no evidence of lymphadenopathy.</t>
  </si>
  <si>
    <t>Generalized cardiomegaly._x000D_
_x000D_
Suspect right-sided pleural effusion.</t>
  </si>
  <si>
    <t>Consider thoracic ultrasound for possible sampling of suspected pleural effusion._x000D_
_x000D_
Consider consultation with veterinary cardiologist.</t>
  </si>
  <si>
    <t>Patient Name: Bear Florez, Date of study: May 10, 2024
10 images are provided for review
The pelvis and lumbar spine are compared to December 16, 2020.
Findings:
There is static, mild intervertebral disc space narrowing of L5-6. There is mild, newly identified spondylosis deformans of L2-3. The vertebral bodies and endplates are normal. The articular process joints are unremarkable.
Similar to previous, the coxofemoral joints are subluxated and there is reduced coverage of the femoral heads. There are mild periarticular osteophytes along the femoral necks. The pelvic appears symmetric</t>
  </si>
  <si>
    <t>1. Mild static L5-6 intervertebral disc space narrowing, consider IVDD. 
2. Mild L2-3 spondylosis deformans. 
3. Bilateral hip dysplasia with mild osteoarthrosis.</t>
  </si>
  <si>
    <t>A full neurologic exam is recommended. If pelvic limb paresis or conscious proprioceptive deficits are identified, cross-sectional imaging of the thoracolumbar spine would be recommended to screen for a compressive lesion.
Rest, multimodal pain management, and weight management are recommended. Consultation with an orthopedic surgeon could be considered to address hip dysplasia.</t>
  </si>
  <si>
    <t>Study:_x000D_
Thoracic/abdominal radiography: three images dated May 10, 2024_x000D_
_x000D_
Findings:_x000D_
The cardiac silhouette is normal in size and shape. The pulmonary vasculature is normal in size. Too numerous to count small soft tissue opaque nodules are scattered throughout the pulmonary parenchyma. The pleural space is normal. There is no intrathoracic lymphadenopathy. The trachea is normal in diameter. The stomach is empty. Some small intestinal segments contain a small amount of granular soft tissue material presumed to be ingesta. The small intestines are normal in size and course. The colon contains formed fecal material. The liver extends mildly beyond the costal arch with smooth and rounded margins. There is a 2.6 cm soft tissue opaque nodule bulging from the cranial aspect of the tail the spleen on the left lateral view. The renal silhouettes are normal in size and contour. The urinary bladder is normal in size and opacity. There is narrowing of the T 12-T 13 and T 13-L1 intervertebral disc spaces with mild to moderate spondylosis deformans.</t>
  </si>
  <si>
    <t>1. The pulmonary nodules are most consistent with metastatic disease. Fungal disease is less likely in the absence of any tracheobronchial lymphadenopathy._x000D_
2. Splenic nodule. Malignant neoplasia is suspected based on conclusion #1. Extramedullary hematopoiesis, lymphoid hyperplasia or hematoma cannot be completely excluded._x000D_
3. The generalized hepatomegaly is nonspecific. Rule out metabolic/vacuolar hepatopathy, hyperplasia, hepatitis or neoplasia. _x000D_
4. T 12-T 13 and T 13-L1 intervertebral disease.</t>
  </si>
  <si>
    <t>Recommend full diagnostic abdominal sonography to further evaluate for intra-abdominal neoplasia. Oncology consultation can also be considered.</t>
  </si>
  <si>
    <t xml:space="preserve">
1.Small intestines are diffusely moderately fluid and gas filled._x000D_
2.The liver is moderately enlarged with smooth margins._x000D_
3.The spleen and visualized kidneys are normal size._x000D_
4.Serosal detail is normal._x000D_
5.Formed feces is present in the distal colon._x000D_
6.Small-volume gas is present within the stomach.</t>
  </si>
  <si>
    <t>Orthogonal views of the thorax and abdomen are provided. There are seven images total._x000D_
_x000D_
There is a large mildly defined mass occupying most of the mid abdomen and causing caudal and lateral displacement of the intestines. A definitive organ of origin cannot be determined. The mass most likely involves the spleen but appears as if it could arise from the liver in some views. The mass measures approximately 13 x 16 cm, not accounting for radiographic magnification. Serosal detail in the cranial abdomen is moderately reduced. The other organs are within normal size and shape limits. No dilation of the stomach or intestine is seen._x000D_
_x000D_
There is a moderate diffuse bronchointerstitial pulmonary pattern. No pulmonary nodules are identified. No alveolar infiltrates or pleural effusion are seen. The cardiovascular structures are within normal limits._x000D_
_x000D_
There is severe spondylosis involving the lumbosacral junction. No destructive or active productive bone lesions are seen.</t>
  </si>
  <si>
    <t>There is a large mid abdominal mass. Neoplasia would be the most likely differential, probably arising from the spleen. A mass arising from the liver also cannot be ruled out. A benign lesion such as a splenic hematoma would be less likely. A cystic lesion could also appear similar but is considered unlikely due to the concurrent lack of abdominal detail, which is most likely associated with secondary hemorrhage or neoplastic effusion. An abscess with secondary peritonitis would be a less likely possibility._x000D_
_x000D_
This patient also has a significant bronchointerstitial pulmonary pattern. The appearance is not suggestive of metastatic neoplasia, and would be most compatible with infectious bronchitis. Clinical relevance in the absence of respiratory clinical signs is unknown. Idiopathic or allergic chronic bronchitis could appear similar.</t>
  </si>
  <si>
    <t>Follow up imaging is recommended to determine the origin and significance of the abdominal mass._x000D_
_x000D_
Ultrasound or CT could be used._x000D_
_x000D_
If coughing is present, antibiotic therapy for suspected bronchitis is recommended. If there are no respiratory clinical signs, conservative management with recheck thoracic radiographs in two weeks is recommended.</t>
  </si>
  <si>
    <t>A three view study of the abdomen that includes the pelvis and most of the thorax is provided for interpretation._x000D_
_x000D_
There is a large well defined mass in the range of approximately 6.5 cm in the left mid to cranial abdomen. The mass appears to be involving the spleen in the right lateral view, but this is less apparent in the other views. In the VD view, there is mildly reduced detail in the right peripheral abdomen. Mild liver enlargement is suspected. The GI tract and the other organs are within normal limits._x000D_
_x000D_
There is a tiny mineral opacity dorsal to the L3-L4 intervertebral disc space. The T12-T13 disc space is mildly narrowed. The pelvis and hip joints are within normal limits._x000D_
_x000D_
Mild to moderate bronchial mineralization is identified in the central regions of the lung. This is probably an age-related incidental finding. The lungs are otherwise normal. No cardiovascular abnormalities are identified.</t>
  </si>
  <si>
    <t>There is a large mass in the left cranial abdomen. This is suspected to be involving the spleen. Neoplasia is the primary differential, but benign causes such as hematoma cannot be excluded. Relevance to the clinical signs is unknown._x000D_
There is disc space narrowing that would be compatible with disc degeneration in the caudal lumbar spine. Mild disc disease could also be contributing to the clinical signs._x000D_
_x000D_
Mild liver enlargement is suspected. Clinical relevance should be correlated with associated labwork abnormalities.</t>
  </si>
  <si>
    <t>A neoplastic lesion involving the spleen is suspected, but benign causes cannot be excluded and relevance to the current clinical signs remains unknown._x000D_
_x000D_
Ultrasound the abdomen is recommended for more definitive evaluation of the liver and spleen._x000D_
_x000D_
CBC, serum chemistry, and urinalysis is recommended._x000D_
_x000D_
Symptomatic therapy for possible disc disease is recommended.</t>
  </si>
  <si>
    <t xml:space="preserve">
1.There is poor detail identified in the abdomen. DDx: secondary to hepatomegaly causing crowding of the abdominal organs and/or abdominal fluid._x000D_
2.The abdomen is mildly pendulous._x000D_
3.The stomach contains fluid and some gas._x000D_
4.The small intestine is diffusely fluid filled._x000D_
5.There is increased soft tissue opacity in the splenic region. DDx: secondary to caudal extension of the liver vs. loss of detail due to abdominal fluid vs. splenomegaly or a splenic mass._x000D_
6.The liver is enlarged with rounded borders.</t>
  </si>
  <si>
    <t>Opposite lateral and VD abdomen views are provided._x000D_
_x000D_
There is a small quantity of amorphous soft tissue dense ingesta in the stomach. No foreign bodies are identified in the GI tract. There is a mild overall increase in small intestinal gas. No dilation the stomach or intestine is seen. Serosal detail in the abdomen is normal. The other organs are within normal limits.</t>
  </si>
  <si>
    <t>No foreign bodies or obstructive pattern are identified. Mildly increased small intestinal gas is present, which can be incidental or secondary to enteritis. Pancreatitis also cannot be excluded.</t>
  </si>
  <si>
    <t>Symptomatic therapy and supportive care for possible gastroenteritis/pancreatitis is recommended._x000D_
_x000D_
CBC and serum chemistry including pancreatic specific lipase is recommended._x000D_
_x000D_
Follow up imaging such as an ultrasound or barium study could be considered if clinical signs are not improved over the next 48 hours.</t>
  </si>
  <si>
    <t>Three radiographs of the thorax and orthogonal views of the abdomen are provided. The cardiac silhouette and pulmonary vessels are normal size and shape. There are no abnormalities in the pulmonary parenchyma. No pleural fluid or gas. The diaphragm is intact. No rib fractures. Normal tracheal position. On the right lateral view there is smoothly contoured 0.4 cm soft tissue opacity along the ventral margin of the tracheal lumen at the level of C3. On the left lateral projection there is a faint thin transverse band of soft tissue opacity overlying the trachea at this level. No laryngeal abnormalities are appreciated._x000D_
_x000D_
In the abdomen there is no effusion or organomegaly. The gastrointestinal tract is minimally filled. No radiopaque cystic calculi. The uterus is not identified. Normal lumbar spine. The coxofemoral joints are congruent.</t>
  </si>
  <si>
    <t>1. The appearance of the craniocervical trachea is likely the site of the previous tracheal tear. Scar tissue is suspected. A focal accumulation of intraluminal mucus could also cause this appearance. A reason for hesitance to swallow is not identified, but may be related to recent cervical soft tissue trauma._x000D_
2. Normal thorax and abdomen.</t>
  </si>
  <si>
    <t>If exercise intolerance and swallowing abnormalities persist/progress, I will hold endoscopic evaluation of the trachea may be necessary.
(amended on 05/10/2024 13:28)
The above sentence should read =ZZ92=If exercise intolerance and swallowing abnormalities persist/progress, endoscopic evaluation of the trachea may be necessary.=ZZ92=</t>
  </si>
  <si>
    <t xml:space="preserve">
1.Small intestines are minimally distended. No evidence of obstruction._x000D_
2.The liver and spleen are normal size and shape._x000D_
3.No abnormal AI findings reported._x000D_
4.The stomach contains small volume gas and equivocal scant soft tissue density._x000D_
5.Abdominal detail is normal.</t>
  </si>
  <si>
    <t>5 images of the pelvis, pelvic limbs, and spine are provided for review.  Coverage of the femoral heads by their acetabulae is adequate bilaterally.  No fractures, luxations, or aggressive osseous lesions are seen.  Spinal alignment is normal with no overtly narrowed intervertebral disc spaces.  The joint surfaces are smooth and regular.  No stifle effusion is seen.  The soft tissue structures included are normal.</t>
  </si>
  <si>
    <t>Radiographically normal pelvis, pelvic limbs, and spine.  This does not rule out intervertebral disc herniation or other causes of spinal cord compression.</t>
  </si>
  <si>
    <t>Opposite lateral and VD views of the abdomen are provided for interpretation._x000D_
_x000D_
There is moderate narrowing of the intervertebral disc spaces in the caudal thoracic spine from T10 to T13. T13-L1 is mildly to moderately narrowed. No spinal subluxation or fractures are seen. The 13th rib pair is hypoplastic. No destructive or productive bone lesions are seen. The hip joints are partially visible and no abnormalities are identified._x000D_
The abdominal organs are within normal limits. No free fluid is seen.</t>
  </si>
  <si>
    <t>There is disc space narrowing in the thoracolumbar spine consistent with disc degeneration. Secondary spinal cord impingement would be a likely explanation for the clinical signs._x000D_
_x000D_
No significant abdominal abnormalities are identified.</t>
  </si>
  <si>
    <t>Restricted activity and anti-inflammatory therapy for probable mild thoracolumbar intervertebral disc disease is recommended.</t>
  </si>
  <si>
    <t xml:space="preserve">
1.The spleen is smoothly marginated and within normal limits for size._x000D_
2.There is mild hepatomegaly with smooth margins._x000D_
3.No abnormal AI findings reported._x000D_
4.The small bowel contains gas and fluid. No evidence of obstruction._x000D_
5.The stomach contains a small volume of gas.</t>
  </si>
  <si>
    <t>Patient Name: Lexi Moore, Date of study: May 10, 2024
7 images are provided for review
There are no previous radiographs for comparison.
Findings: 
Cardiac silhouette: The cardiac silhouette is normal in size and shape.
Pulmonary vessels: The pulmonary arteries and veins are normal in size and are symmetrical.
Pulmonary parenchyma: The right cranial lobar bronchus is moderately enlarged in size, the walls are mildly thickened. The pulmonary parenchyma is normal with no abnormal pulmonary patterns, nodules, or masses.
Pleural space: The pleural space is within normal limits.
Mediastinum: The mediastinum is normal in width and opacity.
Trachea: The trachea is normal in diameter and course.
Esophagus: The region of the esophagus is unremarkable.
Gastrointestinal tract: The stomach is empty and normally positioned. The pylorus is appropriately gas-filled on the left lateral view. The small intestine is normal in diameter and distribution containing gas and fluid.
Liver: The liver is normal in size and shape.
Spleen: The spleen is within normal limits.
Urinary: The visible margins of the kidneys are normal. The urinary bladder is mildly distended and normal in opacity.
Peritoneal space: There is adequate serosal detail.
Musculoskeletal: The included skeletal and superficial soft tissue structures of the study are normal.</t>
  </si>
  <si>
    <t xml:space="preserve">1. Right cranial lobar bronchiectasis. 
-Consider chronic/chronic-active infectious/inflammatory lower airway disease. 
-An upper respiratory infection should be considered given nasal discharge. A post nasal drip may be contributing to cough.   
-There is no evidence of pneumonia.
2. Unremarkable gastrointestinal tract. There is no evidence of a mechanical small intestinal obstruction or metal/mineral opaque foreign material. </t>
  </si>
  <si>
    <t>Airway sampling (respiratory PCR, lavage/wash, nasal flush) may be beneficial in guiding treatment recommendations. Rhinoscopy and/or skull CT could be considered to further evaluate the nasal cavities if clinical signs do not improve with medical management. CBC and biochemistry are recommended if not already performed. 
Repeat thoracic radiographs may be beneficial if clinical signs fail to improve/resolve.</t>
  </si>
  <si>
    <t>Opposite lateral and ventrodorsal thoracic and abdominal radiographs (9 images) dated May 10, 2024._x000D_
_x000D_
_x000D_
_x000D_
The cardiac silhouette, pulmonary vasculature, and great vessels are within normal limits. The pulmonary parenchyma is unremarkable with no nodules, infiltrates, or other pathology detected. The pleural space and diaphragm are normal. No mediastinal abnormalities are appreciated. The trachea is normal in diameter and course with gas filling its lumen. No intrathoracic lymphadenopathy is evident._x000D_
_x000D_
The liver is mildly enlarged. The spleen is unremarkable in size and shape for the dog breed. The kidneys are obscured from visualization due to superimposed bowel. The urinary bladder is mildly distended with homogeneous fluid opacity. The prostate is radiographically visible as a round soft-tissue opacity in the cranial pelvic inlet. The stomach is dilated with a large amount of heterogeneous soft-tissue content. While some this material has the appearance of normal ingesta, there is a component of it that has a striated and linear morphology in the region of the gastric body with linear gas striations trapped between a small intestinal striations. The proximal duodenum is not visualized. The pyloric antrum appears to contain more heterogeneous soft-tissue content, although this is not completely rule out some of the striated material involving the pylorus. The small intestine has a mild variation in diameter with most segments containing some gas. A few segments of small intestine in the caudoventral abdomen contains some mineral granular material. The colon contains a large amount of formed stool and has an unremarkable course. The cecum is gas-filled. Retroperitoneal and peritoneal detail are adequate. No regional lymphadenopathy is evident._x000D_
_x000D_
No aggressive or clinically significant osseous pathology is identified.</t>
  </si>
  <si>
    <t>1. No evidence of a small intestinal mechanical obstruction._x000D_
2. The striated material in the stomach is moderately suspicious for fabric/textile foreign material. Clinically insignificant foreign material, such as grass, cannot be completely ruled out. It is unclear if the striated material involves pylorus or proximal duodenum._x000D_
3. Mild hepatomegaly. Rule out a benign metabolic/vacuolar hepatopathy vs. less likely inflammatory and infiltrative neoplastic conditions._x000D_
4. Normal thorax.</t>
  </si>
  <si>
    <t>Abdominal ultrasound to further scrutinize the gastric content and specifically the pylorus and proximal duodenum. If there is no involvement of the duodenum, prompt endoscopic exam and attempted retrieval is recommended.</t>
  </si>
  <si>
    <t>Three radiographs of the thorax and orthogonal views of the abdomen are provided. Images dated 2/1/24 and earlier are available for comparison. There is moderate left atrial enlargement. This is less pronounced than on the previous study, however there was obliquity on the prior study. The mainstem bronchi are deviated dorsally and compressed. Pulmonary vessels are normal size. Mild age-related changes are present in the lungs. No pleural effusion. Linear increased opacity overlying the ventral heart on the right lateral view is superimposed skinfold. Normal tracheal diameter and position._x000D_
_x000D_
In the abdomen the liver is mildly enlarged with rounded margins, similar to the previous study. Normal size kidneys and spleen. Punctate nephroliths are likely incidental. There are radiopaque cystic calculi. Normal left coxofemoral joint. The right femoral head is smoothly blunted, not present on the previous study. It is unknown if there was prior trauma.</t>
  </si>
  <si>
    <t>1. Moderate left atrial enlargement consistent with acquired mitral valve disease. There is no pulmonary venous congestion or heart failure, however there is bronchial compression. This is the only abnormality identified that would explain the respiratory signs. Inhaled irritants/allergens could be contributing._x000D_
2. Stable mild hepatomegaly, most likely steroid or other hepatopathy. This should be correlated with history and blood work. Otherwise normal abdomen.</t>
  </si>
  <si>
    <t>This patient may benefit from symptomatic treatment for the cough. An echocardiogram should be considered if one has not been performed recently.</t>
  </si>
  <si>
    <t>Three radiographs of the abdomen are provided. There is no effusion. The stomach contains a moderate amount of amorphous soft tissue density, fluid, and a few punctate mineral densities. Small intestines are diffusely minimally distended. There are four linear wire metal objects within the small intestines, all measuring between 9.4 and 14.4 cm. On the lateral views, the longest piece of wire is within a loop of small bowel that has a mildly bunched appearance. Formed feces fills the colon. Normal size liver, spleen, kidneys. Osseous structures and the caudal thorax are normal.</t>
  </si>
  <si>
    <t>Small intestinal wire foreign material, of a length that is unlikely to pass successfully. Gastric contents appears to be normal ingesta.</t>
  </si>
  <si>
    <t>Surgical intervention is likely necessary.</t>
  </si>
  <si>
    <t xml:space="preserve">
1.Splenic size, shape and margin are normal._x000D_
2.The stomach is normal. The small bowel is diffusely gas- and fluid-filled without segmental small bowel dilation._x000D_
3.Abdominal detail is normal._x000D_
4.Liver size, shape and margin are normal.</t>
  </si>
  <si>
    <t>Eight radiographs are provided, with images of the thoracolumbar spine, pelvis, and proximal pelvic limbs. No cervicothoracic spinal abnormalities. Soft tissue density overlying the cervical trachea is likely adjacent esophagus. A viewable thorax is unremarkable. The patient is overweight, with large volume subcutaneous fat along the dorsum. There is mineralized intervertebral disc material in situ at L1-2, and the associated intervertebral foramen is slightly reduced in size with increased opacity. No abdominal abnormalities. The coxofemoral joints are congruent and without degenerative change. The left patella is medially displaced. Pelvic limb musculature is approximately symmetric. On the 1st lateral view, the caudally positioned limb shows no stifle joint effusion. On the 2nd lateral view, the caudally positioned limb appears to have fluid within the cranial aspect of the stifle, although there is obliquity present on this view. On both of these images, the caudal limb is closest to the right laterality marker, and is unknown if these are indeed both the right limb. The cranially positioned limb is obscured by extra-abdominal tissue on both lateral views.</t>
  </si>
  <si>
    <t>1. Suspect stifle joint effusion on one side, concerning for cranial cruciate ligament tear/rupture. This could be artifact caused by limb rotation. The coxofemoral joints are normal._x000D_
2. The appearance of L1-2 is suggestive of a protruding/extruded intervertebral disc. This may also be responsible for pelvic limb lameness.</t>
  </si>
  <si>
    <t>Strongly recommend weight loss. This patient may benefit from anti-inflammatories. If lameness progresses and the patient develops palpable stifle instability, surgical stabilization would be recommended.
(amended on 05/10/2024 13:06)
Dr. Marlar confirmed that the caudally positioned limb is the left limb. Upon palpation, there is crepitus, click, and instability in the left stifle. These changes are all consistent with cranial cruciate ligament tear/rupture. If lameness is severe and/or persistent, surgery would be recommended. If lameness is only mild and not persistent, conservative treatment with anti-inflammatories could be considered, with the understanding that surgery may be necessary eventually.</t>
  </si>
  <si>
    <t xml:space="preserve">
1.The gastrointestinal tract is minimally filled. No segmental small bowel dilation is noted._x000D_
2.The spleen is mildly enlarged but no splenic mass is noted and abdominal detail is normal._x000D_
3.In the abdomen, the liver is moderately enlarged but retains smooth margins. No liver mass is identified._x000D_
4.Resource: https://platform.v2.vetology.net/doc/liver_disease_x000D_
5.Abdominal detail is normal.</t>
  </si>
  <si>
    <t>Three radiographs of the thorax/abdomen, and a lateral view of each elbow are provided. The cardiac silhouette is normal size on the VD projection. The heart appears larger on the lateral views due to thoracic conformation and adjacent fat deposition. Pulmonary vessels are normal size. Hazy increased opacity overlying the caudal thorax on the VD view is pleural fat deposition and superimposed extrathoracic fat. Faint bronchial markings consistent with age. Severe narrowed cervical trachea. The patient is overweight, with large volume subcutaneous fat. Spondylosis deformans in the caudal cervical spine. No glenohumeral joint abnormalities. The cubital joints are congruent._x000D_
_x000D_
In the abdomen there is no effusion or organomegaly. The gastrointestinal tract is mildly filled. No radiopaque urolithiasis. Narrowed T13-L1 intervertebral disc space, of doubtful clinical significance today. The coxofemoral joints are congruent.</t>
  </si>
  <si>
    <t>1. Severe cervical tracheal collapse. This is the most likely cause for respiratory signs._x000D_
2. Mild bronchial pattern is most likely normal age-related change. Chronic airway inflammation such as allergic bronchitis could also cause this appearance._x000D_
3. No thoracic limb abnormalities are appreciated to explain the lameness. Soft tissue strain/sprain is possible. There is degenerative change in the caudal cervical spine, which  may be responsible for lameness._x000D_
4. Normal abdomen.</t>
  </si>
  <si>
    <t>Recommend weight management. This patient may benefit from anti-inflammatories.</t>
  </si>
  <si>
    <t>Five radiographs of the abdomen are provided. Mid abdominal detail is reduced. There is small volume fluid and gas in the stomach. The descending duodenum is moderately dilated with fluid and gas. There is a severely dilated loop of bowel in the mid right abdomen that is filled with fluid and gas. The distal colon is minimally distended. No radiopaque foreign material is appreciated. Normal-sized liver, spleen, left kidney. The right kidney is obscured. Both coxofemoral joint spaces are wedged in shape, with poor coverage of the femoral heads by the dorsal acetabular rims.</t>
  </si>
  <si>
    <t>Severely dilated loop of bowel, most likely small intestine indicating small intestinal mechanical obstruction. Fluid in the proximal colon causing this appearance is given lesser consideration.</t>
  </si>
  <si>
    <t>Consider a pneumocolon study to quickly determine whether the dilated loop is large or small bowel. If confirmed this is small bowel, surgical intervention is likely necessary. Instructions for a pneumocolon pasted below._x000D_
_x000D_
PNEUMOCOLON: A catheter-tip syringe (my preference, as the hub can be held against the anus in an effort to keep gas from escaping) is inserted into the rectum and room air (1-3 ml/kg) injected into the colon, obtaining an immediate ventrodorsal view. This is repeated until there is sufficient gas to delineate the entire colon/cecum or the area of interest if within the colon. Once sufficient gas is confirmed within the entire colon, an immediate lateral view is also obtained.
(amended on 05/10/2024 12:15)
If abdominal ultrasound is readily available, is another option to quickly determine whether the affected loop of bowel is large or small intestine.</t>
  </si>
  <si>
    <t xml:space="preserve">
1.Abdominal detail is normal however the abdomen is mildly pendulous._x000D_
2.The gastric axis is displaced caudally by the hepatomegaly. No intestinal abnormalities are present._x000D_
3.The spleen is normal._x000D_
4.In the abdomen the liver is mildly enlarged with smooth margins.</t>
  </si>
  <si>
    <t>Patient Name: Gunther Gaffney, Date of study: May 10, 2024. 7 images are provided for review (2 VDs and 5 Laterals). There are no previous radiographs for comparison. Thorax and abdomen have been requested._x000D_
_x000D_
Thorax:_x000D_
Airway/pulmonary parenchyma: The lungs are hypoinflated secondary to abdominal distention. A non-specific bronchointerstitial pattern is present in the caudodorsal thorax on both lateral projections. _x000D_
_x000D_
Cardiovascular: Mild cardiomegaly with left atrial enlargement and aortic root enlargement are present. On the VD projection, rounding to the right heart is present but the shape to the heart on the VD projection could be secondary to cranial positioning of the diaphragm. The pulmonary vasculature is diffusely distended. The CVC is mildly distended. _x000D_
_x000D_
Mediastinum: Gas is present in the thoracic esophagus. _x000D_
_x000D_
Pleural space: A thin pleural fissure line overlies the heart on the lateral projection. _x000D_
_x000D_
Abdomen:_x000D_
Liver: The liver is slightly shifted to the right and the right liver is at the upper limits of normal. The right liver caudal margin is mildly irregular. _x000D_
_x000D_
Spleen: On the lateral projections, a soft tissue opacity is noted ventral to the stomach. On the VD projections, a triangular soft tissue structure is noted left lateral to the stomach. Both of these likely represent a mildly enlarged spleen. On the VD projection, the splenic silhouette courses caudally towards to the mid-abdomen and a portion of the splenic tail overlies the left cranial aspect of an approximate 14 cm x 15 cm mid-abdominal mass. This mass has regions that are less opaque than soft tissue suggesting a fat component to the mass. _x000D_
_x000D_
Kidneys and urinary bladder: The renal silhouettes are mildly asymmetric with the left being slightly larger than the right. A single soft tissue opacity is present in the caudal abdomen which extends into the pelvic canal. No mineralization is noted however the soft tissue opacity cannot be determined to be of urinary bladder or prostatic origin. _x000D_
_x000D_
GI: The stomach contains a mild quantity of gas and gas stippled soft tissue. The small and large bowel are displaced into the right lateral abdomen by the mid-abdominal mass. The small bowel is diffusely fluid filled with a mild disparity in small bowel diameter but a max:min ratio of =ZZ94= 2:1. _x000D_
_x000D_
Abdominal detail: Caudal abdominal detail is decreased on both lateral projections with a wispy appearance to the mesentery along the caudal margin of the mid-abdominal mass. No sublumbar lymph node enlargement noted. _x000D_
_x000D_
Msk: Subtle lucent regions are present in the caudal thoracic and cranial lumbar vertebrae. Both femurs have a mottled appearance on the VD projection, right more severely affected than left. The right femoral mottled appearance is most pronounced in the right femoral neck and there is increased opacity associated with the right femoral diaphysis.</t>
  </si>
  <si>
    <t>1) Mid-abdominal mass. While splenic origin for this mid-abdominal mass would be most likely, the opacity seems slightly less than soft tissue but not lucent enough to be fat. Rule out a severely distended urinary bladder secondary to a prostatic mass or a component of fat within the mass. A severely distended urinary bladder due to an obstruction could also explain the mild left renal enlargement secondary to hydronephrosis. Mesenteric or testicular origin for the mass are less likely.  _x000D_
2) Concurrent diffuse splenomegaly, mild right sided hepatomegaly and irregular liver margin. _x000D_
3) Cardiomegaly with pulmonary vessel distention. This finding could also indicate overhydration secondary to a urinary bladder obstruction vs. aggressive fluid therapy or primary cardiac disease, including a left to right shunt causing overcirculation. _x000D_
4) Caudodorsal interstitial pattern. DDx: secondary to vessel distention +/- emerging or low-grade cardiogenic edema vs. less suspected, uremic pneumonitis.  _x000D_
5) Diffusely fluid filled bowel. This is a non-specific finding and can be related to primary enteritis or secondary to a metabolic cause, including azotemia. No soft tissue pulmonary nodules noted._x000D_
6) Mottled appearance to the femurs and T-L vertebrae. This finding should be further assessed with evaluation of calcium and globulin.</t>
  </si>
  <si>
    <t>AFAST or abdominal ultrasound ASAP to determine origin of the mid-abdominal mass. If urinary bladder is suspected based on ultrasound, a urinary catheter should be placed immediately to relieve an obstruction. _x000D_
_x000D_
Further evaluation of the spleen, liver, GI, prostate and cardiac evaluation based on origin of the mid-abdominal mass.</t>
  </si>
  <si>
    <t>6 images of the spine are provided for review.  No fractures, luxations, or aggressive osseous lesions are seen.  No mineralized intervertebral discs or overtly narrowed intervertebral disc spaces are seen.  The soft tissue structures included are normal.</t>
  </si>
  <si>
    <t>Patient Name : Cupcake Clites, Date of study: May 10, 2024
3 images are provided for review
There are no previous radiographs for comparison.
Findings:
Cardiac silhouette: There is increased soft tissue opacity at the aortic root which increases the width of the cardiac waist.
The remaining margins of the cardiac silhouette are within normal limits. There is no evidence of left-sided cardiac enlargement.
Pulmonary vessels: The pulmonary arteries and veins are normal in diameter and are symmetrical.
Pulmonary parenchyma: There is mineralization of the small airways in the right cranial lung lobe and surrounding the right middle bronchus. The pulmonary parenchyma is otherwise normal with no evidence of consolidation, soft tissue opaque nodules, or masses.
Pleural space: The pleural space is normal, without effusion.
Mediastinum: Apart from the previously described widening at the level of the aortic root, the mediastinum is normal in width and opacity. There is no evidence of tracheobronchial lymphadenopathy.
Trachea: The trachea is normal in diameter and course.
Esophagus: The region of the esophagus is unremarkable.
Cranial abdomen: The liver is mildly enlarged with rounded caudal margins which extend beyond the costal arch.
Musculoskeletal: Old moderate intervertebral disc space narrowing and spondylosis deformans of the mid thoracic spine. There are multiple cutaneous/subcutaneous nodules along the dorsum of the thorax and cranial abdomen. There is mild osteoarthritis of the right elbow.</t>
  </si>
  <si>
    <t>1. Enlargement at the level of the aortic root/cardiac waist.  Differential diagnoses include increased fat deposition, a mediastinal mass partially silhouetting with the heart, an aortic aneurism (rare), and aortic stenosis with post-stenotic dilation (less likely in the absence of a murmur). 
-A heart base mass is considered less likely given the normal position of the trachea.
-Differentials for a mediastinal mass include lymphoma and thymoma. 
2. Mineralization of the right cranial lung lobe small airways such as from chronic/ bronchitis or fibrosis/scarring from prior disease/age-related changes or other atypical etiology.  
There is no evidence of pulmonary metastasis or evidence of pulmonary edema on this examination.
3. Mild hepatomegaly due to vacuolar change/nodular hyperplasia, hepatitis/cholangiohepatitis, neoplasia (primary versus metastatic), or unlikely passive congestion.
4. Multiple cutaneous/subcutaneous nodules.
5.Mild right elbow osteoarthritis.</t>
  </si>
  <si>
    <t xml:space="preserve">There are no contraindications for general anesthesia. Echocardiography could be considered to further evaluate the heart base and cranial mediastinum. </t>
  </si>
  <si>
    <t>Lateral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WNL._x000D_
_x000D_
Visible spine is unremarkable without signs of disc herniation, aggressive bone lesions, vertebral fractures or subluxations. There is mild questionable SC swelling dorsal to the 2nd through 6th dorsal thoracic spinous processes.</t>
  </si>
  <si>
    <t>1) Unremarkable thorax and abdomen in this incomplete exam without VD views._x000D_
2) Rule out dorsal SC swelling (inflammatory/infectious) or mass (neoplasm).</t>
  </si>
  <si>
    <t>Consider VD views to have a complete exam evaluating the benefit of advanced imaging such as CT of the thorax.</t>
  </si>
  <si>
    <t>Seven orthogonal radiographs of thorax, abdomen and left thoracic limb dated 10th May 2024 are available for review. There are no previous radiographs available for comparison._x000D_
_x000D_
Thorax: _x000D_
Airway findings: The cervical and thoracic trachea have a normal size, outline and position. The carina, tracheal bifurcation and mainstem bronchi are normal. There is a minimal caudal dorsal bronchial opacification. A homogenous interstitial opacification is overlying, consistent with body habitus. The thorax is hypoinflated._x000D_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Abdomen: The hepatic silhouette is severely enlarged with rounded borders. The gastric axis is caudally displaced. Some gas and soft tissue material is present within. The small intestines are caudally displaced but are within normal limits for shape, size and contents. The ascending, transverse and descending colon have a normal position and contain gradually more formed faeces. The urinary bladder is small. The kidneys are partially obscured by gastrointestinal contents, but the visible aspect are normal. The head of the spleen is visible and is normal._x000D_
_x000D_
Musculoskeletal findings: The left shoulder is normal. The left elbow and carpus are normal. No abnormalities are seen in the extremities. There is moderate to severe swelling of the antebrachium down to the carpus. Cutaneous irregularity is present at the olecranon, consistent with a decubitus skin thickening.</t>
  </si>
  <si>
    <t>1. Normal thorax. A 3 view thoracic series is necessary for a metastasis check however no masses are seen._x000D_
2. Severe hepatomegaly: Considering history of mast cell tumour, metastasis needs to be excluded. Alternatively, metabolic (fat deposition, diabetes mellitus), infectious-inflammatory (hepatitis-viral-parasitic), or less likely hemodynamic (right heart failure) origins should be considered._x000D_
3. Diffuse left thoracic limb swelling: Differentials include oedema, haemorrhage, lymphangitis, cellulitis.</t>
  </si>
  <si>
    <t>A complete abdominal ultrasonographic examination is advised, with a view to FNA of abnormal organs, after complete blood work, and a normal coagulation panel._x000D_
Full bloodwork if not already respond performed. If a localised swelling develops at the left thoracic limb, consider musculoskeletal ultrasound with FNA.</t>
  </si>
  <si>
    <t>Four orthogonal thoracic radiographs dated 10th May 2024 are available for review. There are no previous radiographs available for comparison. _x000D_
_x000D_
Airway findings: The cervical and thoracic trachea have a normal size, outline and position. The diameter is slightly variable in between lateral images. The carina, tracheal bifurcation and mainstem bronchi are normal. In the caudal dorsal lung fields there is a moderate bronchointerstitial opacification._x000D_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No significant abnormalities are detected._x000D_
_x000D_
Included abdomen: No significant abnormalities are detected.</t>
  </si>
  <si>
    <t>Diffuse moderate bronchointerstitial pattern: . Allergic bronchitis, bacterial /viral bronchitis +/- parasitic bronchitis should also be considered. Less likely are hyperardenocorticism, neoplasia (such a lymphoma) or idiopathic pulmonary fibrosis.  Normal ageing/fibrosis from previous disease may contribute. Dynamic airway collapse should also be considered.</t>
  </si>
  <si>
    <t>Correlate with palpation testing for upper respiratory disease. Respiratory workup including CBC, serum chemistry, urinalysis, Baermann faecal testing, 4DX, +/- respiratory panel as indicated may be considered.  Alternatively, diagnostic /empirical therapy for lower airway disease, empirical deworming, and removal of allergens and environmental irritants (i.e. smoke, dust, perfumes, etc.) can be considered. _x000D_
Consider evaluation for airway collapse (fluoroscopy vs. right lateral inspiratory and expiratory radiographs vs. CT with virtual bronchoscopy).</t>
  </si>
  <si>
    <t>7 images of the abdomen, pelvis, and pelvic limbs are presented for review.  Serosal detail is adequate in all quadrants.  The stomach contains a moderate amount of gas.  The small intestines are normal in size.  Gas and feces are present in the colon.  The urinary bladder is small.  The remaining abdominal organs are normal.  Spinal alignment is normal with no consistently narrowed intervertebral disc spaces.  The coxofemoral joints are complete.  No fractures or aggressive osseous lesions are seen.  The joint surfaces are smooth and regular.  There is a mild increase in soft tissue in the left stifle joint when compared with the right.</t>
  </si>
  <si>
    <t>Radiographically normal abdomen, thoracolumbar spine, and pelvis.  Mild left stifle effusion suggestive of soft tissue injury such as to the cranial cruciate ligament or meniscus.</t>
  </si>
  <si>
    <t xml:space="preserve">
1.The stomach is normal. The small bowel is diffusely gas- and fluid-filled without segmental small bowel dilation._x000D_
2.Abdominal detail is normal._x000D_
3.Splenic size, shape and margin are normal._x000D_
4.The liver is mildly enlarged, and retains a smooth margin.</t>
  </si>
  <si>
    <t>Opposite lateral and ventrodorsal abdominal radiographs (3 images) dated May 10, 2024 and compared to a study from May 9, 2024._x000D_
_x000D_
_x000D_
The liver and spleen are normal in size and shape. The stomach contains a fair amount of heterogeneous soft-tissue content that primarily occupies the gastric body and pyloric antrum. The descending duodenum contains gas and unremarkable in diameter and course. The remaining small intestine is also unremarkable in diameter course with most segments containing a small amount of gas and some fluid, whereas others are collapsed/empty. The proximal colon, cecum, and proximal half of the descending duodenum is empty aside from a small volume of gas. The distal descending colon contains poorly formed stool=ZZ90= there formed than in the prior study. The included caudal thorax is unremarkable. There is evidence of dorsal thoracic continues emphysema in the current study._x000D_
No aggressive or clinically significant osseous pathology is identified.</t>
  </si>
  <si>
    <t>1. The appearance of the gastrointestinal tract is most compatible with enterocolitis. This study is negative for a small intestinal mechanical obstruction or SI radiopaque foreign material._x000D_
2. Heterogeneous gastric soft tissue content is of unknown clinical relevance and can represent normal ingesta vs. a mixture of ingesta and foreign material.</t>
  </si>
  <si>
    <t>Supportive care with fluid rehydration, antiemetics, gastroprotectants/omeprazole, antidiarrheal with probiotic, and bland diet.  General health profile (CBC, chemistry, UA, fecal) could be considered to screen for underlying causes. Focal gastric ultrasound to scrutinize the gastric content further could be considered. Repeat fasted abdominal radiographs (16 hrs NPO food and 4 hrs NPO water) or ultrasound is indicated if the patient fails medical management.</t>
  </si>
  <si>
    <t>Three radiographs of the thorax and three views of the abdomen are provided. The cardiac silhouette and pulmonary vessels are normal size and shape. A mild bronchial pattern is present. There are no interstitial infiltrates or soft tissue pulmonary nodules. Normal cranial mediastinal width and tracheal diameter. No esophageal dilation. The laryngeal region is unremarkable._x000D_
_x000D_
In the abdomen the gastrointestinal tract is mildly filled. No effusion is present. Normal-sized kidneys, spleen, liver. The urinary bladder is mildly filled and soft tissue opaque. Punctate mineral density overlies the L3-4 intervertebral foramen, of doubtful significance today. Both patellas are mildly medially displaced.</t>
  </si>
  <si>
    <t>1. Mild bronchial pattern it may be a normal age-related change versus allergic bronchitis. No other abnormalities are identified to explain the cough. Although no tracheal abnormalities are appreciated on this study, dynamic collapse remains possible. Otherwise normal thorax._x000D_
2. Normal abdomen._x000D_
3. Bilateral medial patellar luxation.</t>
  </si>
  <si>
    <t>This patient may benefit from treatment for allergic airway disease.</t>
  </si>
  <si>
    <t>Three radiographs of the thorax and three views of the abdomen are provided. Images dated 9/22/23 are available for comparison. The cardiac silhouette and pulmonary vessels are normal size and shape. There are no abnormalities in the pulmonary parenchyma. No pleural effusion or intrathoracic lymphadenomegaly. Adequate tracheal diameter. Normal cranial mediastinal width. The appearance of lucency adjacent to the left scapular acromion on the VD projection is due to superimposed fascial planes._x000D_
_x000D_
In the abdomen the liver, spleen, and kidneys are normal size. The splenic tail is nestled adjacent to the liver on the lateral views. The gastrointestinal tract is minimally filled and there is no effusion or radiopaque foreign material. Small round soft tissue density ventral to L5-6 on the right lateral view is end-on deep circumflex iliac vessels. No osseous abnormalities.</t>
  </si>
  <si>
    <t>Normal thorax and abdomen. A reason for gastrointestinal signs is not identified.</t>
  </si>
  <si>
    <t>Three radiographs of the thorax/abdomen are provided and compared to images dated January 10, 2023. There is complete collapse of the caudal cervical and entire thoracic trachea as well as mainstem bronchi on both lateral views. Severe narrowed remaining cervical trachea on the right lateral view. Cardiovascular structures are normal size. There are no abnormalities in the pulmonary parenchyma. No pleural effusion or intrathoracic lymphadenomegaly. The laryngeal region is unremarkable. Degenerative change in the cervical spine. Broad-based mixed soft tissue and mineral opaque 3.0 cm mass in the ventral left extrathoracic tissues consistent with the previously reported mammary mass. In the abdomen there is no effusion or organomegaly. Large volume soft tissue opaque ingesta in the stomach. No radiopaque urolithiasis. The uterus is not visible. Narrowed T12-13, T13-L1, L1-2, L3-4, L4-5 intervertebral disc spaces. Mineral density overlying the L4-5 intervertebral foramen. There is a smoothly marginated round 2.0 cm soft tissue opacity in the inguinal region. One of the patellas is likely medially displaced.</t>
  </si>
  <si>
    <t>1. Severe cervical and thoracic tracheal collapse, with concurrent mainstem bronchial collapse. The mainstem bronchial collapse is a new development. These changes are the cause for coughing. Inhaled irritants/allergens could be contributing._x000D_
2. Inguinal mass, consider lymphadenopathy or additional mammary lesion. This should be correlated with palpation and cytology. No intra-abdominal abnormalities._x000D_
3. Intervertebral disc disease and medial patellar luxation on one side, of doubtful significance today._x000D_
4. Progressive mammary mass, most likely malignant neoplasia. There is no pulmonary metastatic disease.</t>
  </si>
  <si>
    <t>Recommend symptomatic treatment for the cough, utilization of a body harness in place of a neck lead.</t>
  </si>
  <si>
    <t>Study:_x000D_
Thoracic/abdominal radiography: three images dated May 10,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minimal gas. The small intestines are normal in size, course and content. The colon contains formed fecal material. The liver and spleen are normal in size and margin. The kidneys are normal in size and contour. The urinary bladder is normal in size and opacity. The osseous structures are unremarkable.</t>
  </si>
  <si>
    <t>1. Unremarkable abdomen. There is no radiographic evidence of gastrointestinal foreign material or small intestinal mechanical obstruction. Abdominal sonography can be considered for further evaluation if clinical signs persist or worsen in spite of medical management._x000D_
2. Normal thorax. There is no radiographic evidence of cardiopulmonary disease. The lack of a bronchial pulmonary pattern does not exclude the possibility bronchitis secondary to an inhaled irritant.</t>
  </si>
  <si>
    <t>A three view study of the thorax that includes the cranial abdomen is provided for interpretation._x000D_
_x000D_
There is severe dynamic narrowing of the trachea. In the VD view there is a lobar shadow in the right cranial thorax, but no corresponding changes are seen in the lateral views so this is suspected to be artifactual. No definitive pulmonary infiltrates or bronchial thickening are identified._x000D_
There is mild enlargement of the heart overall, and a prominent bulge in the region of the left atrium._x000D_
_x000D_
The liver is mildly enlarged. There are a few loops of small intestine that appear mildly fluid dilated or possibly thickened. The other organs are unremarkable.</t>
  </si>
  <si>
    <t>The appearance of the trachea is consistent with chondromalacia and tracheal collapse as a primary explanation for the coughing. No evidence of pulmonary disease is seen._x000D_
_x000D_
There is mild to moderate left cardiomegaly, likely secondary to chronic mitral regurgitation. No changes concerning for heart failure are seen. Heart disease is not suspected to be contributing to the cough at this time._x000D_
_x000D_
There is mild hepatomegaly, compatible with many types of diffuse hepatopathy. Correlation with relevant labwork abnormalities and clinical signs is recommended._x000D_
Some bowel loops appear mildly fluid dilated or possibly thickened. This is likely a transient incidental finding if no GI signs are present. Ultrasound could be considered if there is concern for diarrhea, vomiting, or weight loss.</t>
  </si>
  <si>
    <t>Symptomatic therapy for the cough is recommended._x000D_
_x000D_
Echocardiography should be considered for more definitive evaluation of the cardiomegaly.</t>
  </si>
  <si>
    <t>A  pelvic extended vd and lateral image and 1 mediolateral image centered on the right stifle joint dated 9th May 2024 are available for review. There are no previous radiographs available for comparison. _x000D_
_x000D_
Pelvis: There is moderate spondylosis deformans at the lumbosacral junction. There is widening of both coxofemoral joint spaces with maximally 50% coverage of the femoral heads. The limbs are outward rotated and abducted. Dorsal to the greater trochanter of the presumed right femur (no laterality markers) there is dystrophic soft tissue mineralisation. There is mild osteophytic modelling of both femoral heads. _x000D_
_x000D_
Joints and long bones: There is moderate soft tissue attenuation of the right stifle joint space, causing infrapatellar fat pad compression and caudal fascial bulging. There is minor osteophyte formation of the proximal trochlear ridges. The position of the patella is normal in light of external rotation of the limbs._x000D_
_x000D_
Soft tissues: The caudal thigh musculature is symmetric.</t>
  </si>
  <si>
    <t>1. These findings are consistent with right stifle joint synovitis/arthritis most likely caused by a cranial cruciate partial or complete rupture. This may also be due to intermittent patellar luxation. Other intra-articular soft tissue pathology such as meniscal damage cannot be excluded._x000D_
2. Bilateral mild hip osteoarthritis and mild dysplasia. This is exacerbated by positioning.</t>
  </si>
  <si>
    <t>Three orthogonal radiographs of the abdomen dated 9th May 2024 are available for review. There are no previous radiographs available for comparison. _x000D_
_x000D_
Intra-abdominal findings: The stomach contains some gas and soft tissue opaque material. In the region of the fundus there is some foamy soft tissue opaque material. The descending colon is mildly fluid and gas dilated in the ventrodorsal image. The pylorus is not clearly patent in the left lateral image. To small intestines are mainly fluid/soft tissue opaque filled and are within upper normal limits for size. There have a mildly stacked appearance. The transverse and descending colon contain gas and semiformed faeces. The urinary bladder is small. The hepatic silhouette is large, consistent with young age. The serosal detail is reduced consistent with young age. The kidneys are partially obscured by gastrointestinal contents, but the visible aspect are normal. The spleen is normal._x000D_
_x000D_
Extra-abdominal findings: No significant abnormalities are detected._x000D_
_x000D_
Included thorax: The caudal vena cava is mildly tapering suggestive of some mild dehydration.</t>
  </si>
  <si>
    <t>1. The foamy soft tissue opaque material within the stomach may be indicative of a recent meal. Alternatively, dietary indiscretion, soft tissue foreign material may be present. In light of recent vomiting and time since last meal, retained foreign material is suspicious. The lack of gas in the pylorus on the left lateral image and mildly dilated duodenum raises suspicion of a partial outflow obstruction.</t>
  </si>
  <si>
    <t xml:space="preserve">
1.Portions of the colon are gas filled and have a rigid appearance._x000D_
2.No abnormal AI findings reported._x000D_
3.The liver and spleen are normal._x000D_
4.There is a focal loss of serosal detail in the cranial abdomen on the VD projection._x000D_
5.The pyloroduodenal is widened and the proximal duodenum contains a mild amount of air._x000D_
6.The gastric lumen contains a mild amount of soft tissue and gas opacity._x000D_
7.The gastric rugae are prominent._x000D_
8.The small bowel is diffusely fluid distended with a mild disparity in small bowel diameter.</t>
  </si>
  <si>
    <t>Sassy De La Rosa. Date of study: 05/1/24. Abdominal radiography (2 view, 6 images. 2 VD, 4 Lateral). No prior radiographs are available for comparison. 
Reproductive tract: The uterus is gravid containing six well-mineralized fetuses. There is no radiographic evidence fetal death. The fetal size relative to the pelvic inlet is within normal limits. 
Liver, spleen, kidneys and urinary bladder: The liver, spleen, kidneys and urinary bladder are not well visualized due to significant crowding secondary to late term pregnancy. 
Gastrointestinal: The stomach is empty with a minimal amount of gas present. On the left lateral projection, the pylorus is appropriately gas filled. The small and large intestines are displaced dorsomedially by the gravid uterine horns. The small intestine diffusely contains non-contiguous gas or is empty. The descending colon contains formed fecal material. There is no evidence of intestinal dilation or mechanical obstruction. 
Peritoneum: The serosal detail is decreased due to crowding.
Musculoskeletal: The mammary glands are enlarged and nipples prominent.</t>
  </si>
  <si>
    <t>1. Gravid uterus containing six radiographically viable fetuses. The degree of fetal mineralization is consistent with late stage gestation._x000D_
2. Otherwise unremarkable abdomen.</t>
  </si>
  <si>
    <t>Puppy count is six based on skull and spine formation. Careful monitoring for signs of parturition over next several days recommended.</t>
  </si>
  <si>
    <t xml:space="preserve">
1.The liver is enlarged._x000D_
2.There is a oval soft tissue opaque mass lesion noted within the mid abdomen._x000D_
3.The gastrointestinal tract is within normal limits._x000D_
4.IMPORTANT: This AI evaluation currently DOES NOT assess for the presence of fetal mummification and/or abnormal gas within or around the fetus (fetal viability) and/or fetal number._x000D_
5.Mineral dense material and distended viscus are present in the region of the uterine horns._x000D_
6.In cases of pregnancy, fetal mineralization indicates fetal age of &gt;45 days._x000D_
7.The spleen is mildly enlarged with a focal bulge in the splenic capsular margin._x000D_
8.Within the abdomen, there is reduced abdominal serosal detail.</t>
  </si>
  <si>
    <t>Opposite lateral, VD, and DV views of the abdomen are provided for interpretation._x000D_
_x000D_
A small quantity of foreign material is visible in the stomach. There are some curvilinear opacities compatible with foreign material such as rubber or plastic, and also an ovoid structure in the range of approximately 2 cm that has a thin visible rim of opacity with radiolucent internal content. The stomach is not dilated or malpositioned. In the first few images, there is one loop of small intestine in the left mid abdomen that is slightly gas dilated and contains a soft tissue opacity that is suspicious for a small quantity of foreign material. This is not visible in the last two images. No obstructive pattern is seen. Serosal detail is normal. The other organs are within normal limits.</t>
  </si>
  <si>
    <t>There is evidence of gastric foreign material. This could account for vomiting but would not necessarily explain the decreased appetite. There is also suspicion of a small quantity of intestinal foreign material in some of the images, but this is not persistent and all of the images provided. Intestinal foreign material without obstruction would still be a concern._x000D_
_x000D_
The other abdominal organs are unremarkable.</t>
  </si>
  <si>
    <t>Clinical significance of the suspected foreign material in the GI tract seen in this study relative to the two weeks of decreased appetite is unknown. There is no evidence of obstruction. There could be chronic GI foreign material without obstruction, or the foreign material seen in this study could have been eaten recently and the decreased appetite is due to other pathology such as more chronic gastroenteritis or systemic metabolic or infectious disease._x000D_
_x000D_
CBC and serum serum chemistry is recommended._x000D_
A barium upper GI study after the patient has been definitively fasted at least 18 hours should be considered to rule out chronic GI foreign material._x000D_
Ultrasound could be used to evaluate the intestines, but would be less reliable for gastric pathology.</t>
  </si>
  <si>
    <t xml:space="preserve">
1.The gastric rugae are prominent._x000D_
2.Liver size is normal to upper limits of normal. Liver margin is normal._x000D_
3.Splenic size, shape and margin are normal._x000D_
4.Cranial abdominal detail is decreased._x000D_
5.No dilation of the small intestine is seen.</t>
  </si>
  <si>
    <t>Ten radiographs are provided, with images of the thorax, abdomen, pelvis, stifles. The cardiac silhouette and pulmonary vessels are normal size and shape. There are no abnormalities in the pulmonary parenchyma. No pleural effusion. Small round soft tissue density in the right 3rd intercostal space on the VD projection is end-on pulmonary vessel. Adequate tracheal diameter._x000D_
_x000D_
In the abdomen there is no effusion. The kidneys, liver, and spleen are normal size and shape. Small to moderate volume soft tissue opaque ingesta in the stomach. Small intestines are mildly gas-filled. Small volume of formed feces in the colon. Several small mineral opaque fragments in the colon, of doubtful significance. No radiopaque urolithiasis. No lumbar spinal abnormalities. The coxofemoral joints are congruent. Pelvic limb musculature is adequate and symmetric. Patellar location is normal. There is scant fluid in the cranial aspect of both the stifle joints. No stifle degenerative change for popliteal lymphadenomegaly.</t>
  </si>
  <si>
    <t>1. Bilateral scant stifle effusion suggestive of partial cranial cruciate ligament tear. This is the most likely cause for the clinical signs. Non-mineralized intervertebral disc lesion is not definitively ruled out. The coxofemoral joints are normal._x000D_
2. Normal thorax and abdomen.</t>
  </si>
  <si>
    <t xml:space="preserve">
1.The stomach contains a small volume of gas and is displaced caudally by the hepatomegaly._x000D_
2.The small intestines are normal in size, course and content._x000D_
3.The spleen is normal in size and margin._x000D_
4.Abdominal detail is normal._x000D_
5.The liver extends moderately beyond the costal arch with a smooth margin._x000D_
6.The colon contains partially formed fecal material.</t>
  </si>
  <si>
    <t>Three orthogonal radiographs of the abdomen dated 9th May 2024 are available for review. There are no previous radiographs available for comparison. _x000D_
_x000D_
Intra-abdominal findings: The stomach is mainly empty. There is some soft tissue opaque material in the fundus and some gas in the pyloric region. The gastric axis is normal. A left lateral image to assess pyloric patency is not available. The small intestines are distributed evenly and are within normal limits for shape, size and contents. The ascending, transverse and descending colon have a normal position and contain gradually more formed faeces. The hepatic silhouette is normal in size with smooth borders. The spleen is normal in shape, size and position. The kidneys are partially obscured by gastrointestinal contents, but the visible aspect are normal. The urinary bladder is normal. The serosal detail is normal._x000D_
_x000D_
Extra-abdominal findings: No significant abnormalities are detected._x000D_
_x000D_
Included thorax: No significant abnormalities are detected.</t>
  </si>
  <si>
    <t>Relatively unremarkable abdomen. Her mild gastritis or pancreatitis should be considered. The soft tissue opaque material in the fundus is likely food material, however foreign soft tissue opaque material cannot be excluded. This needs to be correlated with time of last feeding.</t>
  </si>
  <si>
    <t>Observational/supportive management is advised. Repeat 3-view post fasting radiographs depending on clinical progression or consider an abdominal ultrasound. An upper GI contrast study may also be considered depending on clinical progression.</t>
  </si>
  <si>
    <t>Three orthogonal thoracic radiographs dated 9th May 2024 are available for review. There are no previous radiographs available for comparison. _x000D_
_x000D_
Airway findings: The dorsal trachea is narrowed from the mid cervical region to the bifurcation. This is dynamic. There is mild narrowing of the mainstem bronchi. There is a mild to moderate caudal dorsal bronchointerstitial opacification._x000D_
_x000D_
Cardiovascular findings: The cardiac silhouette is normal in shape, size and margination. The cranial and caudal pulmonary vasculature is normal. The caudal vena cava is normal. The aorta and mainstem pulmonary artery have a normal outline in the vd/dv l image._x000D_
_x000D_
Mediastinum and pleural space: No significant abnormalities are detected._x000D_
_x000D_
Musculoskeletal findings: No significant abnormalities are detected._x000D_
_x000D_
Included abdomen: No significant abnormalities are detected.</t>
  </si>
  <si>
    <t>1. The dorsal attenuation of the trachea is consistent with tracheomalacia, and/or redundant trachealis membrane. The extent of attenuation would be expected to cause coughing._x000D_
2. Diffuse moderate bronchointerstitial pattern: Primary consideration should be given to normal ageing/fibrosis from previous disease. Allergic bronchitis, chronic bacterial /viral bronchitis +/- parasitic bronchitis should also be considered. Less likely are hyperardenocorticism, neoplasia (such a lymphoma) or idiopathic pulmonary fibrosis.</t>
  </si>
  <si>
    <t>Consider evaluation for airway collapse (fluoroscopy vs. right lateral inspiratory and expiratory radiographs vs. CT with virtual bronchoscopy). Alternatively consider medical management. Consider surgical consultation depending on clinical progression._x000D_
Respiratory workup including CBC, serum chemistry, urinalysis, Baermann faecal testing, 4DX, +/- respiratory panel as indicated may be considered.  Alternatively, diagnostic /empirical therapy for lower airway disease, empirical deworming, and removal of allergens and environmental irritants (i.e. smoke, dust, perfumes, etc.) can be considered.</t>
  </si>
  <si>
    <t>8 images of the thorax and abdomen are presented for review.  The trachea is normal in diameter with no foreign body seen.  The laryngeal and pharyngeal structures are normal.  No esophageal dilation or foreign material is seen.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and the rugal folds are prominent.  The small intestines are normal in size.  Gas and feces are present in the colon.  The urinary bladder is small.  The remaining abdominal organs are normal.</t>
  </si>
  <si>
    <t>Radiographically normal thorax for patient of this age.  Unremarkable cervical region. _x000D_
 Prominent rugal folds suggestive of gastritis.  This does not rule out underlying pancreatitis or infiltrative neoplasia.</t>
  </si>
  <si>
    <t>Opposite lateral and VD views of the thorax and abdomen are provided. The studies compared to the previous radiographs dated 5-2021._x000D_
_x000D_
The cardiovascular structures are within normal limits. No pulmonary infiltrates or pleural effusion are seen. No abnormalities are identified involving the cervical spine or the soft tissues of the neck._x000D_
_x000D_
There is moderate to severe narrowing of disc spaces in the caudal thoracic spine from T11 to T13. T12-T13 is mildly narrowed. These changes were present in the previous radiographs. There is a punctate mineral opacity at the dorsal aspect of the L4-L5 disc space. The disc space does not appear narrowed. This was also present previously. The pelvis and hips are within normal limits. No destructive/productive bone lesions or soft tissue swelling are seen._x000D_
_x000D_
The liver is at the small end of acceptable size range, slightly smaller than expected for patient size. This was also present in the previous radiographs. The other abdominal organs are within normal size and shape limits. Some rugal folds in the fundus of the stomach appear swollen. The intestinal tract is unremarkable. No foreign bodies are identified. Serosal detail is normal.</t>
  </si>
  <si>
    <t>There is disc space narrowing in the thoracolumbar spine consistent with disc degeneration. This was present in previous radiographs three years ago, so relevance to the current clinical presentation cannot be definitively determined. Disc disease would still be a likely explanation for the clinical signs._x000D_
_x000D_
The small appearance of the liver is likely normal for this patient. Clinical relevance should be correlated with associated labwork abnormalities._x000D_
Gastritis is a possibility in this patient, prominent rugal folds can also be incidental._x000D_
_x000D_
No thoracic abnormalities are identified.</t>
  </si>
  <si>
    <t>Symptomatic therapy for intervertebral disc disease and possible gastritis is recommended.</t>
  </si>
  <si>
    <t>Nine radiographs are provided, with images of the thorax/abdomen, spine, pelvis, stifles. The cardiac silhouette and pulmonary vessels are normal size and shape. There are mild age-related changes in the lungs. No pleural effusion or soft tissue pulmonary nodules. Normal tracheal diameter. Narrowed C6-7 intervertebral disc space._x000D_
_x000D_
In the abdomen there is no effusion or organomegaly. A large volume of soft tissue opaque ingesta fills the stomach. Several punctate mineral densities in the stomach and intestines, likely incidental. Small volume of formed feces fills the colon. Normal-sized spleen, kidneys, liver. No radiopaque cystic calculi. No definitive narrowed thoracolumbar intervertebral disc spaces or foramina. There is no endplate lysis. The coxofemoral joints are congruent. Pelvic limb musculature is mildly reduced on the right side. Patellar location is normal. There is increased opacity in the cranial aspect of the right stifle joint. No definitive left stifle joint abnormalities. There is no stifle degenerative change or popliteal lymphadenomegaly.</t>
  </si>
  <si>
    <t>1. The appearance of C6-7 is most consistent with intervertebral disc disease. No other definitive spinal abnormalities. A non-mineralized thoracolumbar intervertebral disc lesion remains possible._x000D_
2. Probable right stifle effusion suggestive of partial cranial cruciate ligament tear. This should be correlated with stifle palpation. Normal left stifle and both coxofemoral joints._x000D_
3. Normal thorax and abdomen.</t>
  </si>
  <si>
    <t>Consultation with a neurologist should be considered, particularly if the patient does not improve with conservative treatment.</t>
  </si>
  <si>
    <t xml:space="preserve">
1.The stomach appears within normal limits. The small bowel contains a mild amount of gas. No obvious signs of obstruction._x000D_
2.No abnormal AI findings reported._x000D_
3.Serosal detail is adequate._x000D_
4.The liver is mildly enlarged with normal shape and smooth margins.</t>
  </si>
  <si>
    <t>Orthogonal views of the abdomen and pelvis are provided._x000D_
_x000D_
Rugal folds in the stomach are moderately prominent. No dilation of the stomach or intestine is seen. No foreign bodies are identified. Serosal detail in the abdomen is normal. The intestinal tract appears empty, including the colon. No mass effect is seen in the pelvic canal or sublumbar area. There is moderate lumbosacral spondylosis. The rest of the lumbar spine is unremarkable. The pelvis and hips are within normal limits.</t>
  </si>
  <si>
    <t>No significant abnormalities are identified involving the intestinal tract, including the colon and pelvic canal region. The appearance of the stomach is compatible with gastritis. Colitis could still be present without significant radiographic changes. Pancreatitis also cannot be excluded._x000D_
_x000D_
No foreign body or obstructive pattern is seen._x000D_
The lumbosacral spondylosis is likely incidental.</t>
  </si>
  <si>
    <t>Supportive care as needed and symptomatic therapy for gastroenteritis/pancreatitis and colitis is recommended.</t>
  </si>
  <si>
    <t xml:space="preserve">
1.The liver and spleen are within normal limits._x000D_
2.Slight decrease in abdominal detail._x000D_
3.The stomach is minimally distended with fluid and gas._x000D_
4.The small intestine is gas and fluid filled with regions of moderate distension._x000D_
5.No abnormal AI findings reported.</t>
  </si>
  <si>
    <t>Three radiographs of the thorax, and four views of the abdomen are provided. The cardiac silhouette and pulmonary vessels are normal size and shape. There are no abnormalities in the pulmonary parenchyma. No pleural effusion. Fat deposition is seen ventral to the heart on both lateral views. Hazy increased opacity caudal lateral to the cardiac apex on the VD projection is due to fat deposition. Adequate tracheal diameter._x000D_
_x000D_
In the abdomen there is small volume amorphous soft tissue density in the stomach. There are faint straight-edge contours overlying the mid stomach on the edge of the 1st right lateral projection, but not seen on the other views. Normal rugal folds are visible on the VD view. Small intestines are mildly gas-filled. Small-volume semi-formed feces in the colon. Normal-sized liver, kidneys, spleen. No radiopaque cystic calculi. Narrowed T12-13 intervertebral disc space, of doubtful significance today.</t>
  </si>
  <si>
    <t>Gastric contents may represent residual ingesta and/or treat material. Gastric foreign material is given lesser consideration in the absence of vomiting. Otherwise normal abdomen and thorax.</t>
  </si>
  <si>
    <t>Current diagnostics are appropriate. If there is concern regarding gastric foreign material based on patient=ZZ91=s clinical signs, repeat fasting abdominal radiographs +/- positive contrast gastrogram could be considered. Strictly fasting abdominal ultrasound is another option that would allow evaluation of the entire abdomen.</t>
  </si>
  <si>
    <t>Study:_x000D_
Thoracic/abdominal radiography: three images dated May 9, 2024_x000D_
_x000D_
Findings:_x000D_
The cardiac silhouette and pulmonary vasculature are normal in size. Innumerable small soft tissue opaque nodules are present throughout the pulmonary parenchyma. The pleural space is normal. There is no intrathoracic lymphadenopathy. The trachea is normal in diameter and course. A large ovoid soft tissue opaque mass occupies the majority of the right abdomen. On the lateral projections, there is impression of mild effusion ventral to the mass. The stomach contains a small volume of gas. The small intestines are displaced by the aforementioned mass but are normal in size and course. The colon is empty. The liver is normal in size and margin. The left kidney is enlarged with smooth margins. A right kidney is not visualized, consistent with the prior nephrectomy. The urinary bladder is normal in size and opacity. There is no prostatomegaly. There is mild L2-L3 spondylosis deformans</t>
  </si>
  <si>
    <t>1. Right abdominal mass. A splenic mass is suspected. Malignant neoplasia is prioritized given conclusion #2. A pedunculated liver origin is also possible. Recommend abdominal sonography or computed tomography of the abdomen for further evaluation._x000D_
2. Given the apparent intra-abdominal mass, the pulmonary nodules are most consistent with metastatic disease._x000D_
3. Suspect mild peritoneal effusion. A hemoabdomen is considered given the apparent intra-abdominal mass.</t>
  </si>
  <si>
    <t>Three radiographs of the abdomen are provided. There is no peritoneal or retroperitoneal effusion. Scant gas in the stomach. Small intestines are diffusely minimally distended with gas and small volume fluid. Small-volume semi-formed feces in the colon. There is no radiopaque foreign material or severe intestinal distention. Normal sized liver, spleen, and kidneys. Osseous structures are age-appropriate. Normal caudal thorax.</t>
  </si>
  <si>
    <t>Normal abdomen. The reason for vomiting is not identified. Gastroenteritis secondary to dietary indiscretion is most likely. There is no evidence of an obstructive process.</t>
  </si>
  <si>
    <t>Recommend supportive care. If the patient does not rapidly improve, options include either a strictly fasted abdominal ultrasound or an upper GI series.</t>
  </si>
  <si>
    <t>A three view study of the abdomen is provided. These images are compared to the previous study made 3-6-24 by Caring Hands Pet Clinic._x000D_
_x000D_
The destructive changes involving the L3 vertebra is seen in the previous study have progressed in the recheck interim. Remodeling is now visible involving the articular facets at the cranial and caudal aspect of this vertebra. There is mild periosteal production along the ventral aspect of the vertebra. There is also a less defined vague decrease in overall opacity of the L2 vertebra._x000D_
There is ill defined opacity in the caudal abdomen in the general area of the prostate. This is also more prominent than what was seen in the previous study. The other abdominal organs are within normal limits.</t>
  </si>
  <si>
    <t>There is ill defined opacity in the area of the prostate. Although discrete prostatomegaly or mass is not identified, neoplasia involving the bladder/urethra or prostate would be a top differential for primary neoplasia that could metastasize to the lumbar spine and cause the destructive bone changes seen._x000D_
There is likely spinal cord compression associated with the L2 and L3 changes that is responsible for the knuckling behavior.</t>
  </si>
  <si>
    <t>Ultrasound the abdomen is recommended to evaluate the prostate/bladder and the other organs for a potential primary neoplastic lesion that might account for the spinal pathology._x000D_
_x000D_
Neoplasia is most likely responsible for the lumbar spine changes, although osteomyelitis (especially fungal osteoarthritis) cannot be entirely excluded.</t>
  </si>
  <si>
    <t xml:space="preserve">
1.Serosal detail within the peritoneal space is normal._x000D_
2.The liver and spleen are normal in size and shape._x000D_
3.No abnormal AI findings reported._x000D_
4.The stomach contains a small volume of fluid opaque material and gas. The gastric rugae appear prominent._x000D_
5.The small bowel contains gas and fluid and is normal in diameter._x000D_
6.The colon contains scant fecal material and gas.</t>
  </si>
  <si>
    <t>Patient Name: Ben Taylor, Date of study: May 8, 2024. 11 images are provided for review (5 VDs and 6 Laterals) of the entire skeleton along with a cervical myelographic study. There are no previous radiographs for comparison. Thorax and abdomen evaluation has been requested. The ventral thorax is not included on the lateral projection. Radiographs were obtained under anesthesia. _x000D_
_x000D_
Thorax:_x000D_
Airway/pulmonary parenchyma: On the lateral projection, there is an increase in interstitial opacity in the perihilar and caudodorsal thorax and an air bronchogram is present cranial to the heart. On the VD projection, an alveolar infiltrate is present in the right cranial lung lobe and a bronchointerstitial pattern is present in the caudal lung lobes. Also on the VD projection, the right caudal lung tip has increased opacity resulting in poor visualization of the right caudal lung tip. _x000D_
_x000D_
Cardiovascular: Heart size and pulmonary vasculature are normal on the lateral projection with the exception of the left cranial lung lobe vein which appears small. On the VD projection, the cardiac silhouette appears slightly small and there is a soft tissue bulge in the region of the proximal descending aorta.  _x000D_
_x000D_
Mediastinum: Normal_x000D_
_x000D_
Pleural space: Normal_x000D_
_x000D_
ABDOMEN:_x000D_
Liver: Normal_x000D_
_x000D_
Spleen: On the VD projection, the splenic head appears normal. The spleen is not visualized on the lateral projection. _x000D_
_x000D_
Kidneys and urinary bladder: Only a portion of the kidneys are visible on the lateral projection with the visible portion appearing mildly irregular. The kidneys cannot be visualized on the VD projection. The urinary bladder is moderately distended. There is a wispy appearance overlying the caudal half of the urinary bladder and proximal urethral region resulting in poor visualization of the proximal urethra on the lateral projection. This wispy appearance appears to extend ventrally outside the peritoneal cavity on the lateral projection. The peritoneal wall in this region appears intact.  _x000D_
_x000D_
GI: The stomach contains minimal gas with an abnormal, mildly thickened appearance to the gastric wall. The small bowel is diffusely fluid filled. No segmental bowel dilation is noted. The colon contains a moderate quantity of desiccated feces. _x000D_
_x000D_
Abdominal detail: As mentioned above, caudal abdominal detail is decreased which may be secondary to intra-abdominal fluid/mesenteric inflammation vs. overlying skin artifact. There is also a wispy appearance overlying the retroperitoneal space on the lateral projection which could be secondary to fluid in the retroperitoneal space, overlying fluid in the abdomen or skin artifact. _x000D_
_x000D_
Msk: The dog is diffusely muscle wasted. The T13 pedicle has a sclerotic appearance compared to the adjacent vertebrae. Lucent lines are present in the T13 and L1 dorsal spinous processes. There is an atypical finding of open vertebral physes throughout the spine which should be closed in an 18-month old dog. The long bones have decreased medullary opacity and prominent cortical margins.</t>
  </si>
  <si>
    <t>1) Appearance to the T13 and L1 spinous processes is concerning for minimally displaced fractures. Pathologic fractures secondary to diffuse metabolic bone disease, i.e. renal secondary hyperparathyroidism (see #2), is a primary consideration. Fractures of these spinous processes could explain the clinical signs and can occur in dogs with underlying osteopenia. _x000D_
2) Appearance to the lungs, stomach, mildly irregular renal silhouette and bone density could all be secondary to azotemia, renal induced gastritis, vomiting and aspiration pneumonia. Decreased retroperitoneal. Rule out retroperitoneal fluid vs. overlying abdominal fluid. A component of pyelonephritis causing or contributing to the kyphosis is an additional consideration._x000D_
3) Thickened appearance to the gastric wall and suspected abdominal fluid. Rule out non-septic vs. septic peritonitis, potentially associated with gastric ulceration. No conclusive free abdominal air is noted.</t>
  </si>
  <si>
    <t>Cone down radiographs of the T-L spine to further assess the spinous processes and vertebrae. AFAST to assess for abdominal fluid with abdominocentesis for in-house cytology, if possible, to assess for intracellular bacteria and comparison of abdominal fluid glucose to blood glucose to assess for evidence of septic peritonitis. Full abdominal ultrasound should also be considered to further assess the stomach, kidneys and caudal abdomen. _x000D_
_x000D_
Bloodwork and urinalysis, particularly to assess for azotemia. Antibiotic therapy for potential aspiration pneumonia.</t>
  </si>
  <si>
    <t>Opposite lateral and VD views of the thorax and the caudal abdomen and pelvis are provided._x000D_
_x000D_
The productive bone lesion previously identified involving the right ileum appears smoother but not smaller. No new bone lesions are identified._x000D_
_x000D_
The mild bronchial pattern seen in the previous study appears slightly improved. Bronchial markings are still mildly increased, but within the limits of breed associated change. No new pulmonary or pleural abnormalities are seen. No thoracic lymphadenopathy is identified._x000D_
_x000D_
The abdominal organs are within normal size and shape limits. Abdominal detail is suboptimal overall, but within the limits of what might be expected based on the relatively thin body condition of the patient.</t>
  </si>
  <si>
    <t>The smoother appearance of the productive bone lesion is suggestive of early healing, but overall the improvement is less than what would be expected given six months of therapy. Effectiveness of the fluconazole is probably partial._x000D_
The pulmonary changes seen previously were mild but do appear slightly improved, the thorax is probably within normal limits for breed at this time._x000D_
_x000D_
No new abnormalities are identified.</t>
  </si>
  <si>
    <t>Considering the patient is doing clinically well, continuation of the current therapy is recommended.</t>
  </si>
  <si>
    <t>Six orthogonal survey radiographs of the thorax and abdomen dated 9th May 2024 are available for review. There are no previous radiographs available for comparison. _x000D_
_x000D_
Thorax: _x000D_
Airway findings: The trachea is mildly elevated in the thorax. The tracheal bifurcation is normal. The pulmonary lobes are reduced in volume, with rounded edges. The aerated lung lobes have an increased interstitial opacification._x000D_
_x000D_
Cardiovascular findings: There is partial border effacement of the cardiac silhouette. The pulmonary vessels which are visible are normal. The mainstem vessels are poorly visible._x000D_
_x000D_
Mediastinum and pleural space: There is extensive ventral and lateral fluid opacification, consistent with pleural effusion._x000D_
_x000D_
Abdomen: There is a very large central abdominal mass causing a mass effect on the GI system. The head of the spleen is visible. The tail of the spleen is not present. The hepatic silhouette is enlarged with slightly rounded borders. The stomach is mainly empty with a normal axis. The small intestines contain a mixture of gas and fluid/soft tissue opaque material. There are displaced to the right. The descending colon contains formed faeces. The urinary bladder is normal. The serosal detail is mildly reduced. There is mineralisation in the region of both kidneys. The left kidney is mildly irregular in outline. The right kidney is poorly visible._x000D_
_x000D_
Musculoskeletal findings: There is multisite intervertebral disc collapse with endplate sclerosis and ventral spondylosis deformans.</t>
  </si>
  <si>
    <t>1. Large abdominal mass: This is most likely splenic in origin. A haematoma, haemangioma, haemangiosarcoma should be considered or metastatic neoplasia._x000D_
2. The hepatomegaly could be due to metastatic disease. Alternatively, metabolic (fat deposition, diabetes mellitus), infectious-inflammatory (hepatitis-viral-parasitic), or hemodynamic (right heart failure) origins should be considered._x000D_
3. The mild loss of serosal detail may be due to intestinal crowding, however haemorrhage, or an inflammatory or paraneoplastic effusion should be considered._x000D_
3. Renolithiasis. Potential chronic kidney disease. Likely infarct at the left kidney._x000D_
4. Pleural effusion, likely paraneoplastic.</t>
  </si>
  <si>
    <t>A complete abdominal ultrasonographic examination and thoracic ultrasound with thoracocentesis (diagnostic, therapeutic) is advised, with a view to FNA of abnormal organs, after complete blood work, and a normal coagulation panel. Alternatively, an explorative laparotomy may be considered after appropriate stabilisation.</t>
  </si>
  <si>
    <t xml:space="preserve">
1.The liver is mildly enlarged but retains a smooth margin._x000D_
2.Abdominal detail is normal._x000D_
3.The GI tract is normal. No signs of obstruction._x000D_
4.Splenic size, shape and margin are normal.</t>
  </si>
  <si>
    <t>6 images of the thorax and left pes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Cranial abdominal detail is adequate.  The joint surfaces are smooth and regular.  Increased soft tissue surrounds the left fourth digit.  There is lysis of the distal phalanx of this digit.</t>
  </si>
  <si>
    <t>Radiographically normal thorax for patient of this age.  Left fourth digit distal phalangeal lysis with associated soft tissue swelling.  Consider neoplasia versus abscess/osteomyelitis.</t>
  </si>
  <si>
    <t>Finny Green. Date of study: 05/9/24. Thoracolumbar spine radiography (2 view, 3 images. 1 VD, 2 Lateral). No prior radiographs are available for comparison. The thoracic and lumbar spine is obliqued in all views which hinders evaluation. _x000D_
_x000D_
Spine: There is a narrowed appearance to the L3-4 through L5-6 intervertebral disc spaces on the VD projection. This finding is less convincing on the lateral projections however, obliquity does impact disc space assessment on the lateral views. No endplate or vertebral lysis is noted. No proliferative lesions identified. _x000D_
_x000D_
Soft tissues: The axial soft tissues appear normal, no evidence of soft tissue thickening or effusion adjacent to the region of concern.</t>
  </si>
  <si>
    <t>No conclusive evidence of spinal disease causing clinical signs. Rule out an abdominal cause for clinical signs.</t>
  </si>
  <si>
    <t>Further evaluation of the abdomen (submission of radiographs for abdominal radiograph evaluation and AFAST examination) as there is potential for mesenteric inflammation and/or scant abdominal fluid and some lucent regions adjacent to the diaphragm that are not within viscus. _x000D_
_x000D_
If no abdominal disease is identified causing clinical signs, referral to a neurologist for further evaluation. Separate from the abdominal pain, also rule out heartworm disease in this dog if heartworm status is unknown.</t>
  </si>
  <si>
    <t>Opposite lateral and VD views of the abdomen are provided._x000D_
_x000D_
The stomach is moderately distended with fluid and a small quantity of gas. In the left lateral view, there is subtle increased opacity in the area of the pylorus and proximal duodenum, but the appearance is subtle and potentially artifactual. In the VD view there is a small area at the left 11th intercostal space where speckled mineral opacity is seen. This could represent a small quantity of mineral dense content in the stomach but could also be due to superimposition artifact. No definitive foreign bodies/foreign material are seen. The intestinal tract appears empty and nondistended. No plication is seen. Serosal detail in the abdomen is normal. Minimal free gas secondary to the recent surgery is seen around the gastric fundus near midline in the VD view. The other organs are unremarkable._x000D_
There are multiple congenital hemivertebrae in the thoracic spine. The caudal thorax is unremarkable.</t>
  </si>
  <si>
    <t>There is moderate fluid dilation of the stomach, which is highly suspicious for gastric outflow obstruction. No foreign bodies or evidence of gastric malpositioning are seen. Radiolucent foreign material in the proximal duodenum still cannot be excluded.</t>
  </si>
  <si>
    <t>Assuming the clinical signs are acute, radiolucent foreign material obstructing the proximal duodenum should be ruled out with follow up imaging. Contrast gastrogram should be considered._x000D_
If suspicion of foreign material is minimal based on the recent ultrasound, conservative management for gastritis could still be considered with follow up radiographs in 24 hours._x000D_
_x000D_
If there is a potential history of chronic signs, pyloric hypertrophy would also be a consideration. Endoscopy is recommended if clinical signs do not resolve with short-term management.</t>
  </si>
  <si>
    <t>Lateral views of the thorax/neck and abdomen and a DV abdomen view are provided. There are three images total._x000D_
_x000D_
No abnormalities are identified involving the cervical spine or the soft tissues of the neck. The shoulders and scapulae are unremarkable. The cardiopulmonary structures are within normal limits._x000D_
_x000D_
In the lateral abdomen view, subtle reduced opacity is identified involving the dorsal half of the L6 vertebral body. No other spinal abnormalities are identified._x000D_
There is subtle rounded opacity in the area of the prostate that could represent slight prostatic enlargement, but this is a subtle radiographic change that could be artifactual. The other abdominal organs are within normal limits. No sublumbar abnormalities are seen.</t>
  </si>
  <si>
    <t>1) There is a focal area of lucency associated with the dorsal half of the L6 vertebral body. This is a subtle change, and artifactual causes cannot be excluded. An early destructive lesion also cannot be excluded, but if pain seems to be more cervical or thoracic this may be artifactual lesion._x000D_
_x000D_
2) There is suspicion of slight prostatic enlargement, but this is also a subtle change and artifactual causes cannot be excluded. Early prostatic neoplasia with bone metastasis to the spine remains a differential but these changes could still easily be incidental._x000D_
_x000D_
3) No significant anatomic abnormalities are identified involving the cervical or thoracic spine or surrounding soft tissues.</t>
  </si>
  <si>
    <t>The radiographic changes are fairly limited with regard to the clinical signs described._x000D_
Restricted activity and symptomatic therapy for possible injury or inflammation is recommended._x000D_
More advanced imaging such as MRI is recommended if clinical signs persist.</t>
  </si>
  <si>
    <t>Eight radiographs are provided, with images of the thorax, abdomen, pelvis, proximal pelvic limbs. Previous thorax/abdominal images dated 5/30/23 are available for comparison. The cardiac silhouette and pulmonary vessels are normal size. The appearance of the enlarged left atrium on the right lateral view is due to adjacent rib contour. There are no abnormalities in the pulmonary parenchyma. Normal tracheal diameter. Proximal thoracic limbs are unremarkable._x000D_
_x000D_
In the abdomen there is no effusion or organomegaly. The gastrointestinal tract is moderately filled. No radiopaque cystic calculi. Normal lumbar spine. The coxofemoral joints are congruent. Thigh musculature is approximately symmetric. One of the patellas is medially displaced (laterality marker not included on the VD pelvis view). Well delineated triangular soft tissue density in the cranial aspect of both stifle joint is normal meniscal/synovial tissue. No popliteal lymphadenomegaly.</t>
  </si>
  <si>
    <t>Medial patellar luxation, laterality uncertain. Otherwise normal proximal pelvic limbs. A reason for lameness is not identified. Soft tissue sprain/strain is suspected. The abdomen and thorax are normal.</t>
  </si>
  <si>
    <t xml:space="preserve">
1.The liver is mildly enlarged._x000D_
2.Abdominal detail is within normal limits._x000D_
3.Splenic size, shape and margin are normal._x000D_
4.The stomach is mildly gas and fluid filled with some soft tissue density material. The small bowel is gas and fluid-containing. No findings to indicate obstruction.</t>
  </si>
  <si>
    <t>7 images of the thorax and abdomen are provided for review and compared with the study dated 3/24/2023. The cardiovascular structures are normal. There is a persistent moderate bronchial pattern in all lung lobes. The pleural and mediastinal structures are normal. The trachea remains narrowed in the cervical region. Abdominal serosal detail is adequate. The stomach contains a moderate amount of ingesta. The small intestines are normal in size. Gas and feces are present in the colon. The kidneys are small with irregular margins. The remaining abdominal organs are normal.</t>
  </si>
  <si>
    <t>Persistent tracheal narrowing consistent with tracheal collapse. Unchanged bronchial pulmonary pattern consistent with chronic lower airway disease such as bronchitis. Chronic renal changes.</t>
  </si>
  <si>
    <t>Furosemide has anti-inflammatory effects as well as diuretic=ZZ90= consider an anti-inflammatory for treatment of presumptive bronchitis and tracheal collapse.</t>
  </si>
  <si>
    <t>Orthogonal views of the thorax and abdomen are provided:_x000D_
_x000D_
Thorax:_x000D_
_x000D_
Cardiac silhouette shows a moderate enlargement of the left atrium dorsally displacing the carina._x000D_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empty._x000D_
Small intestines are mildly gas and fluid filled, not overtly distended. No signs of mechanical ileus._x000D_
Serosal detail is preserved._x000D_
Liver extends beyond the costal arch with sharp margins._x000D_
Spleen is within normal limits of size and smoothly marginated._x000D_
Kidneys and urinary bladder WNL.</t>
  </si>
  <si>
    <t>1) Findings consistent with cervical tracheal collapse._x000D_
2) Left atrial enlargement secondary to chronic mitral endocardiosis without signs of CHF. Rule out tricuspid endocardiosis with pulmonary hypertension._x000D_
3) Hepatomegaly: Metabolic vs Vacuolar infiltration vs Hepatic nodular hyperplasia vs Inflammatory vs Toxic vs Neoplastic or a combination of these differentials</t>
  </si>
  <si>
    <t>Three radiographs of the abdomen are provided. There is no effusion. Small volume of gas and fluid are present in the stomach. Normal rugal folds are visible. Small intestines are minimally filled. There is gas in the cecum. Moderate volume of formed feces fills the colon. No radiopaque foreign material. Normal-sized liver, spleen, and kidneys. No urinary bladder or caudal thoracic abnormalities.</t>
  </si>
  <si>
    <t>Normal abdomen. Gastroenteritis/pancreatitis is most likely. There is no evidence of an obstructive process.</t>
  </si>
  <si>
    <t xml:space="preserve">
1.The small and large intestines are within normal limits for shape, size and margin._x000D_
2.Microhepatia is present on the lateral projection._x000D_
3.The gastric axis is shifted with the pylorus cranially positioned secondary to the microhepatia._x000D_
4.The spleen is normal._x000D_
5.Abdominal detail is normal. No abdominal fluid is identified.</t>
  </si>
  <si>
    <t>Study:_x000D_
Caudal thoracic/lumbosacral spinal and pelvic radiography (including the abdomen): three images dated May 19, 2024_x000D_
_x000D_
Findings:_x000D_
On the lateral projection, the L4-L5 through L6-L7 intervertebral disc spaces appear mildly narrowed. There is no evidence of discospondylitis. The coxofemoral joints are normal with good coverage of the femoral head by the acetabulum bilaterally. The patella is in the correct anatomic location bilaterally. The pelvic limb musculature is bilaterally symmetric. There is an ill-defined ovoid mineral opacity in the stomach. The small intestines are normal in size, course and content. The colon contains formed fecal material. The liver and spleen are normal in size and margin. The kidneys are normal in size and contour. The urinary bladder is normal in size and opacity. There is no prostatomegaly. The included thorax is normal.</t>
  </si>
  <si>
    <t>1. L4-L5, L5-L6 and L6-L7 intervertebral disc disease is suspected=ZZ90= however, the perceived intervertebral disc space narrowing at these locations could be artifact created by beam distortion. Neurology consultation and MRI can be considered for further evaluation if clinical signs persist or worsen in spite of strict activity restriction and pain management._x000D_
2. The mineral opacity in the stomach may indicate dietary indiscretion. Correlate with any gastrointestinal signs. Repeat radiography can be considered to monitor for persistence or passage of the structure if clinically relevant.</t>
  </si>
  <si>
    <t>Eight vertebral column radiographs and 2 orthogonal pelvic radiographs dated 9th May 2024 are available for review. There are no previous radiographs available for comparison. _x000D_
_x000D_
Vertebral column: The cervical, thoracic and lumbar vertebral column are normal. The intervertebral disc width is normal. There is mineralisation of the intervertebral disc spaces. The vertebral body alignment is normal._x000D_
_x000D_
Pelvis:  The iliosacral joints are symmetric. There is approximate 50% coverage of the femoral heads by the acetabuli. The coxofemoral joint space is widened. The limbs are abducted and externally rotated. Very faint and these are phytic remodelling is present at the right femoral neck. No abnormalities are noted at the stifles at the age of the included images.</t>
  </si>
  <si>
    <t>1. Suspect coxofemoral laxity with minimal degenerative modelling of the right side._x000D_
2. Normal vertebral column.</t>
  </si>
  <si>
    <t>This will need confirmation with adequately positioned extended vd pelvic images. Orthogonal stifle radiographs are also advised. Correlate with palpation testing under sedation or anaesthesia. Careful empirical management, including controlled exercise, non-steroidal anti-inflammatories, or multimodal analgesia, after normal blood work may be considered in the meantime.</t>
  </si>
  <si>
    <t xml:space="preserve">
1.The stomach is normal. The small bowel is diffusely gas- and fluid-filled without segmental small bowel dilation._x000D_
2.Mild irregularity of the splenic contour._x000D_
3.Abdominal detail is normal._x000D_
4.Liver size, shape and margin are normal.</t>
  </si>
  <si>
    <t>Three radiographs of the thorax, and a lateral view of the abdomen are provided. There is mild left atrial and ventricular enlargement. Pulmonary vessels are normal size. Mild bronchial pattern throughout the lungs is normal for the age of this patient. There is increased opacity with suspected air bronchograms in the cranioventral lungs on both sides. No pleural effusion. Severe narrowed cervical trachea on the left lateral view. Narrowed C5-6, C7-T1 intervertebral disc space. In the abdomen the liver is mildly enlarged. No effusion. The gastrointestinal tract is mildly filled. Several mineral opaque foci in the gastrointestinal tract, likely incidental. No radiopaque urolithiasis. Normal size spleen and kidneys. Narrowed L2-3 intervertebral disc space. Mineral density overlies the L1-2 and L2-3 intervertebral foramina.</t>
  </si>
  <si>
    <t>1. Bilateral cranioventral alveolar pattern most consistent with aspiration pneumonia._x000D_
2. Severe, dynamic cervical tracheal collapse._x000D_
3. Narrowed C5-6, C7-T1, L1-2, L2-3 are all suggestive of intervertebral disc disease._x000D_
4. Mild left-sided cardiomegaly consistent with acquired mitral valve disease. There is no pulmonary venous congestion or evidence of heart failure. This is of doubtful clinical significance today._x000D_
5. Mild hepatomegaly, a nonspecific finding may be steroid or other hepatopathy, acute inflammation, neoplasia. This should be correlated with history and blood work.</t>
  </si>
  <si>
    <t>Cranial nerve assessment and antibiotics are recommended. Abdominal ultrasound should be considered.</t>
  </si>
  <si>
    <t>Abdomen: There is mild diffuse hepatomegaly.  There are no abnormalities involving the visible portion of the spleen.  There are no abnormalities involving the gastrointestinal tract or urinary tract.  Serosal detail is normal.</t>
  </si>
  <si>
    <t>Diffuse hepatomegaly.  Differential considerations are numerous however primary differential considerations include a hepatopathy or possible hepatitis.</t>
  </si>
  <si>
    <t xml:space="preserve">
1.No abnormal AI findings reported._x000D_
2.The liver and spleen are normal in size._x000D_
3.Detail in the abdomen is adequate._x000D_
4.The stomach is distended with gas and heterogenous material, mostly likely representing food._x000D_
5.Small intestines are mildly filled with fluid and gas. No evidence of obstruction.</t>
  </si>
  <si>
    <t>12 images of the thorax, abdomen, pelvis, and pelvic limbs are presented for review.  The cardiovascular and pulmonary structures are normal.  The pleural and mediastinal structures are normal.  Abdominal serosal detail is adequate in all quadrants.  The stomach contains a moderate amount of ingesta.  The small intestines are normal in size.  Gas and feces are present in the colon.  The urinary bladder is moderately distended.  The prostate is at the upper limits of normal for size for an intact male.  The remaining abdominal organs are normal.  There is spondylosis deformans of the lumbosacral space.  Spinal alignment is normal with no consistently narrowed intervertebral disc spaces.  Coverage of the femoral heads by their acetabular rims is adequate.  Moderate soft tissue is present in the stifle joints bilaterally.  The joint surfaces are smooth and regular.  No fractures or aggressive osseous lesions are seen.</t>
  </si>
  <si>
    <t>Radiographically normal thorax and abdomen.  Degenerative change of the lumbosacral space.  Moderate bilateral stifle effusion suggestive of soft tissue injury such as to the cranial cruciate ligaments or menisci.</t>
  </si>
  <si>
    <t>Orthogonal views of the thorax and abdomen are provided:_x000D_
_x000D_
Thorax:_x000D_
_x000D_
The intrathoracic esophagus is generally gas distended._x000D_
Cardiac silhouette has a normal shape and size._x000D_
Pulmonary vessels are within normal limits of size and shape._x000D_
Pulmonary parenchyma is within normal limits. _x000D_
Pleural space, mediastinum, diaphragm and thoracic wall within normal limits._x000D_
_x000D_
Abdomen:_x000D_
_x000D_
The stomach is empty._x000D_
Small intestines are mildly gas and fluid filled, not overtly distended. _x000D_
Serosal detail is preserved._x000D_
Liver and spleen are within normal limits of size and smoothly marginated._x000D_
Kidneys and urinary bladder WNL.</t>
  </si>
  <si>
    <t>1) Unremarkable thorax other than the gas distended esophagus. Rule out secondary to regurgitation/reflux vs true mega esophagus (idiopathic vs myasthenia gravis vs hypothyroidism)_x000D_
2) Unremarkable abdomen.</t>
  </si>
  <si>
    <t>Consider abdominal US to further evaluate causes of vomition with +/- work up for megaesophagus.</t>
  </si>
  <si>
    <t>Four orthogonal radiographs of the abdomen dated 8th May 2024 are available for review. There are no previous radiographs available for comparison. The images are underexposed, limiting interpretation._x000D_
_x000D_
Intra-abdominal findings: The stomach is empty containing a little gas. The rugal folds are subjectively prominent. A left lateral image is not available to assess pyloric patency. The small intestines are mainly empty, containing some fluid/soft tissue opaque material and some gas. No segmental dilation is noted. No radiopaque foreign material is seen. The descending colon contains poorly formed faeces. The urinary bladder is small. The hepatic silhouette is normal in size with smooth borders. The spleen is normal in shape, size and position. The kidneys are partially obscured by gastrointestinal contents, but the visible aspect are normal. There is a diffuse loss of serosal detail._x000D_
_x000D_
Extra-abdominal findings: The patient is obese._x000D_
_x000D_
Included thorax: No significant abnormalities are detected.</t>
  </si>
  <si>
    <t>The loss of serosal detail is likely due to a mild inflammatory transudate secondary to gastroenteritis. A diffuse gastroenteritis of infectious-inflammatory origin, less likely due to dietary indiscretion considering chronicity is likely present. Pancreatitis cannot be excluded. Diffuse intestinal disease such as IBD cannot be excluded.</t>
  </si>
  <si>
    <t>Opposite lateral views of the abdomen are provided (incomplete study without a VD view):_x000D_
_x000D_
Abdomen:_x000D_
_x000D_
The stomach is empty._x000D_
Small intestines are poorly distinguished due to poor serosal detail/contrast with some small bowel loops showing mineral traces._x000D_
Serosal detail is preserved._x000D_
Liver and spleen are within normal limits of size and smoothly marginated._x000D_
Kidneys and urinary bladder are not distinguished._x000D_
_x000D_
In the LL view there is an alveolar pulmonary pattern in the right middle lung lobe.</t>
  </si>
  <si>
    <t>1) Small intestinal foreign material/particles can explain an enteritis episode._x000D_
2) Alveolar pulmonary pattern in the right middle lung lobe in the LL view consistent with aspiration pneumonia.</t>
  </si>
  <si>
    <t>Consider abdominal US to further evaluate causes of vomition and diarrhea other than the expected enteritis secondary to foreign material ingested and 3 viws of the thorax with empirical treatment for pneumonia with 48/72 hour follow up radiographs evaluating response to treatment.</t>
  </si>
  <si>
    <t xml:space="preserve">
1.The stomach contains gas and a small amount of fluid. Loops of small bowel are minimally gas and fluid filled._x000D_
2.Liver size, shape and margin are normal._x000D_
3.Splenic size, shape and margin are normal._x000D_
4.Abdominal detail is normal.</t>
  </si>
  <si>
    <t>Study:_x000D_
Abdominal radiography: three images dated May 8, 2024_x000D_
_x000D_
Findings:_x000D_
The cranial extent of the abdomen is not included on the VD view. The VD view is mislabeled. The stomach contains a small volume of gas and a small amount of stippled mineral. The pylorus is appropriately gas-filled on the left lateral image. There is a small amount of fragmented gas in some small intestinal segments in the midabdomen. The small intestines are normal in size. The colon contains formed fecal material with interspersed stippled mineral foci. The liver and spleen are normal in size and margin. The renal silhouettes are normal in size and contour. The urinary bladder is normal in size and opacity. The included thorax is normal. No skeletal abnormalities are present.</t>
  </si>
  <si>
    <t>A small amount of stippled mineral within the stomach and colon may indicate dietary indiscretion or may be an incidental finding depending on the contents of the patient=ZZ91=s normal diet and treats. The fragmented gas pattern seen in some small intestinal segments can be an indicator of nonspecific enteritis. There is no evidence of small intestinal mechanical obstruction.</t>
  </si>
  <si>
    <t>Three radiographs of the thorax and three views of the abdomen are provided. Images dated 11/6/21 were reviewed. There is severe generalized cardiomegaly. Subsequent dorsal deviation of the caudal thoracic trachea and mainstem bronchi. The left mainstem bronchus is compressed. Cranial pulmonary vein is enlarged on the left lateral view. There is a severe interstitial pattern in the perihilar region, worse on the right. No pleural effusion. Tracheal diameter is adequate. Small volume fluid in the caudal esophagus is transient and incidental. Broad-based 5.7 x 2.1 cm lipomatous mass ventral to the caudal sternum was present previously, and causes the curved increased opacity to the right of the heart on the VD abdominal view._x000D_
_x000D_
Within the abdomen serosal detail is adequate. There is moderate volume gas in the stomach. Variably sized thin-walled round lucency measuring up to 2.5 cm overlying the dorsal stomach is likely incidental gas bubble. Intestines are minimally filled. No radiopaque foreign material. The urinary bladder is minimally filled and soft tissue opaque. Normal-sized kidneys. Narrowed L1-2 intervertebral disc space, of doubtful significance today.</t>
  </si>
  <si>
    <t>1. Severe generalized cardiomegaly consistent with progressive cardiac disease. In this breed, this may be due to dilated cardiomyopathy or acquired valvular disease. There is pulmonary venous congestion and pulmonary edema indicating left-sided heart failure. There is also mainstem bronchial compression._x000D_
2. Normal abdomen. The reason for her vomiting is not identified.</t>
  </si>
  <si>
    <t>A CBC, blood chemistry profile, diuretic administration, and echocardiogram are recommended. Abdominal ultrasound should also be considered but is given secondary priority to an echocardiogram.</t>
  </si>
  <si>
    <t xml:space="preserve">
1.Splenic size, shape and margin are normal._x000D_
2.Liver size is normal and retains a smooth margin._x000D_
3.Abdominal detail is normal._x000D_
4.A portion of the colon is gas filled and rigid._x000D_
5.The stomach contains a small amount of air and either has prominent gastric rugae or contains a small amount of soft tissue material._x000D_
6.The small intestinal tract contains normal volumes of fluid, gas and ingesta.</t>
  </si>
  <si>
    <t>Nine radiographs are provided, with images of the thorax, abdomen, and stifles. Cardiac silhouette is normal size with no chamber enlargement. Pulmonary vessels are normal size. Mild unstructured interstitial pattern is normal for the age of this patient. Small round soft tissue densities cranial to the heart are caused by end-on pulmonary vessels. No pleural effusion. Adequate tracheal diameter. Normal cervicothoracic spine and proximal thoracic limbs._x000D_
_x000D_
In the abdomen, the stomach contains a large amount of soft tissue opaque ingesta. The intestines are minimally filled. Normal-sized liver, spleen. The kidneys are obscured by bowel loops. No radiopaque cystic or urethral calculi. Punctate mineral density overlies the L1-2 and L3-4 intervertebral foramina, narrowed L2-3 and L3-4 intervertebral disc spaces. The coxofemoral joints are congruent. Patellar location is normal. Mild hazy appearance to the cranial aspect of the right stifle joint. No left stifle joint abnormalities. There is no stifle degenerative change or popliteal lymphadenomegaly.</t>
  </si>
  <si>
    <t>1. The appearance of L1-2, L2-3, and L3-4 are all suggestive of intervertebral disc disease. This may be responsible for  discomfort._x000D_
2. Possible mild right stifle effusion suggestive of partial cranial cruciate ligament tear. Normal left stifle and both coxofemoral joints._x000D_
3. Normal thorax and abdomen.</t>
  </si>
  <si>
    <t>Recommend palpate for stifle instability. If no significant abnormalities are present, this patient may benefit from anti-inflammatories and strict rest.</t>
  </si>
  <si>
    <t>Opposite lateral and VD views of the thorax and abdomen are provided._x000D_
_x000D_
There is a moderate diffuse interstitial pulmonary pattern. There is mild bronchial wall mineralization. No alveolar infiltrates or pleural effusion are seen. The cardiovascular structures are within normal limits. No tracheal or laryngeal abnormalities are identified._x000D_
_x000D_
The liver is mildly enlarged, with normal shape and smooth margins. The other abdominal organs are within normal limits. No abnormalities are seen involving the GI tract._x000D_
_x000D_
The patient has overweight body condition. No skeletal abnormalities are seen.</t>
  </si>
  <si>
    <t>There is an interstitial pulmonary pattern compatible with pneumonitis or fibrosis._x000D_
If coughing is present, inflammatory lung disease such as viral or allergic pneumonitis would be most likely. If there is difficulty breathing with no cough, idiopathic pulmonary fibrosis or secondary fibrosis from chronic allergic lung disease or heartworm disease should be ruled out._x000D_
_x000D_
The liver is enlarged. Lymphoma should also be ruled out as a possible cause of hepatomegaly and pulmonary interstitial infiltrates. Hepatitis or endocrine associated hepatopathies should also be ruled out._x000D_
_x000D_
Considering the relatively acute history, upper airway pathology such as laryngeal paralysis should also be ruled out.</t>
  </si>
  <si>
    <t>CBC, heartworm test, and serum chemistry is recommended.</t>
  </si>
  <si>
    <t>Three radiographs of the thorax and three views of the abdomen are provided. Images dated 10/4/23 and earlier are available for comparison. Cardiovascular structures are normal size and shape. There are no abnormalities in the pulmonary parenchyma. No pleural effusion. The plane of the esophagus is unremarkable. Normal tracheal diameter and position. Osseous structures are normal._x000D_
_x000D_
In the abdomen the stomach contains a moderate amount of granular soft tissue opaque ingesta. Small intestines are mildly filled with similar granular soft tissue density. The colon is filled with formed feces. There are several metal opaque wire fragments measuring up to 1.9 cm in the stomach and intestines. No effusion is present. The liver, spleen, and kidneys are normal size and shape. No radiopaque urolithiasis. Normal coxofemoral joints.</t>
  </si>
  <si>
    <t>1. Several wire gastrointestinal foreign objects, of a size that should be able to pass successfully. Otherwise normal postprandial abdomen._x000D_
2. Normal thorax.</t>
  </si>
  <si>
    <t>Recommend visual inspection of the oral cavity for burns, and close monitoring for development of respiratory signs over the next 24 hours, as noncardiogenic pulmonary edema could develop secondary to electrocution.</t>
  </si>
  <si>
    <t>Study:_x000D_
Abdominal radiography: three images dated May 8, 2024_x000D_
_x000D_
Findings:_x000D_
The stomach contains a small volume of gas. The thickness of the gastric wall is considered within normal limits for the degree of gastric distention. The small intestines are normal in size, course and content. The colon contains a small amount of poorly formed fecal material. The liver is normal in size and margin. The spleen is mildly enlarged with smooth margins. The renal silhouettes are normal in size and contour. The urinary bladder is normal in size and opacity. The included thorax is normal. No skeletal abnormalities are present.</t>
  </si>
  <si>
    <t>1.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2. The generalized splenomegaly is nonspecific. Rule out extramedullary hematopoiesis, lymphoid hyperplasia, splenitis, congestion (high-priority if sedated for radiographs) or infiltrative neoplasia. Sonography can be considered for further evaluation.</t>
  </si>
  <si>
    <t>Three radiographs of the thorax, and three views of the abdomen are provided. The cardiac silhouette is normal size and shape. Pulmonary vessels are normal size. There is increased opacity overlying the mid and ventral heart on the right lateral view, with hazy increased opacity to the left of the heart on the VD projection. No pleural effusion. Adequate tracheal diameter. No esophageal dilation._x000D_
_x000D_
In the abdomen there is no effusion. The liver is prominent with smooth margins. Normal-sized spleen. The kidneys are obscured. The stomach and small bowel are minimally filled. Formed feces fills the distal colon. No radiopaque cystic calculi.</t>
  </si>
  <si>
    <t>1. Hazy ventral left lungs, concerning for aspiration pneumonia. Atelectasis could also cause this appearance. No other thoracic abnormalities._x000D_
2. Mild hepatomegaly, a nonspecific finding that may be steroid or other hepatopathy, acute inflammation, or neoplasia. This should be correlated with history and blood work. No other abdominal abnormalities.</t>
  </si>
  <si>
    <t>Recommend a CBC, blood chemistry profile, cranial nerve assessment, and visual inspection of the pharyngeal/laryngeal region.</t>
  </si>
  <si>
    <t xml:space="preserve">
1.The small bowel is diffusely gas- and fluid-filled but without segmental bowel dilation._x000D_
2.No intestinal plication is seen._x000D_
3.The liver is normal._x000D_
4.A minimal quantity of soft tissue dense ingesta is visible in the stomach and there is mild prominence to the gastric rugae._x000D_
5.On the VD projection, an increase in soft tissue opacity is noted in the left lateral abdomen. This is attributed to superimposition of the spleen and left kidney. The spleen appears normal on the lateral projection making splenomegaly a secondary consideration._x000D_
6.Serosal detail in the cranial abdomen is mildly decreased on the lateral projection.</t>
  </si>
  <si>
    <t>Study:_x000D_
Abdominal radiography: three images dated May 8, 2024_x000D_
_x000D_
Findings:_x000D_
The stomach contains a small volume of gas with the pylorus appropriately gas-filled on the left lateral image. The small intestines are normal in size, course and content. The colon contains a small volume of gas. The liver and spleen are normal in size and margin. The kidneys are normal in size and contour. The urinary bladder is normal in size and opacity. There is no prostatomegaly. The included thorax is normal. No skeletal abnormalities are present.</t>
  </si>
  <si>
    <t>Orthogonal views of the thorax and abdomen are provided, which include the proximal forelimbs. There are seven images total._x000D_
_x000D_
There is a moderately well-defined ovoid soft-tissue mass in the mid-ventral abdomen just call to the liver, in the range of approximately 7 cm. The mass appears right side in the VD view, and appears in this view as if it may be contiguous with the liver. This is less convincing in the lateral views. The other abdominal organs are within normal limits. Abdominal serosal detail is normal._x000D_
_x000D_
The cardiovascular structures are within normal limits. No pulmonary infiltrates or pleural effusion are identified. No pulmonary nodules are seen._x000D_
_x000D_
No soft tissue swelling or destructive/productive bone lesions identified. No abnormalities are seen involving the shoulders or scapulae.</t>
  </si>
  <si>
    <t>There is a mass in the abdomen, concerning for a tumor involving the liver or spleen. Relevance of this finding to the presenting complaint of left side discomfort is unknown._x000D_
_x000D_
No thoracic abnormalities identified._x000D_
No musculoskeletal abnormalities identified.</t>
  </si>
  <si>
    <t>Ultrasound the abdomen is recommended to determine the origin and significance of the abdominal mass.</t>
  </si>
  <si>
    <t>Opposite lateral and ventrodorsal thoracic and abdominal radiographs (6 images) dated May 8, 2024._x000D_
_x000D_
The cardiac silhouette is normal in size and shape. The pulmonary vasculature and great vessels are within normal limits. The lungs are hypoinflated with no pulmonary nodules, masses, or other pathology detected. The trachea at the level of the thoracic inlet has a mild variation in diameter between lateral views. The horizontal soft-tissue band superimposed with the dorsal lumen of the thoracic inlet trachea is most compatible with a superimposed esophagus or redundant dorsal tracheal membrane. No intrathoracic lymphadenopathy is evident. The pleural space, mediastinum, and diaphragm are normal._x000D_
_x000D_
The liver is significantly enlarged, and there is a crescent-shaped mineral opacity superimposed with the liver on the right lateral view that likely represents gallbladder mineral sediment. Both kidneys are normal in size and shape. The spleen is unremarkable. The urinary bladder is mildly distended with homogeneous fluid opacity. The stomach contains a moderate amount of gas and a mild amount of soft-tissue/fluid content. The proximal duodenum is not well delineated. There are multiple small intestinal segments that are empty/collapsed. There are a few small intestinal segments in the caudal abdomen that are dilated with soft-tissue content and a variable amount of irregular shaped and variably sized, sharply demarcated mineral material. The descending colon represents 1 of these bowel segments that contains the mineral material. The proximal colon cannot be clearly traced as it appears mostly empty/collapsed. Therefore, the remaining caudal intestinal segments with this material are difficult to differentiate between small bowel and colon, although the number bowel segments supersedes the length of colon, making segmental small intestinal dilation from this material most likely. Retroperitoneal and peritoneal detail are normal. No regional lymphadenopathy is evident._x000D_
_x000D_
One or both stifles are suspected to have mild periarticular bony remodeling affecting them, particularly the patellae. No aggressive osseous lesions are identified.</t>
  </si>
  <si>
    <t>1. Some of the dilated bowel segments in the caudal abdomen containing a soft tissue and jagged mineral content most likely represents small intestine. One of the segments represents the descending colon=ZZ90= unfortunately the entire colon cannot be traced, but the number of dilated segments strongly suggests small intestinal segmental dilation that most often represents a mechanical obstruction. A segmental functional ileus with that material is unlikely._x000D_
2. Severe hepatomegaly. Rule out a benign metabolic/vacuolar hepatopathy vs. less likely infiltrative neoplasia._x000D_
3. Cholelithiasis/GB mineral sediment. _x000D_
4. Bilateral stifle degenerative changes likely represent medial patellar luxation._x000D_
5. No abnormalities detected in the thorax.</t>
  </si>
  <si>
    <t>There are enough imaging findings to warrant exploratory laparotomy. Abdominal ultrasound could be performed prior to surgery if expediently available. Concurrent liver biopsy could be performed given the hepatomegaly.</t>
  </si>
  <si>
    <t>3 views of the torso are submitted for review.  The cardiac silhouette is subjectively normal in size and shape.  The pulmonary vasculature is not enlarged.  Mild bronchointerstitial markings are noted in the lung fields.  No pleural effusion or intrathoracic lymphadenopathy is noted.  The sternum is deformed and markedly dorsally deviated at the caudal aspect._x000D_
In the abdomen, the liver is moderately enlarged with rounded serosal margins.  The spleen is subjectively normal in size and shape.  The unobscured margins of the renal silhouettes are within normal limits.  The urinary bladder is minimally distended.  The stomach contains a mild amount of gas and ingesta.  The small bowel also contains a mild amount of ingesta without dilation or plication.  Formed stool is noted in the colon.  Serosal detail is adequate._x000D_
Severe degenerative joint disease is noted in the left hip.  The right coxofemoral joint is unremarkable._x000D_
Multifocal intervertebral disc disease is noted in the caudal thoracic and cranial lumbar spine.</t>
  </si>
  <si>
    <t>No evidence of pulmonary metastatic disease is noted in the lung fields.  The appearance of the sternum is consistent with chronic degenerative change or possibly previous trauma._x000D_
Moderate hepatomegaly.  Differentials include vacuolar hepatopathy, inflammation, or neoplasia._x000D_
Chronic thoracolumbar intervertebral disc disease and severe degenerative joint disease in the left hip.</t>
  </si>
  <si>
    <t>An abdominal ultrasound could be considered for further evaluation of the liver if there is sufficient clinical concern.</t>
  </si>
  <si>
    <t xml:space="preserve">
1.Cranial abdominal detail is mildly decreased on the VD projection. This is attributed to the increase in soft tissue opacity in the cranial abdomen._x000D_
2.Formed feces in the distal colon._x000D_
3.The stomach and small bowel are minimally filled._x000D_
4.On the lateral projection, the liver is mildly to moderately enlarged with rounded margins. The ventral abdominal line is pendulous._x000D_
5.On the VD projection, an increase in soft tissue opacity is noted in the region of the spleen and left kidney. DDx: superimposition of the spleen and left kidney vs. less likely, splenic mass or other mass in this region.</t>
  </si>
  <si>
    <t>Seven radiographs of the thorax and abdomen are provided. Images dated 5/1/23 are available for comparison. The cardiac silhouette and pulmonary vessels are normal size and shape. There are no pulmonary parenchymal abnormalities on the right lateral or VD views. The lungs appear more opaque on the left lateral due to expiration. There is no pleural effusion. Normal tracheal diameter. Narrowed caudal cervical intervertebral disc spaces. In the abdomen the liver is upper normal size. Normal-sized spleen. The kidneys are obscured by bowel loops. The gastrointestinal tract is moderately filled. No radiopaque cystic calculi. The prostate is not definitively seen. Narrowed L1-2, L3-4, L4-5 intervertebral disc spaces, of doubtful significance today. The left patella is medially displaced.</t>
  </si>
  <si>
    <t>1. Normal abdomen. There is no evidence of radiopaque urolithiasis. Cystitis is most likely. Prostatitis is not ruled out._x000D_
2. Normal thorax.</t>
  </si>
  <si>
    <t>Urinalysis with culture should be considered. If further evaluation of the urinary tract is desired, ultrasound would be recommended.</t>
  </si>
  <si>
    <t xml:space="preserve">
1.Abdominal detail is within normal limits._x000D_
2.The stomach is mildly gas and fluid filled with some soft tissue density material. The small bowel is gas and fluid-containing. No findings to indicate obstruction._x000D_
3.Splenic size, shape and margin are normal._x000D_
4.The liver is mildly enlarged.</t>
  </si>
  <si>
    <t xml:space="preserve">Patient Name : Taco Jimenez, Date of study: May 8, 2024
2 images are provided for review
Canine Thorax (2 Images) - 1 Vd, 1 Lateral
There are no previous radiographs for comparison.
Pulmonary parenchyma: A minimal diffuse bronchial pattern is present.  The lungs are minimal to mildly hypoinflated.
Pulmonary vasculature: The pulmonary vasculature is subjectively normal in size and tapers in the periphery of the lungs.
Cardiac silhouette: The cardiac silhouette is normal in size and shape in the ventrodorsal image.  In the lateral image, the cardiac silhouette is subjectively tall with dorsal tracheal displacement.
Mediastinum: The cranial mediastinum is normal.
Trachea: The trachea is normal.
Esophagus: The esophagus is not well-identified.
Pleural space: The pleural space is normal.
Musculoskeletal: The included musculoskeletal structures are normal.
</t>
  </si>
  <si>
    <t>1. Equivocal left-sided cardiomegaly versus artifact from patient positioning/phase of the cardiopulmonary cycle.
- If present, evolving myxomatous valvular disease versus other are considered.
- There is no current evidence of left-sided congestive heart failure.  
2. Minimal diffuse bronchial pattern.  
- Differential diagnoses include age-related changes, fibrosis from prior disease, or unlikely chronic lower airway disease such as from infectious/immune-mediated disease.</t>
  </si>
  <si>
    <t xml:space="preserve">Consider echocardiography, ECG and blood pressure for further evaluation of the cardiac silhouette, especially given reported signs.  Consider routine blood work and abdominal imaging to screen for occult etiology of weight loss.  Empirical therapy and supportive care in the interim as needed.  </t>
  </si>
  <si>
    <t>Study:_x000D_
Pelvic and pelvic limb radiography: five images dated May 8, 2024_x000D_
The study also includes a CC view of the thoracic limbs and right a lateral projection of the abdomen._x000D_
_x000D_
Findings:_x000D_
The included spine is unremarkable with no intervertebral disc space or foraminal narrowing. There is adequate coverage of the femoral head by the acetabulum bilaterally. The patella is in the correct anatomic location bilaterally. There is a mild to moderate increase in soft tissue opacity within the cranial aspect of the right stifle joint space. The degree of soft tissue opacity within the left stifle joint space appears within normal limits. The left tarsus and pes are unremarkable. There is a moderate decrease and right pelvic limb muscle mass in comparison to the contralateral limb. There is an angular limb deformity of the left antebrachium characterized by lateral bowing of the radius and ulna. There is moderate to severe radiocarpal joint degenerative change._x000D_
_x000D_
The stomach in some small intestinal segments contain unstructured heterogeneous/granular soft tissue material presumed to be ingesta. The small intestines are normal in size and course. The colon contains formed fecal material. The liver and spleen are normal in size and margin. The kidneys are normal in size and contour. The urinary bladder is normal in size and opacity. The included thorax is unremarkable.</t>
  </si>
  <si>
    <t>1. Right stifle joint effusion/capsular thickening suggestive of cranial cruciate plus/minus meniscal injury. Orthopedic consultation plus/minus surgical stabilization can be considered._x000D_
2. Left antebrachial angular limb deformity with moderate to severe radiocarpal joint osteoarthrosis, possibly second to premature closure of the distal radial plus/minus ulnar physes._x000D_
3. Unremarkable abdomen.</t>
  </si>
  <si>
    <t xml:space="preserve">
1.The liver is at the upper limits of normal for size to mildly enlarged but a liver mass is not identified._x000D_
2.The stomach is moderately distended with soft tissue/fluid and gas._x000D_
3.The small bowel is diffusely fluid filled but without segmental small bowel dilation._x000D_
4.Splenic size, shape and margin are normal._x000D_
5.Abdominal detail is normal to slightly decreased.</t>
  </si>
  <si>
    <t>3 views of the torso are submitted for review._x000D_
There is wispy soft tissue opacity and decreased serosal detail throughout the abdomen.  The spleen is partially obscured but appears mildly prominent and somewhat lobulated.  The liver is normal in size and shape.  The unobscured margins of the renal silhouettes and urinary bladder are normal.  The GI tract is unremarkable._x000D_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No significant osseous abnormalities are seen.</t>
  </si>
  <si>
    <t>Moderate peritoneal effusion and suspected splenomegaly.  Malignant neoplasia associated with the spleen as with hemangiosarcoma and hemoabdomen is considered most likely.</t>
  </si>
  <si>
    <t>To lateral views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stomach contains a moderate amount of gas.  The small intestines are normal in size.  Gas is present in the colon.  The urinary bladder is small.  The remaining abdominal organs are normal.  There is narrowing of the intervertebral disc space and spondylosis deformans at L2-3.</t>
  </si>
  <si>
    <t>Radiographically normal abdomen.  This does not rule out pancreatitis or infiltrative neoplasia.  Radiographically normal thorax for patient of this age.  Lumbar changes consistent with chronic intervertebral disc herniation.</t>
  </si>
  <si>
    <t>Study:_x000D_
Thoracic and abdominal radiography: four images dated May 7, 2024_x000D_
_x000D_
Findings:_x000D_
The cardiac silhouette and pulmonary vasculature are normal in size. There is a mild diffuse bronchointerstitial pulmonary pattern. No pulmonary nodules or masses are present. The pleural space is normal. There is no intrathoracic lymphadenopathy. The trachea is normal in diameter and course. The stomach contains unstructured heterogeneous soft tissue material presumed to be ingesta. The small intestines are normal in size, course and content. The colon contains formed fecal material. The liver extends mildly beyond the costal arch with smooth margins. The spleen is normal in size and margin. The kidneys are normal in size and contour. The urinary bladder is normal in size and opacity. There is no uterine dilation. The L7 vertebra is transitional.</t>
  </si>
  <si>
    <t>1. The generalized hepatomegaly is nonspecific. Rule out metabolic/vacuolar hepatopathy, hyperplasia, hepatitis or infiltrative neoplasia. Sonography can be considered for further evaluation. The remainder the abdomen is unremarkable._x000D_
2. In the absence of any reported respiratory signs, the mild generalized bronchointerstitial pulmonary pattern is likely a benign age-related change. Allergic, inflammatory, infectious, inhaled irritant or parasitic bronchitis are less likely in the absence of any reported coughing.</t>
  </si>
  <si>
    <t>Five orthogonal thoracic radiographs dated 8th May 2024 are available for review. There are no previous radiographs available for comparison. _x000D_
_x000D_
Airway findings: The cervical and thoracic trachea have a normal size, outline and position. The carina, tracheal bifurcation and mainstem bronchi are normal. The pulmonary parenchyma has a minimal bronchial opacification._x000D_
_x000D_
Cardiovascular findings: The overall cardiac silhouette is within normal limits for size. The base of the aorta/right atrium is prominent in the lateral images. The pulmonary vessels are normal. The caudal vena cava is normal._x000D_
_x000D_
Mediastinum and pleural space: No significant abnormalities are detected._x000D_
_x000D_
Musculoskeletal findings: No significant abnormalities are detected._x000D_
_x000D_
Included abdomen: The splenic tail is mildly prominent, consistent with reported history.</t>
  </si>
  <si>
    <t>1. The minimal bronchial pattern is consistent with normal ageing/fibrosis from previous disease in absence of any respiratory signs._x000D_
2. The prominent base of the heart may be due to positional artefact, poststenotic dilatation, unlikely aortic aneurysm. Right atrial dilation should also be considered, which may be due to tricuspid valve insufficiency, increased pulmonary pressures(pulmonary fibrosis, heart worm), pulmonic stenosis. A PDA is considered highly unlikely.</t>
  </si>
  <si>
    <t>The significance of the cardiac findings is unknown, needs to be correlated with auscultation. If any abnormalities are present, consider ECG, blood pressure measurements and echocardiography.</t>
  </si>
  <si>
    <t>Opposite lateral and ventrodorsal whole body radiographs (5 images) dated May 8, 2024._x000D_
_x000D_
The cardiac silhouette, pulmonary vasculature, and great vessels are within normal limits the lungs are hypoinflated and has a variable unstructured interstitial pattern that is most compatible with relative hypoinflation. The trachea has a horizontal soft-tissue band superimposed with the dorsal half of the lumen in the cervical and thoracic inlet region=ZZ90= however, no tracheal collapse is captured in this study. The pharynx is fairly distended with gas on the right lateral view. No pulmonary nodules or intrathoracic lymphadenopathy is evident. The pleural space, mediastinum, and diaphragm are normal._x000D_
The liver is unremarkable in size and has a slightly rounded lobe margin on the left lateral view. The spleen is unremarkable in size and shape. Both kidneys are unremarkable in size and shape. The urinary bladder is small and fluid opaque. The stomach contains a moderate amount of gas and soft-tissue content. Small intestine and colon are unremarkable. Retroperitoneal detail are normal. No regional lymphadenopathy is evident._x000D_
No aggressive or clinically significant osseous pathology is identified.</t>
  </si>
  <si>
    <t>1. Horizontal soft-tissue band superimposed with the trachea on the lateral views. This can represent a superimposed esophagus or a redundant dorsal tracheal membrane. Tracheal collapse is not captured in this study, although it does not completely rule it out, as it is often a dynamic process._x000D_
2. The remainder of the thorax is unremarkable. The cause for the coughing is not radiographically apparent. Rule out upper airway causes (ex: pharyngitis/laryngitis, postnasal drip from rhinitis, dynamic upper airway collapse, everted laryngeal saccules, less likely a mass) vs. dynamic lower airway collapse/chondromalacia not captured in this study vs. less likely tracheitis or mild bronchitis that is insensitive to radiographic detection._x000D_
3. Mild rounding of the hepatic lobe margin on the left lateral view. Rule out incidental due to lobe obliquity vs. a benign metabolic/vacuolar hepatopathy vs. less likely nodular change.</t>
  </si>
  <si>
    <t>Sedated upper airway exam +/- fluoroscopic airway or tracheoscopy study. If normal:_x000D_
Airway sampling may be needed for definitive diagnosis (bronchoalveolar lavage or transtracheal wash).  Heartworm testing and fecal parasite screening (float and Baermann) +/- empirical deworming.  Empirical antibiotic or anti-inflammatory steroidal therapy is reasonable to consider.  Internal medicine consultation if the patient remains clinical despite treatment and the cause remains unknown.</t>
  </si>
  <si>
    <t xml:space="preserve">
1.No abnormal AI findings reported._x000D_
2.The liver and spleen are normal size._x000D_
3.Mid abdominal detail is mildly decreased and this may be secondary to abdominal inflammation secondary to primary GI disease._x000D_
4.Small volume gas and fluid are present within the colon._x000D_
5.Portions of the colon have a rigid appearance._x000D_
6.The descending duodenum contains a small amount of gas and has a rigid appearance. The remainder of the small intestines are minimally distended._x000D_
7.The gastric rugae are prominent.</t>
  </si>
  <si>
    <t>Opposite lateral and ventrodorsal abdominal radiographs and a ventrodorsal thoracic radiograph (4 images) dated May 8, 2024._x000D_
_x000D_
_x000D_
_x000D_
The liver and spleen are unremarkable in size and shape. The stomach contains a moderate amount of heterogeneous ingesta that is organized into ovoid-shaped structures that likely represent undigested kibble. The small intestine has a mild and unremarkable variation in diameter with most segments containing gas and a minority containing slightly heterogeneous ingesta. The colon contains normal appearing stool and has a normal course. The kidneys are best visualized on the right lateral view, where they appear normal in size and shape. The urinary bladder is moderately distended with homogeneous fluid opacity. Retroperitoneal and peritoneal detail are normal. No regional lymphadenopathy is evident._x000D_
The cardiovascular structures, pulmonary parenchyma, pleural space, mediastinum, diaphragm, and thoracic osseous structures are unremarkable on the VD view of the thorax provided._x000D_
There is multifocal lumbar, lumbosacral, and thoracolumbar bridging spondylosis deformans. Both hips have advanced periarticular bony remodeling affecting them based on the left lateral view.</t>
  </si>
  <si>
    <t>1. Unremarkable postprandial abdomen. No pathologic abnormalities are identified to account for a distended appearing abdomen._x000D_
2. No abnormalities appreciated in the thorax on the VD projection provided._x000D_
3. Advanced hip osteoarthritis and multifocal thoracolumbar and LS spondylosis deformans.</t>
  </si>
  <si>
    <t>Consider hip radiographs._x000D_
_x000D_
Multimodal medical management for osteoarthritis includes initial strict rest and analgesic therapy, long-term anti-inflammatory therapy, adjunct treatments such as gabapentin, novel monoclonal antibody therapy, joint supplements, maintaining a lean body condition, and physical therapy. Orthopedic consultation could also be considered.</t>
  </si>
  <si>
    <t xml:space="preserve">
1.The small bowel is diffusely gas- and fluid-filled without segmental small bowel dilation._x000D_
2.The stomach contains granular food material, with a moderately caudally displaced axis._x000D_
3.The caudoventral margin of the liver is enlarged and rounded._x000D_
4.The abdomen is pendulous._x000D_
5.The spleen has a slightly rounded, well-defined margin, and is normal in overall size._x000D_
6.The overall peritoneal serosal detail is mildly reduced.</t>
  </si>
  <si>
    <t>Single lateral views of the thorax and abdomen are provided:_x000D_
_x000D_
Thorax:_x000D_
_x000D_
Cardiac silhouette has a normal shape and size._x000D_
Pulmonary vessels are within normal limits of size and shape._x000D_
Pulmonary parenchyma is within normal limits. No evidence of pulmonary nodules/masses._x000D_
Pleural space, mediastinum, diaphragm and thoracic wall within normal limits._x000D_
_x000D_
Abdomen:_x000D_
_x000D_
The stomach is filled with food._x000D_
Small intestines are mildly gas and fluid filled, not overtly distended. No signs of mechanical ileus._x000D_
Serosal detail is preserved._x000D_
Liver and spleen are within normal limits of size and smoothly marginated._x000D_
Kidneys and urinary bladder WNL.</t>
  </si>
  <si>
    <t>1) Unremarkable thorax and abdomen in this incomplete study.</t>
  </si>
  <si>
    <t>Six orthogonal radiographs of the abdomen dated 7th May 2024 are available for review. There are no previous radiographs available for comparison. The images are submitted for assessment of the thorax, however an abdominal read is provided._x000D_
_x000D_
Intra-abdominal findings: There is a mild amount of soft tissue opaque material in the stomach and gas. The gastric axis is normal. The rugal folds are subjectively prominent. There is appropriate gas in the pylorus on the left lateral image. To small intestines are mainly empty and evenly distributed. The descending colon contains formed faeces. The urinary bladder is normal. The serosal detail is normal. The hepatic silhouette is normal in size with smooth borders. The spleen is normal in shape, size and position. The kidneys are partially obscured by gastrointestinal contents, but the visible aspect are normal._x000D_
_x000D_
Extra-abdominal findings: No significant abnormalities are detected._x000D_
_x000D_
Included thorax: No significant abnormalities are detected.</t>
  </si>
  <si>
    <t>The overall impression is one of gastritis.  This may be due to dietary indiscretion, or infectious-inflammatory causes. There is no evidence of a mineral opaque foreign body, or complete mechanical obstruction.  A partial obstruction by non-mineral opaque foreign material cannot be excluded.</t>
  </si>
  <si>
    <t>Supportive management including rehydration, gastroprotectants,  full blood work, faecal analysis if clinically indicated is advised, if not already performed. Repeat 3-view  radiographs depending on clinical progression or consider an abdominal ultrasound. If vomiting continues without development of diarrhea, an upper GI contrast study may also be considered.</t>
  </si>
  <si>
    <t>Five orthogonal radiographs of the abdomen dated 8th May 2024 are available for review. There are no previous radiographs available for comparison. _x000D_
_x000D_
Intra-abdominal findings: The hepatic silhouette is mildly enlarged, with smooth borders. The head of the spleen is normal. In the ventral caudal abdomen there is a approximately 4 x 4 cm soft tissue mass. The tail of the spleen is undulating, with the mass suspected to be at the tip. The kidneys are partially obscured by gastrointestinal contents, but the visible aspect are normal. The stomach contains some soft tissue opaque material and has a normal axis. The small intestines are distributed evenly and are within normal limits for shape, size and contents. The ascending, transverse and descending colon have a normal position and contain gradually more formed faeces. The urinary bladder is normal. The serosal detail is normal._x000D_
_x000D_
Extra-abdominal findings: The patient is overweight._x000D_
_x000D_
Included thorax: No significant abnormalities are detected.</t>
  </si>
  <si>
    <t>1. Most likely splenic tail mass: Differentials include extra medullary haematopoiesis, haematoma, haemangioma, haemangiosarcoma, less likely abscess._x000D_
2. Hepatomegaly: This is a radiographic nonspecific finding, and has metabolic (fat deposition, diabetes mellitus), infectious-inflammatory (hepatitis-viral-parasitic), infiltrative origins (nodular hyperplasia-round cell infiltration/lymphoma-adenoma-adenocarcinoma) or less likely hemodynamic (right heart failure) origins.</t>
  </si>
  <si>
    <t xml:space="preserve">
1.No abnormal AI findings reported._x000D_
2.The colon is normal._x000D_
3.The small bowel contains fluid and gas. No segmental small bowel dilation is noted._x000D_
4.The stomach contains a small volume of fluid and gas._x000D_
5.Equivocal splenomegaly is present._x000D_
6.The hepatic serosal margins are mildly rounded and the liver is mildly enlarged.</t>
  </si>
  <si>
    <t xml:space="preserve">Patient name: Edy Edwards
Study date: May 8, 2024
Pelvic limb radiography: 4 images: 2 lateral, 2 VD
There are no previous radiographs available for comparison. 
The VD images are mislabeled regarding laterality.  
Spine: The spinous processes of the T12-L5 exhibit an irregular opacity in the lateral views. Included thoracolumbar intervertebral disc spaces are normal and uniform with smooth vertebral body end plates.  The caudal vertebrae are malformed and fused.  
Pelvis:  Irregular periosteal reaction is observed along the lateral margins of both ilial wings and along the medial and lateral aspects of both ischia. Increased opacity is either associated with the medullary portion of the affected bones or overlies these regions creating the appearance of increased medullary opacity. The coxofemoral joints are bilaterally congruent. Both acetabula are smooth with adequate coverage of the femoral heads. No pelvic fractures are noted. The sacroiliac joints are within normal limits
Joints: No stifle effusion is detected. The patellae are correctly positioned in their respective trochlear grooves. There is no tibial displacement with respect to the distal femurs.  There are discrete, round lucencies in the cranioproximal aspect of the tibial plateau bilaterally, likely representing a clinically insignificant retained cartilaginous core.  The tarsal joint spaces are uniformly normal in width.  No periarticular osteophytosis is observed.   
Long bones: Smooth to irregular periosteal new bone is observed circumferentially along the proximal femoral metaphyses bilaterally and along the cranial and caudal aspects of the distal femoral diaphyses and metaphsyes. All osseous changes to the pelvis and pelvic limbs are bilaterally symmetric. No fractures are observed.  
Soft tissues:  Pelvic limb musculature appears decreased but symmetric.  Irregular bands of stippled mineral superimpose the liver in the region of the gallbladder and extend caudodorsally in a relatively linear path suggestive of choledocholithiasis. </t>
  </si>
  <si>
    <t xml:space="preserve">1) Bilateral and symmetric periosteal proliferation affecting the spinous processes, pelvis, and femurs.  Ddx: Hypertrophic osteopathy secondary to neoplastic process is strongly suspected given the bilaterally symmetric appearance. Lesser considerations are infectious (hepatozoonosis) vs atypical variant of multiple myeloma or lymphoma. Nutritional or toxin induced changes causing patchy, bilaterally symmetric disease is considered unlikely. 
2) Pelvic limb atrophy secondary to above.
3) Choleliths and choledocholithiasis strongly suspected. Extraductal biliary or hepatic mineralization are considered less likely. </t>
  </si>
  <si>
    <t xml:space="preserve">Three view thoracic and abdominal radiographs to screen for mass due to suspicion for hypertrophic osteopathy. Abdominal ultrasound may be contributory, with FNA and cytology of any relevant findings. Alternatively, a contrast-enhanced full body CT may be considered. Full bloodwork and urinalysis. Rule out less likely causes if HO and hepatozoonosis are excluded. </t>
  </si>
  <si>
    <t xml:space="preserve">
1.Gas containing stomach with segmental gas distension involving bowel loops._x000D_
2.Abdominal detail is normal._x000D_
3.Splenic size, shape and margin are normal._x000D_
4.Liver size, shape and margin are normal.</t>
  </si>
  <si>
    <t>Study:_x000D_
Abdominal radiography: orthogonal views (two images) dated May 8, 2024_x000D_
_x000D_
Findings:_x000D_
The stomach contains a small volume of gas. The small intestines are normal in size, course and content. The colon contains a small volume of gas with a normal diameter. The liver extends moderately beyond the costal arch with smooth and sharp margins. The kidneys are normal in size and contour. The urinary bladder is normal in size and opacity. There is no prostatomegaly. The included thorax is normal. Mild spondylosis deformans is present at T5-T6. The T 13 vertebra is transitional with a hypoplastic rib on the right and no appreciable rib on the left. There is mild right stifle periarticular bone formation.</t>
  </si>
  <si>
    <t>1. The generalized hepatomegaly is nonspecific. Rule out metabolic/vacuolar hepatopathy, hyperplasia, hepatitis or infiltrative neoplasia. Sonography can be considered for further evaluation._x000D_
2. The gastrointestinal tract is unremarkable. There is no radiographic evidence of gastrointestinal foreign material or small intestinal mechanical obstruction. Abdominal sonography can be considered for further evaluation if clinical signs persist or worsen in spite of medical management._x000D_
3. Mild right stifle osteoarthrosis. Consider underlying cranial cruciate and/or meniscal injury.</t>
  </si>
  <si>
    <t xml:space="preserve">
1.The right cranial quadrant has a hazy appearance on the VD projection otherwise serosal detail is adequate._x000D_
2.In the abdomen the stomach contains small volume gas, soft tissue and mildly prominent rugae._x000D_
3.Small intestines are minimally filled. No small intestinal segmental dilation is noted._x000D_
4.The colon contains gas and scant semiformed feces._x000D_
5.No abnormal AI findings reported._x000D_
6.The liver and spleen are normal size.</t>
  </si>
  <si>
    <t>3 images of the thorax and abdomen are presented for review.  The cardiovascular structures are normal.  There is a diffuse interstitial pulmonary pattern that is considered appropriate for the age of the patient.  No pulmonary nodules or enlarged intrathoracic lymph nodes are seen.  The pleural and mediastinal structures are normal.  Abdominal serosal detail is adequate in all quadrants.  The liver margins are rounded and extend beyond the costal arch.  The stomach contains a small amount of ingesta.  The small intestines are normal in size.  Gas and feces are present in the colon.  The urinary bladder contains multiple small mineral structures.  The kidneys are small with mineral in the diverticula.  The remaining abdominal organs are normal.  Spinal alignment is normal with no consistently narrowed intervertebral disc spaces.  The coxofemoral joints are congruent.  No fractures or aggressive osseous lesions are seen.</t>
  </si>
  <si>
    <t>Hepatomegaly=ZZ90= this is a nonspecific finding that may be seen with congestion, vacuolar hepatopathy, inflammation, neoplasia, etc.  Abdominal ultrasound may be helpful in further evaluation if biochemically indicated.  Chronic renal changes.  Cystic calculi.  Radiographically normal thorax for patient of this age.  Radiographically normal thoracolumbar spine.  This does not rule out intervertebral disc herniation or other causes of spinal cord compression.  CT or MRI could be considered in further evaluation.</t>
  </si>
  <si>
    <t xml:space="preserve">
1.The abdomen is pendulous._x000D_
2.The spleen is normal size._x000D_
3.Small-volume gas and soft tissue opacity are present in the stomach._x000D_
4.No intestinal abnormalities are appreciated._x000D_
5.Round soft tissue density dorsal to the descending colon may represent end-on loop of small bowel._x000D_
6.Serosal detail is adequate._x000D_
7.The liver is moderately enlarged with rounded, lobular margins.</t>
  </si>
  <si>
    <t>Five radiographs of the thorax and abdomen are provided. The cardiac silhouette and pulmonary vessels are normal size and shape. There are no abnormalities in the pulmonary parenchyma. No pleural effusion. Tracheal diameter and position are normal. In the abdomen serosal detail is adequate in the peritoneal and retroperitoneal spaces. Moderate volume soft tissue opaque ingesta in the stomach. A few punctate mineral densities in the stomach are likely incidental. The small and large bowel are minimally filled. Normal-sized liver, spleen, left kidney. The right kidney is incompletely visible. No radiopaque urolithiasis. Osseous structures are unremarkable.</t>
  </si>
  <si>
    <t>Normal thorax and postprandial abdomen. A reason for panting is not identified.</t>
  </si>
  <si>
    <t>CBC and chemistry profile are recommended.</t>
  </si>
  <si>
    <t xml:space="preserve">
1.Moderate volume soft tissue opacity and/or gas fills the stomach._x000D_
2.Small intestines are mildly filled with a mixture of fluid and gas._x000D_
3.No segmental small intestinal distention is present._x000D_
4.The liver and spleen are normal size._x000D_
5.No abnormal AI findings reported._x000D_
6.No effusion is present.</t>
  </si>
  <si>
    <t>A lateral radiograph of the thorax/abdomen is provided. Orthogonal views dated April 24, 2024 are available for comparison. There is prominence of the left atrium, seen as straightened caudal waist and increased distance between the tracheal bifurcation and caudal heart margin. There is dorsal deviation and compression of the left mainstem bronchus. This is relatively similar to the previous study. Overall cardiac silhouette size appears increased on the lateral views, however is due to thoracic conformation, as cardiac size is normal on the VD projection. Pulmonary vessels are normal size. There are mild bronchial markings in the lungs. No pleural effusion. Possible redundant dorsal trachealis membrane in the cervical region on the recent lateral view. No laryngeal abnormalities or esophageal dilation. In the abdomen the liver is mildly enlarged with smooth margins. Normal-sized kidneys and spleen. The gastrointestinal tract is moderately filled. No radiopaque urolithiasis. The patient is overweight, with moderate volume subcutaneous fat along the dorsum. No osseous abnormalities.</t>
  </si>
  <si>
    <t>1. Prominent left atrium consistent with acquired mitral valve disease. There is no pulmonary venous congestion or pulmonary edema, however there is mainstem bronchial compression. This may be responsible for the cough_x000D_
2. Possible dynamic cervical trachea collapse, could be contributing to the cough._x000D_
3. Mild bronchial pattern may be normal age-related change versus allergic bronchitis._x000D_
4. Mild hepatomegaly, a nonspecific finding that may be steroid or other hepatopathy, acute inflammation, neoplasia. This should be correlated with history and blood work.</t>
  </si>
  <si>
    <t>Recommend weight management, utilization of a body harness in place of a neck lead, and symptomatic treatment for the cough.</t>
  </si>
  <si>
    <t>Four radiographs of the thorax, and five views of the abdomen are provided. The heart and pulmonary vessels are normal size and shape. There are no abnormalities in the pulmonary parenchyma. Small volume fluid in the caudal esophagus on the right lateral view is transient and incidental. Increased opacity overlying the caudal dorsal lungs on the same projection is superimposed skinfold. Normal tracheal diameter and position. Osseous structures are normal for a juvenile patient._x000D_
_x000D_
In the abdomen there is large volume ovoid kibble-like soft tissue density filling the stomach. The intestines are minimally filled. Serosal detail is adequate. Normal size spleen, kidneys, and liver. The coxofemoral joints are congruent.</t>
  </si>
  <si>
    <t>Normal thorax and postprandial abdomen. A reason for recent respiratory signs is not identified. Infectious airway disease or inhaled irritants should be considered.</t>
  </si>
  <si>
    <t>Three radiographs of the abdomen are provided. The abdomen is pendulous. There is a smoothly rounded 6.0 cm soft tissue opaque mass in intimate association with the caudal aspect of the splenic tail on the lateral view. This mass is located on midline on the VD view. Small volume adjacent fluid. The liver and kidneys are normal size. Moderate volume soft tissue opaque ingesta in the stomach. The intestines are minimally filled. No radiopaque urolithiasis. Normal osseous structures and caudal thorax.</t>
  </si>
  <si>
    <t>Mid ventral abdominal mass with mild effusion. Neoplasia such as splenic hemangiosarcoma is most likely. The effusion may be hemorrhagic. Hematoma or hemangioma are next on the differential. A mesenteric or intestinal mass is felt to be least likely.</t>
  </si>
  <si>
    <t>Recommend three-view thoracic radiographs to rule out pulmonary metastatic disease. Abdominal ultrasound should be considered to confirm the origin of the mass and rule out additional lesions which may preclude surgical intervention. If ultrasound is not available, proceeding to exploratory surgery would be appropriate.</t>
  </si>
  <si>
    <t>A three view thoracoabdominal study is provided for interpretation._x000D_
_x000D_
The patient has overweight body condition._x000D_
There is a subpleural mass effect on the right thoracic wall at the level of the 5th to 7th intercostal spaces. There is an alveolar pattern involving the caudal subsegment of the left cranial lung lobe in this area. There is also subtle wispy soft tissue opacity involving the subcutaneous fat in this region suggestive of mild edema or inflammation in the area. Scant pleural fluid is suspected. The cardiovascular structures are within normal limits._x000D_
_x000D_
The liver is mildly enlarged, with normal shape and smooth margins. The kidneys are small. No abnormalities are identified involving the GI tract. Abdominal serosal detail is normal.</t>
  </si>
  <si>
    <t>There are unusual changes involving the right thoracic wall centered at the level of the fifth intercostal space. There appears to be edema the subcutaneous fat in this region, a broad-based small mass effect along the pleural surface of the thoracic wall, and alveolar infiltrates involving the nearby lung. Primary outs would include foreign body abscess, neoplasia, and traumatic injury._x000D_
Relevance of these changes to the presenting complaint of liver and kidney pathology is unknown._x000D_
_x000D_
The liver appears enlarged, and the kidneys are smaller than normal. The azotemia is likely associated with chronic kidney disease, although toxicity should also be ruled out._x000D_
Hepatomegaly is nonspecific, and could be the result of noninfectious or sterile hepatitis, neoplasia such as lymphoma, or toxic insult.</t>
  </si>
  <si>
    <t>CT is recommended for more definitive evaluation of the thoracic wall changes. Bronchoscopy should also be considered._x000D_
_x000D_
Ultrasound of the abdomen and guided FNA of the liver cytologic evaluation is recommended.</t>
  </si>
  <si>
    <t xml:space="preserve">
1.Small volume ingesta is present within the stomach._x000D_
2.Small intestines are displaced into the mid and caudal abdomen but the bowel diameter is normal._x000D_
3.Formed feces is present in the colon._x000D_
4.A soft tissue mass effect is present in the mid-abdomen causing bowel displacement from this region._x000D_
5.Pendulous abdomen secondary to organomegaly._x000D_
6.Abdominal detail is diffusely decreased diffusely but with the most severe decrease in abdominal detail caudal to the stomach._x000D_
7.The liver is upper limits of normal for size to mildly enlarged but retains smooth margins.</t>
  </si>
  <si>
    <t>Harley Sanchez. Date of study: 05/7/24. Abdominal radiography (2 view, 5 images. 2 VD, 3 Lateral). No prior radiographs are available for comparison. The cranial abdomen is not fully visible on the lateral images which hinders evaluation. 
Liver: The liver (limited assessment) is normal in size and shape. The caudoventral margins are normal.
Spleen: The spleen is normal in size and shape with well-defined margins.
Kidneys: The kidneys are normal in size and shape. No mineral is identified.
Reproductive: The prostate is enlarged and visible on the lateral view extending cranially and caudally from the pelvic canal which is compressing the gas in the colon dorsally.
Urinary bladder: The urinary bladder is moderately distended with smooth, well-defined margins and homogeneous soft tissue opacity. No mineral is identified. The urinary bladder is displaced cranially by the enlarged prostate. 
Gastrointestinal: The stomach is mildly distended with heterogeneous material admixed with gas likely representing ingesta. On the lateral views pinpoint mineral foci are present in the pylorus. On the left lateral projection, the pylorus is appropriately gas filled. The small intestine contains similar heterogenous soft tissue material or gas, and is overall uniform in size. The colon contains gas and fecal material, with the feces present in the descending colon appearing more desiccated suggestive of constipation. 
Peritoneum: The serosal detail is normal. There is soft tissue opacity within the retroperitoneal space ventral to L6-7 which may represent the sublumbar lymph nodes/musculature.
Musculoskeletal: There is ventral spondylosis deformans at L5-6 with reduced intervertebral disc space on the lateral views.</t>
  </si>
  <si>
    <t>1. Prostatomegaly with displacement of bladder and colon. Possible reactive sublumbar lymph nodes. Intact male, prostatic hyperplasia is most likely. However degree of enlargement and possible reactive sublumbar lymph nodes raises concern for possible prostatic cyst vs abscess vs neoplasia. No mineralization of the prostate identified._x000D_
2. Mild amount of desiccated feces in descending colon supportive of constipation. Secondary narrowing of the descending colon due to above likely the cause for the constipation. _x000D_
3. Postprandial gastrointestinal tract with incidental pinpoint mineral foci in pylorus. No evidence of mechanical obstruction. _x000D_
3. L5-6 intervertebral disc space narrowing and ventral spondylosis deformans.</t>
  </si>
  <si>
    <t>Full blood work and a complete abdominal ultrasonographic examination is advised for further evaluation of the prostate and sublumbar region. Empiric management of mild constipation may be considered.</t>
  </si>
  <si>
    <t xml:space="preserve">
1.The stomach is normal. The small bowel is diffusely gas- and fluid-filled without segmental small bowel dilation._x000D_
2.Abdominal detail is normal._x000D_
3.The liver is mildy enlarged._x000D_
4.Splenic size, shape and margin are normal.</t>
  </si>
  <si>
    <t>Sugar Jacobson. Date of study: 05/7/24. Abdominal radiography (2 view, 4 images. 1 VD, 2 Lateral). No prior radiographs are available for comparison. The cranial abdomen is not included in the VD, limiting evaluation. 
Liver: The liver is normal in size with indistinct caudoventral margins due to intestinal crowding and decreased serosal detail in the cranial abdomen. 
Spleen: The spleen is normal in size with rounded margins. The spleen is subjectively folded on itself in the right lateral.
Kidneys: The kidneys are normal in size and shape. No mineral is identified.
Urinary bladder: The urinary bladder is mildly distended with smooth, well-defined margins and homogeneous soft tissue opacity. No mineral is identified.
Gastrointestinal: The stomach is empty and not well visualized due to superimposition. The small intestine is diffusely empty or contains mild amount of non-continuous gas and has a rigid appearance, but is overall uniform in size. The colon is mildly gas filled or empty and also rigid in appearance.
Peritoneum: The serosal decreased in the cranial abdomen.
Musculoskeletal: There is ventral spondylosis deformans at T13-L1 and L1-2. There is ventral bridging spondylosis deformans of the lumbosacral junction.</t>
  </si>
  <si>
    <t>1. 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
2. The cranial loss of serosal detail is most consistent with localized peritonitis secondary to pancreatitis.
3. Equivocal rounded spleen versus normal folded spleen, or superimposed normal structures, or unlikely other. Folded spleen/equivocal splenomegaly may be due to passive congestion from sedation (if administered), normal variation, extra-medullary hematopoiesis, or neoplasia.
4. Ventral spondylosis deformans at T13-l2. Bridging spondylosis a lumbosacral junction.</t>
  </si>
  <si>
    <t>Consider GI panel and abdominal ultrasonography for further evaluation. Consider limited protein diet elimination trial and internist consultation if owner is receptive. Empirical therapy and supportive care in the interim as needed.</t>
  </si>
  <si>
    <t>Thorax: On the lateral view there is a circular soft tissue opacity superimposed over the caudal ventral aspect of the cardiac silhouette.  This most likely represents visualization of one of the costochondral junctions.  This is not identified on the ventrodorsal view.  The pulmonary parenchyma, cardiac silhouette, and pulmonary vasculature are unremarkable.  There is no evidence of pleural effusion or lymphadenopathy._x000D_
_x000D_
Abdomen: There is moderate amount of heterogeneous soft tissue opacity within the gastric lumen most likely representing normal ingesta.  The remainder of the gastrointestinal tract is unremarkable.  On the ventrodorsal view there is a small mineral/metallic opacity associated with the right side of the abdomen at the level of the 13th rib.  This is not identified on the lateral view and may represent a summation artifact.  The remainder of the abdominal viscera is unremarkable.</t>
  </si>
  <si>
    <t>Unremarkable thorax and abdomen._x000D_
_x000D_
The soft tissue opacity superimposed over the cardiac silhouette is suspected to be visualization of the costochondral junction.  Alternatively but considered less likely a pulmonary nodule within the left caudal lung lobe cannot be ruled out.</t>
  </si>
  <si>
    <t>Study:_x000D_
Thoracic, abdominal, carpi/manus radiography: six images dated May 7, 2024_x000D_
_x000D_
Findings:_x000D_
The cardiac silhouette and pulmonary vasculature are normal in size. The pulmonary parenchyma is unremarkable. The pleural space is normal. There is no intrathoracic lymphadenopathy. The trachea is normal in diameter and course. The stomach contains a small volume of gas with the pylorus appropriately gas-filled on the left lateral image.. The small intestines are normal in size, course and content. The colon contains formed fecal material. The liver and spleen are normal in size and margin. The kidneys are normal in size and contour. The urinary bladder is moderately distended, likely secondary to conscious retention. There is severe lumbosacral spondylosis deformans. There is a separate center of ossification of the infraglenoid tubercle of the scapula bilaterally. The bones of the carpus and manus are normal. There is no evidence of aggressive osseous disease. The reported right manus soft tissue swelling is not appreciated radiographically.</t>
  </si>
  <si>
    <t>1. Normal thorax. There is no radiographic evidence of cardiopulmonary or metastatic disease._x000D_
2. Unremarkable abdomen._x000D_
3. The right manus is radiographically unremarkable. There is no evidence of aggressive osseous disease. As stated above, the reported soft tissue swelling is not appreciated radiographically. Consider tissue sampling for further evaluation.</t>
  </si>
  <si>
    <t>8 views of the thorax, abdomen, pelvis, and pelvic limbs are submitted for review._x000D_
In the thorax, the cardiac silhouette is normal in size and shape.  The pulmonary vasculature is normal in size and tapers as it extends into the periphery.  No significant pulmonary parenchymal abnormalities are noted.  No intrathoracic lymphadenopathy or pleural effusion is seen. The trachea is normal in diameter._x000D_
In the abdomen, the stomach contains a mild amount of ingesta.  The small bowel and colon are within normal limits.  The liver and spleen are normal in size, shape, and margination.  The bilateral renal silhouettes are within normal limits.  The urinary bladder is unremarkable.  Serosal detail is normal._x000D_
Moderate spondylosis deformans is noted in the caudal thoracic and cranial lumbar spine.  There is intervertebral disc space narrowing at T13-L1._x000D_
The bilateral coxofemoral joints are within normal limits.  The sacroiliac joints are normal._x000D_
Moderate to marked intracapsular effusion is noted in the right stifle.  No degenerative changes are seen.  There is mild cranial tibial thrust on the right.  No abnormalities noted in the left stifle.  The distal aspect of the pelvic limbs is unremarkable.</t>
  </si>
  <si>
    <t>Marked intracapsular effusion in the right stifle.  This is consistent with acute cranial cruciate ligament injury._x000D_
Possible chronic intervertebral disc disease at the thoracolumbar junction of unknown clinical significance._x000D_
Radiographically normal postprandial abdomen._x000D_
Radiographically normal thorax.</t>
  </si>
  <si>
    <t>Three orthogonal radiographs of the abdomen dated 7th May 2024 are available for review. There are no previous radiographs available for comparison. _x000D_
_x000D_
Intra-abdominal findings: The stomach is empty with some gas. The gastric axis is normal. There is appropriate gas in the pylorus on the left lateral image. To small intestines are diffusely mild to moderately dilated with a mixture of fluid and gas. There have a turgid appearance. The caecum is severely gas dilated. The transverse and descending colon is gas dilated. The urinary bladder is filled. The hepatic silhouette is normal in size with smooth borders. The spleen is normal in shape, size and position. The kidneys are partially obscured by gastrointestinal contents, but the visible aspect are normal. The serosal detail is normal._x000D_
_x000D_
Extra-abdominal findings: No significant abnormalities are detected._x000D_
_x000D_
Included thorax: No significant abnormalities are detected.</t>
  </si>
  <si>
    <t>The overall impression is one of gastroenteritis/colitis.  This may be due to dietary indiscretion, or infectious-inflammatory causes. There is no evidence of a mineral opaque foreign body, or complete mechanical obstruction.  A partial obstruction by non-mineral opaque foreign material cannot be excluded.</t>
  </si>
  <si>
    <t xml:space="preserve">
1.Liver size is at the lower limits of normal but retains a smooth margin._x000D_
2.Splenic size, shape and margin are normal._x000D_
3.Abdominal detail is normal._x000D_
4.The intestinal tract is diffusely gas filled._x000D_
5.The stomach contains air.</t>
  </si>
  <si>
    <t>Mild microhepatia. DDx: normal variant for patient vs. microvascular dysplasia vs. chronic hepatopathy causing fibrosis/cirrhosis vs. congenital portosystemic shunt. Diffusely gas filled GI tract. DDx: aerophagia vs. less suspected, functional ileus secondary to gastroenteritis. There is no evidence of a complete mechanical obstruction.</t>
  </si>
  <si>
    <t xml:space="preserve">
Virtual Radiologist Case Difficulty: MODERATE_x000D_
Virtual Radiologist Confidence: MODERATE_x000D_
Blood work +/- liver function tests if a hepatopathy is suspected. Triphase CT if there is clinical and/or biochemical concern for a portosystemic shunt.</t>
  </si>
  <si>
    <t>Thorax: There is a diffuse bronchointerstitial pattern.  There is an interstitial pattern associated with the right caudal lung lobe.  On the lateral view there is possible nodules involving the right cranial lung lobe.  The cardiac silhouette and pulmonary vasculature are unremarkable.  There is no evidence of pleural effusion or lymphadenopathy.</t>
  </si>
  <si>
    <t>Possible nodules involving the right cranial lung lobe on the lateral view._x000D_
_x000D_
Diffuse bronchointerstitial pattern.  This may be age-related or bronchitis.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</si>
</sst>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752"/>
  <sheetViews>
    <sheetView tabSelected="1" topLeftCell="C1" workbookViewId="0">
      <selection activeCell="G1" sqref="G1"/>
    </sheetView>
  </sheetViews>
  <sheetFormatPr defaultRowHeight="15"/>
  <cols>
    <col min="1" max="3" width="9.140625" style="2"/>
    <col min="4" max="4" width="45.42578125" style="2" customWidth="1"/>
    <col min="5" max="5" width="33.140625" style="2" customWidth="1"/>
    <col min="6" max="6" width="24.85546875" style="2" customWidth="1"/>
    <col min="7" max="7" width="17.42578125" style="2" customWidth="1"/>
    <col min="8" max="10" width="25.5703125" style="2" customWidth="1"/>
    <col min="11" max="20" width="15.140625" style="2" customWidth="1"/>
    <col min="21" max="16384" width="9.140625" style="2"/>
  </cols>
  <sheetData>
    <row r="1" spans="1:20" ht="45.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336">
      <c r="A2" s="3">
        <v>2771792</v>
      </c>
      <c r="B2" s="3">
        <f>HYPERLINK("https://platform.v2.vetology.net/cases/2771792/screening-report/6?type=pdf&amp;v=v6&amp;scorecard=1&amp;secret_key=BX%25IJ%24%2F65ieZ%29f6", 2771792)</f>
        <v>2771792</v>
      </c>
      <c r="C2" s="3">
        <f>HYPERLINK("https://platform.v2.vetology.net/report/v/final/"&amp;2771792, 2771792)</f>
        <v>2771792</v>
      </c>
      <c r="D2" s="3" t="s">
        <v>20</v>
      </c>
      <c r="E2" s="3" t="s">
        <v>21</v>
      </c>
      <c r="F2" s="3" t="s">
        <v>22</v>
      </c>
      <c r="G2" s="3" t="s">
        <v>23</v>
      </c>
      <c r="H2" s="3" t="s">
        <v>24</v>
      </c>
      <c r="I2" s="3" t="s">
        <v>25</v>
      </c>
      <c r="J2" s="3" t="s">
        <v>26</v>
      </c>
      <c r="K2" s="3" t="s">
        <v>27</v>
      </c>
      <c r="L2" s="3" t="s">
        <v>28</v>
      </c>
      <c r="M2" s="3" t="s">
        <v>28</v>
      </c>
      <c r="N2" s="3" t="s">
        <v>28</v>
      </c>
      <c r="O2" s="3" t="s">
        <v>27</v>
      </c>
      <c r="P2" s="3" t="s">
        <v>28</v>
      </c>
      <c r="Q2" s="3" t="s">
        <v>27</v>
      </c>
      <c r="R2" s="3" t="s">
        <v>28</v>
      </c>
      <c r="S2" s="3" t="s">
        <v>28</v>
      </c>
      <c r="T2" s="3" t="s">
        <v>28</v>
      </c>
    </row>
    <row r="3" spans="1:20" ht="305.25">
      <c r="A3" s="3">
        <v>2771773</v>
      </c>
      <c r="B3" s="3">
        <f>HYPERLINK("https://platform.v2.vetology.net/cases/2771773/screening-report/6?type=pdf&amp;v=v6&amp;scorecard=1&amp;secret_key=BX%25IJ%24%2F65ieZ%29f6", 2771773)</f>
        <v>2771773</v>
      </c>
      <c r="C3" s="3">
        <f>HYPERLINK("https://platform.v2.vetology.net/report/v/final/"&amp;2771773, 2771773)</f>
        <v>2771773</v>
      </c>
      <c r="D3" s="3" t="s">
        <v>29</v>
      </c>
      <c r="E3" s="3" t="s">
        <v>30</v>
      </c>
      <c r="F3" s="3" t="s">
        <v>22</v>
      </c>
      <c r="G3" s="3" t="s">
        <v>23</v>
      </c>
      <c r="H3" s="3" t="s">
        <v>31</v>
      </c>
      <c r="I3" s="3" t="s">
        <v>32</v>
      </c>
      <c r="J3" s="3" t="s">
        <v>33</v>
      </c>
      <c r="K3" s="3" t="s">
        <v>27</v>
      </c>
      <c r="L3" s="3" t="s">
        <v>28</v>
      </c>
      <c r="M3" s="3" t="s">
        <v>27</v>
      </c>
      <c r="N3" s="3" t="s">
        <v>28</v>
      </c>
      <c r="O3" s="3" t="s">
        <v>27</v>
      </c>
      <c r="P3" s="3" t="s">
        <v>28</v>
      </c>
      <c r="Q3" s="3" t="s">
        <v>27</v>
      </c>
      <c r="R3" s="3" t="s">
        <v>28</v>
      </c>
      <c r="S3" s="3" t="s">
        <v>28</v>
      </c>
      <c r="T3" s="3" t="s">
        <v>27</v>
      </c>
    </row>
    <row r="4" spans="1:20" ht="381.75">
      <c r="A4" s="3">
        <v>2771746</v>
      </c>
      <c r="B4" s="3">
        <f>HYPERLINK("https://platform.v2.vetology.net/cases/2771746/screening-report/6?type=pdf&amp;v=v6&amp;scorecard=1&amp;secret_key=BX%25IJ%24%2F65ieZ%29f6", 2771746)</f>
        <v>2771746</v>
      </c>
      <c r="C4" s="3">
        <f>HYPERLINK("https://platform.v2.vetology.net/report/v/final/"&amp;2771746, 2771746)</f>
        <v>2771746</v>
      </c>
      <c r="D4" s="3" t="s">
        <v>34</v>
      </c>
      <c r="E4" s="3" t="s">
        <v>35</v>
      </c>
      <c r="F4" s="3" t="s">
        <v>22</v>
      </c>
      <c r="G4" s="3" t="s">
        <v>23</v>
      </c>
      <c r="H4" s="3" t="s">
        <v>36</v>
      </c>
      <c r="I4" s="3" t="s">
        <v>37</v>
      </c>
      <c r="J4" s="3" t="s">
        <v>38</v>
      </c>
      <c r="K4" s="3" t="s">
        <v>28</v>
      </c>
      <c r="L4" s="3" t="s">
        <v>28</v>
      </c>
      <c r="M4" s="3" t="s">
        <v>27</v>
      </c>
      <c r="N4" s="3" t="s">
        <v>28</v>
      </c>
      <c r="O4" s="3" t="s">
        <v>28</v>
      </c>
      <c r="P4" s="3" t="s">
        <v>28</v>
      </c>
      <c r="Q4" s="3" t="s">
        <v>28</v>
      </c>
      <c r="R4" s="3" t="s">
        <v>28</v>
      </c>
      <c r="S4" s="3" t="s">
        <v>28</v>
      </c>
      <c r="T4" s="3" t="s">
        <v>28</v>
      </c>
    </row>
    <row r="5" spans="1:20" ht="336">
      <c r="A5" s="3">
        <v>2771701</v>
      </c>
      <c r="B5" s="3">
        <f>HYPERLINK("https://platform.v2.vetology.net/cases/2771701/screening-report/6?type=pdf&amp;v=v6&amp;scorecard=1&amp;secret_key=BX%25IJ%24%2F65ieZ%29f6", 2771701)</f>
        <v>2771701</v>
      </c>
      <c r="C5" s="3">
        <f>HYPERLINK("https://platform.v2.vetology.net/report/v/final/"&amp;2771701, 2771701)</f>
        <v>2771701</v>
      </c>
      <c r="D5" s="3" t="s">
        <v>39</v>
      </c>
      <c r="E5" s="3" t="s">
        <v>40</v>
      </c>
      <c r="F5" s="3" t="s">
        <v>22</v>
      </c>
      <c r="G5" s="3" t="s">
        <v>23</v>
      </c>
      <c r="H5" s="3" t="s">
        <v>41</v>
      </c>
      <c r="I5" s="3" t="s">
        <v>42</v>
      </c>
      <c r="J5" s="3" t="s">
        <v>43</v>
      </c>
      <c r="K5" s="3" t="s">
        <v>28</v>
      </c>
      <c r="L5" s="3" t="s">
        <v>27</v>
      </c>
      <c r="M5" s="3" t="s">
        <v>28</v>
      </c>
      <c r="N5" s="3" t="s">
        <v>27</v>
      </c>
      <c r="O5" s="3" t="s">
        <v>27</v>
      </c>
      <c r="P5" s="3" t="s">
        <v>28</v>
      </c>
      <c r="Q5" s="3" t="s">
        <v>28</v>
      </c>
      <c r="R5" s="3" t="s">
        <v>27</v>
      </c>
      <c r="S5" s="3" t="s">
        <v>27</v>
      </c>
      <c r="T5" s="3" t="s">
        <v>27</v>
      </c>
    </row>
    <row r="6" spans="1:20" ht="409.6">
      <c r="A6" s="3">
        <v>2771700</v>
      </c>
      <c r="B6" s="3">
        <f>HYPERLINK("https://platform.v2.vetology.net/cases/2771700/screening-report/6?type=pdf&amp;v=v6&amp;scorecard=1&amp;secret_key=BX%25IJ%24%2F65ieZ%29f6", 2771700)</f>
        <v>2771700</v>
      </c>
      <c r="C6" s="3">
        <f>HYPERLINK("https://platform.v2.vetology.net/report/v/final/"&amp;2771700, 2771700)</f>
        <v>2771700</v>
      </c>
      <c r="D6" s="3" t="s">
        <v>44</v>
      </c>
      <c r="E6" s="3" t="s">
        <v>45</v>
      </c>
      <c r="F6" s="3" t="s">
        <v>22</v>
      </c>
      <c r="G6" s="3" t="s">
        <v>23</v>
      </c>
      <c r="H6" s="3" t="s">
        <v>46</v>
      </c>
      <c r="I6" s="3" t="s">
        <v>47</v>
      </c>
      <c r="J6" s="3" t="s">
        <v>48</v>
      </c>
      <c r="K6" s="3" t="s">
        <v>28</v>
      </c>
      <c r="L6" s="3" t="s">
        <v>27</v>
      </c>
      <c r="M6" s="3" t="s">
        <v>27</v>
      </c>
      <c r="N6" s="3" t="s">
        <v>28</v>
      </c>
      <c r="O6" s="3" t="s">
        <v>28</v>
      </c>
      <c r="P6" s="3" t="s">
        <v>28</v>
      </c>
      <c r="Q6" s="3" t="s">
        <v>27</v>
      </c>
      <c r="R6" s="3" t="s">
        <v>27</v>
      </c>
      <c r="S6" s="3" t="s">
        <v>28</v>
      </c>
      <c r="T6" s="3" t="s">
        <v>27</v>
      </c>
    </row>
    <row r="7" spans="1:20" ht="409.6">
      <c r="A7" s="3">
        <v>2771679</v>
      </c>
      <c r="B7" s="3">
        <f>HYPERLINK("https://platform.v2.vetology.net/cases/2771679/screening-report/6?type=pdf&amp;v=v6&amp;scorecard=1&amp;secret_key=BX%25IJ%24%2F65ieZ%29f6", 2771679)</f>
        <v>2771679</v>
      </c>
      <c r="C7" s="3">
        <f>HYPERLINK("https://platform.v2.vetology.net/report/v/final/"&amp;2771679, 2771679)</f>
        <v>2771679</v>
      </c>
      <c r="D7" s="3" t="s">
        <v>49</v>
      </c>
      <c r="E7" s="3" t="s">
        <v>50</v>
      </c>
      <c r="F7" s="3" t="s">
        <v>22</v>
      </c>
      <c r="G7" s="3" t="s">
        <v>23</v>
      </c>
      <c r="H7" s="3" t="s">
        <v>51</v>
      </c>
      <c r="I7" s="3" t="s">
        <v>52</v>
      </c>
      <c r="J7" s="3" t="s">
        <v>53</v>
      </c>
      <c r="K7" s="3" t="s">
        <v>27</v>
      </c>
      <c r="L7" s="3" t="s">
        <v>27</v>
      </c>
      <c r="M7" s="3" t="s">
        <v>27</v>
      </c>
      <c r="N7" s="3" t="s">
        <v>28</v>
      </c>
      <c r="O7" s="3" t="s">
        <v>27</v>
      </c>
      <c r="P7" s="3" t="s">
        <v>27</v>
      </c>
      <c r="Q7" s="3" t="s">
        <v>27</v>
      </c>
      <c r="R7" s="3" t="s">
        <v>28</v>
      </c>
      <c r="S7" s="3" t="s">
        <v>28</v>
      </c>
      <c r="T7" s="3" t="s">
        <v>27</v>
      </c>
    </row>
    <row r="8" spans="1:20" ht="409.6">
      <c r="A8" s="3">
        <v>2771658</v>
      </c>
      <c r="B8" s="3">
        <f>HYPERLINK("https://platform.v2.vetology.net/cases/2771658/screening-report/6?type=pdf&amp;v=v6&amp;scorecard=1&amp;secret_key=BX%25IJ%24%2F65ieZ%29f6", 2771658)</f>
        <v>2771658</v>
      </c>
      <c r="C8" s="3">
        <f>HYPERLINK("https://platform.v2.vetology.net/report/v/final/"&amp;2771658, 2771658)</f>
        <v>2771658</v>
      </c>
      <c r="D8" s="3" t="s">
        <v>54</v>
      </c>
      <c r="E8" s="3" t="s">
        <v>55</v>
      </c>
      <c r="F8" s="3" t="s">
        <v>56</v>
      </c>
      <c r="G8" s="3" t="s">
        <v>57</v>
      </c>
      <c r="H8" s="3" t="s">
        <v>58</v>
      </c>
      <c r="I8" s="3" t="s">
        <v>59</v>
      </c>
      <c r="J8" s="3" t="s">
        <v>60</v>
      </c>
      <c r="K8" s="3" t="s">
        <v>28</v>
      </c>
      <c r="L8" s="3" t="s">
        <v>28</v>
      </c>
      <c r="M8" s="3" t="s">
        <v>28</v>
      </c>
      <c r="N8" s="3" t="s">
        <v>28</v>
      </c>
      <c r="O8" s="3" t="s">
        <v>27</v>
      </c>
      <c r="P8" s="3" t="s">
        <v>28</v>
      </c>
      <c r="Q8" s="3" t="s">
        <v>28</v>
      </c>
      <c r="R8" s="3" t="s">
        <v>28</v>
      </c>
      <c r="S8" s="3" t="s">
        <v>28</v>
      </c>
      <c r="T8" s="3" t="s">
        <v>27</v>
      </c>
    </row>
    <row r="9" spans="1:20" ht="409.6">
      <c r="A9" s="3">
        <v>2771625</v>
      </c>
      <c r="B9" s="3">
        <f>HYPERLINK("https://platform.v2.vetology.net/cases/2771625/screening-report/6?type=pdf&amp;v=v6&amp;scorecard=1&amp;secret_key=BX%25IJ%24%2F65ieZ%29f6", 2771625)</f>
        <v>2771625</v>
      </c>
      <c r="C9" s="3">
        <f>HYPERLINK("https://platform.v2.vetology.net/report/v/final/"&amp;2771625, 2771625)</f>
        <v>2771625</v>
      </c>
      <c r="D9" s="3" t="s">
        <v>61</v>
      </c>
      <c r="E9" s="3" t="s">
        <v>62</v>
      </c>
      <c r="F9" s="3" t="s">
        <v>63</v>
      </c>
      <c r="G9" s="3" t="s">
        <v>64</v>
      </c>
      <c r="H9" s="3" t="s">
        <v>65</v>
      </c>
      <c r="I9" s="3" t="s">
        <v>66</v>
      </c>
      <c r="J9" s="3" t="s">
        <v>67</v>
      </c>
      <c r="K9" s="3" t="s">
        <v>27</v>
      </c>
      <c r="L9" s="3" t="s">
        <v>28</v>
      </c>
      <c r="M9" s="3" t="s">
        <v>28</v>
      </c>
      <c r="N9" s="3" t="s">
        <v>28</v>
      </c>
      <c r="O9" s="3" t="s">
        <v>27</v>
      </c>
      <c r="P9" s="3" t="s">
        <v>28</v>
      </c>
      <c r="Q9" s="3" t="s">
        <v>28</v>
      </c>
      <c r="R9" s="3" t="s">
        <v>28</v>
      </c>
      <c r="S9" s="3" t="s">
        <v>28</v>
      </c>
      <c r="T9" s="3" t="s">
        <v>28</v>
      </c>
    </row>
    <row r="10" spans="1:20" ht="409.6">
      <c r="A10" s="3">
        <v>2771608</v>
      </c>
      <c r="B10" s="3">
        <f>HYPERLINK("https://platform.v2.vetology.net/cases/2771608/screening-report/6?type=pdf&amp;v=v6&amp;scorecard=1&amp;secret_key=BX%25IJ%24%2F65ieZ%29f6", 2771608)</f>
        <v>2771608</v>
      </c>
      <c r="C10" s="3">
        <f>HYPERLINK("https://platform.v2.vetology.net/report/v/final/"&amp;2771608, 2771608)</f>
        <v>2771608</v>
      </c>
      <c r="D10" s="3" t="s">
        <v>68</v>
      </c>
      <c r="E10" s="3" t="s">
        <v>69</v>
      </c>
      <c r="F10" s="3" t="s">
        <v>70</v>
      </c>
      <c r="G10" s="3" t="s">
        <v>64</v>
      </c>
      <c r="H10" s="3" t="s">
        <v>71</v>
      </c>
      <c r="I10" s="3" t="s">
        <v>72</v>
      </c>
      <c r="J10" s="3" t="s">
        <v>73</v>
      </c>
      <c r="K10" s="3" t="s">
        <v>28</v>
      </c>
      <c r="L10" s="3" t="s">
        <v>28</v>
      </c>
      <c r="M10" s="3" t="s">
        <v>28</v>
      </c>
      <c r="N10" s="3" t="s">
        <v>28</v>
      </c>
      <c r="O10" s="3" t="s">
        <v>27</v>
      </c>
      <c r="P10" s="3" t="s">
        <v>28</v>
      </c>
      <c r="Q10" s="3" t="s">
        <v>28</v>
      </c>
      <c r="R10" s="3" t="s">
        <v>28</v>
      </c>
      <c r="S10" s="3" t="s">
        <v>28</v>
      </c>
      <c r="T10" s="3" t="s">
        <v>27</v>
      </c>
    </row>
    <row r="11" spans="1:20" ht="409.6">
      <c r="A11" s="3">
        <v>2771606</v>
      </c>
      <c r="B11" s="3">
        <f>HYPERLINK("https://platform.v2.vetology.net/cases/2771606/screening-report/6?type=pdf&amp;v=v6&amp;scorecard=1&amp;secret_key=BX%25IJ%24%2F65ieZ%29f6", 2771606)</f>
        <v>2771606</v>
      </c>
      <c r="C11" s="3">
        <f>HYPERLINK("https://platform.v2.vetology.net/report/v/final/"&amp;2771606, 2771606)</f>
        <v>2771606</v>
      </c>
      <c r="D11" s="3" t="s">
        <v>74</v>
      </c>
      <c r="E11" s="3" t="s">
        <v>75</v>
      </c>
      <c r="F11" s="3" t="s">
        <v>76</v>
      </c>
      <c r="G11" s="3" t="s">
        <v>23</v>
      </c>
      <c r="H11" s="3" t="s">
        <v>77</v>
      </c>
      <c r="I11" s="3" t="s">
        <v>78</v>
      </c>
      <c r="J11" s="3" t="s">
        <v>79</v>
      </c>
      <c r="K11" s="3" t="s">
        <v>27</v>
      </c>
      <c r="L11" s="3" t="s">
        <v>28</v>
      </c>
      <c r="M11" s="3" t="s">
        <v>28</v>
      </c>
      <c r="N11" s="3" t="s">
        <v>28</v>
      </c>
      <c r="O11" s="3" t="s">
        <v>27</v>
      </c>
      <c r="P11" s="3" t="s">
        <v>27</v>
      </c>
      <c r="Q11" s="3" t="s">
        <v>28</v>
      </c>
      <c r="R11" s="3" t="s">
        <v>28</v>
      </c>
      <c r="S11" s="3" t="s">
        <v>28</v>
      </c>
      <c r="T11" s="3" t="s">
        <v>28</v>
      </c>
    </row>
    <row r="12" spans="1:20" ht="409.6">
      <c r="A12" s="3">
        <v>2771599</v>
      </c>
      <c r="B12" s="3">
        <f>HYPERLINK("https://platform.v2.vetology.net/cases/2771599/screening-report/6?type=pdf&amp;v=v6&amp;scorecard=1&amp;secret_key=BX%25IJ%24%2F65ieZ%29f6", 2771599)</f>
        <v>2771599</v>
      </c>
      <c r="C12" s="3">
        <f>HYPERLINK("https://platform.v2.vetology.net/report/v/final/"&amp;2771599, 2771599)</f>
        <v>2771599</v>
      </c>
      <c r="D12" s="3" t="s">
        <v>80</v>
      </c>
      <c r="E12" s="3" t="s">
        <v>81</v>
      </c>
      <c r="F12" s="3" t="s">
        <v>22</v>
      </c>
      <c r="G12" s="3" t="s">
        <v>23</v>
      </c>
      <c r="H12" s="3" t="s">
        <v>82</v>
      </c>
      <c r="I12" s="3" t="s">
        <v>83</v>
      </c>
      <c r="J12" s="3" t="s">
        <v>84</v>
      </c>
      <c r="K12" s="3" t="s">
        <v>28</v>
      </c>
      <c r="L12" s="3" t="s">
        <v>28</v>
      </c>
      <c r="M12" s="3" t="s">
        <v>28</v>
      </c>
      <c r="N12" s="3" t="s">
        <v>27</v>
      </c>
      <c r="O12" s="3" t="s">
        <v>27</v>
      </c>
      <c r="P12" s="3" t="s">
        <v>28</v>
      </c>
      <c r="Q12" s="3" t="s">
        <v>28</v>
      </c>
      <c r="R12" s="3" t="s">
        <v>28</v>
      </c>
      <c r="S12" s="3" t="s">
        <v>28</v>
      </c>
      <c r="T12" s="3" t="s">
        <v>27</v>
      </c>
    </row>
    <row r="13" spans="1:20" ht="409.6">
      <c r="A13" s="3">
        <v>2771506</v>
      </c>
      <c r="B13" s="3">
        <f>HYPERLINK("https://platform.v2.vetology.net/cases/2771506/screening-report/6?type=pdf&amp;v=v6&amp;scorecard=1&amp;secret_key=BX%25IJ%24%2F65ieZ%29f6", 2771506)</f>
        <v>2771506</v>
      </c>
      <c r="C13" s="3">
        <f>HYPERLINK("https://platform.v2.vetology.net/report/v/final/"&amp;2771506, 2771506)</f>
        <v>2771506</v>
      </c>
      <c r="D13" s="3" t="s">
        <v>85</v>
      </c>
      <c r="E13" s="3" t="s">
        <v>86</v>
      </c>
      <c r="F13" s="3" t="s">
        <v>87</v>
      </c>
      <c r="G13" s="3" t="s">
        <v>64</v>
      </c>
      <c r="H13" s="3" t="s">
        <v>88</v>
      </c>
      <c r="I13" s="3" t="s">
        <v>89</v>
      </c>
      <c r="J13" s="3" t="s">
        <v>90</v>
      </c>
      <c r="K13" s="3" t="s">
        <v>27</v>
      </c>
      <c r="L13" s="3" t="s">
        <v>27</v>
      </c>
      <c r="M13" s="3" t="s">
        <v>28</v>
      </c>
      <c r="N13" s="3" t="s">
        <v>28</v>
      </c>
      <c r="O13" s="3" t="s">
        <v>27</v>
      </c>
      <c r="P13" s="3" t="s">
        <v>28</v>
      </c>
      <c r="Q13" s="3" t="s">
        <v>28</v>
      </c>
      <c r="R13" s="3" t="s">
        <v>28</v>
      </c>
      <c r="S13" s="3" t="s">
        <v>28</v>
      </c>
      <c r="T13" s="3" t="s">
        <v>28</v>
      </c>
    </row>
    <row r="14" spans="1:20" ht="409.6">
      <c r="A14" s="3">
        <v>2771502</v>
      </c>
      <c r="B14" s="3">
        <f>HYPERLINK("https://platform.v2.vetology.net/cases/2771502/screening-report/6?type=pdf&amp;v=v6&amp;scorecard=1&amp;secret_key=BX%25IJ%24%2F65ieZ%29f6", 2771502)</f>
        <v>2771502</v>
      </c>
      <c r="C14" s="3">
        <f>HYPERLINK("https://platform.v2.vetology.net/report/v/final/"&amp;2771502, 2771502)</f>
        <v>2771502</v>
      </c>
      <c r="D14" s="3" t="s">
        <v>91</v>
      </c>
      <c r="E14" s="3" t="s">
        <v>92</v>
      </c>
      <c r="F14" s="3" t="s">
        <v>93</v>
      </c>
      <c r="G14" s="3" t="s">
        <v>64</v>
      </c>
      <c r="H14" s="3" t="s">
        <v>94</v>
      </c>
      <c r="I14" s="3" t="s">
        <v>95</v>
      </c>
      <c r="J14" s="3" t="s">
        <v>96</v>
      </c>
      <c r="K14" s="3" t="s">
        <v>28</v>
      </c>
      <c r="L14" s="3" t="s">
        <v>28</v>
      </c>
      <c r="M14" s="3" t="s">
        <v>28</v>
      </c>
      <c r="N14" s="3" t="s">
        <v>28</v>
      </c>
      <c r="O14" s="3" t="s">
        <v>27</v>
      </c>
      <c r="P14" s="3" t="s">
        <v>28</v>
      </c>
      <c r="Q14" s="3" t="s">
        <v>27</v>
      </c>
      <c r="R14" s="3" t="s">
        <v>28</v>
      </c>
      <c r="S14" s="3" t="s">
        <v>27</v>
      </c>
      <c r="T14" s="3" t="s">
        <v>28</v>
      </c>
    </row>
    <row r="15" spans="1:20" ht="275.25">
      <c r="A15" s="3">
        <v>2771456</v>
      </c>
      <c r="B15" s="3">
        <f>HYPERLINK("https://platform.v2.vetology.net/cases/2771456/screening-report/6?type=pdf&amp;v=v6&amp;scorecard=1&amp;secret_key=BX%25IJ%24%2F65ieZ%29f6", 2771456)</f>
        <v>2771456</v>
      </c>
      <c r="C15" s="3">
        <f>HYPERLINK("https://platform.v2.vetology.net/report/v/final/"&amp;2771456, 2771456)</f>
        <v>2771456</v>
      </c>
      <c r="D15" s="3" t="s">
        <v>97</v>
      </c>
      <c r="E15" s="3" t="s">
        <v>98</v>
      </c>
      <c r="F15" s="3" t="s">
        <v>99</v>
      </c>
      <c r="G15" s="3" t="s">
        <v>100</v>
      </c>
      <c r="H15" s="3" t="s">
        <v>101</v>
      </c>
      <c r="I15" s="3" t="s">
        <v>102</v>
      </c>
      <c r="J15" s="3" t="s">
        <v>103</v>
      </c>
      <c r="K15" s="3" t="s">
        <v>27</v>
      </c>
      <c r="L15" s="3" t="s">
        <v>27</v>
      </c>
      <c r="M15" s="3" t="s">
        <v>27</v>
      </c>
      <c r="N15" s="3" t="s">
        <v>28</v>
      </c>
      <c r="O15" s="3" t="s">
        <v>27</v>
      </c>
      <c r="P15" s="3" t="s">
        <v>28</v>
      </c>
      <c r="Q15" s="3" t="s">
        <v>27</v>
      </c>
      <c r="R15" s="3" t="s">
        <v>28</v>
      </c>
      <c r="S15" s="3" t="s">
        <v>27</v>
      </c>
      <c r="T15" s="3" t="s">
        <v>28</v>
      </c>
    </row>
    <row r="16" spans="1:20" ht="409.6">
      <c r="A16" s="3">
        <v>2771417</v>
      </c>
      <c r="B16" s="3">
        <f>HYPERLINK("https://platform.v2.vetology.net/cases/2771417/screening-report/6?type=pdf&amp;v=v6&amp;scorecard=1&amp;secret_key=BX%25IJ%24%2F65ieZ%29f6", 2771417)</f>
        <v>2771417</v>
      </c>
      <c r="C16" s="3">
        <f>HYPERLINK("https://platform.v2.vetology.net/report/v/final/"&amp;2771417, 2771417)</f>
        <v>2771417</v>
      </c>
      <c r="D16" s="3" t="s">
        <v>104</v>
      </c>
      <c r="E16" s="3" t="s">
        <v>105</v>
      </c>
      <c r="F16" s="3" t="s">
        <v>106</v>
      </c>
      <c r="G16" s="3" t="s">
        <v>64</v>
      </c>
      <c r="H16" s="3" t="s">
        <v>107</v>
      </c>
      <c r="I16" s="3" t="s">
        <v>108</v>
      </c>
      <c r="J16" s="3" t="s">
        <v>109</v>
      </c>
      <c r="K16" s="3" t="s">
        <v>28</v>
      </c>
      <c r="L16" s="3" t="s">
        <v>27</v>
      </c>
      <c r="M16" s="3" t="s">
        <v>28</v>
      </c>
      <c r="N16" s="3" t="s">
        <v>27</v>
      </c>
      <c r="O16" s="3" t="s">
        <v>27</v>
      </c>
      <c r="P16" s="3" t="s">
        <v>28</v>
      </c>
      <c r="Q16" s="3" t="s">
        <v>28</v>
      </c>
      <c r="R16" s="3" t="s">
        <v>27</v>
      </c>
      <c r="S16" s="3" t="s">
        <v>27</v>
      </c>
      <c r="T16" s="3" t="s">
        <v>27</v>
      </c>
    </row>
    <row r="17" spans="1:20" ht="409.6">
      <c r="A17" s="3">
        <v>2771392</v>
      </c>
      <c r="B17" s="3">
        <f>HYPERLINK("https://platform.v2.vetology.net/cases/2771392/screening-report/6?type=pdf&amp;v=v6&amp;scorecard=1&amp;secret_key=BX%25IJ%24%2F65ieZ%29f6", 2771392)</f>
        <v>2771392</v>
      </c>
      <c r="C17" s="3">
        <f>HYPERLINK("https://platform.v2.vetology.net/report/v/final/"&amp;2771392, 2771392)</f>
        <v>2771392</v>
      </c>
      <c r="D17" s="3" t="s">
        <v>110</v>
      </c>
      <c r="E17" s="3" t="s">
        <v>111</v>
      </c>
      <c r="F17" s="3" t="s">
        <v>22</v>
      </c>
      <c r="G17" s="3" t="s">
        <v>23</v>
      </c>
      <c r="H17" s="3" t="s">
        <v>112</v>
      </c>
      <c r="I17" s="3" t="s">
        <v>113</v>
      </c>
      <c r="J17" s="3" t="s">
        <v>114</v>
      </c>
      <c r="K17" s="3" t="s">
        <v>28</v>
      </c>
      <c r="L17" s="3" t="s">
        <v>28</v>
      </c>
      <c r="M17" s="3" t="s">
        <v>27</v>
      </c>
      <c r="N17" s="3" t="s">
        <v>28</v>
      </c>
      <c r="O17" s="3" t="s">
        <v>27</v>
      </c>
      <c r="P17" s="3" t="s">
        <v>27</v>
      </c>
      <c r="Q17" s="3" t="s">
        <v>27</v>
      </c>
      <c r="R17" s="3" t="s">
        <v>28</v>
      </c>
      <c r="S17" s="3" t="s">
        <v>28</v>
      </c>
      <c r="T17" s="3" t="s">
        <v>28</v>
      </c>
    </row>
    <row r="18" spans="1:20" ht="409.6">
      <c r="A18" s="3">
        <v>2771378</v>
      </c>
      <c r="B18" s="3">
        <f>HYPERLINK("https://platform.v2.vetology.net/cases/2771378/screening-report/6?type=pdf&amp;v=v6&amp;scorecard=1&amp;secret_key=BX%25IJ%24%2F65ieZ%29f6", 2771378)</f>
        <v>2771378</v>
      </c>
      <c r="C18" s="3">
        <f>HYPERLINK("https://platform.v2.vetology.net/report/v/final/"&amp;2771378, 2771378)</f>
        <v>2771378</v>
      </c>
      <c r="D18" s="3" t="s">
        <v>115</v>
      </c>
      <c r="E18" s="3" t="s">
        <v>116</v>
      </c>
      <c r="F18" s="3" t="s">
        <v>117</v>
      </c>
      <c r="G18" s="3" t="s">
        <v>64</v>
      </c>
      <c r="H18" s="3" t="s">
        <v>118</v>
      </c>
      <c r="I18" s="3" t="s">
        <v>32</v>
      </c>
      <c r="J18" s="3" t="s">
        <v>119</v>
      </c>
      <c r="K18" s="3" t="s">
        <v>28</v>
      </c>
      <c r="L18" s="3" t="s">
        <v>28</v>
      </c>
      <c r="M18" s="3" t="s">
        <v>28</v>
      </c>
      <c r="N18" s="3" t="s">
        <v>28</v>
      </c>
      <c r="O18" s="3" t="s">
        <v>28</v>
      </c>
      <c r="P18" s="3" t="s">
        <v>28</v>
      </c>
      <c r="Q18" s="3" t="s">
        <v>28</v>
      </c>
      <c r="R18" s="3" t="s">
        <v>28</v>
      </c>
      <c r="S18" s="3" t="s">
        <v>28</v>
      </c>
      <c r="T18" s="3" t="s">
        <v>28</v>
      </c>
    </row>
    <row r="19" spans="1:20" ht="336">
      <c r="A19" s="3">
        <v>2771369</v>
      </c>
      <c r="B19" s="3">
        <f>HYPERLINK("https://platform.v2.vetology.net/cases/2771369/screening-report/6?type=pdf&amp;v=v6&amp;scorecard=1&amp;secret_key=BX%25IJ%24%2F65ieZ%29f6", 2771369)</f>
        <v>2771369</v>
      </c>
      <c r="C19" s="3">
        <f>HYPERLINK("https://platform.v2.vetology.net/report/v/final/"&amp;2771369, 2771369)</f>
        <v>2771369</v>
      </c>
      <c r="D19" s="3" t="s">
        <v>120</v>
      </c>
      <c r="E19" s="3" t="s">
        <v>121</v>
      </c>
      <c r="F19" s="3"/>
      <c r="G19" s="3" t="s">
        <v>122</v>
      </c>
      <c r="H19" s="3" t="s">
        <v>123</v>
      </c>
      <c r="I19" s="3" t="s">
        <v>124</v>
      </c>
      <c r="J19" s="3" t="s">
        <v>125</v>
      </c>
      <c r="K19" s="3" t="s">
        <v>27</v>
      </c>
      <c r="L19" s="3" t="s">
        <v>28</v>
      </c>
      <c r="M19" s="3" t="s">
        <v>27</v>
      </c>
      <c r="N19" s="3" t="s">
        <v>28</v>
      </c>
      <c r="O19" s="3" t="s">
        <v>27</v>
      </c>
      <c r="P19" s="3" t="s">
        <v>28</v>
      </c>
      <c r="Q19" s="3" t="s">
        <v>27</v>
      </c>
      <c r="R19" s="3" t="s">
        <v>28</v>
      </c>
      <c r="S19" s="3" t="s">
        <v>28</v>
      </c>
      <c r="T19" s="3" t="s">
        <v>28</v>
      </c>
    </row>
    <row r="20" spans="1:20" ht="409.6">
      <c r="A20" s="3">
        <v>2771353</v>
      </c>
      <c r="B20" s="3">
        <f>HYPERLINK("https://platform.v2.vetology.net/cases/2771353/screening-report/6?type=pdf&amp;v=v6&amp;scorecard=1&amp;secret_key=BX%25IJ%24%2F65ieZ%29f6", 2771353)</f>
        <v>2771353</v>
      </c>
      <c r="C20" s="3">
        <f>HYPERLINK("https://platform.v2.vetology.net/report/v/final/"&amp;2771353, 2771353)</f>
        <v>2771353</v>
      </c>
      <c r="D20" s="3" t="s">
        <v>126</v>
      </c>
      <c r="E20" s="3" t="s">
        <v>127</v>
      </c>
      <c r="F20" s="3" t="s">
        <v>128</v>
      </c>
      <c r="G20" s="3" t="s">
        <v>64</v>
      </c>
      <c r="H20" s="3" t="s">
        <v>31</v>
      </c>
      <c r="I20" s="3" t="s">
        <v>129</v>
      </c>
      <c r="J20" s="3" t="s">
        <v>119</v>
      </c>
      <c r="K20" s="3" t="s">
        <v>28</v>
      </c>
      <c r="L20" s="3" t="s">
        <v>28</v>
      </c>
      <c r="M20" s="3" t="s">
        <v>28</v>
      </c>
      <c r="N20" s="3" t="s">
        <v>28</v>
      </c>
      <c r="O20" s="3" t="s">
        <v>27</v>
      </c>
      <c r="P20" s="3" t="s">
        <v>28</v>
      </c>
      <c r="Q20" s="3" t="s">
        <v>28</v>
      </c>
      <c r="R20" s="3" t="s">
        <v>28</v>
      </c>
      <c r="S20" s="3" t="s">
        <v>28</v>
      </c>
      <c r="T20" s="3" t="s">
        <v>28</v>
      </c>
    </row>
    <row r="21" spans="1:20" ht="409.6">
      <c r="A21" s="3">
        <v>2771335</v>
      </c>
      <c r="B21" s="3">
        <f>HYPERLINK("https://platform.v2.vetology.net/cases/2771335/screening-report/6?type=pdf&amp;v=v6&amp;scorecard=1&amp;secret_key=BX%25IJ%24%2F65ieZ%29f6", 2771335)</f>
        <v>2771335</v>
      </c>
      <c r="C21" s="3">
        <f>HYPERLINK("https://platform.v2.vetology.net/report/v/final/"&amp;2771335, 2771335)</f>
        <v>2771335</v>
      </c>
      <c r="D21" s="3" t="s">
        <v>130</v>
      </c>
      <c r="E21" s="3" t="s">
        <v>131</v>
      </c>
      <c r="F21" s="3" t="s">
        <v>22</v>
      </c>
      <c r="G21" s="3" t="s">
        <v>23</v>
      </c>
      <c r="H21" s="3" t="s">
        <v>132</v>
      </c>
      <c r="I21" s="3" t="s">
        <v>113</v>
      </c>
      <c r="J21" s="3" t="s">
        <v>114</v>
      </c>
      <c r="K21" s="3" t="s">
        <v>27</v>
      </c>
      <c r="L21" s="3" t="s">
        <v>28</v>
      </c>
      <c r="M21" s="3" t="s">
        <v>28</v>
      </c>
      <c r="N21" s="3" t="s">
        <v>28</v>
      </c>
      <c r="O21" s="3" t="s">
        <v>27</v>
      </c>
      <c r="P21" s="3" t="s">
        <v>27</v>
      </c>
      <c r="Q21" s="3" t="s">
        <v>27</v>
      </c>
      <c r="R21" s="3" t="s">
        <v>28</v>
      </c>
      <c r="S21" s="3" t="s">
        <v>28</v>
      </c>
      <c r="T21" s="3" t="s">
        <v>28</v>
      </c>
    </row>
    <row r="22" spans="1:20" ht="381.75">
      <c r="A22" s="3">
        <v>2771299</v>
      </c>
      <c r="B22" s="3">
        <f>HYPERLINK("https://platform.v2.vetology.net/cases/2771299/screening-report/6?type=pdf&amp;v=v6&amp;scorecard=1&amp;secret_key=BX%25IJ%24%2F65ieZ%29f6", 2771299)</f>
        <v>2771299</v>
      </c>
      <c r="C22" s="3">
        <f>HYPERLINK("https://platform.v2.vetology.net/report/v/final/"&amp;2771299, 2771299)</f>
        <v>2771299</v>
      </c>
      <c r="D22" s="3" t="s">
        <v>133</v>
      </c>
      <c r="E22" s="3" t="s">
        <v>134</v>
      </c>
      <c r="F22" s="3" t="s">
        <v>22</v>
      </c>
      <c r="G22" s="3" t="s">
        <v>23</v>
      </c>
      <c r="H22" s="3" t="s">
        <v>135</v>
      </c>
      <c r="I22" s="3" t="s">
        <v>136</v>
      </c>
      <c r="J22" s="3" t="s">
        <v>137</v>
      </c>
      <c r="K22" s="3" t="s">
        <v>27</v>
      </c>
      <c r="L22" s="3" t="s">
        <v>28</v>
      </c>
      <c r="M22" s="3" t="s">
        <v>27</v>
      </c>
      <c r="N22" s="3" t="s">
        <v>28</v>
      </c>
      <c r="O22" s="3" t="s">
        <v>27</v>
      </c>
      <c r="P22" s="3" t="s">
        <v>28</v>
      </c>
      <c r="Q22" s="3" t="s">
        <v>27</v>
      </c>
      <c r="R22" s="3" t="s">
        <v>27</v>
      </c>
      <c r="S22" s="3" t="s">
        <v>28</v>
      </c>
      <c r="T22" s="3" t="s">
        <v>27</v>
      </c>
    </row>
    <row r="23" spans="1:20" ht="409.6">
      <c r="A23" s="3">
        <v>2771290</v>
      </c>
      <c r="B23" s="3">
        <f>HYPERLINK("https://platform.v2.vetology.net/cases/2771290/screening-report/6?type=pdf&amp;v=v6&amp;scorecard=1&amp;secret_key=BX%25IJ%24%2F65ieZ%29f6", 2771290)</f>
        <v>2771290</v>
      </c>
      <c r="C23" s="3">
        <f>HYPERLINK("https://platform.v2.vetology.net/report/v/final/"&amp;2771290, 2771290)</f>
        <v>2771290</v>
      </c>
      <c r="D23" s="3" t="s">
        <v>138</v>
      </c>
      <c r="E23" s="3" t="s">
        <v>139</v>
      </c>
      <c r="F23" s="3" t="s">
        <v>140</v>
      </c>
      <c r="G23" s="3" t="s">
        <v>64</v>
      </c>
      <c r="H23" s="3" t="s">
        <v>141</v>
      </c>
      <c r="I23" s="3" t="s">
        <v>142</v>
      </c>
      <c r="J23" s="3" t="s">
        <v>143</v>
      </c>
      <c r="K23" s="3" t="s">
        <v>28</v>
      </c>
      <c r="L23" s="3" t="s">
        <v>28</v>
      </c>
      <c r="M23" s="3" t="s">
        <v>28</v>
      </c>
      <c r="N23" s="3" t="s">
        <v>28</v>
      </c>
      <c r="O23" s="3" t="s">
        <v>27</v>
      </c>
      <c r="P23" s="3" t="s">
        <v>28</v>
      </c>
      <c r="Q23" s="3" t="s">
        <v>28</v>
      </c>
      <c r="R23" s="3" t="s">
        <v>28</v>
      </c>
      <c r="S23" s="3" t="s">
        <v>28</v>
      </c>
      <c r="T23" s="3" t="s">
        <v>27</v>
      </c>
    </row>
    <row r="24" spans="1:20" ht="409.6">
      <c r="A24" s="3">
        <v>2771282</v>
      </c>
      <c r="B24" s="3">
        <f>HYPERLINK("https://platform.v2.vetology.net/cases/2771282/screening-report/6?type=pdf&amp;v=v6&amp;scorecard=1&amp;secret_key=BX%25IJ%24%2F65ieZ%29f6", 2771282)</f>
        <v>2771282</v>
      </c>
      <c r="C24" s="3">
        <f>HYPERLINK("https://platform.v2.vetology.net/report/v/final/"&amp;2771282, 2771282)</f>
        <v>2771282</v>
      </c>
      <c r="D24" s="3" t="s">
        <v>144</v>
      </c>
      <c r="E24" s="3" t="s">
        <v>145</v>
      </c>
      <c r="F24" s="3" t="s">
        <v>22</v>
      </c>
      <c r="G24" s="3" t="s">
        <v>23</v>
      </c>
      <c r="H24" s="3" t="s">
        <v>146</v>
      </c>
      <c r="I24" s="3" t="s">
        <v>147</v>
      </c>
      <c r="J24" s="3" t="s">
        <v>148</v>
      </c>
      <c r="K24" s="3" t="s">
        <v>28</v>
      </c>
      <c r="L24" s="3" t="s">
        <v>28</v>
      </c>
      <c r="M24" s="3" t="s">
        <v>28</v>
      </c>
      <c r="N24" s="3" t="s">
        <v>28</v>
      </c>
      <c r="O24" s="3" t="s">
        <v>27</v>
      </c>
      <c r="P24" s="3" t="s">
        <v>27</v>
      </c>
      <c r="Q24" s="3" t="s">
        <v>28</v>
      </c>
      <c r="R24" s="3" t="s">
        <v>28</v>
      </c>
      <c r="S24" s="3" t="s">
        <v>28</v>
      </c>
      <c r="T24" s="3" t="s">
        <v>28</v>
      </c>
    </row>
    <row r="25" spans="1:20" ht="409.6">
      <c r="A25" s="3">
        <v>2771269</v>
      </c>
      <c r="B25" s="3">
        <f>HYPERLINK("https://platform.v2.vetology.net/cases/2771269/screening-report/6?type=pdf&amp;v=v6&amp;scorecard=1&amp;secret_key=BX%25IJ%24%2F65ieZ%29f6", 2771269)</f>
        <v>2771269</v>
      </c>
      <c r="C25" s="3">
        <f>HYPERLINK("https://platform.v2.vetology.net/report/v/final/"&amp;2771269, 2771269)</f>
        <v>2771269</v>
      </c>
      <c r="D25" s="3" t="s">
        <v>149</v>
      </c>
      <c r="E25" s="3" t="s">
        <v>150</v>
      </c>
      <c r="F25" s="3" t="s">
        <v>151</v>
      </c>
      <c r="G25" s="3" t="s">
        <v>64</v>
      </c>
      <c r="H25" s="3" t="s">
        <v>152</v>
      </c>
      <c r="I25" s="3" t="s">
        <v>153</v>
      </c>
      <c r="J25" s="3" t="s">
        <v>154</v>
      </c>
      <c r="K25" s="3" t="s">
        <v>28</v>
      </c>
      <c r="L25" s="3" t="s">
        <v>28</v>
      </c>
      <c r="M25" s="3" t="s">
        <v>28</v>
      </c>
      <c r="N25" s="3" t="s">
        <v>28</v>
      </c>
      <c r="O25" s="3" t="s">
        <v>27</v>
      </c>
      <c r="P25" s="3" t="s">
        <v>27</v>
      </c>
      <c r="Q25" s="3" t="s">
        <v>27</v>
      </c>
      <c r="R25" s="3" t="s">
        <v>28</v>
      </c>
      <c r="S25" s="3" t="s">
        <v>28</v>
      </c>
      <c r="T25" s="3" t="s">
        <v>28</v>
      </c>
    </row>
    <row r="26" spans="1:20" ht="336">
      <c r="A26" s="3">
        <v>2771263</v>
      </c>
      <c r="B26" s="3">
        <f>HYPERLINK("https://platform.v2.vetology.net/cases/2771263/screening-report/6?type=pdf&amp;v=v6&amp;scorecard=1&amp;secret_key=BX%25IJ%24%2F65ieZ%29f6", 2771263)</f>
        <v>2771263</v>
      </c>
      <c r="C26" s="3">
        <f>HYPERLINK("https://platform.v2.vetology.net/report/v/final/"&amp;2771263, 2771263)</f>
        <v>2771263</v>
      </c>
      <c r="D26" s="3" t="s">
        <v>155</v>
      </c>
      <c r="E26" s="3" t="s">
        <v>156</v>
      </c>
      <c r="F26" s="3" t="s">
        <v>157</v>
      </c>
      <c r="G26" s="3" t="s">
        <v>64</v>
      </c>
      <c r="H26" s="3" t="s">
        <v>158</v>
      </c>
      <c r="I26" s="3" t="s">
        <v>32</v>
      </c>
      <c r="J26" s="3" t="s">
        <v>33</v>
      </c>
      <c r="K26" s="3" t="s">
        <v>28</v>
      </c>
      <c r="L26" s="3" t="s">
        <v>28</v>
      </c>
      <c r="M26" s="3" t="s">
        <v>28</v>
      </c>
      <c r="N26" s="3" t="s">
        <v>28</v>
      </c>
      <c r="O26" s="3" t="s">
        <v>28</v>
      </c>
      <c r="P26" s="3" t="s">
        <v>28</v>
      </c>
      <c r="Q26" s="3" t="s">
        <v>28</v>
      </c>
      <c r="R26" s="3" t="s">
        <v>28</v>
      </c>
      <c r="S26" s="3" t="s">
        <v>28</v>
      </c>
      <c r="T26" s="3" t="s">
        <v>28</v>
      </c>
    </row>
    <row r="27" spans="1:20" ht="409.6">
      <c r="A27" s="3">
        <v>2771129</v>
      </c>
      <c r="B27" s="3">
        <f>HYPERLINK("https://platform.v2.vetology.net/cases/2771129/screening-report/6?type=pdf&amp;v=v6&amp;scorecard=1&amp;secret_key=BX%25IJ%24%2F65ieZ%29f6", 2771129)</f>
        <v>2771129</v>
      </c>
      <c r="C27" s="3">
        <f>HYPERLINK("https://platform.v2.vetology.net/report/v/final/"&amp;2771129, 2771129)</f>
        <v>2771129</v>
      </c>
      <c r="D27" s="3" t="s">
        <v>159</v>
      </c>
      <c r="E27" s="3" t="s">
        <v>160</v>
      </c>
      <c r="F27" s="3" t="s">
        <v>161</v>
      </c>
      <c r="G27" s="3" t="s">
        <v>64</v>
      </c>
      <c r="H27" s="3" t="s">
        <v>162</v>
      </c>
      <c r="I27" s="3" t="s">
        <v>163</v>
      </c>
      <c r="J27" s="3" t="s">
        <v>164</v>
      </c>
      <c r="K27" s="3" t="s">
        <v>28</v>
      </c>
      <c r="L27" s="3" t="s">
        <v>27</v>
      </c>
      <c r="M27" s="3" t="s">
        <v>28</v>
      </c>
      <c r="N27" s="3" t="s">
        <v>28</v>
      </c>
      <c r="O27" s="3" t="s">
        <v>28</v>
      </c>
      <c r="P27" s="3" t="s">
        <v>28</v>
      </c>
      <c r="Q27" s="3" t="s">
        <v>28</v>
      </c>
      <c r="R27" s="3" t="s">
        <v>28</v>
      </c>
      <c r="S27" s="3" t="s">
        <v>28</v>
      </c>
      <c r="T27" s="3" t="s">
        <v>27</v>
      </c>
    </row>
    <row r="28" spans="1:20" ht="409.6">
      <c r="A28" s="3">
        <v>2771079</v>
      </c>
      <c r="B28" s="3">
        <f>HYPERLINK("https://platform.v2.vetology.net/cases/2771079/screening-report/6?type=pdf&amp;v=v6&amp;scorecard=1&amp;secret_key=BX%25IJ%24%2F65ieZ%29f6", 2771079)</f>
        <v>2771079</v>
      </c>
      <c r="C28" s="3">
        <f>HYPERLINK("https://platform.v2.vetology.net/report/v/final/"&amp;2771079, 2771079)</f>
        <v>2771079</v>
      </c>
      <c r="D28" s="3" t="s">
        <v>165</v>
      </c>
      <c r="E28" s="3" t="s">
        <v>166</v>
      </c>
      <c r="F28" s="3" t="s">
        <v>167</v>
      </c>
      <c r="G28" s="3" t="s">
        <v>64</v>
      </c>
      <c r="H28" s="3" t="s">
        <v>141</v>
      </c>
      <c r="I28" s="3" t="s">
        <v>142</v>
      </c>
      <c r="J28" s="3" t="s">
        <v>143</v>
      </c>
      <c r="K28" s="3" t="s">
        <v>28</v>
      </c>
      <c r="L28" s="3" t="s">
        <v>28</v>
      </c>
      <c r="M28" s="3" t="s">
        <v>28</v>
      </c>
      <c r="N28" s="3" t="s">
        <v>28</v>
      </c>
      <c r="O28" s="3" t="s">
        <v>27</v>
      </c>
      <c r="P28" s="3" t="s">
        <v>28</v>
      </c>
      <c r="Q28" s="3" t="s">
        <v>28</v>
      </c>
      <c r="R28" s="3" t="s">
        <v>28</v>
      </c>
      <c r="S28" s="3" t="s">
        <v>28</v>
      </c>
      <c r="T28" s="3" t="s">
        <v>27</v>
      </c>
    </row>
    <row r="29" spans="1:20" ht="409.6">
      <c r="A29" s="3">
        <v>2770991</v>
      </c>
      <c r="B29" s="3">
        <f>HYPERLINK("https://platform.v2.vetology.net/cases/2770991/screening-report/6?type=pdf&amp;v=v6&amp;scorecard=1&amp;secret_key=BX%25IJ%24%2F65ieZ%29f6", 2770991)</f>
        <v>2770991</v>
      </c>
      <c r="C29" s="3">
        <f>HYPERLINK("https://platform.v2.vetology.net/report/v/final/"&amp;2770991, 2770991)</f>
        <v>2770991</v>
      </c>
      <c r="D29" s="3" t="s">
        <v>168</v>
      </c>
      <c r="E29" s="3" t="s">
        <v>169</v>
      </c>
      <c r="F29" s="3" t="s">
        <v>170</v>
      </c>
      <c r="G29" s="3" t="s">
        <v>64</v>
      </c>
      <c r="H29" s="3" t="s">
        <v>171</v>
      </c>
      <c r="I29" s="3" t="s">
        <v>172</v>
      </c>
      <c r="J29" s="3" t="s">
        <v>109</v>
      </c>
      <c r="K29" s="3" t="s">
        <v>27</v>
      </c>
      <c r="L29" s="3" t="s">
        <v>27</v>
      </c>
      <c r="M29" s="3" t="s">
        <v>27</v>
      </c>
      <c r="N29" s="3" t="s">
        <v>27</v>
      </c>
      <c r="O29" s="3" t="s">
        <v>27</v>
      </c>
      <c r="P29" s="3" t="s">
        <v>28</v>
      </c>
      <c r="Q29" s="3" t="s">
        <v>27</v>
      </c>
      <c r="R29" s="3" t="s">
        <v>27</v>
      </c>
      <c r="S29" s="3" t="s">
        <v>27</v>
      </c>
      <c r="T29" s="3" t="s">
        <v>27</v>
      </c>
    </row>
    <row r="30" spans="1:20" ht="409.6">
      <c r="A30" s="3">
        <v>2770948</v>
      </c>
      <c r="B30" s="3">
        <f>HYPERLINK("https://platform.v2.vetology.net/cases/2770948/screening-report/6?type=pdf&amp;v=v6&amp;scorecard=1&amp;secret_key=BX%25IJ%24%2F65ieZ%29f6", 2770948)</f>
        <v>2770948</v>
      </c>
      <c r="C30" s="3">
        <f>HYPERLINK("https://platform.v2.vetology.net/report/v/final/"&amp;2770948, 2770948)</f>
        <v>2770948</v>
      </c>
      <c r="D30" s="3" t="s">
        <v>173</v>
      </c>
      <c r="E30" s="3" t="s">
        <v>174</v>
      </c>
      <c r="F30" s="3" t="s">
        <v>175</v>
      </c>
      <c r="G30" s="3" t="s">
        <v>64</v>
      </c>
      <c r="H30" s="3" t="s">
        <v>141</v>
      </c>
      <c r="I30" s="3" t="s">
        <v>142</v>
      </c>
      <c r="J30" s="3" t="s">
        <v>143</v>
      </c>
      <c r="K30" s="3" t="s">
        <v>28</v>
      </c>
      <c r="L30" s="3" t="s">
        <v>28</v>
      </c>
      <c r="M30" s="3" t="s">
        <v>27</v>
      </c>
      <c r="N30" s="3" t="s">
        <v>28</v>
      </c>
      <c r="O30" s="3" t="s">
        <v>27</v>
      </c>
      <c r="P30" s="3" t="s">
        <v>28</v>
      </c>
      <c r="Q30" s="3" t="s">
        <v>28</v>
      </c>
      <c r="R30" s="3" t="s">
        <v>28</v>
      </c>
      <c r="S30" s="3" t="s">
        <v>28</v>
      </c>
      <c r="T30" s="3" t="s">
        <v>27</v>
      </c>
    </row>
    <row r="31" spans="1:20" ht="409.6">
      <c r="A31" s="3">
        <v>2770945</v>
      </c>
      <c r="B31" s="3">
        <f>HYPERLINK("https://platform.v2.vetology.net/cases/2770945/screening-report/6?type=pdf&amp;v=v6&amp;scorecard=1&amp;secret_key=BX%25IJ%24%2F65ieZ%29f6", 2770945)</f>
        <v>2770945</v>
      </c>
      <c r="C31" s="3">
        <f>HYPERLINK("https://platform.v2.vetology.net/report/v/final/"&amp;2770945, 2770945)</f>
        <v>2770945</v>
      </c>
      <c r="D31" s="3" t="s">
        <v>176</v>
      </c>
      <c r="E31" s="3" t="s">
        <v>177</v>
      </c>
      <c r="F31" s="3" t="s">
        <v>178</v>
      </c>
      <c r="G31" s="3" t="s">
        <v>179</v>
      </c>
      <c r="H31" s="3" t="s">
        <v>180</v>
      </c>
      <c r="I31" s="3" t="s">
        <v>181</v>
      </c>
      <c r="J31" s="3" t="s">
        <v>182</v>
      </c>
      <c r="K31" s="3" t="s">
        <v>27</v>
      </c>
      <c r="L31" s="3" t="s">
        <v>27</v>
      </c>
      <c r="M31" s="3" t="s">
        <v>28</v>
      </c>
      <c r="N31" s="3" t="s">
        <v>27</v>
      </c>
      <c r="O31" s="3" t="s">
        <v>27</v>
      </c>
      <c r="P31" s="3" t="s">
        <v>27</v>
      </c>
      <c r="Q31" s="3" t="s">
        <v>28</v>
      </c>
      <c r="R31" s="3" t="s">
        <v>27</v>
      </c>
      <c r="S31" s="3" t="s">
        <v>27</v>
      </c>
      <c r="T31" s="3" t="s">
        <v>27</v>
      </c>
    </row>
    <row r="32" spans="1:20" ht="366">
      <c r="A32" s="3">
        <v>2770878</v>
      </c>
      <c r="B32" s="3">
        <f>HYPERLINK("https://platform.v2.vetology.net/cases/2770878/screening-report/6?type=pdf&amp;v=v6&amp;scorecard=1&amp;secret_key=BX%25IJ%24%2F65ieZ%29f6", 2770878)</f>
        <v>2770878</v>
      </c>
      <c r="C32" s="3">
        <f>HYPERLINK("https://platform.v2.vetology.net/report/v/final/"&amp;2770878, 2770878)</f>
        <v>2770878</v>
      </c>
      <c r="D32" s="3" t="s">
        <v>183</v>
      </c>
      <c r="E32" s="3" t="s">
        <v>184</v>
      </c>
      <c r="F32" s="3" t="s">
        <v>185</v>
      </c>
      <c r="G32" s="3" t="s">
        <v>186</v>
      </c>
      <c r="H32" s="3" t="s">
        <v>187</v>
      </c>
      <c r="I32" s="3" t="s">
        <v>188</v>
      </c>
      <c r="J32" s="3" t="s">
        <v>189</v>
      </c>
      <c r="K32" s="3" t="s">
        <v>28</v>
      </c>
      <c r="L32" s="3" t="s">
        <v>28</v>
      </c>
      <c r="M32" s="3" t="s">
        <v>28</v>
      </c>
      <c r="N32" s="3" t="s">
        <v>28</v>
      </c>
      <c r="O32" s="3" t="s">
        <v>27</v>
      </c>
      <c r="P32" s="3" t="s">
        <v>28</v>
      </c>
      <c r="Q32" s="3" t="s">
        <v>27</v>
      </c>
      <c r="R32" s="3" t="s">
        <v>28</v>
      </c>
      <c r="S32" s="3" t="s">
        <v>28</v>
      </c>
      <c r="T32" s="3" t="s">
        <v>28</v>
      </c>
    </row>
    <row r="33" spans="1:20" ht="409.6">
      <c r="A33" s="3">
        <v>2770777</v>
      </c>
      <c r="B33" s="3">
        <f>HYPERLINK("https://platform.v2.vetology.net/cases/2770777/screening-report/6?type=pdf&amp;v=v6&amp;scorecard=1&amp;secret_key=BX%25IJ%24%2F65ieZ%29f6", 2770777)</f>
        <v>2770777</v>
      </c>
      <c r="C33" s="3">
        <f>HYPERLINK("https://platform.v2.vetology.net/report/v/final/"&amp;2770777, 2770777)</f>
        <v>2770777</v>
      </c>
      <c r="D33" s="3" t="s">
        <v>190</v>
      </c>
      <c r="E33" s="3" t="s">
        <v>191</v>
      </c>
      <c r="F33" s="3" t="s">
        <v>192</v>
      </c>
      <c r="G33" s="3" t="s">
        <v>64</v>
      </c>
      <c r="H33" s="3" t="s">
        <v>193</v>
      </c>
      <c r="I33" s="3" t="s">
        <v>194</v>
      </c>
      <c r="J33" s="3" t="s">
        <v>195</v>
      </c>
      <c r="K33" s="3" t="s">
        <v>28</v>
      </c>
      <c r="L33" s="3" t="s">
        <v>27</v>
      </c>
      <c r="M33" s="3" t="s">
        <v>28</v>
      </c>
      <c r="N33" s="3" t="s">
        <v>27</v>
      </c>
      <c r="O33" s="3" t="s">
        <v>27</v>
      </c>
      <c r="P33" s="3" t="s">
        <v>28</v>
      </c>
      <c r="Q33" s="3" t="s">
        <v>28</v>
      </c>
      <c r="R33" s="3" t="s">
        <v>27</v>
      </c>
      <c r="S33" s="3" t="s">
        <v>27</v>
      </c>
      <c r="T33" s="3" t="s">
        <v>27</v>
      </c>
    </row>
    <row r="34" spans="1:20" ht="409.6">
      <c r="A34" s="3">
        <v>2770753</v>
      </c>
      <c r="B34" s="3">
        <f>HYPERLINK("https://platform.v2.vetology.net/cases/2770753/screening-report/6?type=pdf&amp;v=v6&amp;scorecard=1&amp;secret_key=BX%25IJ%24%2F65ieZ%29f6", 2770753)</f>
        <v>2770753</v>
      </c>
      <c r="C34" s="3">
        <f>HYPERLINK("https://platform.v2.vetology.net/report/v/final/"&amp;2770753, 2770753)</f>
        <v>2770753</v>
      </c>
      <c r="D34" s="3" t="s">
        <v>196</v>
      </c>
      <c r="E34" s="3" t="s">
        <v>197</v>
      </c>
      <c r="F34" s="3" t="s">
        <v>198</v>
      </c>
      <c r="G34" s="3" t="s">
        <v>64</v>
      </c>
      <c r="H34" s="3" t="s">
        <v>199</v>
      </c>
      <c r="I34" s="3" t="s">
        <v>200</v>
      </c>
      <c r="J34" s="3" t="s">
        <v>201</v>
      </c>
      <c r="K34" s="3" t="s">
        <v>27</v>
      </c>
      <c r="L34" s="3" t="s">
        <v>28</v>
      </c>
      <c r="M34" s="3" t="s">
        <v>28</v>
      </c>
      <c r="N34" s="3" t="s">
        <v>28</v>
      </c>
      <c r="O34" s="3" t="s">
        <v>27</v>
      </c>
      <c r="P34" s="3" t="s">
        <v>28</v>
      </c>
      <c r="Q34" s="3" t="s">
        <v>28</v>
      </c>
      <c r="R34" s="3" t="s">
        <v>28</v>
      </c>
      <c r="S34" s="3" t="s">
        <v>28</v>
      </c>
      <c r="T34" s="3" t="s">
        <v>28</v>
      </c>
    </row>
    <row r="35" spans="1:20" ht="409.6">
      <c r="A35" s="3">
        <v>2770739</v>
      </c>
      <c r="B35" s="3">
        <f>HYPERLINK("https://platform.v2.vetology.net/cases/2770739/screening-report/6?type=pdf&amp;v=v6&amp;scorecard=1&amp;secret_key=BX%25IJ%24%2F65ieZ%29f6", 2770739)</f>
        <v>2770739</v>
      </c>
      <c r="C35" s="3">
        <f>HYPERLINK("https://platform.v2.vetology.net/report/v/final/"&amp;2770739, 2770739)</f>
        <v>2770739</v>
      </c>
      <c r="D35" s="3" t="s">
        <v>202</v>
      </c>
      <c r="E35" s="3" t="s">
        <v>203</v>
      </c>
      <c r="F35" s="3" t="s">
        <v>204</v>
      </c>
      <c r="G35" s="3" t="s">
        <v>64</v>
      </c>
      <c r="H35" s="3" t="s">
        <v>205</v>
      </c>
      <c r="I35" s="3" t="s">
        <v>206</v>
      </c>
      <c r="J35" s="3" t="s">
        <v>207</v>
      </c>
      <c r="K35" s="3" t="s">
        <v>27</v>
      </c>
      <c r="L35" s="3" t="s">
        <v>28</v>
      </c>
      <c r="M35" s="3" t="s">
        <v>27</v>
      </c>
      <c r="N35" s="3" t="s">
        <v>28</v>
      </c>
      <c r="O35" s="3" t="s">
        <v>27</v>
      </c>
      <c r="P35" s="3" t="s">
        <v>27</v>
      </c>
      <c r="Q35" s="3" t="s">
        <v>28</v>
      </c>
      <c r="R35" s="3" t="s">
        <v>28</v>
      </c>
      <c r="S35" s="3" t="s">
        <v>28</v>
      </c>
      <c r="T35" s="3" t="s">
        <v>28</v>
      </c>
    </row>
    <row r="36" spans="1:20" ht="409.6">
      <c r="A36" s="3">
        <v>2770723</v>
      </c>
      <c r="B36" s="3">
        <f>HYPERLINK("https://platform.v2.vetology.net/cases/2770723/screening-report/6?type=pdf&amp;v=v6&amp;scorecard=1&amp;secret_key=BX%25IJ%24%2F65ieZ%29f6", 2770723)</f>
        <v>2770723</v>
      </c>
      <c r="C36" s="3">
        <f>HYPERLINK("https://platform.v2.vetology.net/report/v/final/"&amp;2770723, 2770723)</f>
        <v>2770723</v>
      </c>
      <c r="D36" s="3" t="s">
        <v>208</v>
      </c>
      <c r="E36" s="3" t="s">
        <v>209</v>
      </c>
      <c r="F36" s="3" t="s">
        <v>210</v>
      </c>
      <c r="G36" s="3" t="s">
        <v>211</v>
      </c>
      <c r="H36" s="3" t="s">
        <v>212</v>
      </c>
      <c r="I36" s="3" t="s">
        <v>213</v>
      </c>
      <c r="J36" s="3" t="s">
        <v>214</v>
      </c>
      <c r="K36" s="3" t="s">
        <v>28</v>
      </c>
      <c r="L36" s="3" t="s">
        <v>28</v>
      </c>
      <c r="M36" s="3" t="s">
        <v>28</v>
      </c>
      <c r="N36" s="3" t="s">
        <v>28</v>
      </c>
      <c r="O36" s="3" t="s">
        <v>28</v>
      </c>
      <c r="P36" s="3" t="s">
        <v>28</v>
      </c>
      <c r="Q36" s="3" t="s">
        <v>28</v>
      </c>
      <c r="R36" s="3" t="s">
        <v>28</v>
      </c>
      <c r="S36" s="3" t="s">
        <v>28</v>
      </c>
      <c r="T36" s="3" t="s">
        <v>28</v>
      </c>
    </row>
    <row r="37" spans="1:20" ht="381.75">
      <c r="A37" s="3">
        <v>2770715</v>
      </c>
      <c r="B37" s="3">
        <f>HYPERLINK("https://platform.v2.vetology.net/cases/2770715/screening-report/6?type=pdf&amp;v=v6&amp;scorecard=1&amp;secret_key=BX%25IJ%24%2F65ieZ%29f6", 2770715)</f>
        <v>2770715</v>
      </c>
      <c r="C37" s="3">
        <f>HYPERLINK("https://platform.v2.vetology.net/report/v/final/"&amp;2770715, 2770715)</f>
        <v>2770715</v>
      </c>
      <c r="D37" s="3" t="s">
        <v>215</v>
      </c>
      <c r="E37" s="3" t="s">
        <v>216</v>
      </c>
      <c r="F37" s="3" t="s">
        <v>217</v>
      </c>
      <c r="G37" s="3" t="s">
        <v>179</v>
      </c>
      <c r="H37" s="3" t="s">
        <v>218</v>
      </c>
      <c r="I37" s="3" t="s">
        <v>200</v>
      </c>
      <c r="J37" s="3" t="s">
        <v>219</v>
      </c>
      <c r="K37" s="3" t="s">
        <v>28</v>
      </c>
      <c r="L37" s="3" t="s">
        <v>28</v>
      </c>
      <c r="M37" s="3" t="s">
        <v>28</v>
      </c>
      <c r="N37" s="3" t="s">
        <v>28</v>
      </c>
      <c r="O37" s="3" t="s">
        <v>27</v>
      </c>
      <c r="P37" s="3" t="s">
        <v>28</v>
      </c>
      <c r="Q37" s="3" t="s">
        <v>28</v>
      </c>
      <c r="R37" s="3" t="s">
        <v>28</v>
      </c>
      <c r="S37" s="3" t="s">
        <v>28</v>
      </c>
      <c r="T37" s="3" t="s">
        <v>28</v>
      </c>
    </row>
    <row r="38" spans="1:20" ht="366">
      <c r="A38" s="3">
        <v>2770696</v>
      </c>
      <c r="B38" s="3">
        <f>HYPERLINK("https://platform.v2.vetology.net/cases/2770696/screening-report/6?type=pdf&amp;v=v6&amp;scorecard=1&amp;secret_key=BX%25IJ%24%2F65ieZ%29f6", 2770696)</f>
        <v>2770696</v>
      </c>
      <c r="C38" s="3">
        <f>HYPERLINK("https://platform.v2.vetology.net/report/v/final/"&amp;2770696, 2770696)</f>
        <v>2770696</v>
      </c>
      <c r="D38" s="3" t="s">
        <v>220</v>
      </c>
      <c r="E38" s="3" t="s">
        <v>221</v>
      </c>
      <c r="F38" s="3" t="s">
        <v>222</v>
      </c>
      <c r="G38" s="3" t="s">
        <v>186</v>
      </c>
      <c r="H38" s="3" t="s">
        <v>223</v>
      </c>
      <c r="I38" s="3" t="s">
        <v>224</v>
      </c>
      <c r="J38" s="3" t="s">
        <v>225</v>
      </c>
      <c r="K38" s="3" t="s">
        <v>28</v>
      </c>
      <c r="L38" s="3" t="s">
        <v>28</v>
      </c>
      <c r="M38" s="3" t="s">
        <v>28</v>
      </c>
      <c r="N38" s="3" t="s">
        <v>28</v>
      </c>
      <c r="O38" s="3" t="s">
        <v>27</v>
      </c>
      <c r="P38" s="3" t="s">
        <v>28</v>
      </c>
      <c r="Q38" s="3" t="s">
        <v>28</v>
      </c>
      <c r="R38" s="3" t="s">
        <v>28</v>
      </c>
      <c r="S38" s="3" t="s">
        <v>27</v>
      </c>
      <c r="T38" s="3" t="s">
        <v>27</v>
      </c>
    </row>
    <row r="39" spans="1:20" ht="409.6">
      <c r="A39" s="3">
        <v>2770695</v>
      </c>
      <c r="B39" s="3">
        <f>HYPERLINK("https://platform.v2.vetology.net/cases/2770695/screening-report/6?type=pdf&amp;v=v6&amp;scorecard=1&amp;secret_key=BX%25IJ%24%2F65ieZ%29f6", 2770695)</f>
        <v>2770695</v>
      </c>
      <c r="C39" s="3">
        <f>HYPERLINK("https://platform.v2.vetology.net/report/v/final/"&amp;2770695, 2770695)</f>
        <v>2770695</v>
      </c>
      <c r="D39" s="3" t="s">
        <v>226</v>
      </c>
      <c r="E39" s="3" t="s">
        <v>227</v>
      </c>
      <c r="F39" s="3" t="s">
        <v>228</v>
      </c>
      <c r="G39" s="3" t="s">
        <v>64</v>
      </c>
      <c r="H39" s="3" t="s">
        <v>158</v>
      </c>
      <c r="I39" s="3" t="s">
        <v>32</v>
      </c>
      <c r="J39" s="3" t="s">
        <v>33</v>
      </c>
      <c r="K39" s="3" t="s">
        <v>28</v>
      </c>
      <c r="L39" s="3" t="s">
        <v>28</v>
      </c>
      <c r="M39" s="3" t="s">
        <v>28</v>
      </c>
      <c r="N39" s="3" t="s">
        <v>27</v>
      </c>
      <c r="O39" s="3" t="s">
        <v>28</v>
      </c>
      <c r="P39" s="3" t="s">
        <v>28</v>
      </c>
      <c r="Q39" s="3" t="s">
        <v>28</v>
      </c>
      <c r="R39" s="3" t="s">
        <v>28</v>
      </c>
      <c r="S39" s="3" t="s">
        <v>28</v>
      </c>
      <c r="T39" s="3" t="s">
        <v>28</v>
      </c>
    </row>
    <row r="40" spans="1:20" ht="409.6">
      <c r="A40" s="3">
        <v>2770689</v>
      </c>
      <c r="B40" s="3">
        <f>HYPERLINK("https://platform.v2.vetology.net/cases/2770689/screening-report/6?type=pdf&amp;v=v6&amp;scorecard=1&amp;secret_key=BX%25IJ%24%2F65ieZ%29f6", 2770689)</f>
        <v>2770689</v>
      </c>
      <c r="C40" s="3">
        <f>HYPERLINK("https://platform.v2.vetology.net/report/v/final/"&amp;2770689, 2770689)</f>
        <v>2770689</v>
      </c>
      <c r="D40" s="3" t="s">
        <v>229</v>
      </c>
      <c r="E40" s="3" t="s">
        <v>230</v>
      </c>
      <c r="F40" s="3" t="s">
        <v>231</v>
      </c>
      <c r="G40" s="3" t="s">
        <v>64</v>
      </c>
      <c r="H40" s="3" t="s">
        <v>232</v>
      </c>
      <c r="I40" s="3" t="s">
        <v>233</v>
      </c>
      <c r="J40" s="3" t="s">
        <v>234</v>
      </c>
      <c r="K40" s="3" t="s">
        <v>28</v>
      </c>
      <c r="L40" s="3" t="s">
        <v>28</v>
      </c>
      <c r="M40" s="3" t="s">
        <v>27</v>
      </c>
      <c r="N40" s="3" t="s">
        <v>28</v>
      </c>
      <c r="O40" s="3" t="s">
        <v>27</v>
      </c>
      <c r="P40" s="3" t="s">
        <v>28</v>
      </c>
      <c r="Q40" s="3" t="s">
        <v>28</v>
      </c>
      <c r="R40" s="3" t="s">
        <v>28</v>
      </c>
      <c r="S40" s="3" t="s">
        <v>28</v>
      </c>
      <c r="T40" s="3" t="s">
        <v>28</v>
      </c>
    </row>
    <row r="41" spans="1:20" ht="409.6">
      <c r="A41" s="3">
        <v>2770688</v>
      </c>
      <c r="B41" s="3">
        <f>HYPERLINK("https://platform.v2.vetology.net/cases/2770688/screening-report/6?type=pdf&amp;v=v6&amp;scorecard=1&amp;secret_key=BX%25IJ%24%2F65ieZ%29f6", 2770688)</f>
        <v>2770688</v>
      </c>
      <c r="C41" s="3">
        <f>HYPERLINK("https://platform.v2.vetology.net/report/v/final/"&amp;2770688, 2770688)</f>
        <v>2770688</v>
      </c>
      <c r="D41" s="3" t="s">
        <v>235</v>
      </c>
      <c r="E41" s="3" t="s">
        <v>236</v>
      </c>
      <c r="F41" s="3" t="s">
        <v>237</v>
      </c>
      <c r="G41" s="3" t="s">
        <v>64</v>
      </c>
      <c r="H41" s="3" t="s">
        <v>238</v>
      </c>
      <c r="I41" s="3"/>
      <c r="J41" s="3" t="s">
        <v>207</v>
      </c>
      <c r="K41" s="3" t="s">
        <v>28</v>
      </c>
      <c r="L41" s="3" t="s">
        <v>28</v>
      </c>
      <c r="M41" s="3" t="s">
        <v>28</v>
      </c>
      <c r="N41" s="3" t="s">
        <v>28</v>
      </c>
      <c r="O41" s="3" t="s">
        <v>27</v>
      </c>
      <c r="P41" s="3" t="s">
        <v>28</v>
      </c>
      <c r="Q41" s="3" t="s">
        <v>28</v>
      </c>
      <c r="R41" s="3" t="s">
        <v>28</v>
      </c>
      <c r="S41" s="3" t="s">
        <v>28</v>
      </c>
      <c r="T41" s="3" t="s">
        <v>27</v>
      </c>
    </row>
    <row r="42" spans="1:20" ht="381.75">
      <c r="A42" s="3">
        <v>2770679</v>
      </c>
      <c r="B42" s="3">
        <f>HYPERLINK("https://platform.v2.vetology.net/cases/2770679/screening-report/6?type=pdf&amp;v=v6&amp;scorecard=1&amp;secret_key=BX%25IJ%24%2F65ieZ%29f6", 2770679)</f>
        <v>2770679</v>
      </c>
      <c r="C42" s="3">
        <f>HYPERLINK("https://platform.v2.vetology.net/report/v/final/"&amp;2770679, 2770679)</f>
        <v>2770679</v>
      </c>
      <c r="D42" s="3" t="s">
        <v>239</v>
      </c>
      <c r="E42" s="3" t="s">
        <v>240</v>
      </c>
      <c r="F42" s="3" t="s">
        <v>22</v>
      </c>
      <c r="G42" s="3" t="s">
        <v>100</v>
      </c>
      <c r="H42" s="3" t="s">
        <v>241</v>
      </c>
      <c r="I42" s="3"/>
      <c r="J42" s="3" t="s">
        <v>207</v>
      </c>
      <c r="K42" s="3" t="s">
        <v>28</v>
      </c>
      <c r="L42" s="3" t="s">
        <v>28</v>
      </c>
      <c r="M42" s="3" t="s">
        <v>28</v>
      </c>
      <c r="N42" s="3" t="s">
        <v>28</v>
      </c>
      <c r="O42" s="3" t="s">
        <v>27</v>
      </c>
      <c r="P42" s="3" t="s">
        <v>28</v>
      </c>
      <c r="Q42" s="3" t="s">
        <v>28</v>
      </c>
      <c r="R42" s="3" t="s">
        <v>28</v>
      </c>
      <c r="S42" s="3" t="s">
        <v>28</v>
      </c>
      <c r="T42" s="3" t="s">
        <v>28</v>
      </c>
    </row>
    <row r="43" spans="1:20" ht="366">
      <c r="A43" s="3">
        <v>2770665</v>
      </c>
      <c r="B43" s="3">
        <f>HYPERLINK("https://platform.v2.vetology.net/cases/2770665/screening-report/6?type=pdf&amp;v=v6&amp;scorecard=1&amp;secret_key=BX%25IJ%24%2F65ieZ%29f6", 2770665)</f>
        <v>2770665</v>
      </c>
      <c r="C43" s="3">
        <f>HYPERLINK("https://platform.v2.vetology.net/report/v/final/"&amp;2770665, 2770665)</f>
        <v>2770665</v>
      </c>
      <c r="D43" s="3" t="s">
        <v>242</v>
      </c>
      <c r="E43" s="3" t="s">
        <v>243</v>
      </c>
      <c r="F43" s="3" t="s">
        <v>244</v>
      </c>
      <c r="G43" s="3" t="s">
        <v>186</v>
      </c>
      <c r="H43" s="3" t="s">
        <v>245</v>
      </c>
      <c r="I43" s="3" t="s">
        <v>200</v>
      </c>
      <c r="J43" s="3" t="s">
        <v>219</v>
      </c>
      <c r="K43" s="3" t="s">
        <v>27</v>
      </c>
      <c r="L43" s="3" t="s">
        <v>28</v>
      </c>
      <c r="M43" s="3" t="s">
        <v>27</v>
      </c>
      <c r="N43" s="3" t="s">
        <v>28</v>
      </c>
      <c r="O43" s="3" t="s">
        <v>27</v>
      </c>
      <c r="P43" s="3" t="s">
        <v>28</v>
      </c>
      <c r="Q43" s="3" t="s">
        <v>28</v>
      </c>
      <c r="R43" s="3" t="s">
        <v>28</v>
      </c>
      <c r="S43" s="3" t="s">
        <v>28</v>
      </c>
      <c r="T43" s="3" t="s">
        <v>28</v>
      </c>
    </row>
    <row r="44" spans="1:20" ht="409.6">
      <c r="A44" s="3">
        <v>2770663</v>
      </c>
      <c r="B44" s="3">
        <f>HYPERLINK("https://platform.v2.vetology.net/cases/2770663/screening-report/6?type=pdf&amp;v=v6&amp;scorecard=1&amp;secret_key=BX%25IJ%24%2F65ieZ%29f6", 2770663)</f>
        <v>2770663</v>
      </c>
      <c r="C44" s="3">
        <f>HYPERLINK("https://platform.v2.vetology.net/report/v/final/"&amp;2770663, 2770663)</f>
        <v>2770663</v>
      </c>
      <c r="D44" s="3" t="s">
        <v>246</v>
      </c>
      <c r="E44" s="3" t="s">
        <v>247</v>
      </c>
      <c r="F44" s="3" t="s">
        <v>248</v>
      </c>
      <c r="G44" s="3" t="s">
        <v>64</v>
      </c>
      <c r="H44" s="3" t="s">
        <v>249</v>
      </c>
      <c r="I44" s="3" t="s">
        <v>250</v>
      </c>
      <c r="J44" s="3" t="s">
        <v>251</v>
      </c>
      <c r="K44" s="3" t="s">
        <v>28</v>
      </c>
      <c r="L44" s="3" t="s">
        <v>28</v>
      </c>
      <c r="M44" s="3" t="s">
        <v>28</v>
      </c>
      <c r="N44" s="3" t="s">
        <v>28</v>
      </c>
      <c r="O44" s="3" t="s">
        <v>28</v>
      </c>
      <c r="P44" s="3" t="s">
        <v>27</v>
      </c>
      <c r="Q44" s="3" t="s">
        <v>28</v>
      </c>
      <c r="R44" s="3" t="s">
        <v>28</v>
      </c>
      <c r="S44" s="3" t="s">
        <v>28</v>
      </c>
      <c r="T44" s="3" t="s">
        <v>28</v>
      </c>
    </row>
    <row r="45" spans="1:20" ht="409.6">
      <c r="A45" s="3">
        <v>2770602</v>
      </c>
      <c r="B45" s="3">
        <f>HYPERLINK("https://platform.v2.vetology.net/cases/2770602/screening-report/6?type=pdf&amp;v=v6&amp;scorecard=1&amp;secret_key=BX%25IJ%24%2F65ieZ%29f6", 2770602)</f>
        <v>2770602</v>
      </c>
      <c r="C45" s="3">
        <f>HYPERLINK("https://platform.v2.vetology.net/report/v/final/"&amp;2770602, 2770602)</f>
        <v>2770602</v>
      </c>
      <c r="D45" s="3" t="s">
        <v>252</v>
      </c>
      <c r="E45" s="3" t="s">
        <v>253</v>
      </c>
      <c r="F45" s="3" t="s">
        <v>254</v>
      </c>
      <c r="G45" s="3" t="s">
        <v>186</v>
      </c>
      <c r="H45" s="3" t="s">
        <v>255</v>
      </c>
      <c r="I45" s="3" t="s">
        <v>256</v>
      </c>
      <c r="J45" s="3" t="s">
        <v>257</v>
      </c>
      <c r="K45" s="3" t="s">
        <v>28</v>
      </c>
      <c r="L45" s="3" t="s">
        <v>27</v>
      </c>
      <c r="M45" s="3" t="s">
        <v>28</v>
      </c>
      <c r="N45" s="3" t="s">
        <v>28</v>
      </c>
      <c r="O45" s="3" t="s">
        <v>27</v>
      </c>
      <c r="P45" s="3" t="s">
        <v>28</v>
      </c>
      <c r="Q45" s="3" t="s">
        <v>28</v>
      </c>
      <c r="R45" s="3" t="s">
        <v>27</v>
      </c>
      <c r="S45" s="3" t="s">
        <v>27</v>
      </c>
      <c r="T45" s="3" t="s">
        <v>27</v>
      </c>
    </row>
    <row r="46" spans="1:20" ht="259.5">
      <c r="A46" s="3">
        <v>2770595</v>
      </c>
      <c r="B46" s="3">
        <f>HYPERLINK("https://platform.v2.vetology.net/cases/2770595/screening-report/6?type=pdf&amp;v=v6&amp;scorecard=1&amp;secret_key=BX%25IJ%24%2F65ieZ%29f6", 2770595)</f>
        <v>2770595</v>
      </c>
      <c r="C46" s="3">
        <f>HYPERLINK("https://platform.v2.vetology.net/report/v/final/"&amp;2770595, 2770595)</f>
        <v>2770595</v>
      </c>
      <c r="D46" s="3" t="s">
        <v>258</v>
      </c>
      <c r="E46" s="3" t="s">
        <v>259</v>
      </c>
      <c r="F46" s="3" t="s">
        <v>260</v>
      </c>
      <c r="G46" s="3" t="s">
        <v>186</v>
      </c>
      <c r="H46" s="3" t="s">
        <v>212</v>
      </c>
      <c r="I46" s="3" t="s">
        <v>261</v>
      </c>
      <c r="J46" s="3" t="s">
        <v>262</v>
      </c>
      <c r="K46" s="3" t="s">
        <v>27</v>
      </c>
      <c r="L46" s="3" t="s">
        <v>28</v>
      </c>
      <c r="M46" s="3" t="s">
        <v>27</v>
      </c>
      <c r="N46" s="3" t="s">
        <v>28</v>
      </c>
      <c r="O46" s="3" t="s">
        <v>27</v>
      </c>
      <c r="P46" s="3" t="s">
        <v>28</v>
      </c>
      <c r="Q46" s="3" t="s">
        <v>27</v>
      </c>
      <c r="R46" s="3" t="s">
        <v>28</v>
      </c>
      <c r="S46" s="3" t="s">
        <v>28</v>
      </c>
      <c r="T46" s="3" t="s">
        <v>28</v>
      </c>
    </row>
    <row r="47" spans="1:20" ht="409.6">
      <c r="A47" s="3">
        <v>2770568</v>
      </c>
      <c r="B47" s="3">
        <f>HYPERLINK("https://platform.v2.vetology.net/cases/2770568/screening-report/6?type=pdf&amp;v=v6&amp;scorecard=1&amp;secret_key=BX%25IJ%24%2F65ieZ%29f6", 2770568)</f>
        <v>2770568</v>
      </c>
      <c r="C47" s="3">
        <f>HYPERLINK("https://platform.v2.vetology.net/report/v/final/"&amp;2770568, 2770568)</f>
        <v>2770568</v>
      </c>
      <c r="D47" s="3" t="s">
        <v>263</v>
      </c>
      <c r="E47" s="3" t="s">
        <v>264</v>
      </c>
      <c r="F47" s="3" t="s">
        <v>265</v>
      </c>
      <c r="G47" s="3" t="s">
        <v>64</v>
      </c>
      <c r="H47" s="3" t="s">
        <v>266</v>
      </c>
      <c r="I47" s="3" t="s">
        <v>267</v>
      </c>
      <c r="J47" s="3" t="s">
        <v>268</v>
      </c>
      <c r="K47" s="3" t="s">
        <v>27</v>
      </c>
      <c r="L47" s="3" t="s">
        <v>28</v>
      </c>
      <c r="M47" s="3" t="s">
        <v>27</v>
      </c>
      <c r="N47" s="3" t="s">
        <v>28</v>
      </c>
      <c r="O47" s="3" t="s">
        <v>27</v>
      </c>
      <c r="P47" s="3" t="s">
        <v>27</v>
      </c>
      <c r="Q47" s="3" t="s">
        <v>28</v>
      </c>
      <c r="R47" s="3" t="s">
        <v>28</v>
      </c>
      <c r="S47" s="3" t="s">
        <v>28</v>
      </c>
      <c r="T47" s="3" t="s">
        <v>28</v>
      </c>
    </row>
    <row r="48" spans="1:20" ht="351">
      <c r="A48" s="3">
        <v>2770522</v>
      </c>
      <c r="B48" s="3">
        <f>HYPERLINK("https://platform.v2.vetology.net/cases/2770522/screening-report/6?type=pdf&amp;v=v6&amp;scorecard=1&amp;secret_key=BX%25IJ%24%2F65ieZ%29f6", 2770522)</f>
        <v>2770522</v>
      </c>
      <c r="C48" s="3">
        <f>HYPERLINK("https://platform.v2.vetology.net/report/v/final/"&amp;2770522, 2770522)</f>
        <v>2770522</v>
      </c>
      <c r="D48" s="3" t="s">
        <v>269</v>
      </c>
      <c r="E48" s="3" t="s">
        <v>270</v>
      </c>
      <c r="F48" s="3" t="s">
        <v>271</v>
      </c>
      <c r="G48" s="3" t="s">
        <v>186</v>
      </c>
      <c r="H48" s="3" t="s">
        <v>272</v>
      </c>
      <c r="I48" s="3" t="s">
        <v>273</v>
      </c>
      <c r="J48" s="3" t="s">
        <v>274</v>
      </c>
      <c r="K48" s="3" t="s">
        <v>28</v>
      </c>
      <c r="L48" s="3" t="s">
        <v>28</v>
      </c>
      <c r="M48" s="3" t="s">
        <v>28</v>
      </c>
      <c r="N48" s="3" t="s">
        <v>28</v>
      </c>
      <c r="O48" s="3" t="s">
        <v>27</v>
      </c>
      <c r="P48" s="3" t="s">
        <v>28</v>
      </c>
      <c r="Q48" s="3" t="s">
        <v>28</v>
      </c>
      <c r="R48" s="3" t="s">
        <v>27</v>
      </c>
      <c r="S48" s="3" t="s">
        <v>27</v>
      </c>
      <c r="T48" s="3" t="s">
        <v>27</v>
      </c>
    </row>
    <row r="49" spans="1:20" ht="381.75">
      <c r="A49" s="3">
        <v>2770467</v>
      </c>
      <c r="B49" s="3">
        <f>HYPERLINK("https://platform.v2.vetology.net/cases/2770467/screening-report/6?type=pdf&amp;v=v6&amp;scorecard=1&amp;secret_key=BX%25IJ%24%2F65ieZ%29f6", 2770467)</f>
        <v>2770467</v>
      </c>
      <c r="C49" s="3">
        <f>HYPERLINK("https://platform.v2.vetology.net/report/v/final/"&amp;2770467, 2770467)</f>
        <v>2770467</v>
      </c>
      <c r="D49" s="3" t="s">
        <v>275</v>
      </c>
      <c r="E49" s="3" t="s">
        <v>276</v>
      </c>
      <c r="F49" s="3" t="s">
        <v>277</v>
      </c>
      <c r="G49" s="3" t="s">
        <v>186</v>
      </c>
      <c r="H49" s="3" t="s">
        <v>278</v>
      </c>
      <c r="I49" s="3" t="s">
        <v>279</v>
      </c>
      <c r="J49" s="3" t="s">
        <v>280</v>
      </c>
      <c r="K49" s="3" t="s">
        <v>28</v>
      </c>
      <c r="L49" s="3" t="s">
        <v>28</v>
      </c>
      <c r="M49" s="3" t="s">
        <v>28</v>
      </c>
      <c r="N49" s="3" t="s">
        <v>28</v>
      </c>
      <c r="O49" s="3" t="s">
        <v>28</v>
      </c>
      <c r="P49" s="3" t="s">
        <v>28</v>
      </c>
      <c r="Q49" s="3" t="s">
        <v>28</v>
      </c>
      <c r="R49" s="3" t="s">
        <v>28</v>
      </c>
      <c r="S49" s="3" t="s">
        <v>28</v>
      </c>
      <c r="T49" s="3" t="s">
        <v>27</v>
      </c>
    </row>
    <row r="50" spans="1:20" ht="409.6">
      <c r="A50" s="3">
        <v>2770419</v>
      </c>
      <c r="B50" s="3">
        <f>HYPERLINK("https://platform.v2.vetology.net/cases/2770419/screening-report/6?type=pdf&amp;v=v6&amp;scorecard=1&amp;secret_key=BX%25IJ%24%2F65ieZ%29f6", 2770419)</f>
        <v>2770419</v>
      </c>
      <c r="C50" s="3">
        <f>HYPERLINK("https://platform.v2.vetology.net/report/v/final/"&amp;2770419, 2770419)</f>
        <v>2770419</v>
      </c>
      <c r="D50" s="3" t="s">
        <v>281</v>
      </c>
      <c r="E50" s="3" t="s">
        <v>282</v>
      </c>
      <c r="F50" s="3" t="s">
        <v>283</v>
      </c>
      <c r="G50" s="3" t="s">
        <v>57</v>
      </c>
      <c r="H50" s="3" t="s">
        <v>284</v>
      </c>
      <c r="I50" s="3" t="s">
        <v>285</v>
      </c>
      <c r="J50" s="3" t="s">
        <v>286</v>
      </c>
      <c r="K50" s="3" t="s">
        <v>27</v>
      </c>
      <c r="L50" s="3" t="s">
        <v>28</v>
      </c>
      <c r="M50" s="3" t="s">
        <v>28</v>
      </c>
      <c r="N50" s="3" t="s">
        <v>28</v>
      </c>
      <c r="O50" s="3" t="s">
        <v>27</v>
      </c>
      <c r="P50" s="3" t="s">
        <v>28</v>
      </c>
      <c r="Q50" s="3" t="s">
        <v>27</v>
      </c>
      <c r="R50" s="3" t="s">
        <v>28</v>
      </c>
      <c r="S50" s="3" t="s">
        <v>27</v>
      </c>
      <c r="T50" s="3" t="s">
        <v>28</v>
      </c>
    </row>
    <row r="51" spans="1:20" ht="244.5">
      <c r="A51" s="3">
        <v>2770381</v>
      </c>
      <c r="B51" s="3">
        <f>HYPERLINK("https://platform.v2.vetology.net/cases/2770381/screening-report/6?type=pdf&amp;v=v6&amp;scorecard=1&amp;secret_key=BX%25IJ%24%2F65ieZ%29f6", 2770381)</f>
        <v>2770381</v>
      </c>
      <c r="C51" s="3">
        <f>HYPERLINK("https://platform.v2.vetology.net/report/v/final/"&amp;2770381, 2770381)</f>
        <v>2770381</v>
      </c>
      <c r="D51" s="3" t="s">
        <v>287</v>
      </c>
      <c r="E51" s="3" t="s">
        <v>288</v>
      </c>
      <c r="F51" s="3" t="s">
        <v>289</v>
      </c>
      <c r="G51" s="3" t="s">
        <v>57</v>
      </c>
      <c r="H51" s="3" t="s">
        <v>290</v>
      </c>
      <c r="I51" s="3" t="s">
        <v>291</v>
      </c>
      <c r="J51" s="3" t="s">
        <v>292</v>
      </c>
      <c r="K51" s="3" t="s">
        <v>28</v>
      </c>
      <c r="L51" s="3" t="s">
        <v>28</v>
      </c>
      <c r="M51" s="3" t="s">
        <v>28</v>
      </c>
      <c r="N51" s="3" t="s">
        <v>28</v>
      </c>
      <c r="O51" s="3" t="s">
        <v>27</v>
      </c>
      <c r="P51" s="3" t="s">
        <v>27</v>
      </c>
      <c r="Q51" s="3" t="s">
        <v>28</v>
      </c>
      <c r="R51" s="3" t="s">
        <v>28</v>
      </c>
      <c r="S51" s="3" t="s">
        <v>28</v>
      </c>
      <c r="T51" s="3" t="s">
        <v>27</v>
      </c>
    </row>
    <row r="52" spans="1:20" ht="244.5">
      <c r="A52" s="3">
        <v>2770380</v>
      </c>
      <c r="B52" s="3">
        <f>HYPERLINK("https://platform.v2.vetology.net/cases/2770380/screening-report/6?type=pdf&amp;v=v6&amp;scorecard=1&amp;secret_key=BX%25IJ%24%2F65ieZ%29f6", 2770380)</f>
        <v>2770380</v>
      </c>
      <c r="C52" s="3">
        <f>HYPERLINK("https://platform.v2.vetology.net/report/v/final/"&amp;2770380, 2770380)</f>
        <v>2770380</v>
      </c>
      <c r="D52" s="3" t="s">
        <v>293</v>
      </c>
      <c r="E52" s="3" t="s">
        <v>294</v>
      </c>
      <c r="F52" s="3" t="s">
        <v>22</v>
      </c>
      <c r="G52" s="3" t="s">
        <v>23</v>
      </c>
      <c r="H52" s="3" t="s">
        <v>295</v>
      </c>
      <c r="I52" s="3" t="s">
        <v>296</v>
      </c>
      <c r="J52" s="3" t="s">
        <v>297</v>
      </c>
      <c r="K52" s="3" t="s">
        <v>27</v>
      </c>
      <c r="L52" s="3" t="s">
        <v>27</v>
      </c>
      <c r="M52" s="3" t="s">
        <v>27</v>
      </c>
      <c r="N52" s="3" t="s">
        <v>28</v>
      </c>
      <c r="O52" s="3" t="s">
        <v>27</v>
      </c>
      <c r="P52" s="3" t="s">
        <v>28</v>
      </c>
      <c r="Q52" s="3" t="s">
        <v>28</v>
      </c>
      <c r="R52" s="3" t="s">
        <v>27</v>
      </c>
      <c r="S52" s="3" t="s">
        <v>28</v>
      </c>
      <c r="T52" s="3" t="s">
        <v>27</v>
      </c>
    </row>
    <row r="53" spans="1:20" ht="259.5">
      <c r="A53" s="3">
        <v>2770366</v>
      </c>
      <c r="B53" s="3">
        <f>HYPERLINK("https://platform.v2.vetology.net/cases/2770366/screening-report/6?type=pdf&amp;v=v6&amp;scorecard=1&amp;secret_key=BX%25IJ%24%2F65ieZ%29f6", 2770366)</f>
        <v>2770366</v>
      </c>
      <c r="C53" s="3">
        <f>HYPERLINK("https://platform.v2.vetology.net/report/v/final/"&amp;2770366, 2770366)</f>
        <v>2770366</v>
      </c>
      <c r="D53" s="3" t="s">
        <v>298</v>
      </c>
      <c r="E53" s="3" t="s">
        <v>299</v>
      </c>
      <c r="F53" s="3" t="s">
        <v>22</v>
      </c>
      <c r="G53" s="3" t="s">
        <v>23</v>
      </c>
      <c r="H53" s="3" t="s">
        <v>300</v>
      </c>
      <c r="I53" s="3" t="s">
        <v>32</v>
      </c>
      <c r="J53" s="3" t="s">
        <v>119</v>
      </c>
      <c r="K53" s="3" t="s">
        <v>28</v>
      </c>
      <c r="L53" s="3" t="s">
        <v>28</v>
      </c>
      <c r="M53" s="3" t="s">
        <v>28</v>
      </c>
      <c r="N53" s="3" t="s">
        <v>28</v>
      </c>
      <c r="O53" s="3" t="s">
        <v>27</v>
      </c>
      <c r="P53" s="3" t="s">
        <v>28</v>
      </c>
      <c r="Q53" s="3" t="s">
        <v>28</v>
      </c>
      <c r="R53" s="3" t="s">
        <v>28</v>
      </c>
      <c r="S53" s="3" t="s">
        <v>28</v>
      </c>
      <c r="T53" s="3" t="s">
        <v>28</v>
      </c>
    </row>
    <row r="54" spans="1:20" ht="409.6">
      <c r="A54" s="3">
        <v>2770360</v>
      </c>
      <c r="B54" s="3">
        <f>HYPERLINK("https://platform.v2.vetology.net/cases/2770360/screening-report/6?type=pdf&amp;v=v6&amp;scorecard=1&amp;secret_key=BX%25IJ%24%2F65ieZ%29f6", 2770360)</f>
        <v>2770360</v>
      </c>
      <c r="C54" s="3">
        <f>HYPERLINK("https://platform.v2.vetology.net/report/v/final/"&amp;2770360, 2770360)</f>
        <v>2770360</v>
      </c>
      <c r="D54" s="3" t="s">
        <v>301</v>
      </c>
      <c r="E54" s="3" t="s">
        <v>302</v>
      </c>
      <c r="F54" s="3" t="s">
        <v>303</v>
      </c>
      <c r="G54" s="3" t="s">
        <v>57</v>
      </c>
      <c r="H54" s="3" t="s">
        <v>304</v>
      </c>
      <c r="I54" s="3" t="s">
        <v>305</v>
      </c>
      <c r="J54" s="3" t="s">
        <v>119</v>
      </c>
      <c r="K54" s="3" t="s">
        <v>28</v>
      </c>
      <c r="L54" s="3" t="s">
        <v>28</v>
      </c>
      <c r="M54" s="3" t="s">
        <v>28</v>
      </c>
      <c r="N54" s="3" t="s">
        <v>28</v>
      </c>
      <c r="O54" s="3" t="s">
        <v>28</v>
      </c>
      <c r="P54" s="3" t="s">
        <v>28</v>
      </c>
      <c r="Q54" s="3" t="s">
        <v>28</v>
      </c>
      <c r="R54" s="3" t="s">
        <v>28</v>
      </c>
      <c r="S54" s="3" t="s">
        <v>28</v>
      </c>
      <c r="T54" s="3" t="s">
        <v>28</v>
      </c>
    </row>
    <row r="55" spans="1:20" ht="409.6">
      <c r="A55" s="3">
        <v>2770319</v>
      </c>
      <c r="B55" s="3">
        <f>HYPERLINK("https://platform.v2.vetology.net/cases/2770319/screening-report/6?type=pdf&amp;v=v6&amp;scorecard=1&amp;secret_key=BX%25IJ%24%2F65ieZ%29f6", 2770319)</f>
        <v>2770319</v>
      </c>
      <c r="C55" s="3">
        <f>HYPERLINK("https://platform.v2.vetology.net/report/v/final/"&amp;2770319, 2770319)</f>
        <v>2770319</v>
      </c>
      <c r="D55" s="3" t="s">
        <v>306</v>
      </c>
      <c r="E55" s="3" t="s">
        <v>307</v>
      </c>
      <c r="F55" s="3" t="s">
        <v>308</v>
      </c>
      <c r="G55" s="3" t="s">
        <v>179</v>
      </c>
      <c r="H55" s="3" t="s">
        <v>309</v>
      </c>
      <c r="I55" s="3" t="s">
        <v>310</v>
      </c>
      <c r="J55" s="3" t="s">
        <v>311</v>
      </c>
      <c r="K55" s="3" t="s">
        <v>28</v>
      </c>
      <c r="L55" s="3" t="s">
        <v>27</v>
      </c>
      <c r="M55" s="3" t="s">
        <v>28</v>
      </c>
      <c r="N55" s="3" t="s">
        <v>27</v>
      </c>
      <c r="O55" s="3" t="s">
        <v>27</v>
      </c>
      <c r="P55" s="3" t="s">
        <v>28</v>
      </c>
      <c r="Q55" s="3" t="s">
        <v>28</v>
      </c>
      <c r="R55" s="3" t="s">
        <v>27</v>
      </c>
      <c r="S55" s="3" t="s">
        <v>27</v>
      </c>
      <c r="T55" s="3" t="s">
        <v>27</v>
      </c>
    </row>
    <row r="56" spans="1:20" ht="290.25">
      <c r="A56" s="3">
        <v>2770276</v>
      </c>
      <c r="B56" s="3">
        <f>HYPERLINK("https://platform.v2.vetology.net/cases/2770276/screening-report/6?type=pdf&amp;v=v6&amp;scorecard=1&amp;secret_key=BX%25IJ%24%2F65ieZ%29f6", 2770276)</f>
        <v>2770276</v>
      </c>
      <c r="C56" s="3">
        <f>HYPERLINK("https://platform.v2.vetology.net/report/v/final/"&amp;2770276, 2770276)</f>
        <v>2770276</v>
      </c>
      <c r="D56" s="3" t="s">
        <v>312</v>
      </c>
      <c r="E56" s="3" t="s">
        <v>313</v>
      </c>
      <c r="F56" s="3" t="s">
        <v>314</v>
      </c>
      <c r="G56" s="3" t="s">
        <v>179</v>
      </c>
      <c r="H56" s="3" t="s">
        <v>315</v>
      </c>
      <c r="I56" s="3" t="s">
        <v>316</v>
      </c>
      <c r="J56" s="3" t="s">
        <v>317</v>
      </c>
      <c r="K56" s="3" t="s">
        <v>27</v>
      </c>
      <c r="L56" s="3" t="s">
        <v>28</v>
      </c>
      <c r="M56" s="3" t="s">
        <v>28</v>
      </c>
      <c r="N56" s="3" t="s">
        <v>28</v>
      </c>
      <c r="O56" s="3" t="s">
        <v>27</v>
      </c>
      <c r="P56" s="3" t="s">
        <v>28</v>
      </c>
      <c r="Q56" s="3" t="s">
        <v>28</v>
      </c>
      <c r="R56" s="3" t="s">
        <v>28</v>
      </c>
      <c r="S56" s="3" t="s">
        <v>28</v>
      </c>
      <c r="T56" s="3" t="s">
        <v>28</v>
      </c>
    </row>
    <row r="57" spans="1:20" ht="409.6">
      <c r="A57" s="3">
        <v>2770106</v>
      </c>
      <c r="B57" s="3">
        <f>HYPERLINK("https://platform.v2.vetology.net/cases/2770106/screening-report/6?type=pdf&amp;v=v6&amp;scorecard=1&amp;secret_key=BX%25IJ%24%2F65ieZ%29f6", 2770106)</f>
        <v>2770106</v>
      </c>
      <c r="C57" s="3">
        <f>HYPERLINK("https://platform.v2.vetology.net/report/v/final/"&amp;2770106, 2770106)</f>
        <v>2770106</v>
      </c>
      <c r="D57" s="3" t="s">
        <v>318</v>
      </c>
      <c r="E57" s="3" t="s">
        <v>319</v>
      </c>
      <c r="F57" s="3" t="s">
        <v>22</v>
      </c>
      <c r="G57" s="3" t="s">
        <v>23</v>
      </c>
      <c r="H57" s="3" t="s">
        <v>320</v>
      </c>
      <c r="I57" s="3"/>
      <c r="J57" s="3" t="s">
        <v>207</v>
      </c>
      <c r="K57" s="3" t="s">
        <v>28</v>
      </c>
      <c r="L57" s="3" t="s">
        <v>28</v>
      </c>
      <c r="M57" s="3" t="s">
        <v>28</v>
      </c>
      <c r="N57" s="3" t="s">
        <v>28</v>
      </c>
      <c r="O57" s="3" t="s">
        <v>28</v>
      </c>
      <c r="P57" s="3" t="s">
        <v>28</v>
      </c>
      <c r="Q57" s="3" t="s">
        <v>28</v>
      </c>
      <c r="R57" s="3" t="s">
        <v>28</v>
      </c>
      <c r="S57" s="3" t="s">
        <v>28</v>
      </c>
      <c r="T57" s="3" t="s">
        <v>28</v>
      </c>
    </row>
    <row r="58" spans="1:20" ht="381.75">
      <c r="A58" s="3">
        <v>2770088</v>
      </c>
      <c r="B58" s="3">
        <f>HYPERLINK("https://platform.v2.vetology.net/cases/2770088/screening-report/6?type=pdf&amp;v=v6&amp;scorecard=1&amp;secret_key=BX%25IJ%24%2F65ieZ%29f6", 2770088)</f>
        <v>2770088</v>
      </c>
      <c r="C58" s="3">
        <f>HYPERLINK("https://platform.v2.vetology.net/report/v/final/"&amp;2770088, 2770088)</f>
        <v>2770088</v>
      </c>
      <c r="D58" s="3" t="s">
        <v>321</v>
      </c>
      <c r="E58" s="3" t="s">
        <v>322</v>
      </c>
      <c r="F58" s="3" t="s">
        <v>22</v>
      </c>
      <c r="G58" s="3" t="s">
        <v>23</v>
      </c>
      <c r="H58" s="3" t="s">
        <v>323</v>
      </c>
      <c r="I58" s="3" t="s">
        <v>324</v>
      </c>
      <c r="J58" s="3" t="s">
        <v>325</v>
      </c>
      <c r="K58" s="3" t="s">
        <v>27</v>
      </c>
      <c r="L58" s="3" t="s">
        <v>28</v>
      </c>
      <c r="M58" s="3" t="s">
        <v>27</v>
      </c>
      <c r="N58" s="3" t="s">
        <v>28</v>
      </c>
      <c r="O58" s="3" t="s">
        <v>27</v>
      </c>
      <c r="P58" s="3" t="s">
        <v>28</v>
      </c>
      <c r="Q58" s="3" t="s">
        <v>28</v>
      </c>
      <c r="R58" s="3" t="s">
        <v>28</v>
      </c>
      <c r="S58" s="3" t="s">
        <v>28</v>
      </c>
      <c r="T58" s="3" t="s">
        <v>28</v>
      </c>
    </row>
    <row r="59" spans="1:20" ht="409.6">
      <c r="A59" s="3">
        <v>2770044</v>
      </c>
      <c r="B59" s="3">
        <f>HYPERLINK("https://platform.v2.vetology.net/cases/2770044/screening-report/6?type=pdf&amp;v=v6&amp;scorecard=1&amp;secret_key=BX%25IJ%24%2F65ieZ%29f6", 2770044)</f>
        <v>2770044</v>
      </c>
      <c r="C59" s="3">
        <f>HYPERLINK("https://platform.v2.vetology.net/report/v/final/"&amp;2770044, 2770044)</f>
        <v>2770044</v>
      </c>
      <c r="D59" s="3" t="s">
        <v>326</v>
      </c>
      <c r="E59" s="3" t="s">
        <v>327</v>
      </c>
      <c r="F59" s="3" t="s">
        <v>22</v>
      </c>
      <c r="G59" s="3" t="s">
        <v>23</v>
      </c>
      <c r="H59" s="3" t="s">
        <v>328</v>
      </c>
      <c r="I59" s="3"/>
      <c r="J59" s="3" t="s">
        <v>207</v>
      </c>
      <c r="K59" s="3" t="s">
        <v>28</v>
      </c>
      <c r="L59" s="3" t="s">
        <v>28</v>
      </c>
      <c r="M59" s="3" t="s">
        <v>28</v>
      </c>
      <c r="N59" s="3" t="s">
        <v>28</v>
      </c>
      <c r="O59" s="3" t="s">
        <v>28</v>
      </c>
      <c r="P59" s="3" t="s">
        <v>28</v>
      </c>
      <c r="Q59" s="3" t="s">
        <v>28</v>
      </c>
      <c r="R59" s="3" t="s">
        <v>28</v>
      </c>
      <c r="S59" s="3" t="s">
        <v>28</v>
      </c>
      <c r="T59" s="3" t="s">
        <v>27</v>
      </c>
    </row>
    <row r="60" spans="1:20" ht="290.25">
      <c r="A60" s="3">
        <v>2769945</v>
      </c>
      <c r="B60" s="3">
        <f>HYPERLINK("https://platform.v2.vetology.net/cases/2769945/screening-report/6?type=pdf&amp;v=v6&amp;scorecard=1&amp;secret_key=BX%25IJ%24%2F65ieZ%29f6", 2769945)</f>
        <v>2769945</v>
      </c>
      <c r="C60" s="3">
        <f>HYPERLINK("https://platform.v2.vetology.net/report/v/final/"&amp;2769945, 2769945)</f>
        <v>2769945</v>
      </c>
      <c r="D60" s="3" t="s">
        <v>329</v>
      </c>
      <c r="E60" s="3" t="s">
        <v>330</v>
      </c>
      <c r="F60" s="3"/>
      <c r="G60" s="3" t="s">
        <v>122</v>
      </c>
      <c r="H60" s="3" t="s">
        <v>158</v>
      </c>
      <c r="I60" s="3" t="s">
        <v>32</v>
      </c>
      <c r="J60" s="3" t="s">
        <v>119</v>
      </c>
      <c r="K60" s="3" t="s">
        <v>28</v>
      </c>
      <c r="L60" s="3" t="s">
        <v>28</v>
      </c>
      <c r="M60" s="3" t="s">
        <v>28</v>
      </c>
      <c r="N60" s="3" t="s">
        <v>28</v>
      </c>
      <c r="O60" s="3" t="s">
        <v>28</v>
      </c>
      <c r="P60" s="3" t="s">
        <v>28</v>
      </c>
      <c r="Q60" s="3" t="s">
        <v>28</v>
      </c>
      <c r="R60" s="3" t="s">
        <v>28</v>
      </c>
      <c r="S60" s="3" t="s">
        <v>28</v>
      </c>
      <c r="T60" s="3" t="s">
        <v>27</v>
      </c>
    </row>
    <row r="61" spans="1:20" ht="409.6">
      <c r="A61" s="3">
        <v>2769922</v>
      </c>
      <c r="B61" s="3">
        <f>HYPERLINK("https://platform.v2.vetology.net/cases/2769922/screening-report/6?type=pdf&amp;v=v6&amp;scorecard=1&amp;secret_key=BX%25IJ%24%2F65ieZ%29f6", 2769922)</f>
        <v>2769922</v>
      </c>
      <c r="C61" s="3">
        <f>HYPERLINK("https://platform.v2.vetology.net/report/v/final/"&amp;2769922, 2769922)</f>
        <v>2769922</v>
      </c>
      <c r="D61" s="3" t="s">
        <v>331</v>
      </c>
      <c r="E61" s="3" t="s">
        <v>332</v>
      </c>
      <c r="F61" s="3"/>
      <c r="G61" s="3" t="s">
        <v>122</v>
      </c>
      <c r="H61" s="3" t="s">
        <v>333</v>
      </c>
      <c r="I61" s="3" t="s">
        <v>334</v>
      </c>
      <c r="J61" s="3" t="s">
        <v>335</v>
      </c>
      <c r="K61" s="3" t="s">
        <v>28</v>
      </c>
      <c r="L61" s="3" t="s">
        <v>28</v>
      </c>
      <c r="M61" s="3" t="s">
        <v>27</v>
      </c>
      <c r="N61" s="3" t="s">
        <v>28</v>
      </c>
      <c r="O61" s="3" t="s">
        <v>27</v>
      </c>
      <c r="P61" s="3" t="s">
        <v>28</v>
      </c>
      <c r="Q61" s="3" t="s">
        <v>28</v>
      </c>
      <c r="R61" s="3" t="s">
        <v>28</v>
      </c>
      <c r="S61" s="3" t="s">
        <v>28</v>
      </c>
      <c r="T61" s="3" t="s">
        <v>28</v>
      </c>
    </row>
    <row r="62" spans="1:20" ht="336">
      <c r="A62" s="3">
        <v>2769912</v>
      </c>
      <c r="B62" s="3">
        <f>HYPERLINK("https://platform.v2.vetology.net/cases/2769912/screening-report/6?type=pdf&amp;v=v6&amp;scorecard=1&amp;secret_key=BX%25IJ%24%2F65ieZ%29f6", 2769912)</f>
        <v>2769912</v>
      </c>
      <c r="C62" s="3">
        <f>HYPERLINK("https://platform.v2.vetology.net/report/v/final/"&amp;2769912, 2769912)</f>
        <v>2769912</v>
      </c>
      <c r="D62" s="3" t="s">
        <v>336</v>
      </c>
      <c r="E62" s="3" t="s">
        <v>337</v>
      </c>
      <c r="F62" s="3" t="s">
        <v>22</v>
      </c>
      <c r="G62" s="3" t="s">
        <v>23</v>
      </c>
      <c r="H62" s="3" t="s">
        <v>338</v>
      </c>
      <c r="I62" s="3" t="s">
        <v>339</v>
      </c>
      <c r="J62" s="3" t="s">
        <v>340</v>
      </c>
      <c r="K62" s="3" t="s">
        <v>28</v>
      </c>
      <c r="L62" s="3" t="s">
        <v>28</v>
      </c>
      <c r="M62" s="3" t="s">
        <v>28</v>
      </c>
      <c r="N62" s="3" t="s">
        <v>28</v>
      </c>
      <c r="O62" s="3" t="s">
        <v>27</v>
      </c>
      <c r="P62" s="3" t="s">
        <v>27</v>
      </c>
      <c r="Q62" s="3" t="s">
        <v>28</v>
      </c>
      <c r="R62" s="3" t="s">
        <v>28</v>
      </c>
      <c r="S62" s="3" t="s">
        <v>28</v>
      </c>
      <c r="T62" s="3" t="s">
        <v>27</v>
      </c>
    </row>
    <row r="63" spans="1:20" ht="409.6">
      <c r="A63" s="3">
        <v>2769861</v>
      </c>
      <c r="B63" s="3">
        <f>HYPERLINK("https://platform.v2.vetology.net/cases/2769861/screening-report/6?type=pdf&amp;v=v6&amp;scorecard=1&amp;secret_key=BX%25IJ%24%2F65ieZ%29f6", 2769861)</f>
        <v>2769861</v>
      </c>
      <c r="C63" s="3">
        <f>HYPERLINK("https://platform.v2.vetology.net/report/v/final/"&amp;2769861, 2769861)</f>
        <v>2769861</v>
      </c>
      <c r="D63" s="3" t="s">
        <v>341</v>
      </c>
      <c r="E63" s="3" t="s">
        <v>342</v>
      </c>
      <c r="F63" s="3" t="s">
        <v>343</v>
      </c>
      <c r="G63" s="3" t="s">
        <v>64</v>
      </c>
      <c r="H63" s="3" t="s">
        <v>344</v>
      </c>
      <c r="I63" s="3" t="s">
        <v>345</v>
      </c>
      <c r="J63" s="3" t="s">
        <v>346</v>
      </c>
      <c r="K63" s="3" t="s">
        <v>28</v>
      </c>
      <c r="L63" s="3" t="s">
        <v>28</v>
      </c>
      <c r="M63" s="3" t="s">
        <v>28</v>
      </c>
      <c r="N63" s="3" t="s">
        <v>27</v>
      </c>
      <c r="O63" s="3" t="s">
        <v>28</v>
      </c>
      <c r="P63" s="3" t="s">
        <v>28</v>
      </c>
      <c r="Q63" s="3" t="s">
        <v>28</v>
      </c>
      <c r="R63" s="3" t="s">
        <v>27</v>
      </c>
      <c r="S63" s="3" t="s">
        <v>27</v>
      </c>
      <c r="T63" s="3" t="s">
        <v>27</v>
      </c>
    </row>
    <row r="64" spans="1:20" ht="409.6">
      <c r="A64" s="3">
        <v>2769782</v>
      </c>
      <c r="B64" s="3">
        <f>HYPERLINK("https://platform.v2.vetology.net/cases/2769782/screening-report/6?type=pdf&amp;v=v6&amp;scorecard=1&amp;secret_key=BX%25IJ%24%2F65ieZ%29f6", 2769782)</f>
        <v>2769782</v>
      </c>
      <c r="C64" s="3">
        <f>HYPERLINK("https://platform.v2.vetology.net/report/v/final/"&amp;2769782, 2769782)</f>
        <v>2769782</v>
      </c>
      <c r="D64" s="3" t="s">
        <v>347</v>
      </c>
      <c r="E64" s="3" t="s">
        <v>348</v>
      </c>
      <c r="F64" s="3" t="s">
        <v>349</v>
      </c>
      <c r="G64" s="3" t="s">
        <v>186</v>
      </c>
      <c r="H64" s="3" t="s">
        <v>350</v>
      </c>
      <c r="I64" s="3" t="s">
        <v>351</v>
      </c>
      <c r="J64" s="3" t="s">
        <v>352</v>
      </c>
      <c r="K64" s="3" t="s">
        <v>28</v>
      </c>
      <c r="L64" s="3" t="s">
        <v>28</v>
      </c>
      <c r="M64" s="3" t="s">
        <v>28</v>
      </c>
      <c r="N64" s="3" t="s">
        <v>28</v>
      </c>
      <c r="O64" s="3" t="s">
        <v>27</v>
      </c>
      <c r="P64" s="3" t="s">
        <v>28</v>
      </c>
      <c r="Q64" s="3" t="s">
        <v>28</v>
      </c>
      <c r="R64" s="3" t="s">
        <v>28</v>
      </c>
      <c r="S64" s="3" t="s">
        <v>28</v>
      </c>
      <c r="T64" s="3" t="s">
        <v>27</v>
      </c>
    </row>
    <row r="65" spans="1:20" ht="409.6">
      <c r="A65" s="3">
        <v>2769751</v>
      </c>
      <c r="B65" s="3">
        <f>HYPERLINK("https://platform.v2.vetology.net/cases/2769751/screening-report/6?type=pdf&amp;v=v6&amp;scorecard=1&amp;secret_key=BX%25IJ%24%2F65ieZ%29f6", 2769751)</f>
        <v>2769751</v>
      </c>
      <c r="C65" s="3">
        <f>HYPERLINK("https://platform.v2.vetology.net/report/v/final/"&amp;2769751, 2769751)</f>
        <v>2769751</v>
      </c>
      <c r="D65" s="3" t="s">
        <v>353</v>
      </c>
      <c r="E65" s="3" t="s">
        <v>354</v>
      </c>
      <c r="F65" s="3" t="s">
        <v>355</v>
      </c>
      <c r="G65" s="3" t="s">
        <v>186</v>
      </c>
      <c r="H65" s="3" t="s">
        <v>356</v>
      </c>
      <c r="I65" s="3" t="s">
        <v>357</v>
      </c>
      <c r="J65" s="3" t="s">
        <v>358</v>
      </c>
      <c r="K65" s="3" t="s">
        <v>28</v>
      </c>
      <c r="L65" s="3" t="s">
        <v>28</v>
      </c>
      <c r="M65" s="3" t="s">
        <v>28</v>
      </c>
      <c r="N65" s="3" t="s">
        <v>28</v>
      </c>
      <c r="O65" s="3" t="s">
        <v>28</v>
      </c>
      <c r="P65" s="3" t="s">
        <v>28</v>
      </c>
      <c r="Q65" s="3" t="s">
        <v>28</v>
      </c>
      <c r="R65" s="3" t="s">
        <v>27</v>
      </c>
      <c r="S65" s="3" t="s">
        <v>28</v>
      </c>
      <c r="T65" s="3" t="s">
        <v>27</v>
      </c>
    </row>
    <row r="66" spans="1:20" ht="244.5">
      <c r="A66" s="3">
        <v>2769750</v>
      </c>
      <c r="B66" s="3">
        <f>HYPERLINK("https://platform.v2.vetology.net/cases/2769750/screening-report/6?type=pdf&amp;v=v6&amp;scorecard=1&amp;secret_key=BX%25IJ%24%2F65ieZ%29f6", 2769750)</f>
        <v>2769750</v>
      </c>
      <c r="C66" s="3">
        <f>HYPERLINK("https://platform.v2.vetology.net/report/v/final/"&amp;2769750, 2769750)</f>
        <v>2769750</v>
      </c>
      <c r="D66" s="3" t="s">
        <v>359</v>
      </c>
      <c r="E66" s="3" t="s">
        <v>360</v>
      </c>
      <c r="F66" s="3" t="s">
        <v>361</v>
      </c>
      <c r="G66" s="3" t="s">
        <v>186</v>
      </c>
      <c r="H66" s="3" t="s">
        <v>362</v>
      </c>
      <c r="I66" s="3" t="s">
        <v>72</v>
      </c>
      <c r="J66" s="3" t="s">
        <v>363</v>
      </c>
      <c r="K66" s="3" t="s">
        <v>28</v>
      </c>
      <c r="L66" s="3" t="s">
        <v>28</v>
      </c>
      <c r="M66" s="3" t="s">
        <v>28</v>
      </c>
      <c r="N66" s="3" t="s">
        <v>28</v>
      </c>
      <c r="O66" s="3" t="s">
        <v>27</v>
      </c>
      <c r="P66" s="3" t="s">
        <v>28</v>
      </c>
      <c r="Q66" s="3" t="s">
        <v>28</v>
      </c>
      <c r="R66" s="3" t="s">
        <v>28</v>
      </c>
      <c r="S66" s="3" t="s">
        <v>28</v>
      </c>
      <c r="T66" s="3" t="s">
        <v>27</v>
      </c>
    </row>
    <row r="67" spans="1:20" ht="409.6">
      <c r="A67" s="3">
        <v>2769694</v>
      </c>
      <c r="B67" s="3">
        <f>HYPERLINK("https://platform.v2.vetology.net/cases/2769694/screening-report/6?type=pdf&amp;v=v6&amp;scorecard=1&amp;secret_key=BX%25IJ%24%2F65ieZ%29f6", 2769694)</f>
        <v>2769694</v>
      </c>
      <c r="C67" s="3">
        <f>HYPERLINK("https://platform.v2.vetology.net/report/v/final/"&amp;2769694, 2769694)</f>
        <v>2769694</v>
      </c>
      <c r="D67" s="3" t="s">
        <v>364</v>
      </c>
      <c r="E67" s="3" t="s">
        <v>365</v>
      </c>
      <c r="F67" s="3" t="s">
        <v>366</v>
      </c>
      <c r="G67" s="3" t="s">
        <v>186</v>
      </c>
      <c r="H67" s="3" t="s">
        <v>367</v>
      </c>
      <c r="I67" s="3" t="s">
        <v>368</v>
      </c>
      <c r="J67" s="3" t="s">
        <v>369</v>
      </c>
      <c r="K67" s="3" t="s">
        <v>27</v>
      </c>
      <c r="L67" s="3" t="s">
        <v>27</v>
      </c>
      <c r="M67" s="3" t="s">
        <v>28</v>
      </c>
      <c r="N67" s="3" t="s">
        <v>28</v>
      </c>
      <c r="O67" s="3" t="s">
        <v>27</v>
      </c>
      <c r="P67" s="3" t="s">
        <v>28</v>
      </c>
      <c r="Q67" s="3" t="s">
        <v>27</v>
      </c>
      <c r="R67" s="3" t="s">
        <v>28</v>
      </c>
      <c r="S67" s="3" t="s">
        <v>28</v>
      </c>
      <c r="T67" s="3" t="s">
        <v>28</v>
      </c>
    </row>
    <row r="68" spans="1:20" ht="336">
      <c r="A68" s="3">
        <v>2769543</v>
      </c>
      <c r="B68" s="3">
        <f>HYPERLINK("https://platform.v2.vetology.net/cases/2769543/screening-report/6?type=pdf&amp;v=v6&amp;scorecard=1&amp;secret_key=BX%25IJ%24%2F65ieZ%29f6", 2769543)</f>
        <v>2769543</v>
      </c>
      <c r="C68" s="3">
        <f>HYPERLINK("https://platform.v2.vetology.net/report/v/final/"&amp;2769543, 2769543)</f>
        <v>2769543</v>
      </c>
      <c r="D68" s="3" t="s">
        <v>370</v>
      </c>
      <c r="E68" s="3" t="s">
        <v>371</v>
      </c>
      <c r="F68" s="3" t="s">
        <v>22</v>
      </c>
      <c r="G68" s="3" t="s">
        <v>372</v>
      </c>
      <c r="H68" s="3" t="s">
        <v>373</v>
      </c>
      <c r="I68" s="3" t="s">
        <v>66</v>
      </c>
      <c r="J68" s="3" t="s">
        <v>67</v>
      </c>
      <c r="K68" s="3" t="s">
        <v>28</v>
      </c>
      <c r="L68" s="3" t="s">
        <v>28</v>
      </c>
      <c r="M68" s="3" t="s">
        <v>28</v>
      </c>
      <c r="N68" s="3" t="s">
        <v>28</v>
      </c>
      <c r="O68" s="3" t="s">
        <v>27</v>
      </c>
      <c r="P68" s="3" t="s">
        <v>28</v>
      </c>
      <c r="Q68" s="3" t="s">
        <v>28</v>
      </c>
      <c r="R68" s="3" t="s">
        <v>28</v>
      </c>
      <c r="S68" s="3" t="s">
        <v>28</v>
      </c>
      <c r="T68" s="3" t="s">
        <v>28</v>
      </c>
    </row>
    <row r="69" spans="1:20" ht="409.6">
      <c r="A69" s="3">
        <v>2769513</v>
      </c>
      <c r="B69" s="3">
        <f>HYPERLINK("https://platform.v2.vetology.net/cases/2769513/screening-report/6?type=pdf&amp;v=v6&amp;scorecard=1&amp;secret_key=BX%25IJ%24%2F65ieZ%29f6", 2769513)</f>
        <v>2769513</v>
      </c>
      <c r="C69" s="3">
        <f>HYPERLINK("https://platform.v2.vetology.net/report/v/final/"&amp;2769513, 2769513)</f>
        <v>2769513</v>
      </c>
      <c r="D69" s="3" t="s">
        <v>374</v>
      </c>
      <c r="E69" s="3" t="s">
        <v>375</v>
      </c>
      <c r="F69" s="3" t="s">
        <v>376</v>
      </c>
      <c r="G69" s="3" t="s">
        <v>64</v>
      </c>
      <c r="H69" s="3" t="s">
        <v>31</v>
      </c>
      <c r="I69" s="3" t="s">
        <v>32</v>
      </c>
      <c r="J69" s="3" t="s">
        <v>33</v>
      </c>
      <c r="K69" s="3" t="s">
        <v>28</v>
      </c>
      <c r="L69" s="3" t="s">
        <v>28</v>
      </c>
      <c r="M69" s="3" t="s">
        <v>28</v>
      </c>
      <c r="N69" s="3" t="s">
        <v>28</v>
      </c>
      <c r="O69" s="3" t="s">
        <v>28</v>
      </c>
      <c r="P69" s="3" t="s">
        <v>28</v>
      </c>
      <c r="Q69" s="3" t="s">
        <v>28</v>
      </c>
      <c r="R69" s="3" t="s">
        <v>28</v>
      </c>
      <c r="S69" s="3" t="s">
        <v>28</v>
      </c>
      <c r="T69" s="3" t="s">
        <v>28</v>
      </c>
    </row>
    <row r="70" spans="1:20" ht="244.5">
      <c r="A70" s="3">
        <v>2769507</v>
      </c>
      <c r="B70" s="3">
        <f>HYPERLINK("https://platform.v2.vetology.net/cases/2769507/screening-report/6?type=pdf&amp;v=v6&amp;scorecard=1&amp;secret_key=BX%25IJ%24%2F65ieZ%29f6", 2769507)</f>
        <v>2769507</v>
      </c>
      <c r="C70" s="3">
        <f>HYPERLINK("https://platform.v2.vetology.net/report/v/final/"&amp;2769507, 2769507)</f>
        <v>2769507</v>
      </c>
      <c r="D70" s="3" t="s">
        <v>377</v>
      </c>
      <c r="E70" s="3" t="s">
        <v>378</v>
      </c>
      <c r="F70" s="3" t="s">
        <v>22</v>
      </c>
      <c r="G70" s="3" t="s">
        <v>23</v>
      </c>
      <c r="H70" s="3" t="s">
        <v>379</v>
      </c>
      <c r="I70" s="3" t="s">
        <v>380</v>
      </c>
      <c r="J70" s="3" t="s">
        <v>297</v>
      </c>
      <c r="K70" s="3" t="s">
        <v>28</v>
      </c>
      <c r="L70" s="3" t="s">
        <v>28</v>
      </c>
      <c r="M70" s="3" t="s">
        <v>28</v>
      </c>
      <c r="N70" s="3" t="s">
        <v>28</v>
      </c>
      <c r="O70" s="3" t="s">
        <v>27</v>
      </c>
      <c r="P70" s="3" t="s">
        <v>28</v>
      </c>
      <c r="Q70" s="3" t="s">
        <v>28</v>
      </c>
      <c r="R70" s="3" t="s">
        <v>28</v>
      </c>
      <c r="S70" s="3" t="s">
        <v>28</v>
      </c>
      <c r="T70" s="3" t="s">
        <v>28</v>
      </c>
    </row>
    <row r="71" spans="1:20" ht="409.6">
      <c r="A71" s="3">
        <v>2769500</v>
      </c>
      <c r="B71" s="3">
        <f>HYPERLINK("https://platform.v2.vetology.net/cases/2769500/screening-report/6?type=pdf&amp;v=v6&amp;scorecard=1&amp;secret_key=BX%25IJ%24%2F65ieZ%29f6", 2769500)</f>
        <v>2769500</v>
      </c>
      <c r="C71" s="3">
        <f>HYPERLINK("https://platform.v2.vetology.net/report/v/final/"&amp;2769500, 2769500)</f>
        <v>2769500</v>
      </c>
      <c r="D71" s="3" t="s">
        <v>381</v>
      </c>
      <c r="E71" s="3" t="s">
        <v>382</v>
      </c>
      <c r="F71" s="3" t="s">
        <v>383</v>
      </c>
      <c r="G71" s="3" t="s">
        <v>64</v>
      </c>
      <c r="H71" s="3" t="s">
        <v>350</v>
      </c>
      <c r="I71" s="3" t="s">
        <v>351</v>
      </c>
      <c r="J71" s="3" t="s">
        <v>352</v>
      </c>
      <c r="K71" s="3" t="s">
        <v>28</v>
      </c>
      <c r="L71" s="3" t="s">
        <v>28</v>
      </c>
      <c r="M71" s="3" t="s">
        <v>28</v>
      </c>
      <c r="N71" s="3" t="s">
        <v>28</v>
      </c>
      <c r="O71" s="3" t="s">
        <v>28</v>
      </c>
      <c r="P71" s="3" t="s">
        <v>28</v>
      </c>
      <c r="Q71" s="3" t="s">
        <v>28</v>
      </c>
      <c r="R71" s="3" t="s">
        <v>28</v>
      </c>
      <c r="S71" s="3" t="s">
        <v>28</v>
      </c>
      <c r="T71" s="3" t="s">
        <v>27</v>
      </c>
    </row>
    <row r="72" spans="1:20" ht="409.6">
      <c r="A72" s="3">
        <v>2769421</v>
      </c>
      <c r="B72" s="3">
        <f>HYPERLINK("https://platform.v2.vetology.net/cases/2769421/screening-report/6?type=pdf&amp;v=v6&amp;scorecard=1&amp;secret_key=BX%25IJ%24%2F65ieZ%29f6", 2769421)</f>
        <v>2769421</v>
      </c>
      <c r="C72" s="3">
        <f>HYPERLINK("https://platform.v2.vetology.net/report/v/final/"&amp;2769421, 2769421)</f>
        <v>2769421</v>
      </c>
      <c r="D72" s="3" t="s">
        <v>384</v>
      </c>
      <c r="E72" s="3" t="s">
        <v>385</v>
      </c>
      <c r="F72" s="3" t="s">
        <v>386</v>
      </c>
      <c r="G72" s="3" t="s">
        <v>64</v>
      </c>
      <c r="H72" s="3" t="s">
        <v>31</v>
      </c>
      <c r="I72" s="3" t="s">
        <v>32</v>
      </c>
      <c r="J72" s="3" t="s">
        <v>387</v>
      </c>
      <c r="K72" s="3" t="s">
        <v>28</v>
      </c>
      <c r="L72" s="3" t="s">
        <v>28</v>
      </c>
      <c r="M72" s="3" t="s">
        <v>28</v>
      </c>
      <c r="N72" s="3" t="s">
        <v>28</v>
      </c>
      <c r="O72" s="3" t="s">
        <v>27</v>
      </c>
      <c r="P72" s="3" t="s">
        <v>27</v>
      </c>
      <c r="Q72" s="3" t="s">
        <v>28</v>
      </c>
      <c r="R72" s="3" t="s">
        <v>28</v>
      </c>
      <c r="S72" s="3" t="s">
        <v>28</v>
      </c>
      <c r="T72" s="3" t="s">
        <v>27</v>
      </c>
    </row>
    <row r="73" spans="1:20" ht="409.6">
      <c r="A73" s="3">
        <v>2769417</v>
      </c>
      <c r="B73" s="3">
        <f>HYPERLINK("https://platform.v2.vetology.net/cases/2769417/screening-report/6?type=pdf&amp;v=v6&amp;scorecard=1&amp;secret_key=BX%25IJ%24%2F65ieZ%29f6", 2769417)</f>
        <v>2769417</v>
      </c>
      <c r="C73" s="3">
        <f>HYPERLINK("https://platform.v2.vetology.net/report/v/final/"&amp;2769417, 2769417)</f>
        <v>2769417</v>
      </c>
      <c r="D73" s="3" t="s">
        <v>388</v>
      </c>
      <c r="E73" s="3" t="s">
        <v>389</v>
      </c>
      <c r="F73" s="3" t="s">
        <v>390</v>
      </c>
      <c r="G73" s="3" t="s">
        <v>64</v>
      </c>
      <c r="H73" s="3" t="s">
        <v>391</v>
      </c>
      <c r="I73" s="3" t="s">
        <v>392</v>
      </c>
      <c r="J73" s="3" t="s">
        <v>393</v>
      </c>
      <c r="K73" s="3" t="s">
        <v>28</v>
      </c>
      <c r="L73" s="3" t="s">
        <v>28</v>
      </c>
      <c r="M73" s="3" t="s">
        <v>28</v>
      </c>
      <c r="N73" s="3" t="s">
        <v>28</v>
      </c>
      <c r="O73" s="3" t="s">
        <v>28</v>
      </c>
      <c r="P73" s="3" t="s">
        <v>28</v>
      </c>
      <c r="Q73" s="3" t="s">
        <v>28</v>
      </c>
      <c r="R73" s="3" t="s">
        <v>28</v>
      </c>
      <c r="S73" s="3" t="s">
        <v>28</v>
      </c>
      <c r="T73" s="3" t="s">
        <v>27</v>
      </c>
    </row>
    <row r="74" spans="1:20" ht="290.25">
      <c r="A74" s="3">
        <v>2769366</v>
      </c>
      <c r="B74" s="3">
        <f>HYPERLINK("https://platform.v2.vetology.net/cases/2769366/screening-report/6?type=pdf&amp;v=v6&amp;scorecard=1&amp;secret_key=BX%25IJ%24%2F65ieZ%29f6", 2769366)</f>
        <v>2769366</v>
      </c>
      <c r="C74" s="3">
        <f>HYPERLINK("https://platform.v2.vetology.net/report/v/final/"&amp;2769366, 2769366)</f>
        <v>2769366</v>
      </c>
      <c r="D74" s="3" t="s">
        <v>394</v>
      </c>
      <c r="E74" s="3" t="s">
        <v>395</v>
      </c>
      <c r="F74" s="3" t="s">
        <v>396</v>
      </c>
      <c r="G74" s="3" t="s">
        <v>186</v>
      </c>
      <c r="H74" s="3" t="s">
        <v>397</v>
      </c>
      <c r="I74" s="3" t="s">
        <v>398</v>
      </c>
      <c r="J74" s="3" t="s">
        <v>399</v>
      </c>
      <c r="K74" s="3" t="s">
        <v>28</v>
      </c>
      <c r="L74" s="3" t="s">
        <v>28</v>
      </c>
      <c r="M74" s="3" t="s">
        <v>28</v>
      </c>
      <c r="N74" s="3" t="s">
        <v>28</v>
      </c>
      <c r="O74" s="3" t="s">
        <v>27</v>
      </c>
      <c r="P74" s="3" t="s">
        <v>28</v>
      </c>
      <c r="Q74" s="3" t="s">
        <v>28</v>
      </c>
      <c r="R74" s="3" t="s">
        <v>28</v>
      </c>
      <c r="S74" s="3" t="s">
        <v>28</v>
      </c>
      <c r="T74" s="3" t="s">
        <v>28</v>
      </c>
    </row>
    <row r="75" spans="1:20" ht="290.25">
      <c r="A75" s="3">
        <v>2769348</v>
      </c>
      <c r="B75" s="3">
        <f>HYPERLINK("https://platform.v2.vetology.net/cases/2769348/screening-report/6?type=pdf&amp;v=v6&amp;scorecard=1&amp;secret_key=BX%25IJ%24%2F65ieZ%29f6", 2769348)</f>
        <v>2769348</v>
      </c>
      <c r="C75" s="3">
        <f>HYPERLINK("https://platform.v2.vetology.net/report/v/final/"&amp;2769348, 2769348)</f>
        <v>2769348</v>
      </c>
      <c r="D75" s="3" t="s">
        <v>400</v>
      </c>
      <c r="E75" s="3" t="s">
        <v>401</v>
      </c>
      <c r="F75" s="3" t="s">
        <v>402</v>
      </c>
      <c r="G75" s="3" t="s">
        <v>100</v>
      </c>
      <c r="H75" s="3" t="s">
        <v>403</v>
      </c>
      <c r="I75" s="3" t="s">
        <v>404</v>
      </c>
      <c r="J75" s="3" t="s">
        <v>405</v>
      </c>
      <c r="K75" s="3" t="s">
        <v>28</v>
      </c>
      <c r="L75" s="3" t="s">
        <v>28</v>
      </c>
      <c r="M75" s="3" t="s">
        <v>28</v>
      </c>
      <c r="N75" s="3" t="s">
        <v>28</v>
      </c>
      <c r="O75" s="3" t="s">
        <v>27</v>
      </c>
      <c r="P75" s="3" t="s">
        <v>28</v>
      </c>
      <c r="Q75" s="3" t="s">
        <v>28</v>
      </c>
      <c r="R75" s="3" t="s">
        <v>28</v>
      </c>
      <c r="S75" s="3" t="s">
        <v>27</v>
      </c>
      <c r="T75" s="3" t="s">
        <v>27</v>
      </c>
    </row>
    <row r="76" spans="1:20" ht="366">
      <c r="A76" s="3">
        <v>2769274</v>
      </c>
      <c r="B76" s="3">
        <f>HYPERLINK("https://platform.v2.vetology.net/cases/2769274/screening-report/6?type=pdf&amp;v=v6&amp;scorecard=1&amp;secret_key=BX%25IJ%24%2F65ieZ%29f6", 2769274)</f>
        <v>2769274</v>
      </c>
      <c r="C76" s="3">
        <f>HYPERLINK("https://platform.v2.vetology.net/report/v/final/"&amp;2769274, 2769274)</f>
        <v>2769274</v>
      </c>
      <c r="D76" s="3" t="s">
        <v>406</v>
      </c>
      <c r="E76" s="3" t="s">
        <v>407</v>
      </c>
      <c r="F76" s="3" t="s">
        <v>408</v>
      </c>
      <c r="G76" s="3" t="s">
        <v>57</v>
      </c>
      <c r="H76" s="3" t="s">
        <v>409</v>
      </c>
      <c r="I76" s="3" t="s">
        <v>291</v>
      </c>
      <c r="J76" s="3" t="s">
        <v>225</v>
      </c>
      <c r="K76" s="3" t="s">
        <v>28</v>
      </c>
      <c r="L76" s="3" t="s">
        <v>27</v>
      </c>
      <c r="M76" s="3" t="s">
        <v>28</v>
      </c>
      <c r="N76" s="3" t="s">
        <v>27</v>
      </c>
      <c r="O76" s="3" t="s">
        <v>27</v>
      </c>
      <c r="P76" s="3" t="s">
        <v>28</v>
      </c>
      <c r="Q76" s="3" t="s">
        <v>28</v>
      </c>
      <c r="R76" s="3" t="s">
        <v>27</v>
      </c>
      <c r="S76" s="3" t="s">
        <v>27</v>
      </c>
      <c r="T76" s="3" t="s">
        <v>27</v>
      </c>
    </row>
    <row r="77" spans="1:20" ht="366">
      <c r="A77" s="3">
        <v>2769269</v>
      </c>
      <c r="B77" s="3">
        <f>HYPERLINK("https://platform.v2.vetology.net/cases/2769269/screening-report/6?type=pdf&amp;v=v6&amp;scorecard=1&amp;secret_key=BX%25IJ%24%2F65ieZ%29f6", 2769269)</f>
        <v>2769269</v>
      </c>
      <c r="C77" s="3">
        <f>HYPERLINK("https://platform.v2.vetology.net/report/v/final/"&amp;2769269, 2769269)</f>
        <v>2769269</v>
      </c>
      <c r="D77" s="3" t="s">
        <v>410</v>
      </c>
      <c r="E77" s="3" t="s">
        <v>411</v>
      </c>
      <c r="F77" s="3" t="s">
        <v>22</v>
      </c>
      <c r="G77" s="3" t="s">
        <v>23</v>
      </c>
      <c r="H77" s="3" t="s">
        <v>412</v>
      </c>
      <c r="I77" s="3" t="s">
        <v>200</v>
      </c>
      <c r="J77" s="3" t="s">
        <v>219</v>
      </c>
      <c r="K77" s="3" t="s">
        <v>28</v>
      </c>
      <c r="L77" s="3" t="s">
        <v>28</v>
      </c>
      <c r="M77" s="3" t="s">
        <v>28</v>
      </c>
      <c r="N77" s="3" t="s">
        <v>28</v>
      </c>
      <c r="O77" s="3" t="s">
        <v>27</v>
      </c>
      <c r="P77" s="3" t="s">
        <v>28</v>
      </c>
      <c r="Q77" s="3" t="s">
        <v>28</v>
      </c>
      <c r="R77" s="3" t="s">
        <v>28</v>
      </c>
      <c r="S77" s="3" t="s">
        <v>28</v>
      </c>
      <c r="T77" s="3" t="s">
        <v>28</v>
      </c>
    </row>
    <row r="78" spans="1:20" ht="229.5">
      <c r="A78" s="3">
        <v>2769265</v>
      </c>
      <c r="B78" s="3">
        <f>HYPERLINK("https://platform.v2.vetology.net/cases/2769265/screening-report/6?type=pdf&amp;v=v6&amp;scorecard=1&amp;secret_key=BX%25IJ%24%2F65ieZ%29f6", 2769265)</f>
        <v>2769265</v>
      </c>
      <c r="C78" s="3">
        <f>HYPERLINK("https://platform.v2.vetology.net/report/v/final/"&amp;2769265, 2769265)</f>
        <v>2769265</v>
      </c>
      <c r="D78" s="3" t="s">
        <v>413</v>
      </c>
      <c r="E78" s="3" t="s">
        <v>414</v>
      </c>
      <c r="F78" s="3" t="s">
        <v>415</v>
      </c>
      <c r="G78" s="3" t="s">
        <v>186</v>
      </c>
      <c r="H78" s="3" t="s">
        <v>158</v>
      </c>
      <c r="I78" s="3" t="s">
        <v>32</v>
      </c>
      <c r="J78" s="3" t="s">
        <v>119</v>
      </c>
      <c r="K78" s="3" t="s">
        <v>28</v>
      </c>
      <c r="L78" s="3" t="s">
        <v>28</v>
      </c>
      <c r="M78" s="3" t="s">
        <v>28</v>
      </c>
      <c r="N78" s="3" t="s">
        <v>28</v>
      </c>
      <c r="O78" s="3" t="s">
        <v>28</v>
      </c>
      <c r="P78" s="3" t="s">
        <v>28</v>
      </c>
      <c r="Q78" s="3" t="s">
        <v>28</v>
      </c>
      <c r="R78" s="3" t="s">
        <v>28</v>
      </c>
      <c r="S78" s="3" t="s">
        <v>28</v>
      </c>
      <c r="T78" s="3" t="s">
        <v>28</v>
      </c>
    </row>
    <row r="79" spans="1:20" ht="409.6">
      <c r="A79" s="3">
        <v>2769208</v>
      </c>
      <c r="B79" s="3">
        <f>HYPERLINK("https://platform.v2.vetology.net/cases/2769208/screening-report/6?type=pdf&amp;v=v6&amp;scorecard=1&amp;secret_key=BX%25IJ%24%2F65ieZ%29f6", 2769208)</f>
        <v>2769208</v>
      </c>
      <c r="C79" s="3">
        <f>HYPERLINK("https://platform.v2.vetology.net/report/v/final/"&amp;2769208, 2769208)</f>
        <v>2769208</v>
      </c>
      <c r="D79" s="3" t="s">
        <v>416</v>
      </c>
      <c r="E79" s="3" t="s">
        <v>417</v>
      </c>
      <c r="F79" s="3" t="s">
        <v>418</v>
      </c>
      <c r="G79" s="3" t="s">
        <v>64</v>
      </c>
      <c r="H79" s="3" t="s">
        <v>419</v>
      </c>
      <c r="I79" s="3" t="s">
        <v>316</v>
      </c>
      <c r="J79" s="3" t="s">
        <v>317</v>
      </c>
      <c r="K79" s="3" t="s">
        <v>27</v>
      </c>
      <c r="L79" s="3" t="s">
        <v>28</v>
      </c>
      <c r="M79" s="3" t="s">
        <v>28</v>
      </c>
      <c r="N79" s="3" t="s">
        <v>28</v>
      </c>
      <c r="O79" s="3" t="s">
        <v>27</v>
      </c>
      <c r="P79" s="3" t="s">
        <v>28</v>
      </c>
      <c r="Q79" s="3" t="s">
        <v>28</v>
      </c>
      <c r="R79" s="3" t="s">
        <v>28</v>
      </c>
      <c r="S79" s="3" t="s">
        <v>28</v>
      </c>
      <c r="T79" s="3" t="s">
        <v>28</v>
      </c>
    </row>
    <row r="80" spans="1:20" ht="259.5">
      <c r="A80" s="3">
        <v>2769193</v>
      </c>
      <c r="B80" s="3">
        <f>HYPERLINK("https://platform.v2.vetology.net/cases/2769193/screening-report/6?type=pdf&amp;v=v6&amp;scorecard=1&amp;secret_key=BX%25IJ%24%2F65ieZ%29f6", 2769193)</f>
        <v>2769193</v>
      </c>
      <c r="C80" s="3">
        <f>HYPERLINK("https://platform.v2.vetology.net/report/v/final/"&amp;2769193, 2769193)</f>
        <v>2769193</v>
      </c>
      <c r="D80" s="3" t="s">
        <v>420</v>
      </c>
      <c r="E80" s="3" t="s">
        <v>421</v>
      </c>
      <c r="F80" s="3" t="s">
        <v>422</v>
      </c>
      <c r="G80" s="3" t="s">
        <v>179</v>
      </c>
      <c r="H80" s="3" t="s">
        <v>423</v>
      </c>
      <c r="I80" s="3" t="s">
        <v>136</v>
      </c>
      <c r="J80" s="3" t="s">
        <v>424</v>
      </c>
      <c r="K80" s="3" t="s">
        <v>28</v>
      </c>
      <c r="L80" s="3" t="s">
        <v>28</v>
      </c>
      <c r="M80" s="3" t="s">
        <v>28</v>
      </c>
      <c r="N80" s="3" t="s">
        <v>28</v>
      </c>
      <c r="O80" s="3" t="s">
        <v>27</v>
      </c>
      <c r="P80" s="3" t="s">
        <v>28</v>
      </c>
      <c r="Q80" s="3" t="s">
        <v>28</v>
      </c>
      <c r="R80" s="3" t="s">
        <v>28</v>
      </c>
      <c r="S80" s="3" t="s">
        <v>28</v>
      </c>
      <c r="T80" s="3" t="s">
        <v>27</v>
      </c>
    </row>
    <row r="81" spans="1:20" ht="409.6">
      <c r="A81" s="3">
        <v>2769182</v>
      </c>
      <c r="B81" s="3">
        <f>HYPERLINK("https://platform.v2.vetology.net/cases/2769182/screening-report/6?type=pdf&amp;v=v6&amp;scorecard=1&amp;secret_key=BX%25IJ%24%2F65ieZ%29f6", 2769182)</f>
        <v>2769182</v>
      </c>
      <c r="C81" s="3">
        <f>HYPERLINK("https://platform.v2.vetology.net/report/v/final/"&amp;2769182, 2769182)</f>
        <v>2769182</v>
      </c>
      <c r="D81" s="3" t="s">
        <v>425</v>
      </c>
      <c r="E81" s="3" t="s">
        <v>426</v>
      </c>
      <c r="F81" s="3" t="s">
        <v>427</v>
      </c>
      <c r="G81" s="3" t="s">
        <v>57</v>
      </c>
      <c r="H81" s="3" t="s">
        <v>428</v>
      </c>
      <c r="I81" s="3" t="s">
        <v>429</v>
      </c>
      <c r="J81" s="3" t="s">
        <v>430</v>
      </c>
      <c r="K81" s="3" t="s">
        <v>27</v>
      </c>
      <c r="L81" s="3" t="s">
        <v>27</v>
      </c>
      <c r="M81" s="3" t="s">
        <v>27</v>
      </c>
      <c r="N81" s="3" t="s">
        <v>27</v>
      </c>
      <c r="O81" s="3" t="s">
        <v>27</v>
      </c>
      <c r="P81" s="3" t="s">
        <v>28</v>
      </c>
      <c r="Q81" s="3" t="s">
        <v>28</v>
      </c>
      <c r="R81" s="3" t="s">
        <v>27</v>
      </c>
      <c r="S81" s="3" t="s">
        <v>28</v>
      </c>
      <c r="T81" s="3" t="s">
        <v>27</v>
      </c>
    </row>
    <row r="82" spans="1:20" ht="409.6">
      <c r="A82" s="3">
        <v>2769129</v>
      </c>
      <c r="B82" s="3">
        <f>HYPERLINK("https://platform.v2.vetology.net/cases/2769129/screening-report/6?type=pdf&amp;v=v6&amp;scorecard=1&amp;secret_key=BX%25IJ%24%2F65ieZ%29f6", 2769129)</f>
        <v>2769129</v>
      </c>
      <c r="C82" s="3">
        <f>HYPERLINK("https://platform.v2.vetology.net/report/v/final/"&amp;2769129, 2769129)</f>
        <v>2769129</v>
      </c>
      <c r="D82" s="3" t="s">
        <v>431</v>
      </c>
      <c r="E82" s="3" t="s">
        <v>432</v>
      </c>
      <c r="F82" s="3" t="s">
        <v>433</v>
      </c>
      <c r="G82" s="3" t="s">
        <v>64</v>
      </c>
      <c r="H82" s="3" t="s">
        <v>135</v>
      </c>
      <c r="I82" s="3" t="s">
        <v>136</v>
      </c>
      <c r="J82" s="3" t="s">
        <v>424</v>
      </c>
      <c r="K82" s="3" t="s">
        <v>28</v>
      </c>
      <c r="L82" s="3" t="s">
        <v>28</v>
      </c>
      <c r="M82" s="3" t="s">
        <v>28</v>
      </c>
      <c r="N82" s="3" t="s">
        <v>28</v>
      </c>
      <c r="O82" s="3" t="s">
        <v>27</v>
      </c>
      <c r="P82" s="3" t="s">
        <v>28</v>
      </c>
      <c r="Q82" s="3" t="s">
        <v>28</v>
      </c>
      <c r="R82" s="3" t="s">
        <v>28</v>
      </c>
      <c r="S82" s="3" t="s">
        <v>28</v>
      </c>
      <c r="T82" s="3" t="s">
        <v>27</v>
      </c>
    </row>
    <row r="83" spans="1:20" ht="396.75">
      <c r="A83" s="3">
        <v>2769114</v>
      </c>
      <c r="B83" s="3">
        <f>HYPERLINK("https://platform.v2.vetology.net/cases/2769114/screening-report/6?type=pdf&amp;v=v6&amp;scorecard=1&amp;secret_key=BX%25IJ%24%2F65ieZ%29f6", 2769114)</f>
        <v>2769114</v>
      </c>
      <c r="C83" s="3">
        <f>HYPERLINK("https://platform.v2.vetology.net/report/v/final/"&amp;2769114, 2769114)</f>
        <v>2769114</v>
      </c>
      <c r="D83" s="3" t="s">
        <v>434</v>
      </c>
      <c r="E83" s="3" t="s">
        <v>435</v>
      </c>
      <c r="F83" s="3" t="s">
        <v>436</v>
      </c>
      <c r="G83" s="3" t="s">
        <v>57</v>
      </c>
      <c r="H83" s="3" t="s">
        <v>437</v>
      </c>
      <c r="I83" s="3" t="s">
        <v>438</v>
      </c>
      <c r="J83" s="3" t="s">
        <v>439</v>
      </c>
      <c r="K83" s="3" t="s">
        <v>28</v>
      </c>
      <c r="L83" s="3" t="s">
        <v>28</v>
      </c>
      <c r="M83" s="3" t="s">
        <v>28</v>
      </c>
      <c r="N83" s="3" t="s">
        <v>28</v>
      </c>
      <c r="O83" s="3" t="s">
        <v>28</v>
      </c>
      <c r="P83" s="3" t="s">
        <v>28</v>
      </c>
      <c r="Q83" s="3" t="s">
        <v>28</v>
      </c>
      <c r="R83" s="3" t="s">
        <v>27</v>
      </c>
      <c r="S83" s="3" t="s">
        <v>28</v>
      </c>
      <c r="T83" s="3" t="s">
        <v>27</v>
      </c>
    </row>
    <row r="84" spans="1:20" ht="259.5">
      <c r="A84" s="3">
        <v>2769086</v>
      </c>
      <c r="B84" s="3">
        <f>HYPERLINK("https://platform.v2.vetology.net/cases/2769086/screening-report/6?type=pdf&amp;v=v6&amp;scorecard=1&amp;secret_key=BX%25IJ%24%2F65ieZ%29f6", 2769086)</f>
        <v>2769086</v>
      </c>
      <c r="C84" s="3">
        <f>HYPERLINK("https://platform.v2.vetology.net/report/v/final/"&amp;2769086, 2769086)</f>
        <v>2769086</v>
      </c>
      <c r="D84" s="3" t="s">
        <v>440</v>
      </c>
      <c r="E84" s="3" t="s">
        <v>441</v>
      </c>
      <c r="F84" s="3" t="s">
        <v>442</v>
      </c>
      <c r="G84" s="3" t="s">
        <v>23</v>
      </c>
      <c r="H84" s="3" t="s">
        <v>31</v>
      </c>
      <c r="I84" s="3" t="s">
        <v>32</v>
      </c>
      <c r="J84" s="3" t="s">
        <v>119</v>
      </c>
      <c r="K84" s="3" t="s">
        <v>28</v>
      </c>
      <c r="L84" s="3" t="s">
        <v>28</v>
      </c>
      <c r="M84" s="3" t="s">
        <v>28</v>
      </c>
      <c r="N84" s="3" t="s">
        <v>28</v>
      </c>
      <c r="O84" s="3" t="s">
        <v>27</v>
      </c>
      <c r="P84" s="3" t="s">
        <v>28</v>
      </c>
      <c r="Q84" s="3" t="s">
        <v>28</v>
      </c>
      <c r="R84" s="3" t="s">
        <v>28</v>
      </c>
      <c r="S84" s="3" t="s">
        <v>28</v>
      </c>
      <c r="T84" s="3" t="s">
        <v>28</v>
      </c>
    </row>
    <row r="85" spans="1:20" ht="351">
      <c r="A85" s="3">
        <v>2769019</v>
      </c>
      <c r="B85" s="3">
        <f>HYPERLINK("https://platform.v2.vetology.net/cases/2769019/screening-report/6?type=pdf&amp;v=v6&amp;scorecard=1&amp;secret_key=BX%25IJ%24%2F65ieZ%29f6", 2769019)</f>
        <v>2769019</v>
      </c>
      <c r="C85" s="3">
        <f>HYPERLINK("https://platform.v2.vetology.net/report/v/final/"&amp;2769019, 2769019)</f>
        <v>2769019</v>
      </c>
      <c r="D85" s="3" t="s">
        <v>443</v>
      </c>
      <c r="E85" s="3" t="s">
        <v>444</v>
      </c>
      <c r="F85" s="3" t="s">
        <v>22</v>
      </c>
      <c r="G85" s="3" t="s">
        <v>23</v>
      </c>
      <c r="H85" s="3" t="s">
        <v>445</v>
      </c>
      <c r="I85" s="3" t="s">
        <v>446</v>
      </c>
      <c r="J85" s="3" t="s">
        <v>447</v>
      </c>
      <c r="K85" s="3" t="s">
        <v>28</v>
      </c>
      <c r="L85" s="3" t="s">
        <v>28</v>
      </c>
      <c r="M85" s="3" t="s">
        <v>28</v>
      </c>
      <c r="N85" s="3" t="s">
        <v>28</v>
      </c>
      <c r="O85" s="3" t="s">
        <v>27</v>
      </c>
      <c r="P85" s="3" t="s">
        <v>27</v>
      </c>
      <c r="Q85" s="3" t="s">
        <v>27</v>
      </c>
      <c r="R85" s="3" t="s">
        <v>28</v>
      </c>
      <c r="S85" s="3" t="s">
        <v>28</v>
      </c>
      <c r="T85" s="3" t="s">
        <v>28</v>
      </c>
    </row>
    <row r="86" spans="1:20" ht="366">
      <c r="A86" s="3">
        <v>2769004</v>
      </c>
      <c r="B86" s="3">
        <f>HYPERLINK("https://platform.v2.vetology.net/cases/2769004/screening-report/6?type=pdf&amp;v=v6&amp;scorecard=1&amp;secret_key=BX%25IJ%24%2F65ieZ%29f6", 2769004)</f>
        <v>2769004</v>
      </c>
      <c r="C86" s="3">
        <f>HYPERLINK("https://platform.v2.vetology.net/report/v/final/"&amp;2769004, 2769004)</f>
        <v>2769004</v>
      </c>
      <c r="D86" s="3" t="s">
        <v>448</v>
      </c>
      <c r="E86" s="3" t="s">
        <v>449</v>
      </c>
      <c r="F86" s="3" t="s">
        <v>22</v>
      </c>
      <c r="G86" s="3" t="s">
        <v>23</v>
      </c>
      <c r="H86" s="3" t="s">
        <v>450</v>
      </c>
      <c r="I86" s="3" t="s">
        <v>224</v>
      </c>
      <c r="J86" s="3" t="s">
        <v>225</v>
      </c>
      <c r="K86" s="3" t="s">
        <v>28</v>
      </c>
      <c r="L86" s="3" t="s">
        <v>28</v>
      </c>
      <c r="M86" s="3" t="s">
        <v>28</v>
      </c>
      <c r="N86" s="3" t="s">
        <v>28</v>
      </c>
      <c r="O86" s="3" t="s">
        <v>27</v>
      </c>
      <c r="P86" s="3" t="s">
        <v>28</v>
      </c>
      <c r="Q86" s="3" t="s">
        <v>28</v>
      </c>
      <c r="R86" s="3" t="s">
        <v>28</v>
      </c>
      <c r="S86" s="3" t="s">
        <v>27</v>
      </c>
      <c r="T86" s="3" t="s">
        <v>27</v>
      </c>
    </row>
    <row r="87" spans="1:20" ht="336">
      <c r="A87" s="3">
        <v>2768993</v>
      </c>
      <c r="B87" s="3">
        <f>HYPERLINK("https://platform.v2.vetology.net/cases/2768993/screening-report/6?type=pdf&amp;v=v6&amp;scorecard=1&amp;secret_key=BX%25IJ%24%2F65ieZ%29f6", 2768993)</f>
        <v>2768993</v>
      </c>
      <c r="C87" s="3">
        <f>HYPERLINK("https://platform.v2.vetology.net/report/v/final/"&amp;2768993, 2768993)</f>
        <v>2768993</v>
      </c>
      <c r="D87" s="3" t="s">
        <v>451</v>
      </c>
      <c r="E87" s="3" t="s">
        <v>452</v>
      </c>
      <c r="F87" s="3" t="s">
        <v>453</v>
      </c>
      <c r="G87" s="3" t="s">
        <v>186</v>
      </c>
      <c r="H87" s="3" t="s">
        <v>454</v>
      </c>
      <c r="I87" s="3" t="s">
        <v>124</v>
      </c>
      <c r="J87" s="3" t="s">
        <v>125</v>
      </c>
      <c r="K87" s="3" t="s">
        <v>27</v>
      </c>
      <c r="L87" s="3" t="s">
        <v>28</v>
      </c>
      <c r="M87" s="3" t="s">
        <v>27</v>
      </c>
      <c r="N87" s="3" t="s">
        <v>28</v>
      </c>
      <c r="O87" s="3" t="s">
        <v>27</v>
      </c>
      <c r="P87" s="3" t="s">
        <v>28</v>
      </c>
      <c r="Q87" s="3" t="s">
        <v>27</v>
      </c>
      <c r="R87" s="3" t="s">
        <v>28</v>
      </c>
      <c r="S87" s="3" t="s">
        <v>28</v>
      </c>
      <c r="T87" s="3" t="s">
        <v>28</v>
      </c>
    </row>
    <row r="88" spans="1:20" ht="336">
      <c r="A88" s="3">
        <v>2768982</v>
      </c>
      <c r="B88" s="3">
        <f>HYPERLINK("https://platform.v2.vetology.net/cases/2768982/screening-report/6?type=pdf&amp;v=v6&amp;scorecard=1&amp;secret_key=BX%25IJ%24%2F65ieZ%29f6", 2768982)</f>
        <v>2768982</v>
      </c>
      <c r="C88" s="3">
        <f>HYPERLINK("https://platform.v2.vetology.net/report/v/final/"&amp;2768982, 2768982)</f>
        <v>2768982</v>
      </c>
      <c r="D88" s="3" t="s">
        <v>455</v>
      </c>
      <c r="E88" s="3" t="s">
        <v>456</v>
      </c>
      <c r="F88" s="3" t="s">
        <v>22</v>
      </c>
      <c r="G88" s="3" t="s">
        <v>23</v>
      </c>
      <c r="H88" s="3" t="s">
        <v>457</v>
      </c>
      <c r="I88" s="3" t="s">
        <v>458</v>
      </c>
      <c r="J88" s="3" t="s">
        <v>459</v>
      </c>
      <c r="K88" s="3" t="s">
        <v>27</v>
      </c>
      <c r="L88" s="3" t="s">
        <v>28</v>
      </c>
      <c r="M88" s="3" t="s">
        <v>27</v>
      </c>
      <c r="N88" s="3" t="s">
        <v>28</v>
      </c>
      <c r="O88" s="3" t="s">
        <v>28</v>
      </c>
      <c r="P88" s="3" t="s">
        <v>28</v>
      </c>
      <c r="Q88" s="3" t="s">
        <v>27</v>
      </c>
      <c r="R88" s="3" t="s">
        <v>28</v>
      </c>
      <c r="S88" s="3" t="s">
        <v>28</v>
      </c>
      <c r="T88" s="3" t="s">
        <v>28</v>
      </c>
    </row>
    <row r="89" spans="1:20" ht="305.25">
      <c r="A89" s="3">
        <v>2768966</v>
      </c>
      <c r="B89" s="3">
        <f>HYPERLINK("https://platform.v2.vetology.net/cases/2768966/screening-report/6?type=pdf&amp;v=v6&amp;scorecard=1&amp;secret_key=BX%25IJ%24%2F65ieZ%29f6", 2768966)</f>
        <v>2768966</v>
      </c>
      <c r="C89" s="3">
        <f>HYPERLINK("https://platform.v2.vetology.net/report/v/final/"&amp;2768966, 2768966)</f>
        <v>2768966</v>
      </c>
      <c r="D89" s="3" t="s">
        <v>460</v>
      </c>
      <c r="E89" s="3" t="s">
        <v>461</v>
      </c>
      <c r="F89" s="3" t="s">
        <v>462</v>
      </c>
      <c r="G89" s="3" t="s">
        <v>186</v>
      </c>
      <c r="H89" s="3" t="s">
        <v>463</v>
      </c>
      <c r="I89" s="3" t="s">
        <v>464</v>
      </c>
      <c r="J89" s="3" t="s">
        <v>297</v>
      </c>
      <c r="K89" s="3" t="s">
        <v>28</v>
      </c>
      <c r="L89" s="3" t="s">
        <v>28</v>
      </c>
      <c r="M89" s="3" t="s">
        <v>28</v>
      </c>
      <c r="N89" s="3" t="s">
        <v>28</v>
      </c>
      <c r="O89" s="3" t="s">
        <v>27</v>
      </c>
      <c r="P89" s="3" t="s">
        <v>28</v>
      </c>
      <c r="Q89" s="3" t="s">
        <v>27</v>
      </c>
      <c r="R89" s="3" t="s">
        <v>28</v>
      </c>
      <c r="S89" s="3" t="s">
        <v>28</v>
      </c>
      <c r="T89" s="3" t="s">
        <v>28</v>
      </c>
    </row>
    <row r="90" spans="1:20" ht="396.75">
      <c r="A90" s="3">
        <v>2768953</v>
      </c>
      <c r="B90" s="3">
        <f>HYPERLINK("https://platform.v2.vetology.net/cases/2768953/screening-report/6?type=pdf&amp;v=v6&amp;scorecard=1&amp;secret_key=BX%25IJ%24%2F65ieZ%29f6", 2768953)</f>
        <v>2768953</v>
      </c>
      <c r="C90" s="3">
        <f>HYPERLINK("https://platform.v2.vetology.net/report/v/final/"&amp;2768953, 2768953)</f>
        <v>2768953</v>
      </c>
      <c r="D90" s="3" t="s">
        <v>465</v>
      </c>
      <c r="E90" s="3" t="s">
        <v>466</v>
      </c>
      <c r="F90" s="3" t="s">
        <v>467</v>
      </c>
      <c r="G90" s="3" t="s">
        <v>211</v>
      </c>
      <c r="H90" s="3" t="s">
        <v>468</v>
      </c>
      <c r="I90" s="3" t="s">
        <v>469</v>
      </c>
      <c r="J90" s="3" t="s">
        <v>470</v>
      </c>
      <c r="K90" s="3" t="s">
        <v>28</v>
      </c>
      <c r="L90" s="3" t="s">
        <v>28</v>
      </c>
      <c r="M90" s="3" t="s">
        <v>28</v>
      </c>
      <c r="N90" s="3" t="s">
        <v>28</v>
      </c>
      <c r="O90" s="3" t="s">
        <v>27</v>
      </c>
      <c r="P90" s="3" t="s">
        <v>28</v>
      </c>
      <c r="Q90" s="3" t="s">
        <v>28</v>
      </c>
      <c r="R90" s="3" t="s">
        <v>28</v>
      </c>
      <c r="S90" s="3" t="s">
        <v>28</v>
      </c>
      <c r="T90" s="3" t="s">
        <v>28</v>
      </c>
    </row>
    <row r="91" spans="1:20" ht="409.6">
      <c r="A91" s="3">
        <v>2768932</v>
      </c>
      <c r="B91" s="3">
        <f>HYPERLINK("https://platform.v2.vetology.net/cases/2768932/screening-report/6?type=pdf&amp;v=v6&amp;scorecard=1&amp;secret_key=BX%25IJ%24%2F65ieZ%29f6", 2768932)</f>
        <v>2768932</v>
      </c>
      <c r="C91" s="3">
        <f>HYPERLINK("https://platform.v2.vetology.net/report/v/final/"&amp;2768932, 2768932)</f>
        <v>2768932</v>
      </c>
      <c r="D91" s="3" t="s">
        <v>471</v>
      </c>
      <c r="E91" s="3" t="s">
        <v>472</v>
      </c>
      <c r="F91" s="3" t="s">
        <v>473</v>
      </c>
      <c r="G91" s="3" t="s">
        <v>64</v>
      </c>
      <c r="H91" s="3" t="s">
        <v>141</v>
      </c>
      <c r="I91" s="3" t="s">
        <v>142</v>
      </c>
      <c r="J91" s="3" t="s">
        <v>143</v>
      </c>
      <c r="K91" s="3" t="s">
        <v>28</v>
      </c>
      <c r="L91" s="3" t="s">
        <v>28</v>
      </c>
      <c r="M91" s="3" t="s">
        <v>27</v>
      </c>
      <c r="N91" s="3" t="s">
        <v>28</v>
      </c>
      <c r="O91" s="3" t="s">
        <v>27</v>
      </c>
      <c r="P91" s="3" t="s">
        <v>28</v>
      </c>
      <c r="Q91" s="3" t="s">
        <v>28</v>
      </c>
      <c r="R91" s="3" t="s">
        <v>28</v>
      </c>
      <c r="S91" s="3" t="s">
        <v>28</v>
      </c>
      <c r="T91" s="3" t="s">
        <v>27</v>
      </c>
    </row>
    <row r="92" spans="1:20" ht="409.6">
      <c r="A92" s="3">
        <v>2768922</v>
      </c>
      <c r="B92" s="3">
        <f>HYPERLINK("https://platform.v2.vetology.net/cases/2768922/screening-report/6?type=pdf&amp;v=v6&amp;scorecard=1&amp;secret_key=BX%25IJ%24%2F65ieZ%29f6", 2768922)</f>
        <v>2768922</v>
      </c>
      <c r="C92" s="3">
        <f>HYPERLINK("https://platform.v2.vetology.net/report/v/final/"&amp;2768922, 2768922)</f>
        <v>2768922</v>
      </c>
      <c r="D92" s="3" t="s">
        <v>474</v>
      </c>
      <c r="E92" s="3" t="s">
        <v>475</v>
      </c>
      <c r="F92" s="3" t="s">
        <v>476</v>
      </c>
      <c r="G92" s="3" t="s">
        <v>186</v>
      </c>
      <c r="H92" s="3" t="s">
        <v>477</v>
      </c>
      <c r="I92" s="3" t="s">
        <v>478</v>
      </c>
      <c r="J92" s="3" t="s">
        <v>479</v>
      </c>
      <c r="K92" s="3" t="s">
        <v>28</v>
      </c>
      <c r="L92" s="3" t="s">
        <v>27</v>
      </c>
      <c r="M92" s="3" t="s">
        <v>28</v>
      </c>
      <c r="N92" s="3" t="s">
        <v>27</v>
      </c>
      <c r="O92" s="3" t="s">
        <v>28</v>
      </c>
      <c r="P92" s="3" t="s">
        <v>28</v>
      </c>
      <c r="Q92" s="3" t="s">
        <v>28</v>
      </c>
      <c r="R92" s="3" t="s">
        <v>27</v>
      </c>
      <c r="S92" s="3" t="s">
        <v>27</v>
      </c>
      <c r="T92" s="3" t="s">
        <v>27</v>
      </c>
    </row>
    <row r="93" spans="1:20" ht="409.6">
      <c r="A93" s="3">
        <v>2768920</v>
      </c>
      <c r="B93" s="3">
        <f>HYPERLINK("https://platform.v2.vetology.net/cases/2768920/screening-report/6?type=pdf&amp;v=v6&amp;scorecard=1&amp;secret_key=BX%25IJ%24%2F65ieZ%29f6", 2768920)</f>
        <v>2768920</v>
      </c>
      <c r="C93" s="3">
        <f>HYPERLINK("https://platform.v2.vetology.net/report/v/final/"&amp;2768920, 2768920)</f>
        <v>2768920</v>
      </c>
      <c r="D93" s="3" t="s">
        <v>480</v>
      </c>
      <c r="E93" s="3" t="s">
        <v>481</v>
      </c>
      <c r="F93" s="3" t="s">
        <v>482</v>
      </c>
      <c r="G93" s="3" t="s">
        <v>186</v>
      </c>
      <c r="H93" s="3" t="s">
        <v>483</v>
      </c>
      <c r="I93" s="3" t="s">
        <v>484</v>
      </c>
      <c r="J93" s="3" t="s">
        <v>53</v>
      </c>
      <c r="K93" s="3" t="s">
        <v>28</v>
      </c>
      <c r="L93" s="3" t="s">
        <v>28</v>
      </c>
      <c r="M93" s="3" t="s">
        <v>27</v>
      </c>
      <c r="N93" s="3" t="s">
        <v>28</v>
      </c>
      <c r="O93" s="3" t="s">
        <v>27</v>
      </c>
      <c r="P93" s="3" t="s">
        <v>28</v>
      </c>
      <c r="Q93" s="3" t="s">
        <v>28</v>
      </c>
      <c r="R93" s="3" t="s">
        <v>28</v>
      </c>
      <c r="S93" s="3" t="s">
        <v>28</v>
      </c>
      <c r="T93" s="3" t="s">
        <v>28</v>
      </c>
    </row>
    <row r="94" spans="1:20" ht="409.6">
      <c r="A94" s="3">
        <v>2768870</v>
      </c>
      <c r="B94" s="3">
        <f>HYPERLINK("https://platform.v2.vetology.net/cases/2768870/screening-report/6?type=pdf&amp;v=v6&amp;scorecard=1&amp;secret_key=BX%25IJ%24%2F65ieZ%29f6", 2768870)</f>
        <v>2768870</v>
      </c>
      <c r="C94" s="3">
        <f>HYPERLINK("https://platform.v2.vetology.net/report/v/final/"&amp;2768870, 2768870)</f>
        <v>2768870</v>
      </c>
      <c r="D94" s="3" t="s">
        <v>485</v>
      </c>
      <c r="E94" s="3" t="s">
        <v>486</v>
      </c>
      <c r="F94" s="3" t="s">
        <v>487</v>
      </c>
      <c r="G94" s="3" t="s">
        <v>64</v>
      </c>
      <c r="H94" s="3" t="s">
        <v>488</v>
      </c>
      <c r="I94" s="3" t="s">
        <v>279</v>
      </c>
      <c r="J94" s="3" t="s">
        <v>280</v>
      </c>
      <c r="K94" s="3" t="s">
        <v>28</v>
      </c>
      <c r="L94" s="3" t="s">
        <v>28</v>
      </c>
      <c r="M94" s="3" t="s">
        <v>28</v>
      </c>
      <c r="N94" s="3" t="s">
        <v>28</v>
      </c>
      <c r="O94" s="3" t="s">
        <v>28</v>
      </c>
      <c r="P94" s="3" t="s">
        <v>28</v>
      </c>
      <c r="Q94" s="3" t="s">
        <v>28</v>
      </c>
      <c r="R94" s="3" t="s">
        <v>28</v>
      </c>
      <c r="S94" s="3" t="s">
        <v>28</v>
      </c>
      <c r="T94" s="3" t="s">
        <v>27</v>
      </c>
    </row>
    <row r="95" spans="1:20" ht="275.25">
      <c r="A95" s="3">
        <v>2768801</v>
      </c>
      <c r="B95" s="3">
        <f>HYPERLINK("https://platform.v2.vetology.net/cases/2768801/screening-report/6?type=pdf&amp;v=v6&amp;scorecard=1&amp;secret_key=BX%25IJ%24%2F65ieZ%29f6", 2768801)</f>
        <v>2768801</v>
      </c>
      <c r="C95" s="3">
        <f>HYPERLINK("https://platform.v2.vetology.net/report/v/final/"&amp;2768801, 2768801)</f>
        <v>2768801</v>
      </c>
      <c r="D95" s="3" t="s">
        <v>489</v>
      </c>
      <c r="E95" s="3" t="s">
        <v>490</v>
      </c>
      <c r="F95" s="3" t="s">
        <v>491</v>
      </c>
      <c r="G95" s="3" t="s">
        <v>211</v>
      </c>
      <c r="H95" s="3" t="s">
        <v>492</v>
      </c>
      <c r="I95" s="3" t="s">
        <v>291</v>
      </c>
      <c r="J95" s="3" t="s">
        <v>225</v>
      </c>
      <c r="K95" s="3" t="s">
        <v>28</v>
      </c>
      <c r="L95" s="3" t="s">
        <v>27</v>
      </c>
      <c r="M95" s="3" t="s">
        <v>28</v>
      </c>
      <c r="N95" s="3" t="s">
        <v>27</v>
      </c>
      <c r="O95" s="3" t="s">
        <v>27</v>
      </c>
      <c r="P95" s="3" t="s">
        <v>28</v>
      </c>
      <c r="Q95" s="3" t="s">
        <v>28</v>
      </c>
      <c r="R95" s="3" t="s">
        <v>27</v>
      </c>
      <c r="S95" s="3" t="s">
        <v>27</v>
      </c>
      <c r="T95" s="3" t="s">
        <v>27</v>
      </c>
    </row>
    <row r="96" spans="1:20" ht="409.6">
      <c r="A96" s="3">
        <v>2768797</v>
      </c>
      <c r="B96" s="3">
        <f>HYPERLINK("https://platform.v2.vetology.net/cases/2768797/screening-report/6?type=pdf&amp;v=v6&amp;scorecard=1&amp;secret_key=BX%25IJ%24%2F65ieZ%29f6", 2768797)</f>
        <v>2768797</v>
      </c>
      <c r="C96" s="3">
        <f>HYPERLINK("https://platform.v2.vetology.net/report/v/final/"&amp;2768797, 2768797)</f>
        <v>2768797</v>
      </c>
      <c r="D96" s="3" t="s">
        <v>493</v>
      </c>
      <c r="E96" s="3" t="s">
        <v>494</v>
      </c>
      <c r="F96" s="3" t="s">
        <v>495</v>
      </c>
      <c r="G96" s="3" t="s">
        <v>496</v>
      </c>
      <c r="H96" s="3" t="s">
        <v>497</v>
      </c>
      <c r="I96" s="3" t="s">
        <v>188</v>
      </c>
      <c r="J96" s="3" t="s">
        <v>189</v>
      </c>
      <c r="K96" s="3" t="s">
        <v>28</v>
      </c>
      <c r="L96" s="3" t="s">
        <v>28</v>
      </c>
      <c r="M96" s="3" t="s">
        <v>28</v>
      </c>
      <c r="N96" s="3" t="s">
        <v>28</v>
      </c>
      <c r="O96" s="3" t="s">
        <v>27</v>
      </c>
      <c r="P96" s="3" t="s">
        <v>28</v>
      </c>
      <c r="Q96" s="3" t="s">
        <v>28</v>
      </c>
      <c r="R96" s="3" t="s">
        <v>28</v>
      </c>
      <c r="S96" s="3" t="s">
        <v>28</v>
      </c>
      <c r="T96" s="3" t="s">
        <v>28</v>
      </c>
    </row>
    <row r="97" spans="1:20" ht="244.5">
      <c r="A97" s="3">
        <v>2768703</v>
      </c>
      <c r="B97" s="3">
        <f>HYPERLINK("https://platform.v2.vetology.net/cases/2768703/screening-report/6?type=pdf&amp;v=v6&amp;scorecard=1&amp;secret_key=BX%25IJ%24%2F65ieZ%29f6", 2768703)</f>
        <v>2768703</v>
      </c>
      <c r="C97" s="3">
        <f>HYPERLINK("https://platform.v2.vetology.net/report/v/final/"&amp;2768703, 2768703)</f>
        <v>2768703</v>
      </c>
      <c r="D97" s="3" t="s">
        <v>498</v>
      </c>
      <c r="E97" s="3" t="s">
        <v>499</v>
      </c>
      <c r="F97" s="3" t="s">
        <v>500</v>
      </c>
      <c r="G97" s="3" t="s">
        <v>211</v>
      </c>
      <c r="H97" s="3" t="s">
        <v>501</v>
      </c>
      <c r="I97" s="3" t="s">
        <v>233</v>
      </c>
      <c r="J97" s="3" t="s">
        <v>502</v>
      </c>
      <c r="K97" s="3" t="s">
        <v>27</v>
      </c>
      <c r="L97" s="3" t="s">
        <v>28</v>
      </c>
      <c r="M97" s="3" t="s">
        <v>27</v>
      </c>
      <c r="N97" s="3" t="s">
        <v>28</v>
      </c>
      <c r="O97" s="3" t="s">
        <v>27</v>
      </c>
      <c r="P97" s="3" t="s">
        <v>28</v>
      </c>
      <c r="Q97" s="3" t="s">
        <v>28</v>
      </c>
      <c r="R97" s="3" t="s">
        <v>28</v>
      </c>
      <c r="S97" s="3" t="s">
        <v>28</v>
      </c>
      <c r="T97" s="3" t="s">
        <v>28</v>
      </c>
    </row>
    <row r="98" spans="1:20" ht="213">
      <c r="A98" s="3">
        <v>2768699</v>
      </c>
      <c r="B98" s="3">
        <f>HYPERLINK("https://platform.v2.vetology.net/cases/2768699/screening-report/6?type=pdf&amp;v=v6&amp;scorecard=1&amp;secret_key=BX%25IJ%24%2F65ieZ%29f6", 2768699)</f>
        <v>2768699</v>
      </c>
      <c r="C98" s="3">
        <f>HYPERLINK("https://platform.v2.vetology.net/report/v/final/"&amp;2768699, 2768699)</f>
        <v>2768699</v>
      </c>
      <c r="D98" s="3" t="s">
        <v>503</v>
      </c>
      <c r="E98" s="3" t="s">
        <v>504</v>
      </c>
      <c r="F98" s="3" t="s">
        <v>22</v>
      </c>
      <c r="G98" s="3" t="s">
        <v>100</v>
      </c>
      <c r="H98" s="3" t="s">
        <v>505</v>
      </c>
      <c r="I98" s="3" t="s">
        <v>72</v>
      </c>
      <c r="J98" s="3" t="s">
        <v>363</v>
      </c>
      <c r="K98" s="3" t="s">
        <v>28</v>
      </c>
      <c r="L98" s="3" t="s">
        <v>28</v>
      </c>
      <c r="M98" s="3" t="s">
        <v>28</v>
      </c>
      <c r="N98" s="3" t="s">
        <v>28</v>
      </c>
      <c r="O98" s="3" t="s">
        <v>27</v>
      </c>
      <c r="P98" s="3" t="s">
        <v>28</v>
      </c>
      <c r="Q98" s="3" t="s">
        <v>28</v>
      </c>
      <c r="R98" s="3" t="s">
        <v>28</v>
      </c>
      <c r="S98" s="3" t="s">
        <v>28</v>
      </c>
      <c r="T98" s="3" t="s">
        <v>27</v>
      </c>
    </row>
    <row r="99" spans="1:20" ht="409.6">
      <c r="A99" s="3">
        <v>2768686</v>
      </c>
      <c r="B99" s="3">
        <f>HYPERLINK("https://platform.v2.vetology.net/cases/2768686/screening-report/6?type=pdf&amp;v=v6&amp;scorecard=1&amp;secret_key=BX%25IJ%24%2F65ieZ%29f6", 2768686)</f>
        <v>2768686</v>
      </c>
      <c r="C99" s="3">
        <f>HYPERLINK("https://platform.v2.vetology.net/report/v/final/"&amp;2768686, 2768686)</f>
        <v>2768686</v>
      </c>
      <c r="D99" s="3" t="s">
        <v>506</v>
      </c>
      <c r="E99" s="3" t="s">
        <v>507</v>
      </c>
      <c r="F99" s="3" t="s">
        <v>508</v>
      </c>
      <c r="G99" s="3" t="s">
        <v>64</v>
      </c>
      <c r="H99" s="3" t="s">
        <v>509</v>
      </c>
      <c r="I99" s="3" t="s">
        <v>392</v>
      </c>
      <c r="J99" s="3" t="s">
        <v>393</v>
      </c>
      <c r="K99" s="3" t="s">
        <v>27</v>
      </c>
      <c r="L99" s="3" t="s">
        <v>28</v>
      </c>
      <c r="M99" s="3" t="s">
        <v>28</v>
      </c>
      <c r="N99" s="3" t="s">
        <v>28</v>
      </c>
      <c r="O99" s="3" t="s">
        <v>28</v>
      </c>
      <c r="P99" s="3" t="s">
        <v>28</v>
      </c>
      <c r="Q99" s="3" t="s">
        <v>28</v>
      </c>
      <c r="R99" s="3" t="s">
        <v>28</v>
      </c>
      <c r="S99" s="3" t="s">
        <v>28</v>
      </c>
      <c r="T99" s="3" t="s">
        <v>27</v>
      </c>
    </row>
    <row r="100" spans="1:20" ht="336">
      <c r="A100" s="3">
        <v>2768650</v>
      </c>
      <c r="B100" s="3">
        <f>HYPERLINK("https://platform.v2.vetology.net/cases/2768650/screening-report/6?type=pdf&amp;v=v6&amp;scorecard=1&amp;secret_key=BX%25IJ%24%2F65ieZ%29f6", 2768650)</f>
        <v>2768650</v>
      </c>
      <c r="C100" s="3">
        <f>HYPERLINK("https://platform.v2.vetology.net/report/v/final/"&amp;2768650, 2768650)</f>
        <v>2768650</v>
      </c>
      <c r="D100" s="3" t="s">
        <v>510</v>
      </c>
      <c r="E100" s="3" t="s">
        <v>511</v>
      </c>
      <c r="F100" s="3" t="s">
        <v>512</v>
      </c>
      <c r="G100" s="3" t="s">
        <v>211</v>
      </c>
      <c r="H100" s="3" t="s">
        <v>513</v>
      </c>
      <c r="I100" s="3" t="s">
        <v>514</v>
      </c>
      <c r="J100" s="3" t="s">
        <v>515</v>
      </c>
      <c r="K100" s="3" t="s">
        <v>27</v>
      </c>
      <c r="L100" s="3" t="s">
        <v>27</v>
      </c>
      <c r="M100" s="3" t="s">
        <v>27</v>
      </c>
      <c r="N100" s="3" t="s">
        <v>28</v>
      </c>
      <c r="O100" s="3" t="s">
        <v>27</v>
      </c>
      <c r="P100" s="3" t="s">
        <v>28</v>
      </c>
      <c r="Q100" s="3" t="s">
        <v>27</v>
      </c>
      <c r="R100" s="3" t="s">
        <v>28</v>
      </c>
      <c r="S100" s="3" t="s">
        <v>27</v>
      </c>
      <c r="T100" s="3" t="s">
        <v>28</v>
      </c>
    </row>
    <row r="101" spans="1:20" ht="409.6">
      <c r="A101" s="3">
        <v>2768592</v>
      </c>
      <c r="B101" s="3">
        <f>HYPERLINK("https://platform.v2.vetology.net/cases/2768592/screening-report/6?type=pdf&amp;v=v6&amp;scorecard=1&amp;secret_key=BX%25IJ%24%2F65ieZ%29f6", 2768592)</f>
        <v>2768592</v>
      </c>
      <c r="C101" s="3">
        <f>HYPERLINK("https://platform.v2.vetology.net/report/v/final/"&amp;2768592, 2768592)</f>
        <v>2768592</v>
      </c>
      <c r="D101" s="3" t="s">
        <v>516</v>
      </c>
      <c r="E101" s="3" t="s">
        <v>517</v>
      </c>
      <c r="F101" s="3" t="s">
        <v>518</v>
      </c>
      <c r="G101" s="3" t="s">
        <v>211</v>
      </c>
      <c r="H101" s="3" t="s">
        <v>519</v>
      </c>
      <c r="I101" s="3" t="s">
        <v>520</v>
      </c>
      <c r="J101" s="3" t="s">
        <v>335</v>
      </c>
      <c r="K101" s="3" t="s">
        <v>28</v>
      </c>
      <c r="L101" s="3" t="s">
        <v>28</v>
      </c>
      <c r="M101" s="3" t="s">
        <v>28</v>
      </c>
      <c r="N101" s="3" t="s">
        <v>28</v>
      </c>
      <c r="O101" s="3" t="s">
        <v>28</v>
      </c>
      <c r="P101" s="3" t="s">
        <v>28</v>
      </c>
      <c r="Q101" s="3" t="s">
        <v>28</v>
      </c>
      <c r="R101" s="3" t="s">
        <v>28</v>
      </c>
      <c r="S101" s="3" t="s">
        <v>28</v>
      </c>
      <c r="T101" s="3" t="s">
        <v>28</v>
      </c>
    </row>
    <row r="102" spans="1:20" ht="409.6">
      <c r="A102" s="3">
        <v>2768577</v>
      </c>
      <c r="B102" s="3">
        <f>HYPERLINK("https://platform.v2.vetology.net/cases/2768577/screening-report/6?type=pdf&amp;v=v6&amp;scorecard=1&amp;secret_key=BX%25IJ%24%2F65ieZ%29f6", 2768577)</f>
        <v>2768577</v>
      </c>
      <c r="C102" s="3">
        <f>HYPERLINK("https://platform.v2.vetology.net/report/v/final/"&amp;2768577, 2768577)</f>
        <v>2768577</v>
      </c>
      <c r="D102" s="3" t="s">
        <v>521</v>
      </c>
      <c r="E102" s="3" t="s">
        <v>522</v>
      </c>
      <c r="F102" s="3" t="s">
        <v>523</v>
      </c>
      <c r="G102" s="3" t="s">
        <v>64</v>
      </c>
      <c r="H102" s="3" t="s">
        <v>419</v>
      </c>
      <c r="I102" s="3" t="s">
        <v>316</v>
      </c>
      <c r="J102" s="3" t="s">
        <v>317</v>
      </c>
      <c r="K102" s="3" t="s">
        <v>28</v>
      </c>
      <c r="L102" s="3" t="s">
        <v>28</v>
      </c>
      <c r="M102" s="3" t="s">
        <v>28</v>
      </c>
      <c r="N102" s="3" t="s">
        <v>28</v>
      </c>
      <c r="O102" s="3" t="s">
        <v>27</v>
      </c>
      <c r="P102" s="3" t="s">
        <v>28</v>
      </c>
      <c r="Q102" s="3" t="s">
        <v>28</v>
      </c>
      <c r="R102" s="3" t="s">
        <v>28</v>
      </c>
      <c r="S102" s="3" t="s">
        <v>28</v>
      </c>
      <c r="T102" s="3" t="s">
        <v>28</v>
      </c>
    </row>
    <row r="103" spans="1:20" ht="409.6">
      <c r="A103" s="3">
        <v>2768573</v>
      </c>
      <c r="B103" s="3">
        <f>HYPERLINK("https://platform.v2.vetology.net/cases/2768573/screening-report/6?type=pdf&amp;v=v6&amp;scorecard=1&amp;secret_key=BX%25IJ%24%2F65ieZ%29f6", 2768573)</f>
        <v>2768573</v>
      </c>
      <c r="C103" s="3">
        <f>HYPERLINK("https://platform.v2.vetology.net/report/v/final/"&amp;2768573, 2768573)</f>
        <v>2768573</v>
      </c>
      <c r="D103" s="3" t="s">
        <v>524</v>
      </c>
      <c r="E103" s="3" t="s">
        <v>525</v>
      </c>
      <c r="F103" s="3" t="s">
        <v>526</v>
      </c>
      <c r="G103" s="3" t="s">
        <v>211</v>
      </c>
      <c r="H103" s="3" t="s">
        <v>527</v>
      </c>
      <c r="I103" s="3" t="s">
        <v>528</v>
      </c>
      <c r="J103" s="3" t="s">
        <v>529</v>
      </c>
      <c r="K103" s="3" t="s">
        <v>28</v>
      </c>
      <c r="L103" s="3" t="s">
        <v>27</v>
      </c>
      <c r="M103" s="3" t="s">
        <v>28</v>
      </c>
      <c r="N103" s="3" t="s">
        <v>27</v>
      </c>
      <c r="O103" s="3" t="s">
        <v>27</v>
      </c>
      <c r="P103" s="3" t="s">
        <v>27</v>
      </c>
      <c r="Q103" s="3" t="s">
        <v>27</v>
      </c>
      <c r="R103" s="3" t="s">
        <v>27</v>
      </c>
      <c r="S103" s="3" t="s">
        <v>27</v>
      </c>
      <c r="T103" s="3" t="s">
        <v>27</v>
      </c>
    </row>
    <row r="104" spans="1:20" ht="381.75">
      <c r="A104" s="3">
        <v>2768567</v>
      </c>
      <c r="B104" s="3">
        <f>HYPERLINK("https://platform.v2.vetology.net/cases/2768567/screening-report/6?type=pdf&amp;v=v6&amp;scorecard=1&amp;secret_key=BX%25IJ%24%2F65ieZ%29f6", 2768567)</f>
        <v>2768567</v>
      </c>
      <c r="C104" s="3">
        <f>HYPERLINK("https://platform.v2.vetology.net/report/v/final/"&amp;2768567, 2768567)</f>
        <v>2768567</v>
      </c>
      <c r="D104" s="3" t="s">
        <v>530</v>
      </c>
      <c r="E104" s="3" t="s">
        <v>531</v>
      </c>
      <c r="F104" s="3" t="s">
        <v>532</v>
      </c>
      <c r="G104" s="3" t="s">
        <v>211</v>
      </c>
      <c r="H104" s="3" t="s">
        <v>533</v>
      </c>
      <c r="I104" s="3" t="s">
        <v>345</v>
      </c>
      <c r="J104" s="3" t="s">
        <v>534</v>
      </c>
      <c r="K104" s="3" t="s">
        <v>28</v>
      </c>
      <c r="L104" s="3" t="s">
        <v>27</v>
      </c>
      <c r="M104" s="3" t="s">
        <v>28</v>
      </c>
      <c r="N104" s="3" t="s">
        <v>28</v>
      </c>
      <c r="O104" s="3" t="s">
        <v>28</v>
      </c>
      <c r="P104" s="3" t="s">
        <v>28</v>
      </c>
      <c r="Q104" s="3" t="s">
        <v>28</v>
      </c>
      <c r="R104" s="3" t="s">
        <v>27</v>
      </c>
      <c r="S104" s="3" t="s">
        <v>27</v>
      </c>
      <c r="T104" s="3" t="s">
        <v>27</v>
      </c>
    </row>
    <row r="105" spans="1:20" ht="290.25">
      <c r="A105" s="3">
        <v>2768536</v>
      </c>
      <c r="B105" s="3">
        <f>HYPERLINK("https://platform.v2.vetology.net/cases/2768536/screening-report/6?type=pdf&amp;v=v6&amp;scorecard=1&amp;secret_key=BX%25IJ%24%2F65ieZ%29f6", 2768536)</f>
        <v>2768536</v>
      </c>
      <c r="C105" s="3">
        <f>HYPERLINK("https://platform.v2.vetology.net/report/v/final/"&amp;2768536, 2768536)</f>
        <v>2768536</v>
      </c>
      <c r="D105" s="3" t="s">
        <v>535</v>
      </c>
      <c r="E105" s="3" t="s">
        <v>536</v>
      </c>
      <c r="F105" s="3" t="s">
        <v>22</v>
      </c>
      <c r="G105" s="3" t="s">
        <v>23</v>
      </c>
      <c r="H105" s="3" t="s">
        <v>141</v>
      </c>
      <c r="I105" s="3" t="s">
        <v>142</v>
      </c>
      <c r="J105" s="3" t="s">
        <v>143</v>
      </c>
      <c r="K105" s="3" t="s">
        <v>28</v>
      </c>
      <c r="L105" s="3" t="s">
        <v>28</v>
      </c>
      <c r="M105" s="3" t="s">
        <v>28</v>
      </c>
      <c r="N105" s="3" t="s">
        <v>28</v>
      </c>
      <c r="O105" s="3" t="s">
        <v>27</v>
      </c>
      <c r="P105" s="3" t="s">
        <v>28</v>
      </c>
      <c r="Q105" s="3" t="s">
        <v>28</v>
      </c>
      <c r="R105" s="3" t="s">
        <v>28</v>
      </c>
      <c r="S105" s="3" t="s">
        <v>28</v>
      </c>
      <c r="T105" s="3" t="s">
        <v>27</v>
      </c>
    </row>
    <row r="106" spans="1:20" ht="381.75">
      <c r="A106" s="3">
        <v>2768502</v>
      </c>
      <c r="B106" s="3">
        <f>HYPERLINK("https://platform.v2.vetology.net/cases/2768502/screening-report/6?type=pdf&amp;v=v6&amp;scorecard=1&amp;secret_key=BX%25IJ%24%2F65ieZ%29f6", 2768502)</f>
        <v>2768502</v>
      </c>
      <c r="C106" s="3">
        <f>HYPERLINK("https://platform.v2.vetology.net/report/v/final/"&amp;2768502, 2768502)</f>
        <v>2768502</v>
      </c>
      <c r="D106" s="3" t="s">
        <v>537</v>
      </c>
      <c r="E106" s="3" t="s">
        <v>21</v>
      </c>
      <c r="F106" s="3" t="s">
        <v>22</v>
      </c>
      <c r="G106" s="3" t="s">
        <v>23</v>
      </c>
      <c r="H106" s="3" t="s">
        <v>538</v>
      </c>
      <c r="I106" s="3" t="s">
        <v>539</v>
      </c>
      <c r="J106" s="3" t="s">
        <v>540</v>
      </c>
      <c r="K106" s="3" t="s">
        <v>27</v>
      </c>
      <c r="L106" s="3" t="s">
        <v>28</v>
      </c>
      <c r="M106" s="3" t="s">
        <v>28</v>
      </c>
      <c r="N106" s="3" t="s">
        <v>28</v>
      </c>
      <c r="O106" s="3" t="s">
        <v>27</v>
      </c>
      <c r="P106" s="3" t="s">
        <v>28</v>
      </c>
      <c r="Q106" s="3" t="s">
        <v>28</v>
      </c>
      <c r="R106" s="3" t="s">
        <v>28</v>
      </c>
      <c r="S106" s="3" t="s">
        <v>28</v>
      </c>
      <c r="T106" s="3" t="s">
        <v>28</v>
      </c>
    </row>
    <row r="107" spans="1:20" ht="409.6">
      <c r="A107" s="3">
        <v>2768490</v>
      </c>
      <c r="B107" s="3">
        <f>HYPERLINK("https://platform.v2.vetology.net/cases/2768490/screening-report/6?type=pdf&amp;v=v6&amp;scorecard=1&amp;secret_key=BX%25IJ%24%2F65ieZ%29f6", 2768490)</f>
        <v>2768490</v>
      </c>
      <c r="C107" s="3">
        <f>HYPERLINK("https://platform.v2.vetology.net/report/v/final/"&amp;2768490, 2768490)</f>
        <v>2768490</v>
      </c>
      <c r="D107" s="3" t="s">
        <v>541</v>
      </c>
      <c r="E107" s="3" t="s">
        <v>542</v>
      </c>
      <c r="F107" s="3" t="s">
        <v>543</v>
      </c>
      <c r="G107" s="3" t="s">
        <v>211</v>
      </c>
      <c r="H107" s="3" t="s">
        <v>544</v>
      </c>
      <c r="I107" s="3" t="s">
        <v>334</v>
      </c>
      <c r="J107" s="3" t="s">
        <v>335</v>
      </c>
      <c r="K107" s="3" t="s">
        <v>28</v>
      </c>
      <c r="L107" s="3" t="s">
        <v>27</v>
      </c>
      <c r="M107" s="3" t="s">
        <v>27</v>
      </c>
      <c r="N107" s="3" t="s">
        <v>28</v>
      </c>
      <c r="O107" s="3" t="s">
        <v>27</v>
      </c>
      <c r="P107" s="3" t="s">
        <v>28</v>
      </c>
      <c r="Q107" s="3" t="s">
        <v>28</v>
      </c>
      <c r="R107" s="3" t="s">
        <v>28</v>
      </c>
      <c r="S107" s="3" t="s">
        <v>28</v>
      </c>
      <c r="T107" s="3" t="s">
        <v>28</v>
      </c>
    </row>
    <row r="108" spans="1:20" ht="409.6">
      <c r="A108" s="3">
        <v>2768451</v>
      </c>
      <c r="B108" s="3">
        <f>HYPERLINK("https://platform.v2.vetology.net/cases/2768451/screening-report/6?type=pdf&amp;v=v6&amp;scorecard=1&amp;secret_key=BX%25IJ%24%2F65ieZ%29f6", 2768451)</f>
        <v>2768451</v>
      </c>
      <c r="C108" s="3">
        <f>HYPERLINK("https://platform.v2.vetology.net/report/v/final/"&amp;2768451, 2768451)</f>
        <v>2768451</v>
      </c>
      <c r="D108" s="3" t="s">
        <v>545</v>
      </c>
      <c r="E108" s="3" t="s">
        <v>546</v>
      </c>
      <c r="F108" s="3" t="s">
        <v>547</v>
      </c>
      <c r="G108" s="3" t="s">
        <v>186</v>
      </c>
      <c r="H108" s="3" t="s">
        <v>548</v>
      </c>
      <c r="I108" s="3" t="s">
        <v>549</v>
      </c>
      <c r="J108" s="3" t="s">
        <v>550</v>
      </c>
      <c r="K108" s="3" t="s">
        <v>28</v>
      </c>
      <c r="L108" s="3" t="s">
        <v>28</v>
      </c>
      <c r="M108" s="3" t="s">
        <v>28</v>
      </c>
      <c r="N108" s="3" t="s">
        <v>27</v>
      </c>
      <c r="O108" s="3" t="s">
        <v>27</v>
      </c>
      <c r="P108" s="3" t="s">
        <v>28</v>
      </c>
      <c r="Q108" s="3" t="s">
        <v>28</v>
      </c>
      <c r="R108" s="3" t="s">
        <v>27</v>
      </c>
      <c r="S108" s="3" t="s">
        <v>27</v>
      </c>
      <c r="T108" s="3" t="s">
        <v>27</v>
      </c>
    </row>
    <row r="109" spans="1:20" ht="409.6">
      <c r="A109" s="3">
        <v>2768399</v>
      </c>
      <c r="B109" s="3">
        <f>HYPERLINK("https://platform.v2.vetology.net/cases/2768399/screening-report/6?type=pdf&amp;v=v6&amp;scorecard=1&amp;secret_key=BX%25IJ%24%2F65ieZ%29f6", 2768399)</f>
        <v>2768399</v>
      </c>
      <c r="C109" s="3">
        <f>HYPERLINK("https://platform.v2.vetology.net/report/v/final/"&amp;2768399, 2768399)</f>
        <v>2768399</v>
      </c>
      <c r="D109" s="3" t="s">
        <v>551</v>
      </c>
      <c r="E109" s="3" t="s">
        <v>552</v>
      </c>
      <c r="F109" s="3" t="s">
        <v>553</v>
      </c>
      <c r="G109" s="3" t="s">
        <v>64</v>
      </c>
      <c r="H109" s="3" t="s">
        <v>554</v>
      </c>
      <c r="I109" s="3" t="s">
        <v>555</v>
      </c>
      <c r="J109" s="3" t="s">
        <v>556</v>
      </c>
      <c r="K109" s="3" t="s">
        <v>27</v>
      </c>
      <c r="L109" s="3" t="s">
        <v>28</v>
      </c>
      <c r="M109" s="3" t="s">
        <v>28</v>
      </c>
      <c r="N109" s="3" t="s">
        <v>28</v>
      </c>
      <c r="O109" s="3" t="s">
        <v>28</v>
      </c>
      <c r="P109" s="3" t="s">
        <v>28</v>
      </c>
      <c r="Q109" s="3" t="s">
        <v>28</v>
      </c>
      <c r="R109" s="3" t="s">
        <v>28</v>
      </c>
      <c r="S109" s="3" t="s">
        <v>28</v>
      </c>
      <c r="T109" s="3" t="s">
        <v>28</v>
      </c>
    </row>
    <row r="110" spans="1:20" ht="381.75">
      <c r="A110" s="3">
        <v>2768385</v>
      </c>
      <c r="B110" s="3">
        <f>HYPERLINK("https://platform.v2.vetology.net/cases/2768385/screening-report/6?type=pdf&amp;v=v6&amp;scorecard=1&amp;secret_key=BX%25IJ%24%2F65ieZ%29f6", 2768385)</f>
        <v>2768385</v>
      </c>
      <c r="C110" s="3">
        <f>HYPERLINK("https://platform.v2.vetology.net/report/v/final/"&amp;2768385, 2768385)</f>
        <v>2768385</v>
      </c>
      <c r="D110" s="3" t="s">
        <v>557</v>
      </c>
      <c r="E110" s="3" t="s">
        <v>558</v>
      </c>
      <c r="F110" s="3" t="s">
        <v>559</v>
      </c>
      <c r="G110" s="3" t="s">
        <v>23</v>
      </c>
      <c r="H110" s="3" t="s">
        <v>560</v>
      </c>
      <c r="I110" s="3" t="s">
        <v>561</v>
      </c>
      <c r="J110" s="3" t="s">
        <v>562</v>
      </c>
      <c r="K110" s="3" t="s">
        <v>28</v>
      </c>
      <c r="L110" s="3" t="s">
        <v>28</v>
      </c>
      <c r="M110" s="3" t="s">
        <v>28</v>
      </c>
      <c r="N110" s="3" t="s">
        <v>28</v>
      </c>
      <c r="O110" s="3" t="s">
        <v>27</v>
      </c>
      <c r="P110" s="3" t="s">
        <v>27</v>
      </c>
      <c r="Q110" s="3" t="s">
        <v>28</v>
      </c>
      <c r="R110" s="3" t="s">
        <v>28</v>
      </c>
      <c r="S110" s="3" t="s">
        <v>28</v>
      </c>
      <c r="T110" s="3" t="s">
        <v>27</v>
      </c>
    </row>
    <row r="111" spans="1:20" ht="409.6">
      <c r="A111" s="3">
        <v>2768374</v>
      </c>
      <c r="B111" s="3">
        <f>HYPERLINK("https://platform.v2.vetology.net/cases/2768374/screening-report/6?type=pdf&amp;v=v6&amp;scorecard=1&amp;secret_key=BX%25IJ%24%2F65ieZ%29f6", 2768374)</f>
        <v>2768374</v>
      </c>
      <c r="C111" s="3">
        <f>HYPERLINK("https://platform.v2.vetology.net/report/v/final/"&amp;2768374, 2768374)</f>
        <v>2768374</v>
      </c>
      <c r="D111" s="3" t="s">
        <v>563</v>
      </c>
      <c r="E111" s="3" t="s">
        <v>564</v>
      </c>
      <c r="F111" s="3" t="s">
        <v>565</v>
      </c>
      <c r="G111" s="3" t="s">
        <v>566</v>
      </c>
      <c r="H111" s="3" t="s">
        <v>567</v>
      </c>
      <c r="I111" s="3" t="s">
        <v>163</v>
      </c>
      <c r="J111" s="3" t="s">
        <v>164</v>
      </c>
      <c r="K111" s="3" t="s">
        <v>28</v>
      </c>
      <c r="L111" s="3" t="s">
        <v>28</v>
      </c>
      <c r="M111" s="3" t="s">
        <v>28</v>
      </c>
      <c r="N111" s="3" t="s">
        <v>28</v>
      </c>
      <c r="O111" s="3" t="s">
        <v>27</v>
      </c>
      <c r="P111" s="3" t="s">
        <v>28</v>
      </c>
      <c r="Q111" s="3" t="s">
        <v>28</v>
      </c>
      <c r="R111" s="3" t="s">
        <v>28</v>
      </c>
      <c r="S111" s="3" t="s">
        <v>28</v>
      </c>
      <c r="T111" s="3" t="s">
        <v>27</v>
      </c>
    </row>
    <row r="112" spans="1:20" ht="409.6">
      <c r="A112" s="3">
        <v>2768283</v>
      </c>
      <c r="B112" s="3">
        <f>HYPERLINK("https://platform.v2.vetology.net/cases/2768283/screening-report/6?type=pdf&amp;v=v6&amp;scorecard=1&amp;secret_key=BX%25IJ%24%2F65ieZ%29f6", 2768283)</f>
        <v>2768283</v>
      </c>
      <c r="C112" s="3">
        <f>HYPERLINK("https://platform.v2.vetology.net/report/v/final/"&amp;2768283, 2768283)</f>
        <v>2768283</v>
      </c>
      <c r="D112" s="3" t="s">
        <v>568</v>
      </c>
      <c r="E112" s="3" t="s">
        <v>569</v>
      </c>
      <c r="F112" s="3" t="s">
        <v>570</v>
      </c>
      <c r="G112" s="3" t="s">
        <v>64</v>
      </c>
      <c r="H112" s="3" t="s">
        <v>571</v>
      </c>
      <c r="I112" s="3" t="s">
        <v>572</v>
      </c>
      <c r="J112" s="3" t="s">
        <v>573</v>
      </c>
      <c r="K112" s="3" t="s">
        <v>27</v>
      </c>
      <c r="L112" s="3" t="s">
        <v>28</v>
      </c>
      <c r="M112" s="3" t="s">
        <v>28</v>
      </c>
      <c r="N112" s="3" t="s">
        <v>28</v>
      </c>
      <c r="O112" s="3" t="s">
        <v>27</v>
      </c>
      <c r="P112" s="3" t="s">
        <v>28</v>
      </c>
      <c r="Q112" s="3" t="s">
        <v>28</v>
      </c>
      <c r="R112" s="3" t="s">
        <v>28</v>
      </c>
      <c r="S112" s="3" t="s">
        <v>28</v>
      </c>
      <c r="T112" s="3" t="s">
        <v>28</v>
      </c>
    </row>
    <row r="113" spans="1:20" ht="409.6">
      <c r="A113" s="3">
        <v>2768270</v>
      </c>
      <c r="B113" s="3">
        <f>HYPERLINK("https://platform.v2.vetology.net/cases/2768270/screening-report/6?type=pdf&amp;v=v6&amp;scorecard=1&amp;secret_key=BX%25IJ%24%2F65ieZ%29f6", 2768270)</f>
        <v>2768270</v>
      </c>
      <c r="C113" s="3">
        <f>HYPERLINK("https://platform.v2.vetology.net/report/v/final/"&amp;2768270, 2768270)</f>
        <v>2768270</v>
      </c>
      <c r="D113" s="3" t="s">
        <v>574</v>
      </c>
      <c r="E113" s="3" t="s">
        <v>575</v>
      </c>
      <c r="F113" s="3" t="s">
        <v>576</v>
      </c>
      <c r="G113" s="3" t="s">
        <v>122</v>
      </c>
      <c r="H113" s="3" t="s">
        <v>577</v>
      </c>
      <c r="I113" s="3" t="s">
        <v>32</v>
      </c>
      <c r="J113" s="3" t="s">
        <v>578</v>
      </c>
      <c r="K113" s="3" t="s">
        <v>27</v>
      </c>
      <c r="L113" s="3" t="s">
        <v>28</v>
      </c>
      <c r="M113" s="3" t="s">
        <v>27</v>
      </c>
      <c r="N113" s="3" t="s">
        <v>28</v>
      </c>
      <c r="O113" s="3" t="s">
        <v>28</v>
      </c>
      <c r="P113" s="3" t="s">
        <v>28</v>
      </c>
      <c r="Q113" s="3" t="s">
        <v>27</v>
      </c>
      <c r="R113" s="3" t="s">
        <v>28</v>
      </c>
      <c r="S113" s="3" t="s">
        <v>28</v>
      </c>
      <c r="T113" s="3" t="s">
        <v>28</v>
      </c>
    </row>
    <row r="114" spans="1:20" ht="409.6">
      <c r="A114" s="3">
        <v>2768244</v>
      </c>
      <c r="B114" s="3">
        <f>HYPERLINK("https://platform.v2.vetology.net/cases/2768244/screening-report/6?type=pdf&amp;v=v6&amp;scorecard=1&amp;secret_key=BX%25IJ%24%2F65ieZ%29f6", 2768244)</f>
        <v>2768244</v>
      </c>
      <c r="C114" s="3">
        <f>HYPERLINK("https://platform.v2.vetology.net/report/v/final/"&amp;2768244, 2768244)</f>
        <v>2768244</v>
      </c>
      <c r="D114" s="3" t="s">
        <v>579</v>
      </c>
      <c r="E114" s="3" t="s">
        <v>580</v>
      </c>
      <c r="F114" s="3" t="s">
        <v>277</v>
      </c>
      <c r="G114" s="3" t="s">
        <v>186</v>
      </c>
      <c r="H114" s="3" t="s">
        <v>581</v>
      </c>
      <c r="I114" s="3" t="s">
        <v>582</v>
      </c>
      <c r="J114" s="3" t="s">
        <v>583</v>
      </c>
      <c r="K114" s="3" t="s">
        <v>28</v>
      </c>
      <c r="L114" s="3" t="s">
        <v>28</v>
      </c>
      <c r="M114" s="3" t="s">
        <v>28</v>
      </c>
      <c r="N114" s="3" t="s">
        <v>28</v>
      </c>
      <c r="O114" s="3" t="s">
        <v>28</v>
      </c>
      <c r="P114" s="3" t="s">
        <v>27</v>
      </c>
      <c r="Q114" s="3" t="s">
        <v>28</v>
      </c>
      <c r="R114" s="3" t="s">
        <v>28</v>
      </c>
      <c r="S114" s="3" t="s">
        <v>28</v>
      </c>
      <c r="T114" s="3" t="s">
        <v>28</v>
      </c>
    </row>
    <row r="115" spans="1:20" ht="321">
      <c r="A115" s="3">
        <v>2768228</v>
      </c>
      <c r="B115" s="3">
        <f>HYPERLINK("https://platform.v2.vetology.net/cases/2768228/screening-report/6?type=pdf&amp;v=v6&amp;scorecard=1&amp;secret_key=BX%25IJ%24%2F65ieZ%29f6", 2768228)</f>
        <v>2768228</v>
      </c>
      <c r="C115" s="3">
        <f>HYPERLINK("https://platform.v2.vetology.net/report/v/final/"&amp;2768228, 2768228)</f>
        <v>2768228</v>
      </c>
      <c r="D115" s="3" t="s">
        <v>584</v>
      </c>
      <c r="E115" s="3" t="s">
        <v>585</v>
      </c>
      <c r="F115" s="3" t="s">
        <v>586</v>
      </c>
      <c r="G115" s="3" t="s">
        <v>179</v>
      </c>
      <c r="H115" s="3" t="s">
        <v>135</v>
      </c>
      <c r="I115" s="3" t="s">
        <v>136</v>
      </c>
      <c r="J115" s="3" t="s">
        <v>137</v>
      </c>
      <c r="K115" s="3" t="s">
        <v>28</v>
      </c>
      <c r="L115" s="3" t="s">
        <v>28</v>
      </c>
      <c r="M115" s="3" t="s">
        <v>28</v>
      </c>
      <c r="N115" s="3" t="s">
        <v>28</v>
      </c>
      <c r="O115" s="3" t="s">
        <v>27</v>
      </c>
      <c r="P115" s="3" t="s">
        <v>28</v>
      </c>
      <c r="Q115" s="3" t="s">
        <v>27</v>
      </c>
      <c r="R115" s="3" t="s">
        <v>28</v>
      </c>
      <c r="S115" s="3" t="s">
        <v>27</v>
      </c>
      <c r="T115" s="3" t="s">
        <v>27</v>
      </c>
    </row>
    <row r="116" spans="1:20" ht="396.75">
      <c r="A116" s="3">
        <v>2768207</v>
      </c>
      <c r="B116" s="3">
        <f>HYPERLINK("https://platform.v2.vetology.net/cases/2768207/screening-report/6?type=pdf&amp;v=v6&amp;scorecard=1&amp;secret_key=BX%25IJ%24%2F65ieZ%29f6", 2768207)</f>
        <v>2768207</v>
      </c>
      <c r="C116" s="3">
        <f>HYPERLINK("https://platform.v2.vetology.net/report/v/final/"&amp;2768207, 2768207)</f>
        <v>2768207</v>
      </c>
      <c r="D116" s="3" t="s">
        <v>587</v>
      </c>
      <c r="E116" s="3" t="s">
        <v>588</v>
      </c>
      <c r="F116" s="3" t="s">
        <v>589</v>
      </c>
      <c r="G116" s="3" t="s">
        <v>57</v>
      </c>
      <c r="H116" s="3" t="s">
        <v>590</v>
      </c>
      <c r="I116" s="3" t="s">
        <v>291</v>
      </c>
      <c r="J116" s="3" t="s">
        <v>225</v>
      </c>
      <c r="K116" s="3" t="s">
        <v>28</v>
      </c>
      <c r="L116" s="3" t="s">
        <v>28</v>
      </c>
      <c r="M116" s="3" t="s">
        <v>28</v>
      </c>
      <c r="N116" s="3" t="s">
        <v>27</v>
      </c>
      <c r="O116" s="3" t="s">
        <v>27</v>
      </c>
      <c r="P116" s="3" t="s">
        <v>28</v>
      </c>
      <c r="Q116" s="3" t="s">
        <v>27</v>
      </c>
      <c r="R116" s="3" t="s">
        <v>28</v>
      </c>
      <c r="S116" s="3" t="s">
        <v>27</v>
      </c>
      <c r="T116" s="3" t="s">
        <v>27</v>
      </c>
    </row>
    <row r="117" spans="1:20" ht="396.75">
      <c r="A117" s="3">
        <v>2768202</v>
      </c>
      <c r="B117" s="3">
        <f>HYPERLINK("https://platform.v2.vetology.net/cases/2768202/screening-report/6?type=pdf&amp;v=v6&amp;scorecard=1&amp;secret_key=BX%25IJ%24%2F65ieZ%29f6", 2768202)</f>
        <v>2768202</v>
      </c>
      <c r="C117" s="3">
        <f>HYPERLINK("https://platform.v2.vetology.net/report/v/final/"&amp;2768202, 2768202)</f>
        <v>2768202</v>
      </c>
      <c r="D117" s="3" t="s">
        <v>591</v>
      </c>
      <c r="E117" s="3" t="s">
        <v>299</v>
      </c>
      <c r="F117" s="3" t="s">
        <v>22</v>
      </c>
      <c r="G117" s="3" t="s">
        <v>23</v>
      </c>
      <c r="H117" s="3" t="s">
        <v>350</v>
      </c>
      <c r="I117" s="3" t="s">
        <v>351</v>
      </c>
      <c r="J117" s="3" t="s">
        <v>352</v>
      </c>
      <c r="K117" s="3" t="s">
        <v>28</v>
      </c>
      <c r="L117" s="3" t="s">
        <v>28</v>
      </c>
      <c r="M117" s="3" t="s">
        <v>28</v>
      </c>
      <c r="N117" s="3" t="s">
        <v>28</v>
      </c>
      <c r="O117" s="3" t="s">
        <v>28</v>
      </c>
      <c r="P117" s="3" t="s">
        <v>28</v>
      </c>
      <c r="Q117" s="3" t="s">
        <v>28</v>
      </c>
      <c r="R117" s="3" t="s">
        <v>27</v>
      </c>
      <c r="S117" s="3" t="s">
        <v>28</v>
      </c>
      <c r="T117" s="3" t="s">
        <v>27</v>
      </c>
    </row>
    <row r="118" spans="1:20" ht="409.6">
      <c r="A118" s="3">
        <v>2768197</v>
      </c>
      <c r="B118" s="3">
        <f>HYPERLINK("https://platform.v2.vetology.net/cases/2768197/screening-report/6?type=pdf&amp;v=v6&amp;scorecard=1&amp;secret_key=BX%25IJ%24%2F65ieZ%29f6", 2768197)</f>
        <v>2768197</v>
      </c>
      <c r="C118" s="3">
        <f>HYPERLINK("https://platform.v2.vetology.net/report/v/final/"&amp;2768197, 2768197)</f>
        <v>2768197</v>
      </c>
      <c r="D118" s="3" t="s">
        <v>592</v>
      </c>
      <c r="E118" s="3" t="s">
        <v>593</v>
      </c>
      <c r="F118" s="3" t="s">
        <v>594</v>
      </c>
      <c r="G118" s="3" t="s">
        <v>179</v>
      </c>
      <c r="H118" s="3" t="s">
        <v>595</v>
      </c>
      <c r="I118" s="3" t="s">
        <v>596</v>
      </c>
      <c r="J118" s="3" t="s">
        <v>597</v>
      </c>
      <c r="K118" s="3" t="s">
        <v>27</v>
      </c>
      <c r="L118" s="3" t="s">
        <v>28</v>
      </c>
      <c r="M118" s="3" t="s">
        <v>28</v>
      </c>
      <c r="N118" s="3" t="s">
        <v>27</v>
      </c>
      <c r="O118" s="3" t="s">
        <v>28</v>
      </c>
      <c r="P118" s="3" t="s">
        <v>28</v>
      </c>
      <c r="Q118" s="3" t="s">
        <v>28</v>
      </c>
      <c r="R118" s="3" t="s">
        <v>27</v>
      </c>
      <c r="S118" s="3" t="s">
        <v>28</v>
      </c>
      <c r="T118" s="3" t="s">
        <v>27</v>
      </c>
    </row>
    <row r="119" spans="1:20" ht="229.5">
      <c r="A119" s="3">
        <v>2768181</v>
      </c>
      <c r="B119" s="3">
        <f>HYPERLINK("https://platform.v2.vetology.net/cases/2768181/screening-report/6?type=pdf&amp;v=v6&amp;scorecard=1&amp;secret_key=BX%25IJ%24%2F65ieZ%29f6", 2768181)</f>
        <v>2768181</v>
      </c>
      <c r="C119" s="3">
        <f>HYPERLINK("https://platform.v2.vetology.net/report/v/final/"&amp;2768181, 2768181)</f>
        <v>2768181</v>
      </c>
      <c r="D119" s="3" t="s">
        <v>598</v>
      </c>
      <c r="E119" s="3" t="s">
        <v>599</v>
      </c>
      <c r="F119" s="3" t="s">
        <v>600</v>
      </c>
      <c r="G119" s="3" t="s">
        <v>186</v>
      </c>
      <c r="H119" s="3" t="s">
        <v>601</v>
      </c>
      <c r="I119" s="3" t="s">
        <v>32</v>
      </c>
      <c r="J119" s="3" t="s">
        <v>119</v>
      </c>
      <c r="K119" s="3" t="s">
        <v>28</v>
      </c>
      <c r="L119" s="3" t="s">
        <v>28</v>
      </c>
      <c r="M119" s="3" t="s">
        <v>28</v>
      </c>
      <c r="N119" s="3" t="s">
        <v>28</v>
      </c>
      <c r="O119" s="3" t="s">
        <v>27</v>
      </c>
      <c r="P119" s="3" t="s">
        <v>28</v>
      </c>
      <c r="Q119" s="3" t="s">
        <v>28</v>
      </c>
      <c r="R119" s="3" t="s">
        <v>28</v>
      </c>
      <c r="S119" s="3" t="s">
        <v>28</v>
      </c>
      <c r="T119" s="3" t="s">
        <v>28</v>
      </c>
    </row>
    <row r="120" spans="1:20" ht="305.25">
      <c r="A120" s="3">
        <v>2768176</v>
      </c>
      <c r="B120" s="3">
        <f>HYPERLINK("https://platform.v2.vetology.net/cases/2768176/screening-report/6?type=pdf&amp;v=v6&amp;scorecard=1&amp;secret_key=BX%25IJ%24%2F65ieZ%29f6", 2768176)</f>
        <v>2768176</v>
      </c>
      <c r="C120" s="3">
        <f>HYPERLINK("https://platform.v2.vetology.net/report/v/final/"&amp;2768176, 2768176)</f>
        <v>2768176</v>
      </c>
      <c r="D120" s="3" t="s">
        <v>602</v>
      </c>
      <c r="E120" s="3" t="s">
        <v>603</v>
      </c>
      <c r="F120" s="3" t="s">
        <v>604</v>
      </c>
      <c r="G120" s="3" t="s">
        <v>179</v>
      </c>
      <c r="H120" s="3" t="s">
        <v>605</v>
      </c>
      <c r="I120" s="3" t="s">
        <v>606</v>
      </c>
      <c r="J120" s="3" t="s">
        <v>207</v>
      </c>
      <c r="K120" s="3" t="s">
        <v>28</v>
      </c>
      <c r="L120" s="3" t="s">
        <v>27</v>
      </c>
      <c r="M120" s="3" t="s">
        <v>28</v>
      </c>
      <c r="N120" s="3" t="s">
        <v>27</v>
      </c>
      <c r="O120" s="3" t="s">
        <v>27</v>
      </c>
      <c r="P120" s="3" t="s">
        <v>28</v>
      </c>
      <c r="Q120" s="3" t="s">
        <v>28</v>
      </c>
      <c r="R120" s="3" t="s">
        <v>27</v>
      </c>
      <c r="S120" s="3" t="s">
        <v>28</v>
      </c>
      <c r="T120" s="3" t="s">
        <v>27</v>
      </c>
    </row>
    <row r="121" spans="1:20" ht="259.5">
      <c r="A121" s="3">
        <v>2768142</v>
      </c>
      <c r="B121" s="3">
        <f>HYPERLINK("https://platform.v2.vetology.net/cases/2768142/screening-report/6?type=pdf&amp;v=v6&amp;scorecard=1&amp;secret_key=BX%25IJ%24%2F65ieZ%29f6", 2768142)</f>
        <v>2768142</v>
      </c>
      <c r="C121" s="3">
        <f>HYPERLINK("https://platform.v2.vetology.net/report/v/final/"&amp;2768142, 2768142)</f>
        <v>2768142</v>
      </c>
      <c r="D121" s="3" t="s">
        <v>607</v>
      </c>
      <c r="E121" s="3" t="s">
        <v>608</v>
      </c>
      <c r="F121" s="3" t="s">
        <v>609</v>
      </c>
      <c r="G121" s="3" t="s">
        <v>179</v>
      </c>
      <c r="H121" s="3" t="s">
        <v>212</v>
      </c>
      <c r="I121" s="3" t="s">
        <v>261</v>
      </c>
      <c r="J121" s="3" t="s">
        <v>262</v>
      </c>
      <c r="K121" s="3" t="s">
        <v>27</v>
      </c>
      <c r="L121" s="3" t="s">
        <v>28</v>
      </c>
      <c r="M121" s="3" t="s">
        <v>27</v>
      </c>
      <c r="N121" s="3" t="s">
        <v>28</v>
      </c>
      <c r="O121" s="3" t="s">
        <v>27</v>
      </c>
      <c r="P121" s="3" t="s">
        <v>28</v>
      </c>
      <c r="Q121" s="3" t="s">
        <v>28</v>
      </c>
      <c r="R121" s="3" t="s">
        <v>28</v>
      </c>
      <c r="S121" s="3" t="s">
        <v>28</v>
      </c>
      <c r="T121" s="3" t="s">
        <v>28</v>
      </c>
    </row>
    <row r="122" spans="1:20" ht="409.6">
      <c r="A122" s="3">
        <v>2768131</v>
      </c>
      <c r="B122" s="3">
        <f>HYPERLINK("https://platform.v2.vetology.net/cases/2768131/screening-report/6?type=pdf&amp;v=v6&amp;scorecard=1&amp;secret_key=BX%25IJ%24%2F65ieZ%29f6", 2768131)</f>
        <v>2768131</v>
      </c>
      <c r="C122" s="3">
        <f>HYPERLINK("https://platform.v2.vetology.net/report/v/final/"&amp;2768131, 2768131)</f>
        <v>2768131</v>
      </c>
      <c r="D122" s="3" t="s">
        <v>610</v>
      </c>
      <c r="E122" s="3" t="s">
        <v>611</v>
      </c>
      <c r="F122" s="3" t="s">
        <v>612</v>
      </c>
      <c r="G122" s="3" t="s">
        <v>179</v>
      </c>
      <c r="H122" s="3" t="s">
        <v>613</v>
      </c>
      <c r="I122" s="3" t="s">
        <v>614</v>
      </c>
      <c r="J122" s="3" t="s">
        <v>615</v>
      </c>
      <c r="K122" s="3" t="s">
        <v>27</v>
      </c>
      <c r="L122" s="3" t="s">
        <v>27</v>
      </c>
      <c r="M122" s="3" t="s">
        <v>28</v>
      </c>
      <c r="N122" s="3" t="s">
        <v>27</v>
      </c>
      <c r="O122" s="3" t="s">
        <v>27</v>
      </c>
      <c r="P122" s="3" t="s">
        <v>27</v>
      </c>
      <c r="Q122" s="3" t="s">
        <v>28</v>
      </c>
      <c r="R122" s="3" t="s">
        <v>27</v>
      </c>
      <c r="S122" s="3" t="s">
        <v>27</v>
      </c>
      <c r="T122" s="3" t="s">
        <v>27</v>
      </c>
    </row>
    <row r="123" spans="1:20" ht="409.6">
      <c r="A123" s="3">
        <v>2768126</v>
      </c>
      <c r="B123" s="3">
        <f>HYPERLINK("https://platform.v2.vetology.net/cases/2768126/screening-report/6?type=pdf&amp;v=v6&amp;scorecard=1&amp;secret_key=BX%25IJ%24%2F65ieZ%29f6", 2768126)</f>
        <v>2768126</v>
      </c>
      <c r="C123" s="3">
        <f>HYPERLINK("https://platform.v2.vetology.net/report/v/final/"&amp;2768126, 2768126)</f>
        <v>2768126</v>
      </c>
      <c r="D123" s="3" t="s">
        <v>616</v>
      </c>
      <c r="E123" s="3" t="s">
        <v>617</v>
      </c>
      <c r="F123" s="3" t="s">
        <v>618</v>
      </c>
      <c r="G123" s="3" t="s">
        <v>64</v>
      </c>
      <c r="H123" s="3" t="s">
        <v>619</v>
      </c>
      <c r="I123" s="3" t="s">
        <v>620</v>
      </c>
      <c r="J123" s="3" t="s">
        <v>621</v>
      </c>
      <c r="K123" s="3" t="s">
        <v>27</v>
      </c>
      <c r="L123" s="3" t="s">
        <v>27</v>
      </c>
      <c r="M123" s="3" t="s">
        <v>28</v>
      </c>
      <c r="N123" s="3" t="s">
        <v>28</v>
      </c>
      <c r="O123" s="3" t="s">
        <v>28</v>
      </c>
      <c r="P123" s="3" t="s">
        <v>28</v>
      </c>
      <c r="Q123" s="3" t="s">
        <v>27</v>
      </c>
      <c r="R123" s="3" t="s">
        <v>28</v>
      </c>
      <c r="S123" s="3" t="s">
        <v>28</v>
      </c>
      <c r="T123" s="3" t="s">
        <v>28</v>
      </c>
    </row>
    <row r="124" spans="1:20" ht="409.6">
      <c r="A124" s="3">
        <v>2768110</v>
      </c>
      <c r="B124" s="3">
        <f>HYPERLINK("https://platform.v2.vetology.net/cases/2768110/screening-report/6?type=pdf&amp;v=v6&amp;scorecard=1&amp;secret_key=BX%25IJ%24%2F65ieZ%29f6", 2768110)</f>
        <v>2768110</v>
      </c>
      <c r="C124" s="3">
        <f>HYPERLINK("https://platform.v2.vetology.net/report/v/final/"&amp;2768110, 2768110)</f>
        <v>2768110</v>
      </c>
      <c r="D124" s="3" t="s">
        <v>622</v>
      </c>
      <c r="E124" s="3" t="s">
        <v>623</v>
      </c>
      <c r="F124" s="3" t="s">
        <v>624</v>
      </c>
      <c r="G124" s="3" t="s">
        <v>57</v>
      </c>
      <c r="H124" s="3" t="s">
        <v>625</v>
      </c>
      <c r="I124" s="3" t="s">
        <v>626</v>
      </c>
      <c r="J124" s="3" t="s">
        <v>627</v>
      </c>
      <c r="K124" s="3" t="s">
        <v>28</v>
      </c>
      <c r="L124" s="3" t="s">
        <v>27</v>
      </c>
      <c r="M124" s="3" t="s">
        <v>28</v>
      </c>
      <c r="N124" s="3" t="s">
        <v>28</v>
      </c>
      <c r="O124" s="3" t="s">
        <v>27</v>
      </c>
      <c r="P124" s="3" t="s">
        <v>28</v>
      </c>
      <c r="Q124" s="3" t="s">
        <v>28</v>
      </c>
      <c r="R124" s="3" t="s">
        <v>28</v>
      </c>
      <c r="S124" s="3" t="s">
        <v>27</v>
      </c>
      <c r="T124" s="3" t="s">
        <v>27</v>
      </c>
    </row>
    <row r="125" spans="1:20" ht="275.25">
      <c r="A125" s="3">
        <v>2768102</v>
      </c>
      <c r="B125" s="3">
        <f>HYPERLINK("https://platform.v2.vetology.net/cases/2768102/screening-report/6?type=pdf&amp;v=v6&amp;scorecard=1&amp;secret_key=BX%25IJ%24%2F65ieZ%29f6", 2768102)</f>
        <v>2768102</v>
      </c>
      <c r="C125" s="3">
        <f>HYPERLINK("https://platform.v2.vetology.net/report/v/final/"&amp;2768102, 2768102)</f>
        <v>2768102</v>
      </c>
      <c r="D125" s="3" t="s">
        <v>628</v>
      </c>
      <c r="E125" s="3" t="s">
        <v>629</v>
      </c>
      <c r="F125" s="3" t="s">
        <v>630</v>
      </c>
      <c r="G125" s="3" t="s">
        <v>496</v>
      </c>
      <c r="H125" s="3" t="s">
        <v>631</v>
      </c>
      <c r="I125" s="3" t="s">
        <v>632</v>
      </c>
      <c r="J125" s="3" t="s">
        <v>633</v>
      </c>
      <c r="K125" s="3" t="s">
        <v>27</v>
      </c>
      <c r="L125" s="3" t="s">
        <v>28</v>
      </c>
      <c r="M125" s="3" t="s">
        <v>28</v>
      </c>
      <c r="N125" s="3" t="s">
        <v>28</v>
      </c>
      <c r="O125" s="3" t="s">
        <v>27</v>
      </c>
      <c r="P125" s="3" t="s">
        <v>28</v>
      </c>
      <c r="Q125" s="3" t="s">
        <v>28</v>
      </c>
      <c r="R125" s="3" t="s">
        <v>27</v>
      </c>
      <c r="S125" s="3" t="s">
        <v>27</v>
      </c>
      <c r="T125" s="3" t="s">
        <v>28</v>
      </c>
    </row>
    <row r="126" spans="1:20" ht="366">
      <c r="A126" s="3">
        <v>2768088</v>
      </c>
      <c r="B126" s="3">
        <f>HYPERLINK("https://platform.v2.vetology.net/cases/2768088/screening-report/6?type=pdf&amp;v=v6&amp;scorecard=1&amp;secret_key=BX%25IJ%24%2F65ieZ%29f6", 2768088)</f>
        <v>2768088</v>
      </c>
      <c r="C126" s="3">
        <f>HYPERLINK("https://platform.v2.vetology.net/report/v/final/"&amp;2768088, 2768088)</f>
        <v>2768088</v>
      </c>
      <c r="D126" s="3" t="s">
        <v>634</v>
      </c>
      <c r="E126" s="3" t="s">
        <v>635</v>
      </c>
      <c r="F126" s="3" t="s">
        <v>22</v>
      </c>
      <c r="G126" s="3" t="s">
        <v>23</v>
      </c>
      <c r="H126" s="3" t="s">
        <v>636</v>
      </c>
      <c r="I126" s="3" t="s">
        <v>316</v>
      </c>
      <c r="J126" s="3" t="s">
        <v>317</v>
      </c>
      <c r="K126" s="3" t="s">
        <v>27</v>
      </c>
      <c r="L126" s="3" t="s">
        <v>28</v>
      </c>
      <c r="M126" s="3" t="s">
        <v>28</v>
      </c>
      <c r="N126" s="3" t="s">
        <v>28</v>
      </c>
      <c r="O126" s="3" t="s">
        <v>27</v>
      </c>
      <c r="P126" s="3" t="s">
        <v>28</v>
      </c>
      <c r="Q126" s="3" t="s">
        <v>28</v>
      </c>
      <c r="R126" s="3" t="s">
        <v>28</v>
      </c>
      <c r="S126" s="3" t="s">
        <v>28</v>
      </c>
      <c r="T126" s="3" t="s">
        <v>28</v>
      </c>
    </row>
    <row r="127" spans="1:20" ht="290.25">
      <c r="A127" s="3">
        <v>2768050</v>
      </c>
      <c r="B127" s="3">
        <f>HYPERLINK("https://platform.v2.vetology.net/cases/2768050/screening-report/6?type=pdf&amp;v=v6&amp;scorecard=1&amp;secret_key=BX%25IJ%24%2F65ieZ%29f6", 2768050)</f>
        <v>2768050</v>
      </c>
      <c r="C127" s="3">
        <f>HYPERLINK("https://platform.v2.vetology.net/report/v/final/"&amp;2768050, 2768050)</f>
        <v>2768050</v>
      </c>
      <c r="D127" s="3" t="s">
        <v>637</v>
      </c>
      <c r="E127" s="3" t="s">
        <v>638</v>
      </c>
      <c r="F127" s="3" t="s">
        <v>639</v>
      </c>
      <c r="G127" s="3" t="s">
        <v>496</v>
      </c>
      <c r="H127" s="3" t="s">
        <v>141</v>
      </c>
      <c r="I127" s="3" t="s">
        <v>142</v>
      </c>
      <c r="J127" s="3" t="s">
        <v>143</v>
      </c>
      <c r="K127" s="3" t="s">
        <v>27</v>
      </c>
      <c r="L127" s="3" t="s">
        <v>28</v>
      </c>
      <c r="M127" s="3" t="s">
        <v>27</v>
      </c>
      <c r="N127" s="3" t="s">
        <v>28</v>
      </c>
      <c r="O127" s="3" t="s">
        <v>27</v>
      </c>
      <c r="P127" s="3" t="s">
        <v>28</v>
      </c>
      <c r="Q127" s="3" t="s">
        <v>28</v>
      </c>
      <c r="R127" s="3" t="s">
        <v>28</v>
      </c>
      <c r="S127" s="3" t="s">
        <v>28</v>
      </c>
      <c r="T127" s="3" t="s">
        <v>27</v>
      </c>
    </row>
    <row r="128" spans="1:20" ht="305.25">
      <c r="A128" s="3">
        <v>2768013</v>
      </c>
      <c r="B128" s="3">
        <f>HYPERLINK("https://platform.v2.vetology.net/cases/2768013/screening-report/6?type=pdf&amp;v=v6&amp;scorecard=1&amp;secret_key=BX%25IJ%24%2F65ieZ%29f6", 2768013)</f>
        <v>2768013</v>
      </c>
      <c r="C128" s="3">
        <f>HYPERLINK("https://platform.v2.vetology.net/report/v/final/"&amp;2768013, 2768013)</f>
        <v>2768013</v>
      </c>
      <c r="D128" s="3" t="s">
        <v>640</v>
      </c>
      <c r="E128" s="3" t="s">
        <v>641</v>
      </c>
      <c r="F128" s="3" t="s">
        <v>642</v>
      </c>
      <c r="G128" s="3" t="s">
        <v>179</v>
      </c>
      <c r="H128" s="3" t="s">
        <v>403</v>
      </c>
      <c r="I128" s="3" t="s">
        <v>643</v>
      </c>
      <c r="J128" s="3" t="s">
        <v>143</v>
      </c>
      <c r="K128" s="3" t="s">
        <v>28</v>
      </c>
      <c r="L128" s="3" t="s">
        <v>27</v>
      </c>
      <c r="M128" s="3" t="s">
        <v>28</v>
      </c>
      <c r="N128" s="3" t="s">
        <v>27</v>
      </c>
      <c r="O128" s="3" t="s">
        <v>27</v>
      </c>
      <c r="P128" s="3" t="s">
        <v>28</v>
      </c>
      <c r="Q128" s="3" t="s">
        <v>28</v>
      </c>
      <c r="R128" s="3" t="s">
        <v>27</v>
      </c>
      <c r="S128" s="3" t="s">
        <v>28</v>
      </c>
      <c r="T128" s="3" t="s">
        <v>27</v>
      </c>
    </row>
    <row r="129" spans="1:20" ht="409.6">
      <c r="A129" s="3">
        <v>2767980</v>
      </c>
      <c r="B129" s="3">
        <f>HYPERLINK("https://platform.v2.vetology.net/cases/2767980/screening-report/6?type=pdf&amp;v=v6&amp;scorecard=1&amp;secret_key=BX%25IJ%24%2F65ieZ%29f6", 2767980)</f>
        <v>2767980</v>
      </c>
      <c r="C129" s="3">
        <f>HYPERLINK("https://platform.v2.vetology.net/report/v/final/"&amp;2767980, 2767980)</f>
        <v>2767980</v>
      </c>
      <c r="D129" s="3" t="s">
        <v>644</v>
      </c>
      <c r="E129" s="3" t="s">
        <v>645</v>
      </c>
      <c r="F129" s="3" t="s">
        <v>646</v>
      </c>
      <c r="G129" s="3" t="s">
        <v>179</v>
      </c>
      <c r="H129" s="3" t="s">
        <v>647</v>
      </c>
      <c r="I129" s="3" t="s">
        <v>648</v>
      </c>
      <c r="J129" s="3" t="s">
        <v>207</v>
      </c>
      <c r="K129" s="3" t="s">
        <v>27</v>
      </c>
      <c r="L129" s="3" t="s">
        <v>28</v>
      </c>
      <c r="M129" s="3" t="s">
        <v>28</v>
      </c>
      <c r="N129" s="3" t="s">
        <v>27</v>
      </c>
      <c r="O129" s="3" t="s">
        <v>27</v>
      </c>
      <c r="P129" s="3" t="s">
        <v>28</v>
      </c>
      <c r="Q129" s="3" t="s">
        <v>27</v>
      </c>
      <c r="R129" s="3" t="s">
        <v>28</v>
      </c>
      <c r="S129" s="3" t="s">
        <v>27</v>
      </c>
      <c r="T129" s="3" t="s">
        <v>27</v>
      </c>
    </row>
    <row r="130" spans="1:20" ht="409.6">
      <c r="A130" s="3">
        <v>2767967</v>
      </c>
      <c r="B130" s="3">
        <f>HYPERLINK("https://platform.v2.vetology.net/cases/2767967/screening-report/6?type=pdf&amp;v=v6&amp;scorecard=1&amp;secret_key=BX%25IJ%24%2F65ieZ%29f6", 2767967)</f>
        <v>2767967</v>
      </c>
      <c r="C130" s="3">
        <f>HYPERLINK("https://platform.v2.vetology.net/report/v/final/"&amp;2767967, 2767967)</f>
        <v>2767967</v>
      </c>
      <c r="D130" s="3" t="s">
        <v>649</v>
      </c>
      <c r="E130" s="3" t="s">
        <v>650</v>
      </c>
      <c r="F130" s="3" t="s">
        <v>651</v>
      </c>
      <c r="G130" s="3" t="s">
        <v>57</v>
      </c>
      <c r="H130" s="3" t="s">
        <v>652</v>
      </c>
      <c r="I130" s="3" t="s">
        <v>653</v>
      </c>
      <c r="J130" s="3" t="s">
        <v>654</v>
      </c>
      <c r="K130" s="3" t="s">
        <v>28</v>
      </c>
      <c r="L130" s="3" t="s">
        <v>28</v>
      </c>
      <c r="M130" s="3" t="s">
        <v>28</v>
      </c>
      <c r="N130" s="3" t="s">
        <v>28</v>
      </c>
      <c r="O130" s="3" t="s">
        <v>27</v>
      </c>
      <c r="P130" s="3" t="s">
        <v>28</v>
      </c>
      <c r="Q130" s="3" t="s">
        <v>28</v>
      </c>
      <c r="R130" s="3" t="s">
        <v>27</v>
      </c>
      <c r="S130" s="3" t="s">
        <v>27</v>
      </c>
      <c r="T130" s="3" t="s">
        <v>28</v>
      </c>
    </row>
    <row r="131" spans="1:20" ht="409.6">
      <c r="A131" s="3">
        <v>2767962</v>
      </c>
      <c r="B131" s="3">
        <f>HYPERLINK("https://platform.v2.vetology.net/cases/2767962/screening-report/6?type=pdf&amp;v=v6&amp;scorecard=1&amp;secret_key=BX%25IJ%24%2F65ieZ%29f6", 2767962)</f>
        <v>2767962</v>
      </c>
      <c r="C131" s="3">
        <f>HYPERLINK("https://platform.v2.vetology.net/report/v/final/"&amp;2767962, 2767962)</f>
        <v>2767962</v>
      </c>
      <c r="D131" s="3" t="s">
        <v>655</v>
      </c>
      <c r="E131" s="3" t="s">
        <v>656</v>
      </c>
      <c r="F131" s="3" t="s">
        <v>657</v>
      </c>
      <c r="G131" s="3" t="s">
        <v>186</v>
      </c>
      <c r="H131" s="3" t="s">
        <v>658</v>
      </c>
      <c r="I131" s="3" t="s">
        <v>659</v>
      </c>
      <c r="J131" s="3" t="s">
        <v>660</v>
      </c>
      <c r="K131" s="3" t="s">
        <v>28</v>
      </c>
      <c r="L131" s="3" t="s">
        <v>28</v>
      </c>
      <c r="M131" s="3" t="s">
        <v>28</v>
      </c>
      <c r="N131" s="3" t="s">
        <v>28</v>
      </c>
      <c r="O131" s="3" t="s">
        <v>27</v>
      </c>
      <c r="P131" s="3" t="s">
        <v>28</v>
      </c>
      <c r="Q131" s="3" t="s">
        <v>28</v>
      </c>
      <c r="R131" s="3" t="s">
        <v>28</v>
      </c>
      <c r="S131" s="3" t="s">
        <v>28</v>
      </c>
      <c r="T131" s="3" t="s">
        <v>28</v>
      </c>
    </row>
    <row r="132" spans="1:20" ht="409.6">
      <c r="A132" s="3">
        <v>2767943</v>
      </c>
      <c r="B132" s="3">
        <f>HYPERLINK("https://platform.v2.vetology.net/cases/2767943/screening-report/6?type=pdf&amp;v=v6&amp;scorecard=1&amp;secret_key=BX%25IJ%24%2F65ieZ%29f6", 2767943)</f>
        <v>2767943</v>
      </c>
      <c r="C132" s="3">
        <f>HYPERLINK("https://platform.v2.vetology.net/report/v/final/"&amp;2767943, 2767943)</f>
        <v>2767943</v>
      </c>
      <c r="D132" s="3" t="s">
        <v>661</v>
      </c>
      <c r="E132" s="3" t="s">
        <v>662</v>
      </c>
      <c r="F132" s="3" t="s">
        <v>663</v>
      </c>
      <c r="G132" s="3" t="s">
        <v>57</v>
      </c>
      <c r="H132" s="3" t="s">
        <v>350</v>
      </c>
      <c r="I132" s="3" t="s">
        <v>351</v>
      </c>
      <c r="J132" s="3" t="s">
        <v>352</v>
      </c>
      <c r="K132" s="3" t="s">
        <v>28</v>
      </c>
      <c r="L132" s="3" t="s">
        <v>28</v>
      </c>
      <c r="M132" s="3" t="s">
        <v>28</v>
      </c>
      <c r="N132" s="3" t="s">
        <v>28</v>
      </c>
      <c r="O132" s="3" t="s">
        <v>27</v>
      </c>
      <c r="P132" s="3" t="s">
        <v>28</v>
      </c>
      <c r="Q132" s="3" t="s">
        <v>28</v>
      </c>
      <c r="R132" s="3" t="s">
        <v>28</v>
      </c>
      <c r="S132" s="3" t="s">
        <v>28</v>
      </c>
      <c r="T132" s="3" t="s">
        <v>27</v>
      </c>
    </row>
    <row r="133" spans="1:20" ht="409.6">
      <c r="A133" s="3">
        <v>2767918</v>
      </c>
      <c r="B133" s="3">
        <f>HYPERLINK("https://platform.v2.vetology.net/cases/2767918/screening-report/6?type=pdf&amp;v=v6&amp;scorecard=1&amp;secret_key=BX%25IJ%24%2F65ieZ%29f6", 2767918)</f>
        <v>2767918</v>
      </c>
      <c r="C133" s="3">
        <f>HYPERLINK("https://platform.v2.vetology.net/report/v/final/"&amp;2767918, 2767918)</f>
        <v>2767918</v>
      </c>
      <c r="D133" s="3" t="s">
        <v>664</v>
      </c>
      <c r="E133" s="3" t="s">
        <v>665</v>
      </c>
      <c r="F133" s="3" t="s">
        <v>22</v>
      </c>
      <c r="G133" s="3" t="s">
        <v>23</v>
      </c>
      <c r="H133" s="3" t="s">
        <v>666</v>
      </c>
      <c r="I133" s="3" t="s">
        <v>667</v>
      </c>
      <c r="J133" s="3" t="s">
        <v>668</v>
      </c>
      <c r="K133" s="3" t="s">
        <v>28</v>
      </c>
      <c r="L133" s="3" t="s">
        <v>28</v>
      </c>
      <c r="M133" s="3" t="s">
        <v>28</v>
      </c>
      <c r="N133" s="3" t="s">
        <v>28</v>
      </c>
      <c r="O133" s="3" t="s">
        <v>27</v>
      </c>
      <c r="P133" s="3" t="s">
        <v>28</v>
      </c>
      <c r="Q133" s="3" t="s">
        <v>28</v>
      </c>
      <c r="R133" s="3" t="s">
        <v>28</v>
      </c>
      <c r="S133" s="3" t="s">
        <v>28</v>
      </c>
      <c r="T133" s="3" t="s">
        <v>27</v>
      </c>
    </row>
    <row r="134" spans="1:20" ht="409.6">
      <c r="A134" s="3">
        <v>2767894</v>
      </c>
      <c r="B134" s="3">
        <f>HYPERLINK("https://platform.v2.vetology.net/cases/2767894/screening-report/6?type=pdf&amp;v=v6&amp;scorecard=1&amp;secret_key=BX%25IJ%24%2F65ieZ%29f6", 2767894)</f>
        <v>2767894</v>
      </c>
      <c r="C134" s="3">
        <f>HYPERLINK("https://platform.v2.vetology.net/report/v/final/"&amp;2767894, 2767894)</f>
        <v>2767894</v>
      </c>
      <c r="D134" s="3" t="s">
        <v>669</v>
      </c>
      <c r="E134" s="3" t="s">
        <v>670</v>
      </c>
      <c r="F134" s="3" t="s">
        <v>22</v>
      </c>
      <c r="G134" s="3" t="s">
        <v>23</v>
      </c>
      <c r="H134" s="3" t="s">
        <v>671</v>
      </c>
      <c r="I134" s="3" t="s">
        <v>672</v>
      </c>
      <c r="J134" s="3" t="s">
        <v>673</v>
      </c>
      <c r="K134" s="3" t="s">
        <v>28</v>
      </c>
      <c r="L134" s="3" t="s">
        <v>28</v>
      </c>
      <c r="M134" s="3" t="s">
        <v>28</v>
      </c>
      <c r="N134" s="3" t="s">
        <v>28</v>
      </c>
      <c r="O134" s="3" t="s">
        <v>27</v>
      </c>
      <c r="P134" s="3" t="s">
        <v>28</v>
      </c>
      <c r="Q134" s="3" t="s">
        <v>28</v>
      </c>
      <c r="R134" s="3" t="s">
        <v>28</v>
      </c>
      <c r="S134" s="3" t="s">
        <v>28</v>
      </c>
      <c r="T134" s="3" t="s">
        <v>28</v>
      </c>
    </row>
    <row r="135" spans="1:20" ht="409.6">
      <c r="A135" s="3">
        <v>2767879</v>
      </c>
      <c r="B135" s="3">
        <f>HYPERLINK("https://platform.v2.vetology.net/cases/2767879/screening-report/6?type=pdf&amp;v=v6&amp;scorecard=1&amp;secret_key=BX%25IJ%24%2F65ieZ%29f6", 2767879)</f>
        <v>2767879</v>
      </c>
      <c r="C135" s="3">
        <f>HYPERLINK("https://platform.v2.vetology.net/report/v/final/"&amp;2767879, 2767879)</f>
        <v>2767879</v>
      </c>
      <c r="D135" s="3" t="s">
        <v>674</v>
      </c>
      <c r="E135" s="3" t="s">
        <v>675</v>
      </c>
      <c r="F135" s="3" t="s">
        <v>676</v>
      </c>
      <c r="G135" s="3" t="s">
        <v>496</v>
      </c>
      <c r="H135" s="3" t="s">
        <v>677</v>
      </c>
      <c r="I135" s="3" t="s">
        <v>678</v>
      </c>
      <c r="J135" s="3" t="s">
        <v>679</v>
      </c>
      <c r="K135" s="3" t="s">
        <v>28</v>
      </c>
      <c r="L135" s="3" t="s">
        <v>27</v>
      </c>
      <c r="M135" s="3" t="s">
        <v>28</v>
      </c>
      <c r="N135" s="3" t="s">
        <v>27</v>
      </c>
      <c r="O135" s="3" t="s">
        <v>27</v>
      </c>
      <c r="P135" s="3" t="s">
        <v>28</v>
      </c>
      <c r="Q135" s="3" t="s">
        <v>28</v>
      </c>
      <c r="R135" s="3" t="s">
        <v>27</v>
      </c>
      <c r="S135" s="3" t="s">
        <v>27</v>
      </c>
      <c r="T135" s="3" t="s">
        <v>27</v>
      </c>
    </row>
    <row r="136" spans="1:20" ht="409.6">
      <c r="A136" s="3">
        <v>2767862</v>
      </c>
      <c r="B136" s="3">
        <f>HYPERLINK("https://platform.v2.vetology.net/cases/2767862/screening-report/6?type=pdf&amp;v=v6&amp;scorecard=1&amp;secret_key=BX%25IJ%24%2F65ieZ%29f6", 2767862)</f>
        <v>2767862</v>
      </c>
      <c r="C136" s="3">
        <f>HYPERLINK("https://platform.v2.vetology.net/report/v/final/"&amp;2767862, 2767862)</f>
        <v>2767862</v>
      </c>
      <c r="D136" s="3" t="s">
        <v>680</v>
      </c>
      <c r="E136" s="3" t="s">
        <v>681</v>
      </c>
      <c r="F136" s="3" t="s">
        <v>682</v>
      </c>
      <c r="G136" s="3" t="s">
        <v>186</v>
      </c>
      <c r="H136" s="3" t="s">
        <v>683</v>
      </c>
      <c r="I136" s="3" t="s">
        <v>32</v>
      </c>
      <c r="J136" s="3" t="s">
        <v>578</v>
      </c>
      <c r="K136" s="3" t="s">
        <v>27</v>
      </c>
      <c r="L136" s="3" t="s">
        <v>28</v>
      </c>
      <c r="M136" s="3" t="s">
        <v>28</v>
      </c>
      <c r="N136" s="3" t="s">
        <v>28</v>
      </c>
      <c r="O136" s="3" t="s">
        <v>27</v>
      </c>
      <c r="P136" s="3" t="s">
        <v>28</v>
      </c>
      <c r="Q136" s="3" t="s">
        <v>28</v>
      </c>
      <c r="R136" s="3" t="s">
        <v>28</v>
      </c>
      <c r="S136" s="3" t="s">
        <v>28</v>
      </c>
      <c r="T136" s="3" t="s">
        <v>28</v>
      </c>
    </row>
    <row r="137" spans="1:20" ht="305.25">
      <c r="A137" s="3">
        <v>2767848</v>
      </c>
      <c r="B137" s="3">
        <f>HYPERLINK("https://platform.v2.vetology.net/cases/2767848/screening-report/6?type=pdf&amp;v=v6&amp;scorecard=1&amp;secret_key=BX%25IJ%24%2F65ieZ%29f6", 2767848)</f>
        <v>2767848</v>
      </c>
      <c r="C137" s="3">
        <f>HYPERLINK("https://platform.v2.vetology.net/report/v/final/"&amp;2767848, 2767848)</f>
        <v>2767848</v>
      </c>
      <c r="D137" s="3" t="s">
        <v>684</v>
      </c>
      <c r="E137" s="3" t="s">
        <v>685</v>
      </c>
      <c r="F137" s="3" t="s">
        <v>686</v>
      </c>
      <c r="G137" s="3" t="s">
        <v>186</v>
      </c>
      <c r="H137" s="3" t="s">
        <v>687</v>
      </c>
      <c r="I137" s="3" t="s">
        <v>464</v>
      </c>
      <c r="J137" s="3" t="s">
        <v>688</v>
      </c>
      <c r="K137" s="3" t="s">
        <v>28</v>
      </c>
      <c r="L137" s="3" t="s">
        <v>28</v>
      </c>
      <c r="M137" s="3" t="s">
        <v>28</v>
      </c>
      <c r="N137" s="3" t="s">
        <v>28</v>
      </c>
      <c r="O137" s="3" t="s">
        <v>28</v>
      </c>
      <c r="P137" s="3" t="s">
        <v>28</v>
      </c>
      <c r="Q137" s="3" t="s">
        <v>28</v>
      </c>
      <c r="R137" s="3" t="s">
        <v>28</v>
      </c>
      <c r="S137" s="3" t="s">
        <v>28</v>
      </c>
      <c r="T137" s="3" t="s">
        <v>28</v>
      </c>
    </row>
    <row r="138" spans="1:20" ht="409.6">
      <c r="A138" s="3">
        <v>2767835</v>
      </c>
      <c r="B138" s="3">
        <f>HYPERLINK("https://platform.v2.vetology.net/cases/2767835/screening-report/6?type=pdf&amp;v=v6&amp;scorecard=1&amp;secret_key=BX%25IJ%24%2F65ieZ%29f6", 2767835)</f>
        <v>2767835</v>
      </c>
      <c r="C138" s="3">
        <f>HYPERLINK("https://platform.v2.vetology.net/report/v/final/"&amp;2767835, 2767835)</f>
        <v>2767835</v>
      </c>
      <c r="D138" s="3" t="s">
        <v>689</v>
      </c>
      <c r="E138" s="3" t="s">
        <v>690</v>
      </c>
      <c r="F138" s="3" t="s">
        <v>691</v>
      </c>
      <c r="G138" s="3" t="s">
        <v>57</v>
      </c>
      <c r="H138" s="3" t="s">
        <v>692</v>
      </c>
      <c r="I138" s="3" t="s">
        <v>693</v>
      </c>
      <c r="J138" s="3" t="s">
        <v>335</v>
      </c>
      <c r="K138" s="3" t="s">
        <v>28</v>
      </c>
      <c r="L138" s="3" t="s">
        <v>28</v>
      </c>
      <c r="M138" s="3" t="s">
        <v>28</v>
      </c>
      <c r="N138" s="3" t="s">
        <v>28</v>
      </c>
      <c r="O138" s="3" t="s">
        <v>28</v>
      </c>
      <c r="P138" s="3" t="s">
        <v>28</v>
      </c>
      <c r="Q138" s="3" t="s">
        <v>28</v>
      </c>
      <c r="R138" s="3" t="s">
        <v>28</v>
      </c>
      <c r="S138" s="3" t="s">
        <v>27</v>
      </c>
      <c r="T138" s="3" t="s">
        <v>28</v>
      </c>
    </row>
    <row r="139" spans="1:20" ht="396.75">
      <c r="A139" s="3">
        <v>2767809</v>
      </c>
      <c r="B139" s="3">
        <f>HYPERLINK("https://platform.v2.vetology.net/cases/2767809/screening-report/6?type=pdf&amp;v=v6&amp;scorecard=1&amp;secret_key=BX%25IJ%24%2F65ieZ%29f6", 2767809)</f>
        <v>2767809</v>
      </c>
      <c r="C139" s="3">
        <f>HYPERLINK("https://platform.v2.vetology.net/report/v/final/"&amp;2767809, 2767809)</f>
        <v>2767809</v>
      </c>
      <c r="D139" s="3" t="s">
        <v>694</v>
      </c>
      <c r="E139" s="3" t="s">
        <v>695</v>
      </c>
      <c r="F139" s="3"/>
      <c r="G139" s="3" t="s">
        <v>100</v>
      </c>
      <c r="H139" s="3" t="s">
        <v>350</v>
      </c>
      <c r="I139" s="3" t="s">
        <v>351</v>
      </c>
      <c r="J139" s="3" t="s">
        <v>352</v>
      </c>
      <c r="K139" s="3" t="s">
        <v>28</v>
      </c>
      <c r="L139" s="3" t="s">
        <v>28</v>
      </c>
      <c r="M139" s="3" t="s">
        <v>28</v>
      </c>
      <c r="N139" s="3" t="s">
        <v>28</v>
      </c>
      <c r="O139" s="3" t="s">
        <v>28</v>
      </c>
      <c r="P139" s="3" t="s">
        <v>28</v>
      </c>
      <c r="Q139" s="3" t="s">
        <v>28</v>
      </c>
      <c r="R139" s="3" t="s">
        <v>28</v>
      </c>
      <c r="S139" s="3" t="s">
        <v>28</v>
      </c>
      <c r="T139" s="3" t="s">
        <v>27</v>
      </c>
    </row>
    <row r="140" spans="1:20" ht="336">
      <c r="A140" s="3">
        <v>2767757</v>
      </c>
      <c r="B140" s="3">
        <f>HYPERLINK("https://platform.v2.vetology.net/cases/2767757/screening-report/6?type=pdf&amp;v=v6&amp;scorecard=1&amp;secret_key=BX%25IJ%24%2F65ieZ%29f6", 2767757)</f>
        <v>2767757</v>
      </c>
      <c r="C140" s="3">
        <f>HYPERLINK("https://platform.v2.vetology.net/report/v/final/"&amp;2767757, 2767757)</f>
        <v>2767757</v>
      </c>
      <c r="D140" s="3" t="s">
        <v>696</v>
      </c>
      <c r="E140" s="3" t="s">
        <v>697</v>
      </c>
      <c r="F140" s="3" t="s">
        <v>698</v>
      </c>
      <c r="G140" s="3" t="s">
        <v>211</v>
      </c>
      <c r="H140" s="3" t="s">
        <v>123</v>
      </c>
      <c r="I140" s="3" t="s">
        <v>124</v>
      </c>
      <c r="J140" s="3" t="s">
        <v>125</v>
      </c>
      <c r="K140" s="3" t="s">
        <v>27</v>
      </c>
      <c r="L140" s="3" t="s">
        <v>27</v>
      </c>
      <c r="M140" s="3" t="s">
        <v>28</v>
      </c>
      <c r="N140" s="3" t="s">
        <v>28</v>
      </c>
      <c r="O140" s="3" t="s">
        <v>27</v>
      </c>
      <c r="P140" s="3" t="s">
        <v>28</v>
      </c>
      <c r="Q140" s="3" t="s">
        <v>27</v>
      </c>
      <c r="R140" s="3" t="s">
        <v>28</v>
      </c>
      <c r="S140" s="3" t="s">
        <v>28</v>
      </c>
      <c r="T140" s="3" t="s">
        <v>28</v>
      </c>
    </row>
    <row r="141" spans="1:20" ht="409.6">
      <c r="A141" s="3">
        <v>2767637</v>
      </c>
      <c r="B141" s="3">
        <f>HYPERLINK("https://platform.v2.vetology.net/cases/2767637/screening-report/6?type=pdf&amp;v=v6&amp;scorecard=1&amp;secret_key=BX%25IJ%24%2F65ieZ%29f6", 2767637)</f>
        <v>2767637</v>
      </c>
      <c r="C141" s="3">
        <f>HYPERLINK("https://platform.v2.vetology.net/report/v/final/"&amp;2767637, 2767637)</f>
        <v>2767637</v>
      </c>
      <c r="D141" s="3" t="s">
        <v>699</v>
      </c>
      <c r="E141" s="3" t="s">
        <v>700</v>
      </c>
      <c r="F141" s="3" t="s">
        <v>701</v>
      </c>
      <c r="G141" s="3" t="s">
        <v>64</v>
      </c>
      <c r="H141" s="3" t="s">
        <v>702</v>
      </c>
      <c r="I141" s="3" t="s">
        <v>32</v>
      </c>
      <c r="J141" s="3" t="s">
        <v>33</v>
      </c>
      <c r="K141" s="3" t="s">
        <v>27</v>
      </c>
      <c r="L141" s="3" t="s">
        <v>28</v>
      </c>
      <c r="M141" s="3" t="s">
        <v>28</v>
      </c>
      <c r="N141" s="3" t="s">
        <v>28</v>
      </c>
      <c r="O141" s="3" t="s">
        <v>28</v>
      </c>
      <c r="P141" s="3" t="s">
        <v>28</v>
      </c>
      <c r="Q141" s="3" t="s">
        <v>28</v>
      </c>
      <c r="R141" s="3" t="s">
        <v>28</v>
      </c>
      <c r="S141" s="3" t="s">
        <v>28</v>
      </c>
      <c r="T141" s="3" t="s">
        <v>28</v>
      </c>
    </row>
    <row r="142" spans="1:20" ht="351">
      <c r="A142" s="3">
        <v>2767633</v>
      </c>
      <c r="B142" s="3">
        <f>HYPERLINK("https://platform.v2.vetology.net/cases/2767633/screening-report/6?type=pdf&amp;v=v6&amp;scorecard=1&amp;secret_key=BX%25IJ%24%2F65ieZ%29f6", 2767633)</f>
        <v>2767633</v>
      </c>
      <c r="C142" s="3">
        <f>HYPERLINK("https://platform.v2.vetology.net/report/v/final/"&amp;2767633, 2767633)</f>
        <v>2767633</v>
      </c>
      <c r="D142" s="3" t="s">
        <v>703</v>
      </c>
      <c r="E142" s="3" t="s">
        <v>704</v>
      </c>
      <c r="F142" s="3" t="s">
        <v>22</v>
      </c>
      <c r="G142" s="3" t="s">
        <v>23</v>
      </c>
      <c r="H142" s="3" t="s">
        <v>705</v>
      </c>
      <c r="I142" s="3" t="s">
        <v>706</v>
      </c>
      <c r="J142" s="3" t="s">
        <v>707</v>
      </c>
      <c r="K142" s="3" t="s">
        <v>27</v>
      </c>
      <c r="L142" s="3" t="s">
        <v>28</v>
      </c>
      <c r="M142" s="3" t="s">
        <v>28</v>
      </c>
      <c r="N142" s="3" t="s">
        <v>28</v>
      </c>
      <c r="O142" s="3" t="s">
        <v>27</v>
      </c>
      <c r="P142" s="3" t="s">
        <v>28</v>
      </c>
      <c r="Q142" s="3" t="s">
        <v>28</v>
      </c>
      <c r="R142" s="3" t="s">
        <v>28</v>
      </c>
      <c r="S142" s="3" t="s">
        <v>28</v>
      </c>
      <c r="T142" s="3" t="s">
        <v>27</v>
      </c>
    </row>
    <row r="143" spans="1:20" ht="409.6">
      <c r="A143" s="3">
        <v>2767626</v>
      </c>
      <c r="B143" s="3">
        <f>HYPERLINK("https://platform.v2.vetology.net/cases/2767626/screening-report/6?type=pdf&amp;v=v6&amp;scorecard=1&amp;secret_key=BX%25IJ%24%2F65ieZ%29f6", 2767626)</f>
        <v>2767626</v>
      </c>
      <c r="C143" s="3">
        <f>HYPERLINK("https://platform.v2.vetology.net/report/v/final/"&amp;2767626, 2767626)</f>
        <v>2767626</v>
      </c>
      <c r="D143" s="3" t="s">
        <v>708</v>
      </c>
      <c r="E143" s="3" t="s">
        <v>709</v>
      </c>
      <c r="F143" s="3" t="s">
        <v>710</v>
      </c>
      <c r="G143" s="3" t="s">
        <v>64</v>
      </c>
      <c r="H143" s="3" t="s">
        <v>711</v>
      </c>
      <c r="I143" s="3" t="s">
        <v>712</v>
      </c>
      <c r="J143" s="3" t="s">
        <v>713</v>
      </c>
      <c r="K143" s="3" t="s">
        <v>27</v>
      </c>
      <c r="L143" s="3" t="s">
        <v>28</v>
      </c>
      <c r="M143" s="3" t="s">
        <v>28</v>
      </c>
      <c r="N143" s="3" t="s">
        <v>28</v>
      </c>
      <c r="O143" s="3" t="s">
        <v>27</v>
      </c>
      <c r="P143" s="3" t="s">
        <v>28</v>
      </c>
      <c r="Q143" s="3" t="s">
        <v>28</v>
      </c>
      <c r="R143" s="3" t="s">
        <v>28</v>
      </c>
      <c r="S143" s="3" t="s">
        <v>28</v>
      </c>
      <c r="T143" s="3" t="s">
        <v>28</v>
      </c>
    </row>
    <row r="144" spans="1:20" ht="409.6">
      <c r="A144" s="3">
        <v>2767620</v>
      </c>
      <c r="B144" s="3">
        <f>HYPERLINK("https://platform.v2.vetology.net/cases/2767620/screening-report/6?type=pdf&amp;v=v6&amp;scorecard=1&amp;secret_key=BX%25IJ%24%2F65ieZ%29f6", 2767620)</f>
        <v>2767620</v>
      </c>
      <c r="C144" s="3">
        <f>HYPERLINK("https://platform.v2.vetology.net/report/v/final/"&amp;2767620, 2767620)</f>
        <v>2767620</v>
      </c>
      <c r="D144" s="3" t="s">
        <v>714</v>
      </c>
      <c r="E144" s="3" t="s">
        <v>715</v>
      </c>
      <c r="F144" s="3" t="s">
        <v>716</v>
      </c>
      <c r="G144" s="3" t="s">
        <v>64</v>
      </c>
      <c r="H144" s="3" t="s">
        <v>717</v>
      </c>
      <c r="I144" s="3" t="s">
        <v>718</v>
      </c>
      <c r="J144" s="3" t="s">
        <v>719</v>
      </c>
      <c r="K144" s="3" t="s">
        <v>28</v>
      </c>
      <c r="L144" s="3" t="s">
        <v>28</v>
      </c>
      <c r="M144" s="3" t="s">
        <v>28</v>
      </c>
      <c r="N144" s="3" t="s">
        <v>28</v>
      </c>
      <c r="O144" s="3" t="s">
        <v>27</v>
      </c>
      <c r="P144" s="3" t="s">
        <v>28</v>
      </c>
      <c r="Q144" s="3" t="s">
        <v>28</v>
      </c>
      <c r="R144" s="3" t="s">
        <v>28</v>
      </c>
      <c r="S144" s="3" t="s">
        <v>28</v>
      </c>
      <c r="T144" s="3" t="s">
        <v>28</v>
      </c>
    </row>
    <row r="145" spans="1:20" ht="409.6">
      <c r="A145" s="3">
        <v>2767617</v>
      </c>
      <c r="B145" s="3">
        <f>HYPERLINK("https://platform.v2.vetology.net/cases/2767617/screening-report/6?type=pdf&amp;v=v6&amp;scorecard=1&amp;secret_key=BX%25IJ%24%2F65ieZ%29f6", 2767617)</f>
        <v>2767617</v>
      </c>
      <c r="C145" s="3">
        <f>HYPERLINK("https://platform.v2.vetology.net/report/v/final/"&amp;2767617, 2767617)</f>
        <v>2767617</v>
      </c>
      <c r="D145" s="3" t="s">
        <v>720</v>
      </c>
      <c r="E145" s="3" t="s">
        <v>721</v>
      </c>
      <c r="F145" s="3" t="s">
        <v>722</v>
      </c>
      <c r="G145" s="3" t="s">
        <v>64</v>
      </c>
      <c r="H145" s="3" t="s">
        <v>723</v>
      </c>
      <c r="I145" s="3" t="s">
        <v>724</v>
      </c>
      <c r="J145" s="3" t="s">
        <v>725</v>
      </c>
      <c r="K145" s="3" t="s">
        <v>28</v>
      </c>
      <c r="L145" s="3" t="s">
        <v>28</v>
      </c>
      <c r="M145" s="3" t="s">
        <v>28</v>
      </c>
      <c r="N145" s="3" t="s">
        <v>28</v>
      </c>
      <c r="O145" s="3" t="s">
        <v>27</v>
      </c>
      <c r="P145" s="3" t="s">
        <v>27</v>
      </c>
      <c r="Q145" s="3" t="s">
        <v>28</v>
      </c>
      <c r="R145" s="3" t="s">
        <v>28</v>
      </c>
      <c r="S145" s="3" t="s">
        <v>28</v>
      </c>
      <c r="T145" s="3" t="s">
        <v>28</v>
      </c>
    </row>
    <row r="146" spans="1:20" ht="290.25">
      <c r="A146" s="3">
        <v>2767609</v>
      </c>
      <c r="B146" s="3">
        <f>HYPERLINK("https://platform.v2.vetology.net/cases/2767609/screening-report/6?type=pdf&amp;v=v6&amp;scorecard=1&amp;secret_key=BX%25IJ%24%2F65ieZ%29f6", 2767609)</f>
        <v>2767609</v>
      </c>
      <c r="C146" s="3">
        <f>HYPERLINK("https://platform.v2.vetology.net/report/v/final/"&amp;2767609, 2767609)</f>
        <v>2767609</v>
      </c>
      <c r="D146" s="3" t="s">
        <v>726</v>
      </c>
      <c r="E146" s="3" t="s">
        <v>727</v>
      </c>
      <c r="F146" s="3" t="s">
        <v>728</v>
      </c>
      <c r="G146" s="3" t="s">
        <v>64</v>
      </c>
      <c r="H146" s="3" t="s">
        <v>729</v>
      </c>
      <c r="I146" s="3" t="s">
        <v>72</v>
      </c>
      <c r="J146" s="3" t="s">
        <v>363</v>
      </c>
      <c r="K146" s="3" t="s">
        <v>28</v>
      </c>
      <c r="L146" s="3" t="s">
        <v>28</v>
      </c>
      <c r="M146" s="3" t="s">
        <v>28</v>
      </c>
      <c r="N146" s="3" t="s">
        <v>28</v>
      </c>
      <c r="O146" s="3" t="s">
        <v>27</v>
      </c>
      <c r="P146" s="3" t="s">
        <v>28</v>
      </c>
      <c r="Q146" s="3" t="s">
        <v>28</v>
      </c>
      <c r="R146" s="3" t="s">
        <v>28</v>
      </c>
      <c r="S146" s="3" t="s">
        <v>28</v>
      </c>
      <c r="T146" s="3" t="s">
        <v>27</v>
      </c>
    </row>
    <row r="147" spans="1:20" ht="381.75">
      <c r="A147" s="3">
        <v>2767534</v>
      </c>
      <c r="B147" s="3">
        <f>HYPERLINK("https://platform.v2.vetology.net/cases/2767534/screening-report/6?type=pdf&amp;v=v6&amp;scorecard=1&amp;secret_key=BX%25IJ%24%2F65ieZ%29f6", 2767534)</f>
        <v>2767534</v>
      </c>
      <c r="C147" s="3">
        <f>HYPERLINK("https://platform.v2.vetology.net/report/v/final/"&amp;2767534, 2767534)</f>
        <v>2767534</v>
      </c>
      <c r="D147" s="3" t="s">
        <v>730</v>
      </c>
      <c r="E147" s="3" t="s">
        <v>731</v>
      </c>
      <c r="F147" s="3" t="s">
        <v>732</v>
      </c>
      <c r="G147" s="3" t="s">
        <v>64</v>
      </c>
      <c r="H147" s="3" t="s">
        <v>31</v>
      </c>
      <c r="I147" s="3" t="s">
        <v>32</v>
      </c>
      <c r="J147" s="3" t="s">
        <v>119</v>
      </c>
      <c r="K147" s="3" t="s">
        <v>28</v>
      </c>
      <c r="L147" s="3" t="s">
        <v>28</v>
      </c>
      <c r="M147" s="3" t="s">
        <v>28</v>
      </c>
      <c r="N147" s="3" t="s">
        <v>28</v>
      </c>
      <c r="O147" s="3" t="s">
        <v>28</v>
      </c>
      <c r="P147" s="3" t="s">
        <v>28</v>
      </c>
      <c r="Q147" s="3" t="s">
        <v>28</v>
      </c>
      <c r="R147" s="3" t="s">
        <v>28</v>
      </c>
      <c r="S147" s="3" t="s">
        <v>28</v>
      </c>
      <c r="T147" s="3" t="s">
        <v>28</v>
      </c>
    </row>
    <row r="148" spans="1:20" ht="409.6">
      <c r="A148" s="3">
        <v>2767519</v>
      </c>
      <c r="B148" s="3">
        <f>HYPERLINK("https://platform.v2.vetology.net/cases/2767519/screening-report/6?type=pdf&amp;v=v6&amp;scorecard=1&amp;secret_key=BX%25IJ%24%2F65ieZ%29f6", 2767519)</f>
        <v>2767519</v>
      </c>
      <c r="C148" s="3">
        <f>HYPERLINK("https://platform.v2.vetology.net/report/v/final/"&amp;2767519, 2767519)</f>
        <v>2767519</v>
      </c>
      <c r="D148" s="3" t="s">
        <v>733</v>
      </c>
      <c r="E148" s="3" t="s">
        <v>734</v>
      </c>
      <c r="F148" s="3" t="s">
        <v>735</v>
      </c>
      <c r="G148" s="3" t="s">
        <v>736</v>
      </c>
      <c r="H148" s="3" t="s">
        <v>123</v>
      </c>
      <c r="I148" s="3" t="s">
        <v>124</v>
      </c>
      <c r="J148" s="3" t="s">
        <v>125</v>
      </c>
      <c r="K148" s="3" t="s">
        <v>27</v>
      </c>
      <c r="L148" s="3" t="s">
        <v>28</v>
      </c>
      <c r="M148" s="3" t="s">
        <v>27</v>
      </c>
      <c r="N148" s="3" t="s">
        <v>28</v>
      </c>
      <c r="O148" s="3" t="s">
        <v>27</v>
      </c>
      <c r="P148" s="3" t="s">
        <v>28</v>
      </c>
      <c r="Q148" s="3" t="s">
        <v>27</v>
      </c>
      <c r="R148" s="3" t="s">
        <v>28</v>
      </c>
      <c r="S148" s="3" t="s">
        <v>28</v>
      </c>
      <c r="T148" s="3" t="s">
        <v>28</v>
      </c>
    </row>
    <row r="149" spans="1:20" ht="409.6">
      <c r="A149" s="3">
        <v>2767432</v>
      </c>
      <c r="B149" s="3">
        <f>HYPERLINK("https://platform.v2.vetology.net/cases/2767432/screening-report/6?type=pdf&amp;v=v6&amp;scorecard=1&amp;secret_key=BX%25IJ%24%2F65ieZ%29f6", 2767432)</f>
        <v>2767432</v>
      </c>
      <c r="C149" s="3">
        <f>HYPERLINK("https://platform.v2.vetology.net/report/v/final/"&amp;2767432, 2767432)</f>
        <v>2767432</v>
      </c>
      <c r="D149" s="3" t="s">
        <v>737</v>
      </c>
      <c r="E149" s="3" t="s">
        <v>738</v>
      </c>
      <c r="F149" s="3" t="s">
        <v>22</v>
      </c>
      <c r="G149" s="3" t="s">
        <v>23</v>
      </c>
      <c r="H149" s="3" t="s">
        <v>739</v>
      </c>
      <c r="I149" s="3" t="s">
        <v>72</v>
      </c>
      <c r="J149" s="3" t="s">
        <v>363</v>
      </c>
      <c r="K149" s="3" t="s">
        <v>28</v>
      </c>
      <c r="L149" s="3" t="s">
        <v>28</v>
      </c>
      <c r="M149" s="3" t="s">
        <v>28</v>
      </c>
      <c r="N149" s="3" t="s">
        <v>27</v>
      </c>
      <c r="O149" s="3" t="s">
        <v>27</v>
      </c>
      <c r="P149" s="3" t="s">
        <v>28</v>
      </c>
      <c r="Q149" s="3" t="s">
        <v>28</v>
      </c>
      <c r="R149" s="3" t="s">
        <v>28</v>
      </c>
      <c r="S149" s="3" t="s">
        <v>28</v>
      </c>
      <c r="T149" s="3" t="s">
        <v>27</v>
      </c>
    </row>
    <row r="150" spans="1:20" ht="366">
      <c r="A150" s="3">
        <v>2767415</v>
      </c>
      <c r="B150" s="3">
        <f>HYPERLINK("https://platform.v2.vetology.net/cases/2767415/screening-report/6?type=pdf&amp;v=v6&amp;scorecard=1&amp;secret_key=BX%25IJ%24%2F65ieZ%29f6", 2767415)</f>
        <v>2767415</v>
      </c>
      <c r="C150" s="3">
        <f>HYPERLINK("https://platform.v2.vetology.net/report/v/final/"&amp;2767415, 2767415)</f>
        <v>2767415</v>
      </c>
      <c r="D150" s="3" t="s">
        <v>740</v>
      </c>
      <c r="E150" s="3" t="s">
        <v>741</v>
      </c>
      <c r="F150" s="3" t="s">
        <v>22</v>
      </c>
      <c r="G150" s="3" t="s">
        <v>23</v>
      </c>
      <c r="H150" s="3" t="s">
        <v>31</v>
      </c>
      <c r="I150" s="3" t="s">
        <v>32</v>
      </c>
      <c r="J150" s="3" t="s">
        <v>33</v>
      </c>
      <c r="K150" s="3" t="s">
        <v>28</v>
      </c>
      <c r="L150" s="3" t="s">
        <v>28</v>
      </c>
      <c r="M150" s="3" t="s">
        <v>28</v>
      </c>
      <c r="N150" s="3" t="s">
        <v>28</v>
      </c>
      <c r="O150" s="3" t="s">
        <v>28</v>
      </c>
      <c r="P150" s="3" t="s">
        <v>28</v>
      </c>
      <c r="Q150" s="3" t="s">
        <v>28</v>
      </c>
      <c r="R150" s="3" t="s">
        <v>28</v>
      </c>
      <c r="S150" s="3" t="s">
        <v>28</v>
      </c>
      <c r="T150" s="3" t="s">
        <v>28</v>
      </c>
    </row>
    <row r="151" spans="1:20" ht="409.6">
      <c r="A151" s="3">
        <v>2767411</v>
      </c>
      <c r="B151" s="3">
        <f>HYPERLINK("https://platform.v2.vetology.net/cases/2767411/screening-report/6?type=pdf&amp;v=v6&amp;scorecard=1&amp;secret_key=BX%25IJ%24%2F65ieZ%29f6", 2767411)</f>
        <v>2767411</v>
      </c>
      <c r="C151" s="3">
        <f>HYPERLINK("https://platform.v2.vetology.net/report/v/final/"&amp;2767411, 2767411)</f>
        <v>2767411</v>
      </c>
      <c r="D151" s="3" t="s">
        <v>742</v>
      </c>
      <c r="E151" s="3" t="s">
        <v>743</v>
      </c>
      <c r="F151" s="3" t="s">
        <v>744</v>
      </c>
      <c r="G151" s="3" t="s">
        <v>736</v>
      </c>
      <c r="H151" s="3" t="s">
        <v>745</v>
      </c>
      <c r="I151" s="3" t="s">
        <v>746</v>
      </c>
      <c r="J151" s="3" t="s">
        <v>207</v>
      </c>
      <c r="K151" s="3" t="s">
        <v>27</v>
      </c>
      <c r="L151" s="3" t="s">
        <v>28</v>
      </c>
      <c r="M151" s="3" t="s">
        <v>28</v>
      </c>
      <c r="N151" s="3" t="s">
        <v>28</v>
      </c>
      <c r="O151" s="3" t="s">
        <v>27</v>
      </c>
      <c r="P151" s="3" t="s">
        <v>27</v>
      </c>
      <c r="Q151" s="3" t="s">
        <v>28</v>
      </c>
      <c r="R151" s="3" t="s">
        <v>28</v>
      </c>
      <c r="S151" s="3" t="s">
        <v>27</v>
      </c>
      <c r="T151" s="3" t="s">
        <v>28</v>
      </c>
    </row>
    <row r="152" spans="1:20" ht="305.25">
      <c r="A152" s="3">
        <v>2767348</v>
      </c>
      <c r="B152" s="3">
        <f>HYPERLINK("https://platform.v2.vetology.net/cases/2767348/screening-report/6?type=pdf&amp;v=v6&amp;scorecard=1&amp;secret_key=BX%25IJ%24%2F65ieZ%29f6", 2767348)</f>
        <v>2767348</v>
      </c>
      <c r="C152" s="3">
        <f>HYPERLINK("https://platform.v2.vetology.net/report/v/final/"&amp;2767348, 2767348)</f>
        <v>2767348</v>
      </c>
      <c r="D152" s="3" t="s">
        <v>747</v>
      </c>
      <c r="E152" s="3" t="s">
        <v>748</v>
      </c>
      <c r="F152" s="3" t="s">
        <v>749</v>
      </c>
      <c r="G152" s="3" t="s">
        <v>186</v>
      </c>
      <c r="H152" s="3" t="s">
        <v>31</v>
      </c>
      <c r="I152" s="3" t="s">
        <v>32</v>
      </c>
      <c r="J152" s="3" t="s">
        <v>33</v>
      </c>
      <c r="K152" s="3" t="s">
        <v>28</v>
      </c>
      <c r="L152" s="3" t="s">
        <v>28</v>
      </c>
      <c r="M152" s="3" t="s">
        <v>28</v>
      </c>
      <c r="N152" s="3" t="s">
        <v>28</v>
      </c>
      <c r="O152" s="3" t="s">
        <v>27</v>
      </c>
      <c r="P152" s="3" t="s">
        <v>28</v>
      </c>
      <c r="Q152" s="3" t="s">
        <v>28</v>
      </c>
      <c r="R152" s="3" t="s">
        <v>28</v>
      </c>
      <c r="S152" s="3" t="s">
        <v>28</v>
      </c>
      <c r="T152" s="3" t="s">
        <v>28</v>
      </c>
    </row>
    <row r="153" spans="1:20" ht="366">
      <c r="A153" s="3">
        <v>2767291</v>
      </c>
      <c r="B153" s="3">
        <f>HYPERLINK("https://platform.v2.vetology.net/cases/2767291/screening-report/6?type=pdf&amp;v=v6&amp;scorecard=1&amp;secret_key=BX%25IJ%24%2F65ieZ%29f6", 2767291)</f>
        <v>2767291</v>
      </c>
      <c r="C153" s="3">
        <f>HYPERLINK("https://platform.v2.vetology.net/report/v/final/"&amp;2767291, 2767291)</f>
        <v>2767291</v>
      </c>
      <c r="D153" s="3" t="s">
        <v>750</v>
      </c>
      <c r="E153" s="3" t="s">
        <v>751</v>
      </c>
      <c r="F153" s="3" t="s">
        <v>752</v>
      </c>
      <c r="G153" s="3" t="s">
        <v>179</v>
      </c>
      <c r="H153" s="3" t="s">
        <v>753</v>
      </c>
      <c r="I153" s="3" t="s">
        <v>754</v>
      </c>
      <c r="J153" s="3" t="s">
        <v>755</v>
      </c>
      <c r="K153" s="3" t="s">
        <v>27</v>
      </c>
      <c r="L153" s="3" t="s">
        <v>28</v>
      </c>
      <c r="M153" s="3" t="s">
        <v>28</v>
      </c>
      <c r="N153" s="3" t="s">
        <v>28</v>
      </c>
      <c r="O153" s="3" t="s">
        <v>27</v>
      </c>
      <c r="P153" s="3" t="s">
        <v>28</v>
      </c>
      <c r="Q153" s="3" t="s">
        <v>27</v>
      </c>
      <c r="R153" s="3" t="s">
        <v>28</v>
      </c>
      <c r="S153" s="3" t="s">
        <v>28</v>
      </c>
      <c r="T153" s="3" t="s">
        <v>28</v>
      </c>
    </row>
    <row r="154" spans="1:20" ht="409.6">
      <c r="A154" s="3">
        <v>2767275</v>
      </c>
      <c r="B154" s="3">
        <f>HYPERLINK("https://platform.v2.vetology.net/cases/2767275/screening-report/6?type=pdf&amp;v=v6&amp;scorecard=1&amp;secret_key=BX%25IJ%24%2F65ieZ%29f6", 2767275)</f>
        <v>2767275</v>
      </c>
      <c r="C154" s="3">
        <f>HYPERLINK("https://platform.v2.vetology.net/report/v/final/"&amp;2767275, 2767275)</f>
        <v>2767275</v>
      </c>
      <c r="D154" s="3" t="s">
        <v>756</v>
      </c>
      <c r="E154" s="3" t="s">
        <v>757</v>
      </c>
      <c r="F154" s="3" t="s">
        <v>758</v>
      </c>
      <c r="G154" s="3" t="s">
        <v>64</v>
      </c>
      <c r="H154" s="3" t="s">
        <v>123</v>
      </c>
      <c r="I154" s="3" t="s">
        <v>124</v>
      </c>
      <c r="J154" s="3" t="s">
        <v>125</v>
      </c>
      <c r="K154" s="3" t="s">
        <v>28</v>
      </c>
      <c r="L154" s="3" t="s">
        <v>28</v>
      </c>
      <c r="M154" s="3" t="s">
        <v>27</v>
      </c>
      <c r="N154" s="3" t="s">
        <v>28</v>
      </c>
      <c r="O154" s="3" t="s">
        <v>27</v>
      </c>
      <c r="P154" s="3" t="s">
        <v>28</v>
      </c>
      <c r="Q154" s="3" t="s">
        <v>28</v>
      </c>
      <c r="R154" s="3" t="s">
        <v>28</v>
      </c>
      <c r="S154" s="3" t="s">
        <v>28</v>
      </c>
      <c r="T154" s="3" t="s">
        <v>28</v>
      </c>
    </row>
    <row r="155" spans="1:20" ht="336">
      <c r="A155" s="3">
        <v>2767234</v>
      </c>
      <c r="B155" s="3">
        <f>HYPERLINK("https://platform.v2.vetology.net/cases/2767234/screening-report/6?type=pdf&amp;v=v6&amp;scorecard=1&amp;secret_key=BX%25IJ%24%2F65ieZ%29f6", 2767234)</f>
        <v>2767234</v>
      </c>
      <c r="C155" s="3">
        <f>HYPERLINK("https://platform.v2.vetology.net/report/v/final/"&amp;2767234, 2767234)</f>
        <v>2767234</v>
      </c>
      <c r="D155" s="3" t="s">
        <v>759</v>
      </c>
      <c r="E155" s="3" t="s">
        <v>760</v>
      </c>
      <c r="F155" s="3" t="s">
        <v>761</v>
      </c>
      <c r="G155" s="3" t="s">
        <v>186</v>
      </c>
      <c r="H155" s="3" t="s">
        <v>762</v>
      </c>
      <c r="I155" s="3" t="s">
        <v>763</v>
      </c>
      <c r="J155" s="3" t="s">
        <v>764</v>
      </c>
      <c r="K155" s="3" t="s">
        <v>28</v>
      </c>
      <c r="L155" s="3" t="s">
        <v>27</v>
      </c>
      <c r="M155" s="3" t="s">
        <v>27</v>
      </c>
      <c r="N155" s="3" t="s">
        <v>28</v>
      </c>
      <c r="O155" s="3" t="s">
        <v>27</v>
      </c>
      <c r="P155" s="3" t="s">
        <v>28</v>
      </c>
      <c r="Q155" s="3" t="s">
        <v>27</v>
      </c>
      <c r="R155" s="3" t="s">
        <v>28</v>
      </c>
      <c r="S155" s="3" t="s">
        <v>28</v>
      </c>
      <c r="T155" s="3" t="s">
        <v>28</v>
      </c>
    </row>
    <row r="156" spans="1:20" ht="366">
      <c r="A156" s="3">
        <v>2767219</v>
      </c>
      <c r="B156" s="3">
        <f>HYPERLINK("https://platform.v2.vetology.net/cases/2767219/screening-report/6?type=pdf&amp;v=v6&amp;scorecard=1&amp;secret_key=BX%25IJ%24%2F65ieZ%29f6", 2767219)</f>
        <v>2767219</v>
      </c>
      <c r="C156" s="3">
        <f>HYPERLINK("https://platform.v2.vetology.net/report/v/final/"&amp;2767219, 2767219)</f>
        <v>2767219</v>
      </c>
      <c r="D156" s="3" t="s">
        <v>765</v>
      </c>
      <c r="E156" s="3" t="s">
        <v>766</v>
      </c>
      <c r="F156" s="3" t="s">
        <v>222</v>
      </c>
      <c r="G156" s="3" t="s">
        <v>186</v>
      </c>
      <c r="H156" s="3" t="s">
        <v>767</v>
      </c>
      <c r="I156" s="3" t="s">
        <v>768</v>
      </c>
      <c r="J156" s="3" t="s">
        <v>769</v>
      </c>
      <c r="K156" s="3" t="s">
        <v>28</v>
      </c>
      <c r="L156" s="3" t="s">
        <v>28</v>
      </c>
      <c r="M156" s="3" t="s">
        <v>28</v>
      </c>
      <c r="N156" s="3" t="s">
        <v>28</v>
      </c>
      <c r="O156" s="3" t="s">
        <v>27</v>
      </c>
      <c r="P156" s="3" t="s">
        <v>27</v>
      </c>
      <c r="Q156" s="3" t="s">
        <v>28</v>
      </c>
      <c r="R156" s="3" t="s">
        <v>28</v>
      </c>
      <c r="S156" s="3" t="s">
        <v>28</v>
      </c>
      <c r="T156" s="3" t="s">
        <v>27</v>
      </c>
    </row>
    <row r="157" spans="1:20" ht="305.25">
      <c r="A157" s="3">
        <v>2767210</v>
      </c>
      <c r="B157" s="3">
        <f>HYPERLINK("https://platform.v2.vetology.net/cases/2767210/screening-report/6?type=pdf&amp;v=v6&amp;scorecard=1&amp;secret_key=BX%25IJ%24%2F65ieZ%29f6", 2767210)</f>
        <v>2767210</v>
      </c>
      <c r="C157" s="3">
        <f>HYPERLINK("https://platform.v2.vetology.net/report/v/final/"&amp;2767210, 2767210)</f>
        <v>2767210</v>
      </c>
      <c r="D157" s="3" t="s">
        <v>770</v>
      </c>
      <c r="E157" s="3" t="s">
        <v>771</v>
      </c>
      <c r="F157" s="3" t="s">
        <v>772</v>
      </c>
      <c r="G157" s="3" t="s">
        <v>57</v>
      </c>
      <c r="H157" s="3" t="s">
        <v>158</v>
      </c>
      <c r="I157" s="3" t="s">
        <v>32</v>
      </c>
      <c r="J157" s="3" t="s">
        <v>33</v>
      </c>
      <c r="K157" s="3" t="s">
        <v>28</v>
      </c>
      <c r="L157" s="3" t="s">
        <v>28</v>
      </c>
      <c r="M157" s="3" t="s">
        <v>28</v>
      </c>
      <c r="N157" s="3" t="s">
        <v>28</v>
      </c>
      <c r="O157" s="3" t="s">
        <v>27</v>
      </c>
      <c r="P157" s="3" t="s">
        <v>28</v>
      </c>
      <c r="Q157" s="3" t="s">
        <v>28</v>
      </c>
      <c r="R157" s="3" t="s">
        <v>28</v>
      </c>
      <c r="S157" s="3" t="s">
        <v>28</v>
      </c>
      <c r="T157" s="3" t="s">
        <v>28</v>
      </c>
    </row>
    <row r="158" spans="1:20" ht="244.5">
      <c r="A158" s="3">
        <v>2767204</v>
      </c>
      <c r="B158" s="3">
        <f>HYPERLINK("https://platform.v2.vetology.net/cases/2767204/screening-report/6?type=pdf&amp;v=v6&amp;scorecard=1&amp;secret_key=BX%25IJ%24%2F65ieZ%29f6", 2767204)</f>
        <v>2767204</v>
      </c>
      <c r="C158" s="3">
        <f>HYPERLINK("https://platform.v2.vetology.net/report/v/final/"&amp;2767204, 2767204)</f>
        <v>2767204</v>
      </c>
      <c r="D158" s="3" t="s">
        <v>773</v>
      </c>
      <c r="E158" s="3" t="s">
        <v>774</v>
      </c>
      <c r="F158" s="3" t="s">
        <v>775</v>
      </c>
      <c r="G158" s="3" t="s">
        <v>186</v>
      </c>
      <c r="H158" s="3" t="s">
        <v>776</v>
      </c>
      <c r="I158" s="3" t="s">
        <v>233</v>
      </c>
      <c r="J158" s="3" t="s">
        <v>502</v>
      </c>
      <c r="K158" s="3" t="s">
        <v>27</v>
      </c>
      <c r="L158" s="3" t="s">
        <v>28</v>
      </c>
      <c r="M158" s="3" t="s">
        <v>28</v>
      </c>
      <c r="N158" s="3" t="s">
        <v>28</v>
      </c>
      <c r="O158" s="3" t="s">
        <v>27</v>
      </c>
      <c r="P158" s="3" t="s">
        <v>28</v>
      </c>
      <c r="Q158" s="3" t="s">
        <v>28</v>
      </c>
      <c r="R158" s="3" t="s">
        <v>28</v>
      </c>
      <c r="S158" s="3" t="s">
        <v>27</v>
      </c>
      <c r="T158" s="3" t="s">
        <v>28</v>
      </c>
    </row>
    <row r="159" spans="1:20" ht="259.5">
      <c r="A159" s="3">
        <v>2767161</v>
      </c>
      <c r="B159" s="3">
        <f>HYPERLINK("https://platform.v2.vetology.net/cases/2767161/screening-report/6?type=pdf&amp;v=v6&amp;scorecard=1&amp;secret_key=BX%25IJ%24%2F65ieZ%29f6", 2767161)</f>
        <v>2767161</v>
      </c>
      <c r="C159" s="3">
        <f>HYPERLINK("https://platform.v2.vetology.net/report/v/final/"&amp;2767161, 2767161)</f>
        <v>2767161</v>
      </c>
      <c r="D159" s="3" t="s">
        <v>777</v>
      </c>
      <c r="E159" s="3" t="s">
        <v>778</v>
      </c>
      <c r="F159" s="3" t="s">
        <v>779</v>
      </c>
      <c r="G159" s="3" t="s">
        <v>179</v>
      </c>
      <c r="H159" s="3" t="s">
        <v>780</v>
      </c>
      <c r="I159" s="3" t="s">
        <v>746</v>
      </c>
      <c r="J159" s="3" t="s">
        <v>207</v>
      </c>
      <c r="K159" s="3" t="s">
        <v>28</v>
      </c>
      <c r="L159" s="3" t="s">
        <v>28</v>
      </c>
      <c r="M159" s="3" t="s">
        <v>28</v>
      </c>
      <c r="N159" s="3" t="s">
        <v>28</v>
      </c>
      <c r="O159" s="3" t="s">
        <v>27</v>
      </c>
      <c r="P159" s="3" t="s">
        <v>28</v>
      </c>
      <c r="Q159" s="3" t="s">
        <v>27</v>
      </c>
      <c r="R159" s="3" t="s">
        <v>28</v>
      </c>
      <c r="S159" s="3" t="s">
        <v>27</v>
      </c>
      <c r="T159" s="3" t="s">
        <v>28</v>
      </c>
    </row>
    <row r="160" spans="1:20" ht="409.6">
      <c r="A160" s="3">
        <v>2767151</v>
      </c>
      <c r="B160" s="3">
        <f>HYPERLINK("https://platform.v2.vetology.net/cases/2767151/screening-report/6?type=pdf&amp;v=v6&amp;scorecard=1&amp;secret_key=BX%25IJ%24%2F65ieZ%29f6", 2767151)</f>
        <v>2767151</v>
      </c>
      <c r="C160" s="3">
        <f>HYPERLINK("https://platform.v2.vetology.net/report/v/final/"&amp;2767151, 2767151)</f>
        <v>2767151</v>
      </c>
      <c r="D160" s="3" t="s">
        <v>781</v>
      </c>
      <c r="E160" s="3" t="s">
        <v>782</v>
      </c>
      <c r="F160" s="3" t="s">
        <v>22</v>
      </c>
      <c r="G160" s="3" t="s">
        <v>23</v>
      </c>
      <c r="H160" s="3" t="s">
        <v>783</v>
      </c>
      <c r="I160" s="3" t="s">
        <v>784</v>
      </c>
      <c r="J160" s="3" t="s">
        <v>785</v>
      </c>
      <c r="K160" s="3" t="s">
        <v>28</v>
      </c>
      <c r="L160" s="3" t="s">
        <v>28</v>
      </c>
      <c r="M160" s="3" t="s">
        <v>27</v>
      </c>
      <c r="N160" s="3" t="s">
        <v>28</v>
      </c>
      <c r="O160" s="3" t="s">
        <v>27</v>
      </c>
      <c r="P160" s="3" t="s">
        <v>28</v>
      </c>
      <c r="Q160" s="3" t="s">
        <v>27</v>
      </c>
      <c r="R160" s="3" t="s">
        <v>28</v>
      </c>
      <c r="S160" s="3" t="s">
        <v>28</v>
      </c>
      <c r="T160" s="3" t="s">
        <v>27</v>
      </c>
    </row>
    <row r="161" spans="1:20" ht="396.75">
      <c r="A161" s="3">
        <v>2767147</v>
      </c>
      <c r="B161" s="3">
        <f>HYPERLINK("https://platform.v2.vetology.net/cases/2767147/screening-report/6?type=pdf&amp;v=v6&amp;scorecard=1&amp;secret_key=BX%25IJ%24%2F65ieZ%29f6", 2767147)</f>
        <v>2767147</v>
      </c>
      <c r="C161" s="3">
        <f>HYPERLINK("https://platform.v2.vetology.net/report/v/final/"&amp;2767147, 2767147)</f>
        <v>2767147</v>
      </c>
      <c r="D161" s="3" t="s">
        <v>786</v>
      </c>
      <c r="E161" s="3" t="s">
        <v>787</v>
      </c>
      <c r="F161" s="3" t="s">
        <v>56</v>
      </c>
      <c r="G161" s="3" t="s">
        <v>57</v>
      </c>
      <c r="H161" s="3" t="s">
        <v>788</v>
      </c>
      <c r="I161" s="3" t="s">
        <v>32</v>
      </c>
      <c r="J161" s="3" t="s">
        <v>33</v>
      </c>
      <c r="K161" s="3" t="s">
        <v>28</v>
      </c>
      <c r="L161" s="3" t="s">
        <v>28</v>
      </c>
      <c r="M161" s="3" t="s">
        <v>28</v>
      </c>
      <c r="N161" s="3" t="s">
        <v>28</v>
      </c>
      <c r="O161" s="3" t="s">
        <v>28</v>
      </c>
      <c r="P161" s="3" t="s">
        <v>28</v>
      </c>
      <c r="Q161" s="3" t="s">
        <v>28</v>
      </c>
      <c r="R161" s="3" t="s">
        <v>28</v>
      </c>
      <c r="S161" s="3" t="s">
        <v>28</v>
      </c>
      <c r="T161" s="3" t="s">
        <v>28</v>
      </c>
    </row>
    <row r="162" spans="1:20" ht="366">
      <c r="A162" s="3">
        <v>2767113</v>
      </c>
      <c r="B162" s="3">
        <f>HYPERLINK("https://platform.v2.vetology.net/cases/2767113/screening-report/6?type=pdf&amp;v=v6&amp;scorecard=1&amp;secret_key=BX%25IJ%24%2F65ieZ%29f6", 2767113)</f>
        <v>2767113</v>
      </c>
      <c r="C162" s="3">
        <f>HYPERLINK("https://platform.v2.vetology.net/report/v/final/"&amp;2767113, 2767113)</f>
        <v>2767113</v>
      </c>
      <c r="D162" s="3" t="s">
        <v>789</v>
      </c>
      <c r="E162" s="3" t="s">
        <v>790</v>
      </c>
      <c r="F162" s="3" t="s">
        <v>791</v>
      </c>
      <c r="G162" s="3" t="s">
        <v>23</v>
      </c>
      <c r="H162" s="3" t="s">
        <v>792</v>
      </c>
      <c r="I162" s="3" t="s">
        <v>793</v>
      </c>
      <c r="J162" s="3" t="s">
        <v>794</v>
      </c>
      <c r="K162" s="3" t="s">
        <v>28</v>
      </c>
      <c r="L162" s="3" t="s">
        <v>28</v>
      </c>
      <c r="M162" s="3" t="s">
        <v>28</v>
      </c>
      <c r="N162" s="3" t="s">
        <v>28</v>
      </c>
      <c r="O162" s="3" t="s">
        <v>28</v>
      </c>
      <c r="P162" s="3" t="s">
        <v>28</v>
      </c>
      <c r="Q162" s="3" t="s">
        <v>28</v>
      </c>
      <c r="R162" s="3" t="s">
        <v>28</v>
      </c>
      <c r="S162" s="3" t="s">
        <v>28</v>
      </c>
      <c r="T162" s="3" t="s">
        <v>28</v>
      </c>
    </row>
    <row r="163" spans="1:20" ht="167.25">
      <c r="A163" s="3">
        <v>2767106</v>
      </c>
      <c r="B163" s="3">
        <f>HYPERLINK("https://platform.v2.vetology.net/cases/2767106/screening-report/6?type=pdf&amp;v=v6&amp;scorecard=1&amp;secret_key=BX%25IJ%24%2F65ieZ%29f6", 2767106)</f>
        <v>2767106</v>
      </c>
      <c r="C163" s="3">
        <f>HYPERLINK("https://platform.v2.vetology.net/report/v/final/"&amp;2767106, 2767106)</f>
        <v>2767106</v>
      </c>
      <c r="D163" s="3" t="s">
        <v>795</v>
      </c>
      <c r="E163" s="3" t="s">
        <v>796</v>
      </c>
      <c r="F163" s="3" t="s">
        <v>797</v>
      </c>
      <c r="G163" s="3" t="s">
        <v>122</v>
      </c>
      <c r="H163" s="3" t="s">
        <v>798</v>
      </c>
      <c r="I163" s="3" t="s">
        <v>305</v>
      </c>
      <c r="J163" s="3" t="s">
        <v>799</v>
      </c>
      <c r="K163" s="3" t="s">
        <v>27</v>
      </c>
      <c r="L163" s="3" t="s">
        <v>28</v>
      </c>
      <c r="M163" s="3" t="s">
        <v>28</v>
      </c>
      <c r="N163" s="3" t="s">
        <v>28</v>
      </c>
      <c r="O163" s="3" t="s">
        <v>28</v>
      </c>
      <c r="P163" s="3" t="s">
        <v>28</v>
      </c>
      <c r="Q163" s="3" t="s">
        <v>28</v>
      </c>
      <c r="R163" s="3" t="s">
        <v>28</v>
      </c>
      <c r="S163" s="3" t="s">
        <v>28</v>
      </c>
      <c r="T163" s="3" t="s">
        <v>28</v>
      </c>
    </row>
    <row r="164" spans="1:20" ht="366">
      <c r="A164" s="3">
        <v>2767102</v>
      </c>
      <c r="B164" s="3">
        <f>HYPERLINK("https://platform.v2.vetology.net/cases/2767102/screening-report/6?type=pdf&amp;v=v6&amp;scorecard=1&amp;secret_key=BX%25IJ%24%2F65ieZ%29f6", 2767102)</f>
        <v>2767102</v>
      </c>
      <c r="C164" s="3">
        <f>HYPERLINK("https://platform.v2.vetology.net/report/v/final/"&amp;2767102, 2767102)</f>
        <v>2767102</v>
      </c>
      <c r="D164" s="3" t="s">
        <v>800</v>
      </c>
      <c r="E164" s="3" t="s">
        <v>801</v>
      </c>
      <c r="F164" s="3" t="s">
        <v>802</v>
      </c>
      <c r="G164" s="3" t="s">
        <v>179</v>
      </c>
      <c r="H164" s="3" t="s">
        <v>419</v>
      </c>
      <c r="I164" s="3" t="s">
        <v>316</v>
      </c>
      <c r="J164" s="3" t="s">
        <v>317</v>
      </c>
      <c r="K164" s="3" t="s">
        <v>27</v>
      </c>
      <c r="L164" s="3" t="s">
        <v>28</v>
      </c>
      <c r="M164" s="3" t="s">
        <v>28</v>
      </c>
      <c r="N164" s="3" t="s">
        <v>28</v>
      </c>
      <c r="O164" s="3" t="s">
        <v>28</v>
      </c>
      <c r="P164" s="3" t="s">
        <v>28</v>
      </c>
      <c r="Q164" s="3" t="s">
        <v>28</v>
      </c>
      <c r="R164" s="3" t="s">
        <v>28</v>
      </c>
      <c r="S164" s="3" t="s">
        <v>28</v>
      </c>
      <c r="T164" s="3" t="s">
        <v>28</v>
      </c>
    </row>
    <row r="165" spans="1:20" ht="366">
      <c r="A165" s="3">
        <v>2767064</v>
      </c>
      <c r="B165" s="3">
        <f>HYPERLINK("https://platform.v2.vetology.net/cases/2767064/screening-report/6?type=pdf&amp;v=v6&amp;scorecard=1&amp;secret_key=BX%25IJ%24%2F65ieZ%29f6", 2767064)</f>
        <v>2767064</v>
      </c>
      <c r="C165" s="3">
        <f>HYPERLINK("https://platform.v2.vetology.net/report/v/final/"&amp;2767064, 2767064)</f>
        <v>2767064</v>
      </c>
      <c r="D165" s="3" t="s">
        <v>803</v>
      </c>
      <c r="E165" s="3" t="s">
        <v>804</v>
      </c>
      <c r="F165" s="3" t="s">
        <v>805</v>
      </c>
      <c r="G165" s="3" t="s">
        <v>186</v>
      </c>
      <c r="H165" s="3" t="s">
        <v>806</v>
      </c>
      <c r="I165" s="3" t="s">
        <v>807</v>
      </c>
      <c r="J165" s="3" t="s">
        <v>808</v>
      </c>
      <c r="K165" s="3" t="s">
        <v>28</v>
      </c>
      <c r="L165" s="3" t="s">
        <v>28</v>
      </c>
      <c r="M165" s="3" t="s">
        <v>28</v>
      </c>
      <c r="N165" s="3" t="s">
        <v>27</v>
      </c>
      <c r="O165" s="3" t="s">
        <v>27</v>
      </c>
      <c r="P165" s="3" t="s">
        <v>28</v>
      </c>
      <c r="Q165" s="3" t="s">
        <v>28</v>
      </c>
      <c r="R165" s="3" t="s">
        <v>28</v>
      </c>
      <c r="S165" s="3" t="s">
        <v>28</v>
      </c>
      <c r="T165" s="3" t="s">
        <v>27</v>
      </c>
    </row>
    <row r="166" spans="1:20" ht="366">
      <c r="A166" s="3">
        <v>2767019</v>
      </c>
      <c r="B166" s="3">
        <f>HYPERLINK("https://platform.v2.vetology.net/cases/2767019/screening-report/6?type=pdf&amp;v=v6&amp;scorecard=1&amp;secret_key=BX%25IJ%24%2F65ieZ%29f6", 2767019)</f>
        <v>2767019</v>
      </c>
      <c r="C166" s="3">
        <f>HYPERLINK("https://platform.v2.vetology.net/report/v/final/"&amp;2767019, 2767019)</f>
        <v>2767019</v>
      </c>
      <c r="D166" s="3" t="s">
        <v>809</v>
      </c>
      <c r="E166" s="3" t="s">
        <v>810</v>
      </c>
      <c r="F166" s="3" t="s">
        <v>811</v>
      </c>
      <c r="G166" s="3" t="s">
        <v>57</v>
      </c>
      <c r="H166" s="3" t="s">
        <v>212</v>
      </c>
      <c r="I166" s="3" t="s">
        <v>213</v>
      </c>
      <c r="J166" s="3" t="s">
        <v>214</v>
      </c>
      <c r="K166" s="3" t="s">
        <v>28</v>
      </c>
      <c r="L166" s="3" t="s">
        <v>28</v>
      </c>
      <c r="M166" s="3" t="s">
        <v>28</v>
      </c>
      <c r="N166" s="3" t="s">
        <v>28</v>
      </c>
      <c r="O166" s="3" t="s">
        <v>28</v>
      </c>
      <c r="P166" s="3" t="s">
        <v>28</v>
      </c>
      <c r="Q166" s="3" t="s">
        <v>28</v>
      </c>
      <c r="R166" s="3" t="s">
        <v>28</v>
      </c>
      <c r="S166" s="3" t="s">
        <v>28</v>
      </c>
      <c r="T166" s="3" t="s">
        <v>28</v>
      </c>
    </row>
    <row r="167" spans="1:20" ht="396.75">
      <c r="A167" s="3">
        <v>2766945</v>
      </c>
      <c r="B167" s="3">
        <f>HYPERLINK("https://platform.v2.vetology.net/cases/2766945/screening-report/6?type=pdf&amp;v=v6&amp;scorecard=1&amp;secret_key=BX%25IJ%24%2F65ieZ%29f6", 2766945)</f>
        <v>2766945</v>
      </c>
      <c r="C167" s="3">
        <f>HYPERLINK("https://platform.v2.vetology.net/report/v/final/"&amp;2766945, 2766945)</f>
        <v>2766945</v>
      </c>
      <c r="D167" s="3" t="s">
        <v>812</v>
      </c>
      <c r="E167" s="3" t="s">
        <v>813</v>
      </c>
      <c r="F167" s="3" t="s">
        <v>814</v>
      </c>
      <c r="G167" s="3" t="s">
        <v>186</v>
      </c>
      <c r="H167" s="3" t="s">
        <v>815</v>
      </c>
      <c r="I167" s="3" t="s">
        <v>816</v>
      </c>
      <c r="J167" s="3" t="s">
        <v>817</v>
      </c>
      <c r="K167" s="3" t="s">
        <v>28</v>
      </c>
      <c r="L167" s="3" t="s">
        <v>27</v>
      </c>
      <c r="M167" s="3" t="s">
        <v>28</v>
      </c>
      <c r="N167" s="3" t="s">
        <v>27</v>
      </c>
      <c r="O167" s="3" t="s">
        <v>27</v>
      </c>
      <c r="P167" s="3" t="s">
        <v>28</v>
      </c>
      <c r="Q167" s="3" t="s">
        <v>28</v>
      </c>
      <c r="R167" s="3" t="s">
        <v>27</v>
      </c>
      <c r="S167" s="3" t="s">
        <v>27</v>
      </c>
      <c r="T167" s="3" t="s">
        <v>28</v>
      </c>
    </row>
    <row r="168" spans="1:20" ht="409.6">
      <c r="A168" s="3">
        <v>2766907</v>
      </c>
      <c r="B168" s="3">
        <f>HYPERLINK("https://platform.v2.vetology.net/cases/2766907/screening-report/6?type=pdf&amp;v=v6&amp;scorecard=1&amp;secret_key=BX%25IJ%24%2F65ieZ%29f6", 2766907)</f>
        <v>2766907</v>
      </c>
      <c r="C168" s="3">
        <f>HYPERLINK("https://platform.v2.vetology.net/report/v/final/"&amp;2766907, 2766907)</f>
        <v>2766907</v>
      </c>
      <c r="D168" s="3" t="s">
        <v>818</v>
      </c>
      <c r="E168" s="3" t="s">
        <v>819</v>
      </c>
      <c r="F168" s="3" t="s">
        <v>820</v>
      </c>
      <c r="G168" s="3" t="s">
        <v>57</v>
      </c>
      <c r="H168" s="3" t="s">
        <v>158</v>
      </c>
      <c r="I168" s="3" t="s">
        <v>32</v>
      </c>
      <c r="J168" s="3" t="s">
        <v>33</v>
      </c>
      <c r="K168" s="3" t="s">
        <v>27</v>
      </c>
      <c r="L168" s="3" t="s">
        <v>28</v>
      </c>
      <c r="M168" s="3" t="s">
        <v>28</v>
      </c>
      <c r="N168" s="3" t="s">
        <v>28</v>
      </c>
      <c r="O168" s="3" t="s">
        <v>28</v>
      </c>
      <c r="P168" s="3" t="s">
        <v>28</v>
      </c>
      <c r="Q168" s="3" t="s">
        <v>28</v>
      </c>
      <c r="R168" s="3" t="s">
        <v>28</v>
      </c>
      <c r="S168" s="3" t="s">
        <v>28</v>
      </c>
      <c r="T168" s="3" t="s">
        <v>28</v>
      </c>
    </row>
    <row r="169" spans="1:20" ht="366">
      <c r="A169" s="3">
        <v>2766885</v>
      </c>
      <c r="B169" s="3">
        <f>HYPERLINK("https://platform.v2.vetology.net/cases/2766885/screening-report/6?type=pdf&amp;v=v6&amp;scorecard=1&amp;secret_key=BX%25IJ%24%2F65ieZ%29f6", 2766885)</f>
        <v>2766885</v>
      </c>
      <c r="C169" s="3">
        <f>HYPERLINK("https://platform.v2.vetology.net/report/v/final/"&amp;2766885, 2766885)</f>
        <v>2766885</v>
      </c>
      <c r="D169" s="3" t="s">
        <v>821</v>
      </c>
      <c r="E169" s="3" t="s">
        <v>822</v>
      </c>
      <c r="F169" s="3" t="s">
        <v>823</v>
      </c>
      <c r="G169" s="3" t="s">
        <v>186</v>
      </c>
      <c r="H169" s="3" t="s">
        <v>824</v>
      </c>
      <c r="I169" s="3" t="s">
        <v>200</v>
      </c>
      <c r="J169" s="3" t="s">
        <v>219</v>
      </c>
      <c r="K169" s="3" t="s">
        <v>27</v>
      </c>
      <c r="L169" s="3" t="s">
        <v>28</v>
      </c>
      <c r="M169" s="3" t="s">
        <v>28</v>
      </c>
      <c r="N169" s="3" t="s">
        <v>28</v>
      </c>
      <c r="O169" s="3" t="s">
        <v>27</v>
      </c>
      <c r="P169" s="3" t="s">
        <v>28</v>
      </c>
      <c r="Q169" s="3" t="s">
        <v>28</v>
      </c>
      <c r="R169" s="3" t="s">
        <v>28</v>
      </c>
      <c r="S169" s="3" t="s">
        <v>28</v>
      </c>
      <c r="T169" s="3" t="s">
        <v>28</v>
      </c>
    </row>
    <row r="170" spans="1:20" ht="259.5">
      <c r="A170" s="3">
        <v>2766769</v>
      </c>
      <c r="B170" s="3">
        <f>HYPERLINK("https://platform.v2.vetology.net/cases/2766769/screening-report/6?type=pdf&amp;v=v6&amp;scorecard=1&amp;secret_key=BX%25IJ%24%2F65ieZ%29f6", 2766769)</f>
        <v>2766769</v>
      </c>
      <c r="C170" s="3">
        <f>HYPERLINK("https://platform.v2.vetology.net/report/v/final/"&amp;2766769, 2766769)</f>
        <v>2766769</v>
      </c>
      <c r="D170" s="3" t="s">
        <v>825</v>
      </c>
      <c r="E170" s="3" t="s">
        <v>826</v>
      </c>
      <c r="F170" s="3" t="s">
        <v>827</v>
      </c>
      <c r="G170" s="3" t="s">
        <v>186</v>
      </c>
      <c r="H170" s="3" t="s">
        <v>828</v>
      </c>
      <c r="I170" s="3" t="s">
        <v>829</v>
      </c>
      <c r="J170" s="3" t="s">
        <v>830</v>
      </c>
      <c r="K170" s="3" t="s">
        <v>28</v>
      </c>
      <c r="L170" s="3" t="s">
        <v>27</v>
      </c>
      <c r="M170" s="3" t="s">
        <v>28</v>
      </c>
      <c r="N170" s="3" t="s">
        <v>27</v>
      </c>
      <c r="O170" s="3" t="s">
        <v>27</v>
      </c>
      <c r="P170" s="3" t="s">
        <v>28</v>
      </c>
      <c r="Q170" s="3" t="s">
        <v>27</v>
      </c>
      <c r="R170" s="3" t="s">
        <v>27</v>
      </c>
      <c r="S170" s="3" t="s">
        <v>27</v>
      </c>
      <c r="T170" s="3" t="s">
        <v>27</v>
      </c>
    </row>
    <row r="171" spans="1:20" ht="305.25">
      <c r="A171" s="3">
        <v>2766593</v>
      </c>
      <c r="B171" s="3">
        <f>HYPERLINK("https://platform.v2.vetology.net/cases/2766593/screening-report/6?type=pdf&amp;v=v6&amp;scorecard=1&amp;secret_key=BX%25IJ%24%2F65ieZ%29f6", 2766593)</f>
        <v>2766593</v>
      </c>
      <c r="C171" s="3">
        <f>HYPERLINK("https://platform.v2.vetology.net/report/v/final/"&amp;2766593, 2766593)</f>
        <v>2766593</v>
      </c>
      <c r="D171" s="3" t="s">
        <v>831</v>
      </c>
      <c r="E171" s="3" t="s">
        <v>832</v>
      </c>
      <c r="F171" s="3" t="s">
        <v>833</v>
      </c>
      <c r="G171" s="3" t="s">
        <v>834</v>
      </c>
      <c r="H171" s="3" t="s">
        <v>835</v>
      </c>
      <c r="I171" s="3" t="s">
        <v>464</v>
      </c>
      <c r="J171" s="3" t="s">
        <v>688</v>
      </c>
      <c r="K171" s="3" t="s">
        <v>27</v>
      </c>
      <c r="L171" s="3" t="s">
        <v>28</v>
      </c>
      <c r="M171" s="3" t="s">
        <v>28</v>
      </c>
      <c r="N171" s="3" t="s">
        <v>28</v>
      </c>
      <c r="O171" s="3" t="s">
        <v>28</v>
      </c>
      <c r="P171" s="3" t="s">
        <v>28</v>
      </c>
      <c r="Q171" s="3" t="s">
        <v>28</v>
      </c>
      <c r="R171" s="3" t="s">
        <v>28</v>
      </c>
      <c r="S171" s="3" t="s">
        <v>28</v>
      </c>
      <c r="T171" s="3" t="s">
        <v>28</v>
      </c>
    </row>
    <row r="172" spans="1:20" ht="321">
      <c r="A172" s="3">
        <v>2766565</v>
      </c>
      <c r="B172" s="3">
        <f>HYPERLINK("https://platform.v2.vetology.net/cases/2766565/screening-report/6?type=pdf&amp;v=v6&amp;scorecard=1&amp;secret_key=BX%25IJ%24%2F65ieZ%29f6", 2766565)</f>
        <v>2766565</v>
      </c>
      <c r="C172" s="3">
        <f>HYPERLINK("https://platform.v2.vetology.net/report/v/final/"&amp;2766565, 2766565)</f>
        <v>2766565</v>
      </c>
      <c r="D172" s="3" t="s">
        <v>836</v>
      </c>
      <c r="E172" s="3" t="s">
        <v>837</v>
      </c>
      <c r="F172" s="3" t="s">
        <v>838</v>
      </c>
      <c r="G172" s="3" t="s">
        <v>834</v>
      </c>
      <c r="H172" s="3" t="s">
        <v>839</v>
      </c>
      <c r="I172" s="3" t="s">
        <v>464</v>
      </c>
      <c r="J172" s="3" t="s">
        <v>207</v>
      </c>
      <c r="K172" s="3" t="s">
        <v>28</v>
      </c>
      <c r="L172" s="3" t="s">
        <v>28</v>
      </c>
      <c r="M172" s="3" t="s">
        <v>28</v>
      </c>
      <c r="N172" s="3" t="s">
        <v>28</v>
      </c>
      <c r="O172" s="3" t="s">
        <v>28</v>
      </c>
      <c r="P172" s="3" t="s">
        <v>27</v>
      </c>
      <c r="Q172" s="3" t="s">
        <v>28</v>
      </c>
      <c r="R172" s="3" t="s">
        <v>28</v>
      </c>
      <c r="S172" s="3" t="s">
        <v>28</v>
      </c>
      <c r="T172" s="3" t="s">
        <v>28</v>
      </c>
    </row>
    <row r="173" spans="1:20" ht="336">
      <c r="A173" s="3">
        <v>2766562</v>
      </c>
      <c r="B173" s="3">
        <f>HYPERLINK("https://platform.v2.vetology.net/cases/2766562/screening-report/6?type=pdf&amp;v=v6&amp;scorecard=1&amp;secret_key=BX%25IJ%24%2F65ieZ%29f6", 2766562)</f>
        <v>2766562</v>
      </c>
      <c r="C173" s="3">
        <f>HYPERLINK("https://platform.v2.vetology.net/report/v/final/"&amp;2766562, 2766562)</f>
        <v>2766562</v>
      </c>
      <c r="D173" s="3" t="s">
        <v>840</v>
      </c>
      <c r="E173" s="3" t="s">
        <v>841</v>
      </c>
      <c r="F173" s="3" t="s">
        <v>842</v>
      </c>
      <c r="G173" s="3" t="s">
        <v>834</v>
      </c>
      <c r="H173" s="3" t="s">
        <v>843</v>
      </c>
      <c r="I173" s="3" t="s">
        <v>124</v>
      </c>
      <c r="J173" s="3" t="s">
        <v>125</v>
      </c>
      <c r="K173" s="3" t="s">
        <v>27</v>
      </c>
      <c r="L173" s="3" t="s">
        <v>28</v>
      </c>
      <c r="M173" s="3" t="s">
        <v>27</v>
      </c>
      <c r="N173" s="3" t="s">
        <v>28</v>
      </c>
      <c r="O173" s="3" t="s">
        <v>27</v>
      </c>
      <c r="P173" s="3" t="s">
        <v>28</v>
      </c>
      <c r="Q173" s="3" t="s">
        <v>27</v>
      </c>
      <c r="R173" s="3" t="s">
        <v>28</v>
      </c>
      <c r="S173" s="3" t="s">
        <v>28</v>
      </c>
      <c r="T173" s="3" t="s">
        <v>28</v>
      </c>
    </row>
    <row r="174" spans="1:20" ht="321">
      <c r="A174" s="3">
        <v>2766537</v>
      </c>
      <c r="B174" s="3">
        <f>HYPERLINK("https://platform.v2.vetology.net/cases/2766537/screening-report/6?type=pdf&amp;v=v6&amp;scorecard=1&amp;secret_key=BX%25IJ%24%2F65ieZ%29f6", 2766537)</f>
        <v>2766537</v>
      </c>
      <c r="C174" s="3">
        <f>HYPERLINK("https://platform.v2.vetology.net/report/v/final/"&amp;2766537, 2766537)</f>
        <v>2766537</v>
      </c>
      <c r="D174" s="3" t="s">
        <v>844</v>
      </c>
      <c r="E174" s="3" t="s">
        <v>845</v>
      </c>
      <c r="F174" s="3" t="s">
        <v>846</v>
      </c>
      <c r="G174" s="3" t="s">
        <v>834</v>
      </c>
      <c r="H174" s="3" t="s">
        <v>31</v>
      </c>
      <c r="I174" s="3" t="s">
        <v>32</v>
      </c>
      <c r="J174" s="3" t="s">
        <v>847</v>
      </c>
      <c r="K174" s="3" t="s">
        <v>28</v>
      </c>
      <c r="L174" s="3" t="s">
        <v>28</v>
      </c>
      <c r="M174" s="3" t="s">
        <v>28</v>
      </c>
      <c r="N174" s="3" t="s">
        <v>27</v>
      </c>
      <c r="O174" s="3" t="s">
        <v>27</v>
      </c>
      <c r="P174" s="3" t="s">
        <v>28</v>
      </c>
      <c r="Q174" s="3" t="s">
        <v>28</v>
      </c>
      <c r="R174" s="3" t="s">
        <v>27</v>
      </c>
      <c r="S174" s="3" t="s">
        <v>28</v>
      </c>
      <c r="T174" s="3" t="s">
        <v>28</v>
      </c>
    </row>
    <row r="175" spans="1:20" ht="366">
      <c r="A175" s="3">
        <v>2766517</v>
      </c>
      <c r="B175" s="3">
        <f>HYPERLINK("https://platform.v2.vetology.net/cases/2766517/screening-report/6?type=pdf&amp;v=v6&amp;scorecard=1&amp;secret_key=BX%25IJ%24%2F65ieZ%29f6", 2766517)</f>
        <v>2766517</v>
      </c>
      <c r="C175" s="3">
        <f>HYPERLINK("https://platform.v2.vetology.net/report/v/final/"&amp;2766517, 2766517)</f>
        <v>2766517</v>
      </c>
      <c r="D175" s="3" t="s">
        <v>848</v>
      </c>
      <c r="E175" s="3" t="s">
        <v>849</v>
      </c>
      <c r="F175" s="3" t="s">
        <v>850</v>
      </c>
      <c r="G175" s="3" t="s">
        <v>834</v>
      </c>
      <c r="H175" s="3" t="s">
        <v>851</v>
      </c>
      <c r="I175" s="3" t="s">
        <v>852</v>
      </c>
      <c r="J175" s="3" t="s">
        <v>713</v>
      </c>
      <c r="K175" s="3" t="s">
        <v>28</v>
      </c>
      <c r="L175" s="3" t="s">
        <v>28</v>
      </c>
      <c r="M175" s="3" t="s">
        <v>28</v>
      </c>
      <c r="N175" s="3" t="s">
        <v>28</v>
      </c>
      <c r="O175" s="3" t="s">
        <v>28</v>
      </c>
      <c r="P175" s="3" t="s">
        <v>28</v>
      </c>
      <c r="Q175" s="3" t="s">
        <v>28</v>
      </c>
      <c r="R175" s="3" t="s">
        <v>28</v>
      </c>
      <c r="S175" s="3" t="s">
        <v>28</v>
      </c>
      <c r="T175" s="3" t="s">
        <v>28</v>
      </c>
    </row>
    <row r="176" spans="1:20" ht="409.6">
      <c r="A176" s="3">
        <v>2766476</v>
      </c>
      <c r="B176" s="3">
        <f>HYPERLINK("https://platform.v2.vetology.net/cases/2766476/screening-report/6?type=pdf&amp;v=v6&amp;scorecard=1&amp;secret_key=BX%25IJ%24%2F65ieZ%29f6", 2766476)</f>
        <v>2766476</v>
      </c>
      <c r="C176" s="3">
        <f>HYPERLINK("https://platform.v2.vetology.net/report/v/final/"&amp;2766476, 2766476)</f>
        <v>2766476</v>
      </c>
      <c r="D176" s="3" t="s">
        <v>853</v>
      </c>
      <c r="E176" s="3" t="s">
        <v>854</v>
      </c>
      <c r="F176" s="3" t="s">
        <v>22</v>
      </c>
      <c r="G176" s="3" t="s">
        <v>23</v>
      </c>
      <c r="H176" s="3" t="s">
        <v>855</v>
      </c>
      <c r="I176" s="3" t="s">
        <v>856</v>
      </c>
      <c r="J176" s="3" t="s">
        <v>857</v>
      </c>
      <c r="K176" s="3" t="s">
        <v>28</v>
      </c>
      <c r="L176" s="3" t="s">
        <v>28</v>
      </c>
      <c r="M176" s="3" t="s">
        <v>28</v>
      </c>
      <c r="N176" s="3" t="s">
        <v>28</v>
      </c>
      <c r="O176" s="3" t="s">
        <v>27</v>
      </c>
      <c r="P176" s="3" t="s">
        <v>28</v>
      </c>
      <c r="Q176" s="3" t="s">
        <v>28</v>
      </c>
      <c r="R176" s="3" t="s">
        <v>28</v>
      </c>
      <c r="S176" s="3" t="s">
        <v>28</v>
      </c>
      <c r="T176" s="3" t="s">
        <v>28</v>
      </c>
    </row>
    <row r="177" spans="1:20" ht="409.6">
      <c r="A177" s="3">
        <v>2766474</v>
      </c>
      <c r="B177" s="3">
        <f>HYPERLINK("https://platform.v2.vetology.net/cases/2766474/screening-report/6?type=pdf&amp;v=v6&amp;scorecard=1&amp;secret_key=BX%25IJ%24%2F65ieZ%29f6", 2766474)</f>
        <v>2766474</v>
      </c>
      <c r="C177" s="3">
        <f>HYPERLINK("https://platform.v2.vetology.net/report/v/final/"&amp;2766474, 2766474)</f>
        <v>2766474</v>
      </c>
      <c r="D177" s="3" t="s">
        <v>858</v>
      </c>
      <c r="E177" s="3" t="s">
        <v>859</v>
      </c>
      <c r="F177" s="3" t="s">
        <v>22</v>
      </c>
      <c r="G177" s="3" t="s">
        <v>23</v>
      </c>
      <c r="H177" s="3" t="s">
        <v>860</v>
      </c>
      <c r="I177" s="3" t="s">
        <v>718</v>
      </c>
      <c r="J177" s="3" t="s">
        <v>719</v>
      </c>
      <c r="K177" s="3" t="s">
        <v>27</v>
      </c>
      <c r="L177" s="3" t="s">
        <v>28</v>
      </c>
      <c r="M177" s="3" t="s">
        <v>28</v>
      </c>
      <c r="N177" s="3" t="s">
        <v>28</v>
      </c>
      <c r="O177" s="3" t="s">
        <v>27</v>
      </c>
      <c r="P177" s="3" t="s">
        <v>28</v>
      </c>
      <c r="Q177" s="3" t="s">
        <v>28</v>
      </c>
      <c r="R177" s="3" t="s">
        <v>28</v>
      </c>
      <c r="S177" s="3" t="s">
        <v>28</v>
      </c>
      <c r="T177" s="3" t="s">
        <v>28</v>
      </c>
    </row>
    <row r="178" spans="1:20" ht="259.5">
      <c r="A178" s="3">
        <v>2766449</v>
      </c>
      <c r="B178" s="3">
        <f>HYPERLINK("https://platform.v2.vetology.net/cases/2766449/screening-report/6?type=pdf&amp;v=v6&amp;scorecard=1&amp;secret_key=BX%25IJ%24%2F65ieZ%29f6", 2766449)</f>
        <v>2766449</v>
      </c>
      <c r="C178" s="3">
        <f>HYPERLINK("https://platform.v2.vetology.net/report/v/final/"&amp;2766449, 2766449)</f>
        <v>2766449</v>
      </c>
      <c r="D178" s="3" t="s">
        <v>861</v>
      </c>
      <c r="E178" s="3" t="s">
        <v>862</v>
      </c>
      <c r="F178" s="3" t="s">
        <v>863</v>
      </c>
      <c r="G178" s="3" t="s">
        <v>186</v>
      </c>
      <c r="H178" s="3" t="s">
        <v>864</v>
      </c>
      <c r="I178" s="3" t="s">
        <v>865</v>
      </c>
      <c r="J178" s="3" t="s">
        <v>866</v>
      </c>
      <c r="K178" s="3" t="s">
        <v>28</v>
      </c>
      <c r="L178" s="3" t="s">
        <v>28</v>
      </c>
      <c r="M178" s="3" t="s">
        <v>28</v>
      </c>
      <c r="N178" s="3" t="s">
        <v>27</v>
      </c>
      <c r="O178" s="3" t="s">
        <v>27</v>
      </c>
      <c r="P178" s="3" t="s">
        <v>28</v>
      </c>
      <c r="Q178" s="3" t="s">
        <v>28</v>
      </c>
      <c r="R178" s="3" t="s">
        <v>28</v>
      </c>
      <c r="S178" s="3" t="s">
        <v>28</v>
      </c>
      <c r="T178" s="3" t="s">
        <v>28</v>
      </c>
    </row>
    <row r="179" spans="1:20" ht="409.6">
      <c r="A179" s="3">
        <v>2766440</v>
      </c>
      <c r="B179" s="3">
        <f>HYPERLINK("https://platform.v2.vetology.net/cases/2766440/screening-report/6?type=pdf&amp;v=v6&amp;scorecard=1&amp;secret_key=BX%25IJ%24%2F65ieZ%29f6", 2766440)</f>
        <v>2766440</v>
      </c>
      <c r="C179" s="3">
        <f>HYPERLINK("https://platform.v2.vetology.net/report/v/final/"&amp;2766440, 2766440)</f>
        <v>2766440</v>
      </c>
      <c r="D179" s="3" t="s">
        <v>867</v>
      </c>
      <c r="E179" s="3" t="s">
        <v>868</v>
      </c>
      <c r="F179" s="3" t="s">
        <v>869</v>
      </c>
      <c r="G179" s="3" t="s">
        <v>64</v>
      </c>
      <c r="H179" s="3" t="s">
        <v>870</v>
      </c>
      <c r="I179" s="3" t="s">
        <v>871</v>
      </c>
      <c r="J179" s="3" t="s">
        <v>872</v>
      </c>
      <c r="K179" s="3" t="s">
        <v>28</v>
      </c>
      <c r="L179" s="3" t="s">
        <v>27</v>
      </c>
      <c r="M179" s="3" t="s">
        <v>28</v>
      </c>
      <c r="N179" s="3" t="s">
        <v>27</v>
      </c>
      <c r="O179" s="3" t="s">
        <v>27</v>
      </c>
      <c r="P179" s="3" t="s">
        <v>28</v>
      </c>
      <c r="Q179" s="3" t="s">
        <v>28</v>
      </c>
      <c r="R179" s="3" t="s">
        <v>27</v>
      </c>
      <c r="S179" s="3" t="s">
        <v>27</v>
      </c>
      <c r="T179" s="3" t="s">
        <v>27</v>
      </c>
    </row>
    <row r="180" spans="1:20" ht="381.75">
      <c r="A180" s="3">
        <v>2766386</v>
      </c>
      <c r="B180" s="3">
        <f>HYPERLINK("https://platform.v2.vetology.net/cases/2766386/screening-report/6?type=pdf&amp;v=v6&amp;scorecard=1&amp;secret_key=BX%25IJ%24%2F65ieZ%29f6", 2766386)</f>
        <v>2766386</v>
      </c>
      <c r="C180" s="3">
        <f>HYPERLINK("https://platform.v2.vetology.net/report/v/final/"&amp;2766386, 2766386)</f>
        <v>2766386</v>
      </c>
      <c r="D180" s="3" t="s">
        <v>873</v>
      </c>
      <c r="E180" s="3" t="s">
        <v>874</v>
      </c>
      <c r="F180" s="3" t="s">
        <v>22</v>
      </c>
      <c r="G180" s="3" t="s">
        <v>23</v>
      </c>
      <c r="H180" s="3" t="s">
        <v>855</v>
      </c>
      <c r="I180" s="3" t="s">
        <v>856</v>
      </c>
      <c r="J180" s="3" t="s">
        <v>857</v>
      </c>
      <c r="K180" s="3" t="s">
        <v>28</v>
      </c>
      <c r="L180" s="3" t="s">
        <v>28</v>
      </c>
      <c r="M180" s="3" t="s">
        <v>28</v>
      </c>
      <c r="N180" s="3" t="s">
        <v>28</v>
      </c>
      <c r="O180" s="3" t="s">
        <v>27</v>
      </c>
      <c r="P180" s="3" t="s">
        <v>28</v>
      </c>
      <c r="Q180" s="3" t="s">
        <v>28</v>
      </c>
      <c r="R180" s="3" t="s">
        <v>28</v>
      </c>
      <c r="S180" s="3" t="s">
        <v>28</v>
      </c>
      <c r="T180" s="3" t="s">
        <v>28</v>
      </c>
    </row>
    <row r="181" spans="1:20" ht="409.6">
      <c r="A181" s="3">
        <v>2766369</v>
      </c>
      <c r="B181" s="3">
        <f>HYPERLINK("https://platform.v2.vetology.net/cases/2766369/screening-report/6?type=pdf&amp;v=v6&amp;scorecard=1&amp;secret_key=BX%25IJ%24%2F65ieZ%29f6", 2766369)</f>
        <v>2766369</v>
      </c>
      <c r="C181" s="3">
        <f>HYPERLINK("https://platform.v2.vetology.net/report/v/final/"&amp;2766369, 2766369)</f>
        <v>2766369</v>
      </c>
      <c r="D181" s="3" t="s">
        <v>875</v>
      </c>
      <c r="E181" s="3" t="s">
        <v>876</v>
      </c>
      <c r="F181" s="3" t="s">
        <v>22</v>
      </c>
      <c r="G181" s="3" t="s">
        <v>23</v>
      </c>
      <c r="H181" s="3" t="s">
        <v>877</v>
      </c>
      <c r="I181" s="3" t="s">
        <v>878</v>
      </c>
      <c r="J181" s="3" t="s">
        <v>879</v>
      </c>
      <c r="K181" s="3" t="s">
        <v>27</v>
      </c>
      <c r="L181" s="3" t="s">
        <v>27</v>
      </c>
      <c r="M181" s="3" t="s">
        <v>28</v>
      </c>
      <c r="N181" s="3" t="s">
        <v>27</v>
      </c>
      <c r="O181" s="3" t="s">
        <v>27</v>
      </c>
      <c r="P181" s="3" t="s">
        <v>28</v>
      </c>
      <c r="Q181" s="3" t="s">
        <v>27</v>
      </c>
      <c r="R181" s="3" t="s">
        <v>27</v>
      </c>
      <c r="S181" s="3" t="s">
        <v>27</v>
      </c>
      <c r="T181" s="3" t="s">
        <v>27</v>
      </c>
    </row>
    <row r="182" spans="1:20" ht="366">
      <c r="A182" s="3">
        <v>2766364</v>
      </c>
      <c r="B182" s="3">
        <f>HYPERLINK("https://platform.v2.vetology.net/cases/2766364/screening-report/6?type=pdf&amp;v=v6&amp;scorecard=1&amp;secret_key=BX%25IJ%24%2F65ieZ%29f6", 2766364)</f>
        <v>2766364</v>
      </c>
      <c r="C182" s="3">
        <f>HYPERLINK("https://platform.v2.vetology.net/report/v/final/"&amp;2766364, 2766364)</f>
        <v>2766364</v>
      </c>
      <c r="D182" s="3" t="s">
        <v>880</v>
      </c>
      <c r="E182" s="3" t="s">
        <v>881</v>
      </c>
      <c r="F182" s="3" t="s">
        <v>22</v>
      </c>
      <c r="G182" s="3" t="s">
        <v>23</v>
      </c>
      <c r="H182" s="3" t="s">
        <v>882</v>
      </c>
      <c r="I182" s="3" t="s">
        <v>883</v>
      </c>
      <c r="J182" s="3" t="s">
        <v>884</v>
      </c>
      <c r="K182" s="3" t="s">
        <v>28</v>
      </c>
      <c r="L182" s="3" t="s">
        <v>28</v>
      </c>
      <c r="M182" s="3" t="s">
        <v>28</v>
      </c>
      <c r="N182" s="3" t="s">
        <v>28</v>
      </c>
      <c r="O182" s="3" t="s">
        <v>28</v>
      </c>
      <c r="P182" s="3" t="s">
        <v>28</v>
      </c>
      <c r="Q182" s="3" t="s">
        <v>28</v>
      </c>
      <c r="R182" s="3" t="s">
        <v>28</v>
      </c>
      <c r="S182" s="3" t="s">
        <v>28</v>
      </c>
      <c r="T182" s="3" t="s">
        <v>28</v>
      </c>
    </row>
    <row r="183" spans="1:20" ht="351">
      <c r="A183" s="3">
        <v>2766360</v>
      </c>
      <c r="B183" s="3">
        <f>HYPERLINK("https://platform.v2.vetology.net/cases/2766360/screening-report/6?type=pdf&amp;v=v6&amp;scorecard=1&amp;secret_key=BX%25IJ%24%2F65ieZ%29f6", 2766360)</f>
        <v>2766360</v>
      </c>
      <c r="C183" s="3">
        <f>HYPERLINK("https://platform.v2.vetology.net/report/v/final/"&amp;2766360, 2766360)</f>
        <v>2766360</v>
      </c>
      <c r="D183" s="3" t="s">
        <v>885</v>
      </c>
      <c r="E183" s="3" t="s">
        <v>886</v>
      </c>
      <c r="F183" s="3" t="s">
        <v>22</v>
      </c>
      <c r="G183" s="3" t="s">
        <v>23</v>
      </c>
      <c r="H183" s="3" t="s">
        <v>887</v>
      </c>
      <c r="I183" s="3" t="s">
        <v>888</v>
      </c>
      <c r="J183" s="3" t="s">
        <v>889</v>
      </c>
      <c r="K183" s="3" t="s">
        <v>27</v>
      </c>
      <c r="L183" s="3" t="s">
        <v>28</v>
      </c>
      <c r="M183" s="3" t="s">
        <v>27</v>
      </c>
      <c r="N183" s="3" t="s">
        <v>28</v>
      </c>
      <c r="O183" s="3" t="s">
        <v>27</v>
      </c>
      <c r="P183" s="3" t="s">
        <v>28</v>
      </c>
      <c r="Q183" s="3" t="s">
        <v>27</v>
      </c>
      <c r="R183" s="3" t="s">
        <v>28</v>
      </c>
      <c r="S183" s="3" t="s">
        <v>28</v>
      </c>
      <c r="T183" s="3" t="s">
        <v>28</v>
      </c>
    </row>
    <row r="184" spans="1:20" ht="275.25">
      <c r="A184" s="3">
        <v>2766326</v>
      </c>
      <c r="B184" s="3">
        <f>HYPERLINK("https://platform.v2.vetology.net/cases/2766326/screening-report/6?type=pdf&amp;v=v6&amp;scorecard=1&amp;secret_key=BX%25IJ%24%2F65ieZ%29f6", 2766326)</f>
        <v>2766326</v>
      </c>
      <c r="C184" s="3">
        <f>HYPERLINK("https://platform.v2.vetology.net/report/v/final/"&amp;2766326, 2766326)</f>
        <v>2766326</v>
      </c>
      <c r="D184" s="3" t="s">
        <v>890</v>
      </c>
      <c r="E184" s="3" t="s">
        <v>891</v>
      </c>
      <c r="F184" s="3" t="s">
        <v>892</v>
      </c>
      <c r="G184" s="3" t="s">
        <v>186</v>
      </c>
      <c r="H184" s="3" t="s">
        <v>893</v>
      </c>
      <c r="I184" s="3" t="s">
        <v>464</v>
      </c>
      <c r="J184" s="3" t="s">
        <v>297</v>
      </c>
      <c r="K184" s="3" t="s">
        <v>28</v>
      </c>
      <c r="L184" s="3" t="s">
        <v>28</v>
      </c>
      <c r="M184" s="3" t="s">
        <v>28</v>
      </c>
      <c r="N184" s="3" t="s">
        <v>28</v>
      </c>
      <c r="O184" s="3" t="s">
        <v>27</v>
      </c>
      <c r="P184" s="3" t="s">
        <v>28</v>
      </c>
      <c r="Q184" s="3" t="s">
        <v>28</v>
      </c>
      <c r="R184" s="3" t="s">
        <v>28</v>
      </c>
      <c r="S184" s="3" t="s">
        <v>28</v>
      </c>
      <c r="T184" s="3" t="s">
        <v>28</v>
      </c>
    </row>
    <row r="185" spans="1:20" ht="290.25">
      <c r="A185" s="3">
        <v>2766284</v>
      </c>
      <c r="B185" s="3">
        <f>HYPERLINK("https://platform.v2.vetology.net/cases/2766284/screening-report/6?type=pdf&amp;v=v6&amp;scorecard=1&amp;secret_key=BX%25IJ%24%2F65ieZ%29f6", 2766284)</f>
        <v>2766284</v>
      </c>
      <c r="C185" s="3">
        <f>HYPERLINK("https://platform.v2.vetology.net/report/v/final/"&amp;2766284, 2766284)</f>
        <v>2766284</v>
      </c>
      <c r="D185" s="3" t="s">
        <v>894</v>
      </c>
      <c r="E185" s="3" t="s">
        <v>895</v>
      </c>
      <c r="F185" s="3" t="s">
        <v>896</v>
      </c>
      <c r="G185" s="3" t="s">
        <v>211</v>
      </c>
      <c r="H185" s="3" t="s">
        <v>419</v>
      </c>
      <c r="I185" s="3" t="s">
        <v>316</v>
      </c>
      <c r="J185" s="3" t="s">
        <v>317</v>
      </c>
      <c r="K185" s="3" t="s">
        <v>28</v>
      </c>
      <c r="L185" s="3" t="s">
        <v>28</v>
      </c>
      <c r="M185" s="3" t="s">
        <v>28</v>
      </c>
      <c r="N185" s="3" t="s">
        <v>28</v>
      </c>
      <c r="O185" s="3" t="s">
        <v>27</v>
      </c>
      <c r="P185" s="3" t="s">
        <v>28</v>
      </c>
      <c r="Q185" s="3" t="s">
        <v>28</v>
      </c>
      <c r="R185" s="3" t="s">
        <v>28</v>
      </c>
      <c r="S185" s="3" t="s">
        <v>28</v>
      </c>
      <c r="T185" s="3" t="s">
        <v>28</v>
      </c>
    </row>
    <row r="186" spans="1:20" ht="409.6">
      <c r="A186" s="3">
        <v>2766202</v>
      </c>
      <c r="B186" s="3">
        <f>HYPERLINK("https://platform.v2.vetology.net/cases/2766202/screening-report/6?type=pdf&amp;v=v6&amp;scorecard=1&amp;secret_key=BX%25IJ%24%2F65ieZ%29f6", 2766202)</f>
        <v>2766202</v>
      </c>
      <c r="C186" s="3">
        <f>HYPERLINK("https://platform.v2.vetology.net/report/v/final/"&amp;2766202, 2766202)</f>
        <v>2766202</v>
      </c>
      <c r="D186" s="3" t="s">
        <v>897</v>
      </c>
      <c r="E186" s="3" t="s">
        <v>898</v>
      </c>
      <c r="F186" s="3" t="s">
        <v>899</v>
      </c>
      <c r="G186" s="3" t="s">
        <v>23</v>
      </c>
      <c r="H186" s="3" t="s">
        <v>677</v>
      </c>
      <c r="I186" s="3" t="s">
        <v>678</v>
      </c>
      <c r="J186" s="3" t="s">
        <v>679</v>
      </c>
      <c r="K186" s="3" t="s">
        <v>28</v>
      </c>
      <c r="L186" s="3" t="s">
        <v>27</v>
      </c>
      <c r="M186" s="3" t="s">
        <v>28</v>
      </c>
      <c r="N186" s="3" t="s">
        <v>27</v>
      </c>
      <c r="O186" s="3" t="s">
        <v>27</v>
      </c>
      <c r="P186" s="3" t="s">
        <v>28</v>
      </c>
      <c r="Q186" s="3" t="s">
        <v>28</v>
      </c>
      <c r="R186" s="3" t="s">
        <v>27</v>
      </c>
      <c r="S186" s="3" t="s">
        <v>27</v>
      </c>
      <c r="T186" s="3" t="s">
        <v>27</v>
      </c>
    </row>
    <row r="187" spans="1:20" ht="409.6">
      <c r="A187" s="3">
        <v>2766185</v>
      </c>
      <c r="B187" s="3">
        <f>HYPERLINK("https://platform.v2.vetology.net/cases/2766185/screening-report/6?type=pdf&amp;v=v6&amp;scorecard=1&amp;secret_key=BX%25IJ%24%2F65ieZ%29f6", 2766185)</f>
        <v>2766185</v>
      </c>
      <c r="C187" s="3">
        <f>HYPERLINK("https://platform.v2.vetology.net/report/v/final/"&amp;2766185, 2766185)</f>
        <v>2766185</v>
      </c>
      <c r="D187" s="3" t="s">
        <v>900</v>
      </c>
      <c r="E187" s="3" t="s">
        <v>901</v>
      </c>
      <c r="F187" s="3" t="s">
        <v>902</v>
      </c>
      <c r="G187" s="3" t="s">
        <v>186</v>
      </c>
      <c r="H187" s="3" t="s">
        <v>903</v>
      </c>
      <c r="I187" s="3" t="s">
        <v>904</v>
      </c>
      <c r="J187" s="3" t="s">
        <v>905</v>
      </c>
      <c r="K187" s="3" t="s">
        <v>28</v>
      </c>
      <c r="L187" s="3" t="s">
        <v>28</v>
      </c>
      <c r="M187" s="3" t="s">
        <v>27</v>
      </c>
      <c r="N187" s="3" t="s">
        <v>28</v>
      </c>
      <c r="O187" s="3" t="s">
        <v>27</v>
      </c>
      <c r="P187" s="3" t="s">
        <v>28</v>
      </c>
      <c r="Q187" s="3" t="s">
        <v>28</v>
      </c>
      <c r="R187" s="3" t="s">
        <v>28</v>
      </c>
      <c r="S187" s="3" t="s">
        <v>28</v>
      </c>
      <c r="T187" s="3" t="s">
        <v>28</v>
      </c>
    </row>
    <row r="188" spans="1:20" ht="305.25">
      <c r="A188" s="3">
        <v>2766129</v>
      </c>
      <c r="B188" s="3">
        <f>HYPERLINK("https://platform.v2.vetology.net/cases/2766129/screening-report/6?type=pdf&amp;v=v6&amp;scorecard=1&amp;secret_key=BX%25IJ%24%2F65ieZ%29f6", 2766129)</f>
        <v>2766129</v>
      </c>
      <c r="C188" s="3">
        <f>HYPERLINK("https://platform.v2.vetology.net/report/v/final/"&amp;2766129, 2766129)</f>
        <v>2766129</v>
      </c>
      <c r="D188" s="3" t="s">
        <v>906</v>
      </c>
      <c r="E188" s="3" t="s">
        <v>907</v>
      </c>
      <c r="F188" s="3" t="s">
        <v>222</v>
      </c>
      <c r="G188" s="3" t="s">
        <v>186</v>
      </c>
      <c r="H188" s="3" t="s">
        <v>908</v>
      </c>
      <c r="I188" s="3" t="s">
        <v>909</v>
      </c>
      <c r="J188" s="3" t="s">
        <v>33</v>
      </c>
      <c r="K188" s="3" t="s">
        <v>28</v>
      </c>
      <c r="L188" s="3" t="s">
        <v>28</v>
      </c>
      <c r="M188" s="3" t="s">
        <v>28</v>
      </c>
      <c r="N188" s="3" t="s">
        <v>28</v>
      </c>
      <c r="O188" s="3" t="s">
        <v>27</v>
      </c>
      <c r="P188" s="3" t="s">
        <v>27</v>
      </c>
      <c r="Q188" s="3" t="s">
        <v>27</v>
      </c>
      <c r="R188" s="3" t="s">
        <v>28</v>
      </c>
      <c r="S188" s="3" t="s">
        <v>28</v>
      </c>
      <c r="T188" s="3" t="s">
        <v>28</v>
      </c>
    </row>
    <row r="189" spans="1:20" ht="259.5">
      <c r="A189" s="3">
        <v>2766123</v>
      </c>
      <c r="B189" s="3">
        <f>HYPERLINK("https://platform.v2.vetology.net/cases/2766123/screening-report/6?type=pdf&amp;v=v6&amp;scorecard=1&amp;secret_key=BX%25IJ%24%2F65ieZ%29f6", 2766123)</f>
        <v>2766123</v>
      </c>
      <c r="C189" s="3">
        <f>HYPERLINK("https://platform.v2.vetology.net/report/v/final/"&amp;2766123, 2766123)</f>
        <v>2766123</v>
      </c>
      <c r="D189" s="3" t="s">
        <v>910</v>
      </c>
      <c r="E189" s="3" t="s">
        <v>911</v>
      </c>
      <c r="F189" s="3" t="s">
        <v>912</v>
      </c>
      <c r="G189" s="3" t="s">
        <v>100</v>
      </c>
      <c r="H189" s="3" t="s">
        <v>913</v>
      </c>
      <c r="I189" s="3" t="s">
        <v>72</v>
      </c>
      <c r="J189" s="3" t="s">
        <v>363</v>
      </c>
      <c r="K189" s="3" t="s">
        <v>28</v>
      </c>
      <c r="L189" s="3" t="s">
        <v>28</v>
      </c>
      <c r="M189" s="3" t="s">
        <v>28</v>
      </c>
      <c r="N189" s="3" t="s">
        <v>27</v>
      </c>
      <c r="O189" s="3" t="s">
        <v>27</v>
      </c>
      <c r="P189" s="3" t="s">
        <v>28</v>
      </c>
      <c r="Q189" s="3" t="s">
        <v>28</v>
      </c>
      <c r="R189" s="3" t="s">
        <v>27</v>
      </c>
      <c r="S189" s="3" t="s">
        <v>28</v>
      </c>
      <c r="T189" s="3" t="s">
        <v>27</v>
      </c>
    </row>
    <row r="190" spans="1:20" ht="409.6">
      <c r="A190" s="3">
        <v>2766000</v>
      </c>
      <c r="B190" s="3">
        <f>HYPERLINK("https://platform.v2.vetology.net/cases/2766000/screening-report/6?type=pdf&amp;v=v6&amp;scorecard=1&amp;secret_key=BX%25IJ%24%2F65ieZ%29f6", 2766000)</f>
        <v>2766000</v>
      </c>
      <c r="C190" s="3">
        <f>HYPERLINK("https://platform.v2.vetology.net/report/v/final/"&amp;2766000, 2766000)</f>
        <v>2766000</v>
      </c>
      <c r="D190" s="3" t="s">
        <v>914</v>
      </c>
      <c r="E190" s="3" t="s">
        <v>915</v>
      </c>
      <c r="F190" s="3" t="s">
        <v>916</v>
      </c>
      <c r="G190" s="3" t="s">
        <v>64</v>
      </c>
      <c r="H190" s="3" t="s">
        <v>917</v>
      </c>
      <c r="I190" s="3" t="s">
        <v>918</v>
      </c>
      <c r="J190" s="3" t="s">
        <v>919</v>
      </c>
      <c r="K190" s="3" t="s">
        <v>28</v>
      </c>
      <c r="L190" s="3" t="s">
        <v>28</v>
      </c>
      <c r="M190" s="3" t="s">
        <v>28</v>
      </c>
      <c r="N190" s="3" t="s">
        <v>27</v>
      </c>
      <c r="O190" s="3" t="s">
        <v>27</v>
      </c>
      <c r="P190" s="3" t="s">
        <v>28</v>
      </c>
      <c r="Q190" s="3" t="s">
        <v>28</v>
      </c>
      <c r="R190" s="3" t="s">
        <v>28</v>
      </c>
      <c r="S190" s="3" t="s">
        <v>28</v>
      </c>
      <c r="T190" s="3" t="s">
        <v>28</v>
      </c>
    </row>
    <row r="191" spans="1:20" ht="336">
      <c r="A191" s="3">
        <v>2765985</v>
      </c>
      <c r="B191" s="3">
        <f>HYPERLINK("https://platform.v2.vetology.net/cases/2765985/screening-report/6?type=pdf&amp;v=v6&amp;scorecard=1&amp;secret_key=BX%25IJ%24%2F65ieZ%29f6", 2765985)</f>
        <v>2765985</v>
      </c>
      <c r="C191" s="3">
        <f>HYPERLINK("https://platform.v2.vetology.net/report/v/final/"&amp;2765985, 2765985)</f>
        <v>2765985</v>
      </c>
      <c r="D191" s="3" t="s">
        <v>920</v>
      </c>
      <c r="E191" s="3" t="s">
        <v>921</v>
      </c>
      <c r="F191" s="3"/>
      <c r="G191" s="3" t="s">
        <v>122</v>
      </c>
      <c r="H191" s="3" t="s">
        <v>922</v>
      </c>
      <c r="I191" s="3" t="s">
        <v>718</v>
      </c>
      <c r="J191" s="3" t="s">
        <v>719</v>
      </c>
      <c r="K191" s="3" t="s">
        <v>28</v>
      </c>
      <c r="L191" s="3" t="s">
        <v>28</v>
      </c>
      <c r="M191" s="3" t="s">
        <v>28</v>
      </c>
      <c r="N191" s="3" t="s">
        <v>28</v>
      </c>
      <c r="O191" s="3" t="s">
        <v>27</v>
      </c>
      <c r="P191" s="3" t="s">
        <v>28</v>
      </c>
      <c r="Q191" s="3" t="s">
        <v>28</v>
      </c>
      <c r="R191" s="3" t="s">
        <v>28</v>
      </c>
      <c r="S191" s="3" t="s">
        <v>28</v>
      </c>
      <c r="T191" s="3" t="s">
        <v>28</v>
      </c>
    </row>
    <row r="192" spans="1:20" ht="409.6">
      <c r="A192" s="3">
        <v>2765934</v>
      </c>
      <c r="B192" s="3">
        <f>HYPERLINK("https://platform.v2.vetology.net/cases/2765934/screening-report/6?type=pdf&amp;v=v6&amp;scorecard=1&amp;secret_key=BX%25IJ%24%2F65ieZ%29f6", 2765934)</f>
        <v>2765934</v>
      </c>
      <c r="C192" s="3">
        <f>HYPERLINK("https://platform.v2.vetology.net/report/v/final/"&amp;2765934, 2765934)</f>
        <v>2765934</v>
      </c>
      <c r="D192" s="3" t="s">
        <v>923</v>
      </c>
      <c r="E192" s="3" t="s">
        <v>924</v>
      </c>
      <c r="F192" s="3" t="s">
        <v>925</v>
      </c>
      <c r="G192" s="3" t="s">
        <v>186</v>
      </c>
      <c r="H192" s="3" t="s">
        <v>926</v>
      </c>
      <c r="I192" s="3" t="s">
        <v>927</v>
      </c>
      <c r="J192" s="3" t="s">
        <v>928</v>
      </c>
      <c r="K192" s="3" t="s">
        <v>27</v>
      </c>
      <c r="L192" s="3" t="s">
        <v>28</v>
      </c>
      <c r="M192" s="3" t="s">
        <v>27</v>
      </c>
      <c r="N192" s="3" t="s">
        <v>28</v>
      </c>
      <c r="O192" s="3" t="s">
        <v>27</v>
      </c>
      <c r="P192" s="3" t="s">
        <v>28</v>
      </c>
      <c r="Q192" s="3" t="s">
        <v>27</v>
      </c>
      <c r="R192" s="3" t="s">
        <v>28</v>
      </c>
      <c r="S192" s="3" t="s">
        <v>27</v>
      </c>
      <c r="T192" s="3" t="s">
        <v>28</v>
      </c>
    </row>
    <row r="193" spans="1:20" ht="275.25">
      <c r="A193" s="3">
        <v>2765917</v>
      </c>
      <c r="B193" s="3">
        <f>HYPERLINK("https://platform.v2.vetology.net/cases/2765917/screening-report/6?type=pdf&amp;v=v6&amp;scorecard=1&amp;secret_key=BX%25IJ%24%2F65ieZ%29f6", 2765917)</f>
        <v>2765917</v>
      </c>
      <c r="C193" s="3">
        <f>HYPERLINK("https://platform.v2.vetology.net/report/v/final/"&amp;2765917, 2765917)</f>
        <v>2765917</v>
      </c>
      <c r="D193" s="3" t="s">
        <v>929</v>
      </c>
      <c r="E193" s="3" t="s">
        <v>930</v>
      </c>
      <c r="F193" s="3" t="s">
        <v>931</v>
      </c>
      <c r="G193" s="3" t="s">
        <v>496</v>
      </c>
      <c r="H193" s="3" t="s">
        <v>932</v>
      </c>
      <c r="I193" s="3" t="s">
        <v>933</v>
      </c>
      <c r="J193" s="3" t="s">
        <v>934</v>
      </c>
      <c r="K193" s="3" t="s">
        <v>28</v>
      </c>
      <c r="L193" s="3" t="s">
        <v>28</v>
      </c>
      <c r="M193" s="3" t="s">
        <v>28</v>
      </c>
      <c r="N193" s="3" t="s">
        <v>28</v>
      </c>
      <c r="O193" s="3" t="s">
        <v>27</v>
      </c>
      <c r="P193" s="3" t="s">
        <v>28</v>
      </c>
      <c r="Q193" s="3" t="s">
        <v>28</v>
      </c>
      <c r="R193" s="3" t="s">
        <v>28</v>
      </c>
      <c r="S193" s="3" t="s">
        <v>28</v>
      </c>
      <c r="T193" s="3" t="s">
        <v>28</v>
      </c>
    </row>
    <row r="194" spans="1:20" ht="409.6">
      <c r="A194" s="3">
        <v>2765904</v>
      </c>
      <c r="B194" s="3">
        <f>HYPERLINK("https://platform.v2.vetology.net/cases/2765904/screening-report/6?type=pdf&amp;v=v6&amp;scorecard=1&amp;secret_key=BX%25IJ%24%2F65ieZ%29f6", 2765904)</f>
        <v>2765904</v>
      </c>
      <c r="C194" s="3">
        <f>HYPERLINK("https://platform.v2.vetology.net/report/v/final/"&amp;2765904, 2765904)</f>
        <v>2765904</v>
      </c>
      <c r="D194" s="3" t="s">
        <v>935</v>
      </c>
      <c r="E194" s="3" t="s">
        <v>936</v>
      </c>
      <c r="F194" s="3" t="s">
        <v>937</v>
      </c>
      <c r="G194" s="3" t="s">
        <v>211</v>
      </c>
      <c r="H194" s="3" t="s">
        <v>938</v>
      </c>
      <c r="I194" s="3" t="s">
        <v>939</v>
      </c>
      <c r="J194" s="3" t="s">
        <v>940</v>
      </c>
      <c r="K194" s="3" t="s">
        <v>27</v>
      </c>
      <c r="L194" s="3" t="s">
        <v>28</v>
      </c>
      <c r="M194" s="3" t="s">
        <v>28</v>
      </c>
      <c r="N194" s="3" t="s">
        <v>28</v>
      </c>
      <c r="O194" s="3" t="s">
        <v>27</v>
      </c>
      <c r="P194" s="3" t="s">
        <v>27</v>
      </c>
      <c r="Q194" s="3" t="s">
        <v>28</v>
      </c>
      <c r="R194" s="3" t="s">
        <v>28</v>
      </c>
      <c r="S194" s="3" t="s">
        <v>28</v>
      </c>
      <c r="T194" s="3" t="s">
        <v>28</v>
      </c>
    </row>
    <row r="195" spans="1:20" ht="409.6">
      <c r="A195" s="3">
        <v>2765866</v>
      </c>
      <c r="B195" s="3">
        <f>HYPERLINK("https://platform.v2.vetology.net/cases/2765866/screening-report/6?type=pdf&amp;v=v6&amp;scorecard=1&amp;secret_key=BX%25IJ%24%2F65ieZ%29f6", 2765866)</f>
        <v>2765866</v>
      </c>
      <c r="C195" s="3">
        <f>HYPERLINK("https://platform.v2.vetology.net/report/v/final/"&amp;2765866, 2765866)</f>
        <v>2765866</v>
      </c>
      <c r="D195" s="3" t="s">
        <v>941</v>
      </c>
      <c r="E195" s="3" t="s">
        <v>942</v>
      </c>
      <c r="F195" s="3" t="s">
        <v>943</v>
      </c>
      <c r="G195" s="3" t="s">
        <v>566</v>
      </c>
      <c r="H195" s="3" t="s">
        <v>944</v>
      </c>
      <c r="I195" s="3" t="s">
        <v>32</v>
      </c>
      <c r="J195" s="3" t="s">
        <v>33</v>
      </c>
      <c r="K195" s="3" t="s">
        <v>28</v>
      </c>
      <c r="L195" s="3" t="s">
        <v>27</v>
      </c>
      <c r="M195" s="3" t="s">
        <v>28</v>
      </c>
      <c r="N195" s="3" t="s">
        <v>28</v>
      </c>
      <c r="O195" s="3" t="s">
        <v>27</v>
      </c>
      <c r="P195" s="3" t="s">
        <v>28</v>
      </c>
      <c r="Q195" s="3" t="s">
        <v>28</v>
      </c>
      <c r="R195" s="3" t="s">
        <v>28</v>
      </c>
      <c r="S195" s="3" t="s">
        <v>28</v>
      </c>
      <c r="T195" s="3" t="s">
        <v>28</v>
      </c>
    </row>
    <row r="196" spans="1:20" ht="409.6">
      <c r="A196" s="3">
        <v>2765859</v>
      </c>
      <c r="B196" s="3">
        <f>HYPERLINK("https://platform.v2.vetology.net/cases/2765859/screening-report/6?type=pdf&amp;v=v6&amp;scorecard=1&amp;secret_key=BX%25IJ%24%2F65ieZ%29f6", 2765859)</f>
        <v>2765859</v>
      </c>
      <c r="C196" s="3">
        <f>HYPERLINK("https://platform.v2.vetology.net/report/v/final/"&amp;2765859, 2765859)</f>
        <v>2765859</v>
      </c>
      <c r="D196" s="3" t="s">
        <v>945</v>
      </c>
      <c r="E196" s="3" t="s">
        <v>946</v>
      </c>
      <c r="F196" s="3" t="s">
        <v>22</v>
      </c>
      <c r="G196" s="3" t="s">
        <v>23</v>
      </c>
      <c r="H196" s="3" t="s">
        <v>947</v>
      </c>
      <c r="I196" s="3" t="s">
        <v>273</v>
      </c>
      <c r="J196" s="3" t="s">
        <v>274</v>
      </c>
      <c r="K196" s="3" t="s">
        <v>27</v>
      </c>
      <c r="L196" s="3" t="s">
        <v>28</v>
      </c>
      <c r="M196" s="3" t="s">
        <v>28</v>
      </c>
      <c r="N196" s="3" t="s">
        <v>28</v>
      </c>
      <c r="O196" s="3" t="s">
        <v>27</v>
      </c>
      <c r="P196" s="3" t="s">
        <v>28</v>
      </c>
      <c r="Q196" s="3" t="s">
        <v>28</v>
      </c>
      <c r="R196" s="3" t="s">
        <v>28</v>
      </c>
      <c r="S196" s="3" t="s">
        <v>28</v>
      </c>
      <c r="T196" s="3" t="s">
        <v>27</v>
      </c>
    </row>
    <row r="197" spans="1:20" ht="409.6">
      <c r="A197" s="3">
        <v>2765782</v>
      </c>
      <c r="B197" s="3">
        <f>HYPERLINK("https://platform.v2.vetology.net/cases/2765782/screening-report/6?type=pdf&amp;v=v6&amp;scorecard=1&amp;secret_key=BX%25IJ%24%2F65ieZ%29f6", 2765782)</f>
        <v>2765782</v>
      </c>
      <c r="C197" s="3">
        <f>HYPERLINK("https://platform.v2.vetology.net/report/v/final/"&amp;2765782, 2765782)</f>
        <v>2765782</v>
      </c>
      <c r="D197" s="3" t="s">
        <v>948</v>
      </c>
      <c r="E197" s="3" t="s">
        <v>949</v>
      </c>
      <c r="F197" s="3" t="s">
        <v>950</v>
      </c>
      <c r="G197" s="3" t="s">
        <v>64</v>
      </c>
      <c r="H197" s="3" t="s">
        <v>951</v>
      </c>
      <c r="I197" s="3" t="s">
        <v>952</v>
      </c>
      <c r="J197" s="3" t="s">
        <v>953</v>
      </c>
      <c r="K197" s="3" t="s">
        <v>28</v>
      </c>
      <c r="L197" s="3" t="s">
        <v>27</v>
      </c>
      <c r="M197" s="3" t="s">
        <v>28</v>
      </c>
      <c r="N197" s="3" t="s">
        <v>28</v>
      </c>
      <c r="O197" s="3" t="s">
        <v>27</v>
      </c>
      <c r="P197" s="3" t="s">
        <v>27</v>
      </c>
      <c r="Q197" s="3" t="s">
        <v>28</v>
      </c>
      <c r="R197" s="3" t="s">
        <v>28</v>
      </c>
      <c r="S197" s="3" t="s">
        <v>28</v>
      </c>
      <c r="T197" s="3" t="s">
        <v>27</v>
      </c>
    </row>
    <row r="198" spans="1:20" ht="336">
      <c r="A198" s="3">
        <v>2765729</v>
      </c>
      <c r="B198" s="3">
        <f>HYPERLINK("https://platform.v2.vetology.net/cases/2765729/screening-report/6?type=pdf&amp;v=v6&amp;scorecard=1&amp;secret_key=BX%25IJ%24%2F65ieZ%29f6", 2765729)</f>
        <v>2765729</v>
      </c>
      <c r="C198" s="3">
        <f>HYPERLINK("https://platform.v2.vetology.net/report/v/final/"&amp;2765729, 2765729)</f>
        <v>2765729</v>
      </c>
      <c r="D198" s="3" t="s">
        <v>954</v>
      </c>
      <c r="E198" s="3" t="s">
        <v>955</v>
      </c>
      <c r="F198" s="3" t="s">
        <v>956</v>
      </c>
      <c r="G198" s="3" t="s">
        <v>100</v>
      </c>
      <c r="H198" s="3" t="s">
        <v>123</v>
      </c>
      <c r="I198" s="3" t="s">
        <v>124</v>
      </c>
      <c r="J198" s="3" t="s">
        <v>125</v>
      </c>
      <c r="K198" s="3" t="s">
        <v>27</v>
      </c>
      <c r="L198" s="3" t="s">
        <v>28</v>
      </c>
      <c r="M198" s="3" t="s">
        <v>27</v>
      </c>
      <c r="N198" s="3" t="s">
        <v>28</v>
      </c>
      <c r="O198" s="3" t="s">
        <v>27</v>
      </c>
      <c r="P198" s="3" t="s">
        <v>28</v>
      </c>
      <c r="Q198" s="3" t="s">
        <v>27</v>
      </c>
      <c r="R198" s="3" t="s">
        <v>28</v>
      </c>
      <c r="S198" s="3" t="s">
        <v>28</v>
      </c>
      <c r="T198" s="3" t="s">
        <v>28</v>
      </c>
    </row>
    <row r="199" spans="1:20" ht="366">
      <c r="A199" s="3">
        <v>2765623</v>
      </c>
      <c r="B199" s="3">
        <f>HYPERLINK("https://platform.v2.vetology.net/cases/2765623/screening-report/6?type=pdf&amp;v=v6&amp;scorecard=1&amp;secret_key=BX%25IJ%24%2F65ieZ%29f6", 2765623)</f>
        <v>2765623</v>
      </c>
      <c r="C199" s="3">
        <f>HYPERLINK("https://platform.v2.vetology.net/report/v/final/"&amp;2765623, 2765623)</f>
        <v>2765623</v>
      </c>
      <c r="D199" s="3" t="s">
        <v>957</v>
      </c>
      <c r="E199" s="3" t="s">
        <v>958</v>
      </c>
      <c r="F199" s="3" t="s">
        <v>959</v>
      </c>
      <c r="G199" s="3" t="s">
        <v>186</v>
      </c>
      <c r="H199" s="3" t="s">
        <v>960</v>
      </c>
      <c r="I199" s="3" t="s">
        <v>961</v>
      </c>
      <c r="J199" s="3" t="s">
        <v>962</v>
      </c>
      <c r="K199" s="3" t="s">
        <v>28</v>
      </c>
      <c r="L199" s="3" t="s">
        <v>28</v>
      </c>
      <c r="M199" s="3" t="s">
        <v>27</v>
      </c>
      <c r="N199" s="3" t="s">
        <v>28</v>
      </c>
      <c r="O199" s="3" t="s">
        <v>27</v>
      </c>
      <c r="P199" s="3" t="s">
        <v>27</v>
      </c>
      <c r="Q199" s="3" t="s">
        <v>27</v>
      </c>
      <c r="R199" s="3" t="s">
        <v>28</v>
      </c>
      <c r="S199" s="3" t="s">
        <v>28</v>
      </c>
      <c r="T199" s="3" t="s">
        <v>28</v>
      </c>
    </row>
    <row r="200" spans="1:20" ht="409.6">
      <c r="A200" s="3">
        <v>2765610</v>
      </c>
      <c r="B200" s="3">
        <f>HYPERLINK("https://platform.v2.vetology.net/cases/2765610/screening-report/6?type=pdf&amp;v=v6&amp;scorecard=1&amp;secret_key=BX%25IJ%24%2F65ieZ%29f6", 2765610)</f>
        <v>2765610</v>
      </c>
      <c r="C200" s="3">
        <f>HYPERLINK("https://platform.v2.vetology.net/report/v/final/"&amp;2765610, 2765610)</f>
        <v>2765610</v>
      </c>
      <c r="D200" s="3" t="s">
        <v>963</v>
      </c>
      <c r="E200" s="3" t="s">
        <v>964</v>
      </c>
      <c r="F200" s="3" t="s">
        <v>22</v>
      </c>
      <c r="G200" s="3" t="s">
        <v>23</v>
      </c>
      <c r="H200" s="3" t="s">
        <v>965</v>
      </c>
      <c r="I200" s="3" t="s">
        <v>966</v>
      </c>
      <c r="J200" s="3" t="s">
        <v>967</v>
      </c>
      <c r="K200" s="3" t="s">
        <v>27</v>
      </c>
      <c r="L200" s="3" t="s">
        <v>27</v>
      </c>
      <c r="M200" s="3" t="s">
        <v>27</v>
      </c>
      <c r="N200" s="3" t="s">
        <v>27</v>
      </c>
      <c r="O200" s="3" t="s">
        <v>27</v>
      </c>
      <c r="P200" s="3" t="s">
        <v>28</v>
      </c>
      <c r="Q200" s="3" t="s">
        <v>28</v>
      </c>
      <c r="R200" s="3" t="s">
        <v>27</v>
      </c>
      <c r="S200" s="3" t="s">
        <v>27</v>
      </c>
      <c r="T200" s="3" t="s">
        <v>27</v>
      </c>
    </row>
    <row r="201" spans="1:20" ht="381.75">
      <c r="A201" s="3">
        <v>2765572</v>
      </c>
      <c r="B201" s="3">
        <f>HYPERLINK("https://platform.v2.vetology.net/cases/2765572/screening-report/6?type=pdf&amp;v=v6&amp;scorecard=1&amp;secret_key=BX%25IJ%24%2F65ieZ%29f6", 2765572)</f>
        <v>2765572</v>
      </c>
      <c r="C201" s="3">
        <f>HYPERLINK("https://platform.v2.vetology.net/report/v/final/"&amp;2765572, 2765572)</f>
        <v>2765572</v>
      </c>
      <c r="D201" s="3" t="s">
        <v>968</v>
      </c>
      <c r="E201" s="3" t="s">
        <v>969</v>
      </c>
      <c r="F201" s="3" t="s">
        <v>22</v>
      </c>
      <c r="G201" s="3" t="s">
        <v>100</v>
      </c>
      <c r="H201" s="3" t="s">
        <v>970</v>
      </c>
      <c r="I201" s="3" t="s">
        <v>392</v>
      </c>
      <c r="J201" s="3" t="s">
        <v>393</v>
      </c>
      <c r="K201" s="3" t="s">
        <v>28</v>
      </c>
      <c r="L201" s="3" t="s">
        <v>28</v>
      </c>
      <c r="M201" s="3" t="s">
        <v>28</v>
      </c>
      <c r="N201" s="3" t="s">
        <v>28</v>
      </c>
      <c r="O201" s="3" t="s">
        <v>28</v>
      </c>
      <c r="P201" s="3" t="s">
        <v>28</v>
      </c>
      <c r="Q201" s="3" t="s">
        <v>28</v>
      </c>
      <c r="R201" s="3" t="s">
        <v>28</v>
      </c>
      <c r="S201" s="3" t="s">
        <v>28</v>
      </c>
      <c r="T201" s="3" t="s">
        <v>28</v>
      </c>
    </row>
    <row r="202" spans="1:20" ht="290.25">
      <c r="A202" s="3">
        <v>2765550</v>
      </c>
      <c r="B202" s="3">
        <f>HYPERLINK("https://platform.v2.vetology.net/cases/2765550/screening-report/6?type=pdf&amp;v=v6&amp;scorecard=1&amp;secret_key=BX%25IJ%24%2F65ieZ%29f6", 2765550)</f>
        <v>2765550</v>
      </c>
      <c r="C202" s="3">
        <f>HYPERLINK("https://platform.v2.vetology.net/report/v/final/"&amp;2765550, 2765550)</f>
        <v>2765550</v>
      </c>
      <c r="D202" s="3" t="s">
        <v>971</v>
      </c>
      <c r="E202" s="3" t="s">
        <v>972</v>
      </c>
      <c r="F202" s="3" t="s">
        <v>973</v>
      </c>
      <c r="G202" s="3" t="s">
        <v>23</v>
      </c>
      <c r="H202" s="3" t="s">
        <v>974</v>
      </c>
      <c r="I202" s="3" t="s">
        <v>643</v>
      </c>
      <c r="J202" s="3" t="s">
        <v>143</v>
      </c>
      <c r="K202" s="3" t="s">
        <v>28</v>
      </c>
      <c r="L202" s="3" t="s">
        <v>28</v>
      </c>
      <c r="M202" s="3" t="s">
        <v>28</v>
      </c>
      <c r="N202" s="3" t="s">
        <v>28</v>
      </c>
      <c r="O202" s="3" t="s">
        <v>27</v>
      </c>
      <c r="P202" s="3" t="s">
        <v>28</v>
      </c>
      <c r="Q202" s="3" t="s">
        <v>28</v>
      </c>
      <c r="R202" s="3" t="s">
        <v>28</v>
      </c>
      <c r="S202" s="3" t="s">
        <v>28</v>
      </c>
      <c r="T202" s="3" t="s">
        <v>28</v>
      </c>
    </row>
    <row r="203" spans="1:20" ht="409.6">
      <c r="A203" s="3">
        <v>2765508</v>
      </c>
      <c r="B203" s="3">
        <f>HYPERLINK("https://platform.v2.vetology.net/cases/2765508/screening-report/6?type=pdf&amp;v=v6&amp;scorecard=1&amp;secret_key=BX%25IJ%24%2F65ieZ%29f6", 2765508)</f>
        <v>2765508</v>
      </c>
      <c r="C203" s="3">
        <f>HYPERLINK("https://platform.v2.vetology.net/report/v/final/"&amp;2765508, 2765508)</f>
        <v>2765508</v>
      </c>
      <c r="D203" s="3" t="s">
        <v>975</v>
      </c>
      <c r="E203" s="3" t="s">
        <v>976</v>
      </c>
      <c r="F203" s="3" t="s">
        <v>977</v>
      </c>
      <c r="G203" s="3" t="s">
        <v>64</v>
      </c>
      <c r="H203" s="3" t="s">
        <v>31</v>
      </c>
      <c r="I203" s="3" t="s">
        <v>32</v>
      </c>
      <c r="J203" s="3" t="s">
        <v>33</v>
      </c>
      <c r="K203" s="3" t="s">
        <v>28</v>
      </c>
      <c r="L203" s="3" t="s">
        <v>28</v>
      </c>
      <c r="M203" s="3" t="s">
        <v>28</v>
      </c>
      <c r="N203" s="3" t="s">
        <v>28</v>
      </c>
      <c r="O203" s="3" t="s">
        <v>27</v>
      </c>
      <c r="P203" s="3" t="s">
        <v>28</v>
      </c>
      <c r="Q203" s="3" t="s">
        <v>28</v>
      </c>
      <c r="R203" s="3" t="s">
        <v>28</v>
      </c>
      <c r="S203" s="3" t="s">
        <v>28</v>
      </c>
      <c r="T203" s="3" t="s">
        <v>28</v>
      </c>
    </row>
    <row r="204" spans="1:20" ht="409.6">
      <c r="A204" s="3">
        <v>2765446</v>
      </c>
      <c r="B204" s="3">
        <f>HYPERLINK("https://platform.v2.vetology.net/cases/2765446/screening-report/6?type=pdf&amp;v=v6&amp;scorecard=1&amp;secret_key=BX%25IJ%24%2F65ieZ%29f6", 2765446)</f>
        <v>2765446</v>
      </c>
      <c r="C204" s="3">
        <f>HYPERLINK("https://platform.v2.vetology.net/report/v/final/"&amp;2765446, 2765446)</f>
        <v>2765446</v>
      </c>
      <c r="D204" s="3" t="s">
        <v>978</v>
      </c>
      <c r="E204" s="3" t="s">
        <v>979</v>
      </c>
      <c r="F204" s="3" t="s">
        <v>22</v>
      </c>
      <c r="G204" s="3" t="s">
        <v>23</v>
      </c>
      <c r="H204" s="3" t="s">
        <v>980</v>
      </c>
      <c r="I204" s="3" t="s">
        <v>981</v>
      </c>
      <c r="J204" s="3" t="s">
        <v>982</v>
      </c>
      <c r="K204" s="3" t="s">
        <v>28</v>
      </c>
      <c r="L204" s="3" t="s">
        <v>28</v>
      </c>
      <c r="M204" s="3" t="s">
        <v>27</v>
      </c>
      <c r="N204" s="3" t="s">
        <v>28</v>
      </c>
      <c r="O204" s="3" t="s">
        <v>27</v>
      </c>
      <c r="P204" s="3" t="s">
        <v>28</v>
      </c>
      <c r="Q204" s="3" t="s">
        <v>28</v>
      </c>
      <c r="R204" s="3" t="s">
        <v>28</v>
      </c>
      <c r="S204" s="3" t="s">
        <v>28</v>
      </c>
      <c r="T204" s="3" t="s">
        <v>28</v>
      </c>
    </row>
    <row r="205" spans="1:20" ht="351">
      <c r="A205" s="3">
        <v>2765426</v>
      </c>
      <c r="B205" s="3">
        <f>HYPERLINK("https://platform.v2.vetology.net/cases/2765426/screening-report/6?type=pdf&amp;v=v6&amp;scorecard=1&amp;secret_key=BX%25IJ%24%2F65ieZ%29f6", 2765426)</f>
        <v>2765426</v>
      </c>
      <c r="C205" s="3">
        <f>HYPERLINK("https://platform.v2.vetology.net/report/v/final/"&amp;2765426, 2765426)</f>
        <v>2765426</v>
      </c>
      <c r="D205" s="3" t="s">
        <v>983</v>
      </c>
      <c r="E205" s="3" t="s">
        <v>984</v>
      </c>
      <c r="F205" s="3" t="s">
        <v>985</v>
      </c>
      <c r="G205" s="3" t="s">
        <v>566</v>
      </c>
      <c r="H205" s="3" t="s">
        <v>986</v>
      </c>
      <c r="I205" s="3" t="s">
        <v>95</v>
      </c>
      <c r="J205" s="3" t="s">
        <v>96</v>
      </c>
      <c r="K205" s="3" t="s">
        <v>28</v>
      </c>
      <c r="L205" s="3" t="s">
        <v>28</v>
      </c>
      <c r="M205" s="3" t="s">
        <v>27</v>
      </c>
      <c r="N205" s="3" t="s">
        <v>28</v>
      </c>
      <c r="O205" s="3" t="s">
        <v>27</v>
      </c>
      <c r="P205" s="3" t="s">
        <v>28</v>
      </c>
      <c r="Q205" s="3" t="s">
        <v>27</v>
      </c>
      <c r="R205" s="3" t="s">
        <v>28</v>
      </c>
      <c r="S205" s="3" t="s">
        <v>27</v>
      </c>
      <c r="T205" s="3" t="s">
        <v>28</v>
      </c>
    </row>
    <row r="206" spans="1:20" ht="290.25">
      <c r="A206" s="3">
        <v>2765378</v>
      </c>
      <c r="B206" s="3">
        <f>HYPERLINK("https://platform.v2.vetology.net/cases/2765378/screening-report/6?type=pdf&amp;v=v6&amp;scorecard=1&amp;secret_key=BX%25IJ%24%2F65ieZ%29f6", 2765378)</f>
        <v>2765378</v>
      </c>
      <c r="C206" s="3">
        <f>HYPERLINK("https://platform.v2.vetology.net/report/v/final/"&amp;2765378, 2765378)</f>
        <v>2765378</v>
      </c>
      <c r="D206" s="3" t="s">
        <v>987</v>
      </c>
      <c r="E206" s="3" t="s">
        <v>988</v>
      </c>
      <c r="F206" s="3" t="s">
        <v>989</v>
      </c>
      <c r="G206" s="3" t="s">
        <v>186</v>
      </c>
      <c r="H206" s="3" t="s">
        <v>419</v>
      </c>
      <c r="I206" s="3" t="s">
        <v>316</v>
      </c>
      <c r="J206" s="3" t="s">
        <v>317</v>
      </c>
      <c r="K206" s="3" t="s">
        <v>28</v>
      </c>
      <c r="L206" s="3" t="s">
        <v>28</v>
      </c>
      <c r="M206" s="3" t="s">
        <v>28</v>
      </c>
      <c r="N206" s="3" t="s">
        <v>28</v>
      </c>
      <c r="O206" s="3" t="s">
        <v>27</v>
      </c>
      <c r="P206" s="3" t="s">
        <v>28</v>
      </c>
      <c r="Q206" s="3" t="s">
        <v>28</v>
      </c>
      <c r="R206" s="3" t="s">
        <v>28</v>
      </c>
      <c r="S206" s="3" t="s">
        <v>28</v>
      </c>
      <c r="T206" s="3" t="s">
        <v>28</v>
      </c>
    </row>
    <row r="207" spans="1:20" ht="366">
      <c r="A207" s="3">
        <v>2765348</v>
      </c>
      <c r="B207" s="3">
        <f>HYPERLINK("https://platform.v2.vetology.net/cases/2765348/screening-report/6?type=pdf&amp;v=v6&amp;scorecard=1&amp;secret_key=BX%25IJ%24%2F65ieZ%29f6", 2765348)</f>
        <v>2765348</v>
      </c>
      <c r="C207" s="3">
        <f>HYPERLINK("https://platform.v2.vetology.net/report/v/final/"&amp;2765348, 2765348)</f>
        <v>2765348</v>
      </c>
      <c r="D207" s="3" t="s">
        <v>990</v>
      </c>
      <c r="E207" s="3" t="s">
        <v>991</v>
      </c>
      <c r="F207" s="3" t="s">
        <v>22</v>
      </c>
      <c r="G207" s="3" t="s">
        <v>23</v>
      </c>
      <c r="H207" s="3" t="s">
        <v>992</v>
      </c>
      <c r="I207" s="3" t="s">
        <v>993</v>
      </c>
      <c r="J207" s="3" t="s">
        <v>994</v>
      </c>
      <c r="K207" s="3" t="s">
        <v>28</v>
      </c>
      <c r="L207" s="3" t="s">
        <v>28</v>
      </c>
      <c r="M207" s="3" t="s">
        <v>28</v>
      </c>
      <c r="N207" s="3" t="s">
        <v>28</v>
      </c>
      <c r="O207" s="3" t="s">
        <v>28</v>
      </c>
      <c r="P207" s="3" t="s">
        <v>28</v>
      </c>
      <c r="Q207" s="3" t="s">
        <v>28</v>
      </c>
      <c r="R207" s="3" t="s">
        <v>28</v>
      </c>
      <c r="S207" s="3" t="s">
        <v>28</v>
      </c>
      <c r="T207" s="3" t="s">
        <v>28</v>
      </c>
    </row>
    <row r="208" spans="1:20" ht="409.6">
      <c r="A208" s="3">
        <v>2765272</v>
      </c>
      <c r="B208" s="3">
        <f>HYPERLINK("https://platform.v2.vetology.net/cases/2765272/screening-report/6?type=pdf&amp;v=v6&amp;scorecard=1&amp;secret_key=BX%25IJ%24%2F65ieZ%29f6", 2765272)</f>
        <v>2765272</v>
      </c>
      <c r="C208" s="3">
        <f>HYPERLINK("https://platform.v2.vetology.net/report/v/final/"&amp;2765272, 2765272)</f>
        <v>2765272</v>
      </c>
      <c r="D208" s="3" t="s">
        <v>995</v>
      </c>
      <c r="E208" s="3" t="s">
        <v>996</v>
      </c>
      <c r="F208" s="3" t="s">
        <v>997</v>
      </c>
      <c r="G208" s="3" t="s">
        <v>566</v>
      </c>
      <c r="H208" s="3" t="s">
        <v>998</v>
      </c>
      <c r="I208" s="3" t="s">
        <v>999</v>
      </c>
      <c r="J208" s="3" t="s">
        <v>1000</v>
      </c>
      <c r="K208" s="3" t="s">
        <v>28</v>
      </c>
      <c r="L208" s="3" t="s">
        <v>28</v>
      </c>
      <c r="M208" s="3" t="s">
        <v>28</v>
      </c>
      <c r="N208" s="3" t="s">
        <v>28</v>
      </c>
      <c r="O208" s="3" t="s">
        <v>27</v>
      </c>
      <c r="P208" s="3" t="s">
        <v>27</v>
      </c>
      <c r="Q208" s="3" t="s">
        <v>28</v>
      </c>
      <c r="R208" s="3" t="s">
        <v>28</v>
      </c>
      <c r="S208" s="3" t="s">
        <v>28</v>
      </c>
      <c r="T208" s="3" t="s">
        <v>28</v>
      </c>
    </row>
    <row r="209" spans="1:20" ht="381.75">
      <c r="A209" s="3">
        <v>2765230</v>
      </c>
      <c r="B209" s="3">
        <f>HYPERLINK("https://platform.v2.vetology.net/cases/2765230/screening-report/6?type=pdf&amp;v=v6&amp;scorecard=1&amp;secret_key=BX%25IJ%24%2F65ieZ%29f6", 2765230)</f>
        <v>2765230</v>
      </c>
      <c r="C209" s="3">
        <f>HYPERLINK("https://platform.v2.vetology.net/report/v/final/"&amp;2765230, 2765230)</f>
        <v>2765230</v>
      </c>
      <c r="D209" s="3" t="s">
        <v>1001</v>
      </c>
      <c r="E209" s="3" t="s">
        <v>1002</v>
      </c>
      <c r="F209" s="3" t="s">
        <v>547</v>
      </c>
      <c r="G209" s="3" t="s">
        <v>186</v>
      </c>
      <c r="H209" s="3" t="s">
        <v>1003</v>
      </c>
      <c r="I209" s="3" t="s">
        <v>1004</v>
      </c>
      <c r="J209" s="3" t="s">
        <v>297</v>
      </c>
      <c r="K209" s="3" t="s">
        <v>28</v>
      </c>
      <c r="L209" s="3" t="s">
        <v>28</v>
      </c>
      <c r="M209" s="3" t="s">
        <v>28</v>
      </c>
      <c r="N209" s="3" t="s">
        <v>28</v>
      </c>
      <c r="O209" s="3" t="s">
        <v>28</v>
      </c>
      <c r="P209" s="3" t="s">
        <v>28</v>
      </c>
      <c r="Q209" s="3" t="s">
        <v>28</v>
      </c>
      <c r="R209" s="3" t="s">
        <v>28</v>
      </c>
      <c r="S209" s="3" t="s">
        <v>28</v>
      </c>
      <c r="T209" s="3" t="s">
        <v>28</v>
      </c>
    </row>
    <row r="210" spans="1:20" ht="409.6">
      <c r="A210" s="3">
        <v>2765173</v>
      </c>
      <c r="B210" s="3">
        <f>HYPERLINK("https://platform.v2.vetology.net/cases/2765173/screening-report/6?type=pdf&amp;v=v6&amp;scorecard=1&amp;secret_key=BX%25IJ%24%2F65ieZ%29f6", 2765173)</f>
        <v>2765173</v>
      </c>
      <c r="C210" s="3">
        <f>HYPERLINK("https://platform.v2.vetology.net/report/v/final/"&amp;2765173, 2765173)</f>
        <v>2765173</v>
      </c>
      <c r="D210" s="3" t="s">
        <v>1005</v>
      </c>
      <c r="E210" s="3" t="s">
        <v>1006</v>
      </c>
      <c r="F210" s="3" t="s">
        <v>99</v>
      </c>
      <c r="G210" s="3" t="s">
        <v>100</v>
      </c>
      <c r="H210" s="3" t="s">
        <v>1007</v>
      </c>
      <c r="I210" s="3" t="s">
        <v>659</v>
      </c>
      <c r="J210" s="3" t="s">
        <v>660</v>
      </c>
      <c r="K210" s="3" t="s">
        <v>27</v>
      </c>
      <c r="L210" s="3" t="s">
        <v>28</v>
      </c>
      <c r="M210" s="3" t="s">
        <v>28</v>
      </c>
      <c r="N210" s="3" t="s">
        <v>28</v>
      </c>
      <c r="O210" s="3" t="s">
        <v>27</v>
      </c>
      <c r="P210" s="3" t="s">
        <v>28</v>
      </c>
      <c r="Q210" s="3" t="s">
        <v>28</v>
      </c>
      <c r="R210" s="3" t="s">
        <v>28</v>
      </c>
      <c r="S210" s="3" t="s">
        <v>28</v>
      </c>
      <c r="T210" s="3" t="s">
        <v>28</v>
      </c>
    </row>
    <row r="211" spans="1:20" ht="229.5">
      <c r="A211" s="3">
        <v>2765114</v>
      </c>
      <c r="B211" s="3">
        <f>HYPERLINK("https://platform.v2.vetology.net/cases/2765114/screening-report/6?type=pdf&amp;v=v6&amp;scorecard=1&amp;secret_key=BX%25IJ%24%2F65ieZ%29f6", 2765114)</f>
        <v>2765114</v>
      </c>
      <c r="C211" s="3">
        <f>HYPERLINK("https://platform.v2.vetology.net/report/v/final/"&amp;2765114, 2765114)</f>
        <v>2765114</v>
      </c>
      <c r="D211" s="3" t="s">
        <v>1008</v>
      </c>
      <c r="E211" s="3" t="s">
        <v>1009</v>
      </c>
      <c r="F211" s="3" t="s">
        <v>222</v>
      </c>
      <c r="G211" s="3" t="s">
        <v>186</v>
      </c>
      <c r="H211" s="3" t="s">
        <v>1010</v>
      </c>
      <c r="I211" s="3" t="s">
        <v>1011</v>
      </c>
      <c r="J211" s="3" t="s">
        <v>207</v>
      </c>
      <c r="K211" s="3" t="s">
        <v>27</v>
      </c>
      <c r="L211" s="3" t="s">
        <v>28</v>
      </c>
      <c r="M211" s="3" t="s">
        <v>27</v>
      </c>
      <c r="N211" s="3" t="s">
        <v>28</v>
      </c>
      <c r="O211" s="3" t="s">
        <v>27</v>
      </c>
      <c r="P211" s="3" t="s">
        <v>28</v>
      </c>
      <c r="Q211" s="3" t="s">
        <v>27</v>
      </c>
      <c r="R211" s="3" t="s">
        <v>28</v>
      </c>
      <c r="S211" s="3" t="s">
        <v>28</v>
      </c>
      <c r="T211" s="3" t="s">
        <v>28</v>
      </c>
    </row>
    <row r="212" spans="1:20" ht="305.25">
      <c r="A212" s="3">
        <v>2765046</v>
      </c>
      <c r="B212" s="3">
        <f>HYPERLINK("https://platform.v2.vetology.net/cases/2765046/screening-report/6?type=pdf&amp;v=v6&amp;scorecard=1&amp;secret_key=BX%25IJ%24%2F65ieZ%29f6", 2765046)</f>
        <v>2765046</v>
      </c>
      <c r="C212" s="3">
        <f>HYPERLINK("https://platform.v2.vetology.net/report/v/final/"&amp;2765046, 2765046)</f>
        <v>2765046</v>
      </c>
      <c r="D212" s="3" t="s">
        <v>1012</v>
      </c>
      <c r="E212" s="3" t="s">
        <v>1013</v>
      </c>
      <c r="F212" s="3" t="s">
        <v>1014</v>
      </c>
      <c r="G212" s="3" t="s">
        <v>100</v>
      </c>
      <c r="H212" s="3" t="s">
        <v>1015</v>
      </c>
      <c r="I212" s="3" t="s">
        <v>32</v>
      </c>
      <c r="J212" s="3" t="s">
        <v>33</v>
      </c>
      <c r="K212" s="3" t="s">
        <v>27</v>
      </c>
      <c r="L212" s="3" t="s">
        <v>28</v>
      </c>
      <c r="M212" s="3" t="s">
        <v>28</v>
      </c>
      <c r="N212" s="3" t="s">
        <v>28</v>
      </c>
      <c r="O212" s="3" t="s">
        <v>28</v>
      </c>
      <c r="P212" s="3" t="s">
        <v>28</v>
      </c>
      <c r="Q212" s="3" t="s">
        <v>28</v>
      </c>
      <c r="R212" s="3" t="s">
        <v>28</v>
      </c>
      <c r="S212" s="3" t="s">
        <v>28</v>
      </c>
      <c r="T212" s="3" t="s">
        <v>28</v>
      </c>
    </row>
    <row r="213" spans="1:20" ht="409.6">
      <c r="A213" s="3">
        <v>2765038</v>
      </c>
      <c r="B213" s="3">
        <f>HYPERLINK("https://platform.v2.vetology.net/cases/2765038/screening-report/6?type=pdf&amp;v=v6&amp;scorecard=1&amp;secret_key=BX%25IJ%24%2F65ieZ%29f6", 2765038)</f>
        <v>2765038</v>
      </c>
      <c r="C213" s="3">
        <f>HYPERLINK("https://platform.v2.vetology.net/report/v/final/"&amp;2765038, 2765038)</f>
        <v>2765038</v>
      </c>
      <c r="D213" s="3" t="s">
        <v>1016</v>
      </c>
      <c r="E213" s="3" t="s">
        <v>1017</v>
      </c>
      <c r="F213" s="3" t="s">
        <v>1018</v>
      </c>
      <c r="G213" s="3" t="s">
        <v>122</v>
      </c>
      <c r="H213" s="3" t="s">
        <v>1019</v>
      </c>
      <c r="I213" s="3" t="s">
        <v>1020</v>
      </c>
      <c r="J213" s="3" t="s">
        <v>1021</v>
      </c>
      <c r="K213" s="3" t="s">
        <v>27</v>
      </c>
      <c r="L213" s="3" t="s">
        <v>28</v>
      </c>
      <c r="M213" s="3" t="s">
        <v>27</v>
      </c>
      <c r="N213" s="3" t="s">
        <v>28</v>
      </c>
      <c r="O213" s="3" t="s">
        <v>27</v>
      </c>
      <c r="P213" s="3" t="s">
        <v>28</v>
      </c>
      <c r="Q213" s="3" t="s">
        <v>27</v>
      </c>
      <c r="R213" s="3" t="s">
        <v>28</v>
      </c>
      <c r="S213" s="3" t="s">
        <v>28</v>
      </c>
      <c r="T213" s="3" t="s">
        <v>28</v>
      </c>
    </row>
    <row r="214" spans="1:20" ht="167.25">
      <c r="A214" s="3">
        <v>2765021</v>
      </c>
      <c r="B214" s="3">
        <f>HYPERLINK("https://platform.v2.vetology.net/cases/2765021/screening-report/6?type=pdf&amp;v=v6&amp;scorecard=1&amp;secret_key=BX%25IJ%24%2F65ieZ%29f6", 2765021)</f>
        <v>2765021</v>
      </c>
      <c r="C214" s="3">
        <f>HYPERLINK("https://platform.v2.vetology.net/report/v/final/"&amp;2765021, 2765021)</f>
        <v>2765021</v>
      </c>
      <c r="D214" s="3" t="s">
        <v>1022</v>
      </c>
      <c r="E214" s="3" t="s">
        <v>1023</v>
      </c>
      <c r="F214" s="3" t="s">
        <v>1024</v>
      </c>
      <c r="G214" s="3" t="s">
        <v>179</v>
      </c>
      <c r="H214" s="3" t="s">
        <v>1025</v>
      </c>
      <c r="I214" s="3" t="s">
        <v>1026</v>
      </c>
      <c r="J214" s="3" t="s">
        <v>847</v>
      </c>
      <c r="K214" s="3" t="s">
        <v>27</v>
      </c>
      <c r="L214" s="3" t="s">
        <v>28</v>
      </c>
      <c r="M214" s="3" t="s">
        <v>28</v>
      </c>
      <c r="N214" s="3" t="s">
        <v>28</v>
      </c>
      <c r="O214" s="3" t="s">
        <v>27</v>
      </c>
      <c r="P214" s="3" t="s">
        <v>27</v>
      </c>
      <c r="Q214" s="3" t="s">
        <v>28</v>
      </c>
      <c r="R214" s="3" t="s">
        <v>28</v>
      </c>
      <c r="S214" s="3" t="s">
        <v>28</v>
      </c>
      <c r="T214" s="3" t="s">
        <v>28</v>
      </c>
    </row>
    <row r="215" spans="1:20" ht="229.5">
      <c r="A215" s="3">
        <v>2764991</v>
      </c>
      <c r="B215" s="3">
        <f>HYPERLINK("https://platform.v2.vetology.net/cases/2764991/screening-report/6?type=pdf&amp;v=v6&amp;scorecard=1&amp;secret_key=BX%25IJ%24%2F65ieZ%29f6", 2764991)</f>
        <v>2764991</v>
      </c>
      <c r="C215" s="3">
        <f>HYPERLINK("https://platform.v2.vetology.net/report/v/final/"&amp;2764991, 2764991)</f>
        <v>2764991</v>
      </c>
      <c r="D215" s="3" t="s">
        <v>1027</v>
      </c>
      <c r="E215" s="3" t="s">
        <v>1028</v>
      </c>
      <c r="F215" s="3" t="s">
        <v>1029</v>
      </c>
      <c r="G215" s="3" t="s">
        <v>100</v>
      </c>
      <c r="H215" s="3" t="s">
        <v>31</v>
      </c>
      <c r="I215" s="3" t="s">
        <v>32</v>
      </c>
      <c r="J215" s="3" t="s">
        <v>847</v>
      </c>
      <c r="K215" s="3" t="s">
        <v>28</v>
      </c>
      <c r="L215" s="3" t="s">
        <v>28</v>
      </c>
      <c r="M215" s="3" t="s">
        <v>28</v>
      </c>
      <c r="N215" s="3" t="s">
        <v>28</v>
      </c>
      <c r="O215" s="3" t="s">
        <v>27</v>
      </c>
      <c r="P215" s="3" t="s">
        <v>28</v>
      </c>
      <c r="Q215" s="3" t="s">
        <v>28</v>
      </c>
      <c r="R215" s="3" t="s">
        <v>28</v>
      </c>
      <c r="S215" s="3" t="s">
        <v>28</v>
      </c>
      <c r="T215" s="3" t="s">
        <v>28</v>
      </c>
    </row>
    <row r="216" spans="1:20" ht="409.6">
      <c r="A216" s="3">
        <v>2764945</v>
      </c>
      <c r="B216" s="3">
        <f>HYPERLINK("https://platform.v2.vetology.net/cases/2764945/screening-report/6?type=pdf&amp;v=v6&amp;scorecard=1&amp;secret_key=BX%25IJ%24%2F65ieZ%29f6", 2764945)</f>
        <v>2764945</v>
      </c>
      <c r="C216" s="3">
        <f>HYPERLINK("https://platform.v2.vetology.net/report/v/final/"&amp;2764945, 2764945)</f>
        <v>2764945</v>
      </c>
      <c r="D216" s="3" t="s">
        <v>1030</v>
      </c>
      <c r="E216" s="3" t="s">
        <v>1031</v>
      </c>
      <c r="F216" s="3" t="s">
        <v>1032</v>
      </c>
      <c r="G216" s="3" t="s">
        <v>566</v>
      </c>
      <c r="H216" s="3" t="s">
        <v>1033</v>
      </c>
      <c r="I216" s="3" t="s">
        <v>1034</v>
      </c>
      <c r="J216" s="3" t="s">
        <v>1035</v>
      </c>
      <c r="K216" s="3" t="s">
        <v>27</v>
      </c>
      <c r="L216" s="3" t="s">
        <v>28</v>
      </c>
      <c r="M216" s="3" t="s">
        <v>28</v>
      </c>
      <c r="N216" s="3" t="s">
        <v>28</v>
      </c>
      <c r="O216" s="3" t="s">
        <v>28</v>
      </c>
      <c r="P216" s="3" t="s">
        <v>28</v>
      </c>
      <c r="Q216" s="3" t="s">
        <v>28</v>
      </c>
      <c r="R216" s="3" t="s">
        <v>27</v>
      </c>
      <c r="S216" s="3" t="s">
        <v>28</v>
      </c>
      <c r="T216" s="3" t="s">
        <v>27</v>
      </c>
    </row>
    <row r="217" spans="1:20" ht="351">
      <c r="A217" s="3">
        <v>2764939</v>
      </c>
      <c r="B217" s="3">
        <f>HYPERLINK("https://platform.v2.vetology.net/cases/2764939/screening-report/6?type=pdf&amp;v=v6&amp;scorecard=1&amp;secret_key=BX%25IJ%24%2F65ieZ%29f6", 2764939)</f>
        <v>2764939</v>
      </c>
      <c r="C217" s="3">
        <f>HYPERLINK("https://platform.v2.vetology.net/report/v/final/"&amp;2764939, 2764939)</f>
        <v>2764939</v>
      </c>
      <c r="D217" s="3" t="s">
        <v>1036</v>
      </c>
      <c r="E217" s="3" t="s">
        <v>1037</v>
      </c>
      <c r="F217" s="3" t="s">
        <v>1038</v>
      </c>
      <c r="G217" s="3" t="s">
        <v>566</v>
      </c>
      <c r="H217" s="3" t="s">
        <v>944</v>
      </c>
      <c r="I217" s="3" t="s">
        <v>32</v>
      </c>
      <c r="J217" s="3" t="s">
        <v>33</v>
      </c>
      <c r="K217" s="3" t="s">
        <v>28</v>
      </c>
      <c r="L217" s="3" t="s">
        <v>28</v>
      </c>
      <c r="M217" s="3" t="s">
        <v>27</v>
      </c>
      <c r="N217" s="3" t="s">
        <v>28</v>
      </c>
      <c r="O217" s="3" t="s">
        <v>27</v>
      </c>
      <c r="P217" s="3" t="s">
        <v>28</v>
      </c>
      <c r="Q217" s="3" t="s">
        <v>27</v>
      </c>
      <c r="R217" s="3" t="s">
        <v>28</v>
      </c>
      <c r="S217" s="3" t="s">
        <v>28</v>
      </c>
      <c r="T217" s="3" t="s">
        <v>27</v>
      </c>
    </row>
    <row r="218" spans="1:20" ht="409.6">
      <c r="A218" s="3">
        <v>2764899</v>
      </c>
      <c r="B218" s="3">
        <f>HYPERLINK("https://platform.v2.vetology.net/cases/2764899/screening-report/6?type=pdf&amp;v=v6&amp;scorecard=1&amp;secret_key=BX%25IJ%24%2F65ieZ%29f6", 2764899)</f>
        <v>2764899</v>
      </c>
      <c r="C218" s="3">
        <f>HYPERLINK("https://platform.v2.vetology.net/report/v/final/"&amp;2764899, 2764899)</f>
        <v>2764899</v>
      </c>
      <c r="D218" s="3" t="s">
        <v>1039</v>
      </c>
      <c r="E218" s="3" t="s">
        <v>1040</v>
      </c>
      <c r="F218" s="3" t="s">
        <v>1041</v>
      </c>
      <c r="G218" s="3" t="s">
        <v>566</v>
      </c>
      <c r="H218" s="3" t="s">
        <v>1042</v>
      </c>
      <c r="I218" s="3" t="s">
        <v>108</v>
      </c>
      <c r="J218" s="3" t="s">
        <v>109</v>
      </c>
      <c r="K218" s="3" t="s">
        <v>28</v>
      </c>
      <c r="L218" s="3" t="s">
        <v>27</v>
      </c>
      <c r="M218" s="3" t="s">
        <v>28</v>
      </c>
      <c r="N218" s="3" t="s">
        <v>27</v>
      </c>
      <c r="O218" s="3" t="s">
        <v>27</v>
      </c>
      <c r="P218" s="3" t="s">
        <v>28</v>
      </c>
      <c r="Q218" s="3" t="s">
        <v>28</v>
      </c>
      <c r="R218" s="3" t="s">
        <v>27</v>
      </c>
      <c r="S218" s="3" t="s">
        <v>27</v>
      </c>
      <c r="T218" s="3" t="s">
        <v>27</v>
      </c>
    </row>
    <row r="219" spans="1:20" ht="409.6">
      <c r="A219" s="3">
        <v>2764871</v>
      </c>
      <c r="B219" s="3">
        <f>HYPERLINK("https://platform.v2.vetology.net/cases/2764871/screening-report/6?type=pdf&amp;v=v6&amp;scorecard=1&amp;secret_key=BX%25IJ%24%2F65ieZ%29f6", 2764871)</f>
        <v>2764871</v>
      </c>
      <c r="C219" s="3">
        <f>HYPERLINK("https://platform.v2.vetology.net/report/v/final/"&amp;2764871, 2764871)</f>
        <v>2764871</v>
      </c>
      <c r="D219" s="3" t="s">
        <v>1043</v>
      </c>
      <c r="E219" s="3" t="s">
        <v>1044</v>
      </c>
      <c r="F219" s="3" t="s">
        <v>1045</v>
      </c>
      <c r="G219" s="3" t="s">
        <v>186</v>
      </c>
      <c r="H219" s="3" t="s">
        <v>1046</v>
      </c>
      <c r="I219" s="3" t="s">
        <v>59</v>
      </c>
      <c r="J219" s="3" t="s">
        <v>60</v>
      </c>
      <c r="K219" s="3" t="s">
        <v>28</v>
      </c>
      <c r="L219" s="3" t="s">
        <v>28</v>
      </c>
      <c r="M219" s="3" t="s">
        <v>28</v>
      </c>
      <c r="N219" s="3" t="s">
        <v>28</v>
      </c>
      <c r="O219" s="3" t="s">
        <v>27</v>
      </c>
      <c r="P219" s="3" t="s">
        <v>28</v>
      </c>
      <c r="Q219" s="3" t="s">
        <v>28</v>
      </c>
      <c r="R219" s="3" t="s">
        <v>28</v>
      </c>
      <c r="S219" s="3" t="s">
        <v>28</v>
      </c>
      <c r="T219" s="3" t="s">
        <v>27</v>
      </c>
    </row>
    <row r="220" spans="1:20" ht="409.6">
      <c r="A220" s="3">
        <v>2764867</v>
      </c>
      <c r="B220" s="3">
        <f>HYPERLINK("https://platform.v2.vetology.net/cases/2764867/screening-report/6?type=pdf&amp;v=v6&amp;scorecard=1&amp;secret_key=BX%25IJ%24%2F65ieZ%29f6", 2764867)</f>
        <v>2764867</v>
      </c>
      <c r="C220" s="3">
        <f>HYPERLINK("https://platform.v2.vetology.net/report/v/final/"&amp;2764867, 2764867)</f>
        <v>2764867</v>
      </c>
      <c r="D220" s="3" t="s">
        <v>1047</v>
      </c>
      <c r="E220" s="3" t="s">
        <v>1048</v>
      </c>
      <c r="F220" s="3" t="s">
        <v>1049</v>
      </c>
      <c r="G220" s="3" t="s">
        <v>100</v>
      </c>
      <c r="H220" s="3" t="s">
        <v>1050</v>
      </c>
      <c r="I220" s="3" t="s">
        <v>1051</v>
      </c>
      <c r="J220" s="3" t="s">
        <v>1052</v>
      </c>
      <c r="K220" s="3" t="s">
        <v>27</v>
      </c>
      <c r="L220" s="3" t="s">
        <v>27</v>
      </c>
      <c r="M220" s="3" t="s">
        <v>27</v>
      </c>
      <c r="N220" s="3" t="s">
        <v>27</v>
      </c>
      <c r="O220" s="3" t="s">
        <v>27</v>
      </c>
      <c r="P220" s="3" t="s">
        <v>28</v>
      </c>
      <c r="Q220" s="3" t="s">
        <v>27</v>
      </c>
      <c r="R220" s="3" t="s">
        <v>27</v>
      </c>
      <c r="S220" s="3" t="s">
        <v>27</v>
      </c>
      <c r="T220" s="3" t="s">
        <v>28</v>
      </c>
    </row>
    <row r="221" spans="1:20" ht="409.6">
      <c r="A221" s="3">
        <v>2764768</v>
      </c>
      <c r="B221" s="3">
        <f>HYPERLINK("https://platform.v2.vetology.net/cases/2764768/screening-report/6?type=pdf&amp;v=v6&amp;scorecard=1&amp;secret_key=BX%25IJ%24%2F65ieZ%29f6", 2764768)</f>
        <v>2764768</v>
      </c>
      <c r="C221" s="3">
        <f>HYPERLINK("https://platform.v2.vetology.net/report/v/final/"&amp;2764768, 2764768)</f>
        <v>2764768</v>
      </c>
      <c r="D221" s="3" t="s">
        <v>1053</v>
      </c>
      <c r="E221" s="3" t="s">
        <v>1054</v>
      </c>
      <c r="F221" s="3" t="s">
        <v>1055</v>
      </c>
      <c r="G221" s="3" t="s">
        <v>100</v>
      </c>
      <c r="H221" s="3" t="s">
        <v>1056</v>
      </c>
      <c r="I221" s="3" t="s">
        <v>1057</v>
      </c>
      <c r="J221" s="3" t="s">
        <v>1058</v>
      </c>
      <c r="K221" s="3" t="s">
        <v>28</v>
      </c>
      <c r="L221" s="3" t="s">
        <v>28</v>
      </c>
      <c r="M221" s="3" t="s">
        <v>28</v>
      </c>
      <c r="N221" s="3" t="s">
        <v>28</v>
      </c>
      <c r="O221" s="3" t="s">
        <v>27</v>
      </c>
      <c r="P221" s="3" t="s">
        <v>28</v>
      </c>
      <c r="Q221" s="3" t="s">
        <v>28</v>
      </c>
      <c r="R221" s="3" t="s">
        <v>28</v>
      </c>
      <c r="S221" s="3" t="s">
        <v>28</v>
      </c>
      <c r="T221" s="3" t="s">
        <v>27</v>
      </c>
    </row>
    <row r="222" spans="1:20" ht="396.75">
      <c r="A222" s="3">
        <v>2764751</v>
      </c>
      <c r="B222" s="3">
        <f>HYPERLINK("https://platform.v2.vetology.net/cases/2764751/screening-report/6?type=pdf&amp;v=v6&amp;scorecard=1&amp;secret_key=BX%25IJ%24%2F65ieZ%29f6", 2764751)</f>
        <v>2764751</v>
      </c>
      <c r="C222" s="3">
        <f>HYPERLINK("https://platform.v2.vetology.net/report/v/final/"&amp;2764751, 2764751)</f>
        <v>2764751</v>
      </c>
      <c r="D222" s="3" t="s">
        <v>1059</v>
      </c>
      <c r="E222" s="3" t="s">
        <v>1060</v>
      </c>
      <c r="F222" s="3" t="s">
        <v>1061</v>
      </c>
      <c r="G222" s="3" t="s">
        <v>100</v>
      </c>
      <c r="H222" s="3" t="s">
        <v>1062</v>
      </c>
      <c r="I222" s="3" t="s">
        <v>469</v>
      </c>
      <c r="J222" s="3" t="s">
        <v>470</v>
      </c>
      <c r="K222" s="3" t="s">
        <v>28</v>
      </c>
      <c r="L222" s="3" t="s">
        <v>28</v>
      </c>
      <c r="M222" s="3" t="s">
        <v>28</v>
      </c>
      <c r="N222" s="3" t="s">
        <v>28</v>
      </c>
      <c r="O222" s="3" t="s">
        <v>27</v>
      </c>
      <c r="P222" s="3" t="s">
        <v>28</v>
      </c>
      <c r="Q222" s="3" t="s">
        <v>28</v>
      </c>
      <c r="R222" s="3" t="s">
        <v>28</v>
      </c>
      <c r="S222" s="3" t="s">
        <v>28</v>
      </c>
      <c r="T222" s="3" t="s">
        <v>28</v>
      </c>
    </row>
    <row r="223" spans="1:20" ht="229.5">
      <c r="A223" s="3">
        <v>2764725</v>
      </c>
      <c r="B223" s="3">
        <f>HYPERLINK("https://platform.v2.vetology.net/cases/2764725/screening-report/6?type=pdf&amp;v=v6&amp;scorecard=1&amp;secret_key=BX%25IJ%24%2F65ieZ%29f6", 2764725)</f>
        <v>2764725</v>
      </c>
      <c r="C223" s="3">
        <f>HYPERLINK("https://platform.v2.vetology.net/report/v/final/"&amp;2764725, 2764725)</f>
        <v>2764725</v>
      </c>
      <c r="D223" s="3" t="s">
        <v>1063</v>
      </c>
      <c r="E223" s="3" t="s">
        <v>1064</v>
      </c>
      <c r="F223" s="3" t="s">
        <v>1065</v>
      </c>
      <c r="G223" s="3" t="s">
        <v>186</v>
      </c>
      <c r="H223" s="3" t="s">
        <v>601</v>
      </c>
      <c r="I223" s="3" t="s">
        <v>32</v>
      </c>
      <c r="J223" s="3" t="s">
        <v>119</v>
      </c>
      <c r="K223" s="3" t="s">
        <v>28</v>
      </c>
      <c r="L223" s="3" t="s">
        <v>28</v>
      </c>
      <c r="M223" s="3" t="s">
        <v>28</v>
      </c>
      <c r="N223" s="3" t="s">
        <v>28</v>
      </c>
      <c r="O223" s="3" t="s">
        <v>27</v>
      </c>
      <c r="P223" s="3" t="s">
        <v>28</v>
      </c>
      <c r="Q223" s="3" t="s">
        <v>28</v>
      </c>
      <c r="R223" s="3" t="s">
        <v>28</v>
      </c>
      <c r="S223" s="3" t="s">
        <v>28</v>
      </c>
      <c r="T223" s="3" t="s">
        <v>28</v>
      </c>
    </row>
    <row r="224" spans="1:20" ht="321">
      <c r="A224" s="3">
        <v>2764674</v>
      </c>
      <c r="B224" s="3">
        <f>HYPERLINK("https://platform.v2.vetology.net/cases/2764674/screening-report/6?type=pdf&amp;v=v6&amp;scorecard=1&amp;secret_key=BX%25IJ%24%2F65ieZ%29f6", 2764674)</f>
        <v>2764674</v>
      </c>
      <c r="C224" s="3">
        <f>HYPERLINK("https://platform.v2.vetology.net/report/v/final/"&amp;2764674, 2764674)</f>
        <v>2764674</v>
      </c>
      <c r="D224" s="3" t="s">
        <v>1066</v>
      </c>
      <c r="E224" s="3" t="s">
        <v>1067</v>
      </c>
      <c r="F224" s="3" t="s">
        <v>1068</v>
      </c>
      <c r="G224" s="3" t="s">
        <v>566</v>
      </c>
      <c r="H224" s="3" t="s">
        <v>1069</v>
      </c>
      <c r="I224" s="3" t="s">
        <v>1070</v>
      </c>
      <c r="J224" s="3" t="s">
        <v>207</v>
      </c>
      <c r="K224" s="3" t="s">
        <v>27</v>
      </c>
      <c r="L224" s="3" t="s">
        <v>28</v>
      </c>
      <c r="M224" s="3" t="s">
        <v>28</v>
      </c>
      <c r="N224" s="3" t="s">
        <v>28</v>
      </c>
      <c r="O224" s="3" t="s">
        <v>27</v>
      </c>
      <c r="P224" s="3" t="s">
        <v>28</v>
      </c>
      <c r="Q224" s="3" t="s">
        <v>27</v>
      </c>
      <c r="R224" s="3" t="s">
        <v>28</v>
      </c>
      <c r="S224" s="3" t="s">
        <v>28</v>
      </c>
      <c r="T224" s="3" t="s">
        <v>28</v>
      </c>
    </row>
    <row r="225" spans="1:20" ht="409.6">
      <c r="A225" s="3">
        <v>2764668</v>
      </c>
      <c r="B225" s="3">
        <f>HYPERLINK("https://platform.v2.vetology.net/cases/2764668/screening-report/6?type=pdf&amp;v=v6&amp;scorecard=1&amp;secret_key=BX%25IJ%24%2F65ieZ%29f6", 2764668)</f>
        <v>2764668</v>
      </c>
      <c r="C225" s="3">
        <f>HYPERLINK("https://platform.v2.vetology.net/report/v/final/"&amp;2764668, 2764668)</f>
        <v>2764668</v>
      </c>
      <c r="D225" s="3" t="s">
        <v>1071</v>
      </c>
      <c r="E225" s="3" t="s">
        <v>1072</v>
      </c>
      <c r="F225" s="3" t="s">
        <v>1073</v>
      </c>
      <c r="G225" s="3" t="s">
        <v>566</v>
      </c>
      <c r="H225" s="3" t="s">
        <v>1074</v>
      </c>
      <c r="I225" s="3" t="s">
        <v>163</v>
      </c>
      <c r="J225" s="3" t="s">
        <v>164</v>
      </c>
      <c r="K225" s="3" t="s">
        <v>27</v>
      </c>
      <c r="L225" s="3" t="s">
        <v>28</v>
      </c>
      <c r="M225" s="3" t="s">
        <v>28</v>
      </c>
      <c r="N225" s="3" t="s">
        <v>28</v>
      </c>
      <c r="O225" s="3" t="s">
        <v>28</v>
      </c>
      <c r="P225" s="3" t="s">
        <v>28</v>
      </c>
      <c r="Q225" s="3" t="s">
        <v>28</v>
      </c>
      <c r="R225" s="3" t="s">
        <v>28</v>
      </c>
      <c r="S225" s="3" t="s">
        <v>28</v>
      </c>
      <c r="T225" s="3" t="s">
        <v>27</v>
      </c>
    </row>
    <row r="226" spans="1:20" ht="351">
      <c r="A226" s="3">
        <v>2764623</v>
      </c>
      <c r="B226" s="3">
        <f>HYPERLINK("https://platform.v2.vetology.net/cases/2764623/screening-report/6?type=pdf&amp;v=v6&amp;scorecard=1&amp;secret_key=BX%25IJ%24%2F65ieZ%29f6", 2764623)</f>
        <v>2764623</v>
      </c>
      <c r="C226" s="3">
        <f>HYPERLINK("https://platform.v2.vetology.net/report/v/final/"&amp;2764623, 2764623)</f>
        <v>2764623</v>
      </c>
      <c r="D226" s="3" t="s">
        <v>1075</v>
      </c>
      <c r="E226" s="3" t="s">
        <v>1076</v>
      </c>
      <c r="F226" s="3" t="s">
        <v>1077</v>
      </c>
      <c r="G226" s="3" t="s">
        <v>64</v>
      </c>
      <c r="H226" s="3" t="s">
        <v>300</v>
      </c>
      <c r="I226" s="3" t="s">
        <v>32</v>
      </c>
      <c r="J226" s="3" t="s">
        <v>33</v>
      </c>
      <c r="K226" s="3" t="s">
        <v>28</v>
      </c>
      <c r="L226" s="3" t="s">
        <v>28</v>
      </c>
      <c r="M226" s="3" t="s">
        <v>28</v>
      </c>
      <c r="N226" s="3" t="s">
        <v>28</v>
      </c>
      <c r="O226" s="3" t="s">
        <v>28</v>
      </c>
      <c r="P226" s="3" t="s">
        <v>28</v>
      </c>
      <c r="Q226" s="3" t="s">
        <v>28</v>
      </c>
      <c r="R226" s="3" t="s">
        <v>28</v>
      </c>
      <c r="S226" s="3" t="s">
        <v>28</v>
      </c>
      <c r="T226" s="3" t="s">
        <v>28</v>
      </c>
    </row>
    <row r="227" spans="1:20" ht="409.6">
      <c r="A227" s="3">
        <v>2764577</v>
      </c>
      <c r="B227" s="3">
        <f>HYPERLINK("https://platform.v2.vetology.net/cases/2764577/screening-report/6?type=pdf&amp;v=v6&amp;scorecard=1&amp;secret_key=BX%25IJ%24%2F65ieZ%29f6", 2764577)</f>
        <v>2764577</v>
      </c>
      <c r="C227" s="3">
        <f>HYPERLINK("https://platform.v2.vetology.net/report/v/final/"&amp;2764577, 2764577)</f>
        <v>2764577</v>
      </c>
      <c r="D227" s="3" t="s">
        <v>1078</v>
      </c>
      <c r="E227" s="3" t="s">
        <v>1079</v>
      </c>
      <c r="F227" s="3" t="s">
        <v>1080</v>
      </c>
      <c r="G227" s="3" t="s">
        <v>64</v>
      </c>
      <c r="H227" s="3" t="s">
        <v>1081</v>
      </c>
      <c r="I227" s="3" t="s">
        <v>1082</v>
      </c>
      <c r="J227" s="3" t="s">
        <v>1083</v>
      </c>
      <c r="K227" s="3" t="s">
        <v>28</v>
      </c>
      <c r="L227" s="3" t="s">
        <v>28</v>
      </c>
      <c r="M227" s="3" t="s">
        <v>28</v>
      </c>
      <c r="N227" s="3" t="s">
        <v>28</v>
      </c>
      <c r="O227" s="3" t="s">
        <v>27</v>
      </c>
      <c r="P227" s="3" t="s">
        <v>28</v>
      </c>
      <c r="Q227" s="3" t="s">
        <v>28</v>
      </c>
      <c r="R227" s="3" t="s">
        <v>28</v>
      </c>
      <c r="S227" s="3" t="s">
        <v>28</v>
      </c>
      <c r="T227" s="3" t="s">
        <v>27</v>
      </c>
    </row>
    <row r="228" spans="1:20" ht="290.25">
      <c r="A228" s="3">
        <v>2764560</v>
      </c>
      <c r="B228" s="3">
        <f>HYPERLINK("https://platform.v2.vetology.net/cases/2764560/screening-report/6?type=pdf&amp;v=v6&amp;scorecard=1&amp;secret_key=BX%25IJ%24%2F65ieZ%29f6", 2764560)</f>
        <v>2764560</v>
      </c>
      <c r="C228" s="3">
        <f>HYPERLINK("https://platform.v2.vetology.net/report/v/final/"&amp;2764560, 2764560)</f>
        <v>2764560</v>
      </c>
      <c r="D228" s="3" t="s">
        <v>1084</v>
      </c>
      <c r="E228" s="3" t="s">
        <v>1085</v>
      </c>
      <c r="F228" s="3" t="s">
        <v>1086</v>
      </c>
      <c r="G228" s="3" t="s">
        <v>179</v>
      </c>
      <c r="H228" s="3" t="s">
        <v>1087</v>
      </c>
      <c r="I228" s="3" t="s">
        <v>464</v>
      </c>
      <c r="J228" s="3" t="s">
        <v>207</v>
      </c>
      <c r="K228" s="3" t="s">
        <v>28</v>
      </c>
      <c r="L228" s="3" t="s">
        <v>28</v>
      </c>
      <c r="M228" s="3" t="s">
        <v>28</v>
      </c>
      <c r="N228" s="3" t="s">
        <v>28</v>
      </c>
      <c r="O228" s="3" t="s">
        <v>28</v>
      </c>
      <c r="P228" s="3" t="s">
        <v>28</v>
      </c>
      <c r="Q228" s="3" t="s">
        <v>28</v>
      </c>
      <c r="R228" s="3" t="s">
        <v>28</v>
      </c>
      <c r="S228" s="3" t="s">
        <v>28</v>
      </c>
      <c r="T228" s="3" t="s">
        <v>28</v>
      </c>
    </row>
    <row r="229" spans="1:20" ht="229.5">
      <c r="A229" s="3">
        <v>2764534</v>
      </c>
      <c r="B229" s="3">
        <f>HYPERLINK("https://platform.v2.vetology.net/cases/2764534/screening-report/6?type=pdf&amp;v=v6&amp;scorecard=1&amp;secret_key=BX%25IJ%24%2F65ieZ%29f6", 2764534)</f>
        <v>2764534</v>
      </c>
      <c r="C229" s="3">
        <f>HYPERLINK("https://platform.v2.vetology.net/report/v/final/"&amp;2764534, 2764534)</f>
        <v>2764534</v>
      </c>
      <c r="D229" s="3" t="s">
        <v>1088</v>
      </c>
      <c r="E229" s="3" t="s">
        <v>1089</v>
      </c>
      <c r="F229" s="3" t="s">
        <v>1090</v>
      </c>
      <c r="G229" s="3" t="s">
        <v>100</v>
      </c>
      <c r="H229" s="3" t="s">
        <v>31</v>
      </c>
      <c r="I229" s="3" t="s">
        <v>32</v>
      </c>
      <c r="J229" s="3" t="s">
        <v>847</v>
      </c>
      <c r="K229" s="3" t="s">
        <v>28</v>
      </c>
      <c r="L229" s="3" t="s">
        <v>28</v>
      </c>
      <c r="M229" s="3" t="s">
        <v>28</v>
      </c>
      <c r="N229" s="3" t="s">
        <v>28</v>
      </c>
      <c r="O229" s="3" t="s">
        <v>27</v>
      </c>
      <c r="P229" s="3" t="s">
        <v>28</v>
      </c>
      <c r="Q229" s="3" t="s">
        <v>28</v>
      </c>
      <c r="R229" s="3" t="s">
        <v>28</v>
      </c>
      <c r="S229" s="3" t="s">
        <v>28</v>
      </c>
      <c r="T229" s="3" t="s">
        <v>28</v>
      </c>
    </row>
    <row r="230" spans="1:20" ht="396.75">
      <c r="A230" s="3">
        <v>2764477</v>
      </c>
      <c r="B230" s="3">
        <f>HYPERLINK("https://platform.v2.vetology.net/cases/2764477/screening-report/6?type=pdf&amp;v=v6&amp;scorecard=1&amp;secret_key=BX%25IJ%24%2F65ieZ%29f6", 2764477)</f>
        <v>2764477</v>
      </c>
      <c r="C230" s="3">
        <f>HYPERLINK("https://platform.v2.vetology.net/report/v/final/"&amp;2764477, 2764477)</f>
        <v>2764477</v>
      </c>
      <c r="D230" s="3" t="s">
        <v>1091</v>
      </c>
      <c r="E230" s="3" t="s">
        <v>1092</v>
      </c>
      <c r="F230" s="3" t="s">
        <v>1093</v>
      </c>
      <c r="G230" s="3" t="s">
        <v>179</v>
      </c>
      <c r="H230" s="3" t="s">
        <v>1094</v>
      </c>
      <c r="I230" s="3" t="s">
        <v>136</v>
      </c>
      <c r="J230" s="3" t="s">
        <v>137</v>
      </c>
      <c r="K230" s="3" t="s">
        <v>28</v>
      </c>
      <c r="L230" s="3" t="s">
        <v>28</v>
      </c>
      <c r="M230" s="3" t="s">
        <v>28</v>
      </c>
      <c r="N230" s="3" t="s">
        <v>28</v>
      </c>
      <c r="O230" s="3" t="s">
        <v>27</v>
      </c>
      <c r="P230" s="3" t="s">
        <v>28</v>
      </c>
      <c r="Q230" s="3" t="s">
        <v>28</v>
      </c>
      <c r="R230" s="3" t="s">
        <v>28</v>
      </c>
      <c r="S230" s="3" t="s">
        <v>28</v>
      </c>
      <c r="T230" s="3" t="s">
        <v>27</v>
      </c>
    </row>
    <row r="231" spans="1:20" ht="396.75">
      <c r="A231" s="3">
        <v>2764414</v>
      </c>
      <c r="B231" s="3">
        <f>HYPERLINK("https://platform.v2.vetology.net/cases/2764414/screening-report/6?type=pdf&amp;v=v6&amp;scorecard=1&amp;secret_key=BX%25IJ%24%2F65ieZ%29f6", 2764414)</f>
        <v>2764414</v>
      </c>
      <c r="C231" s="3">
        <f>HYPERLINK("https://platform.v2.vetology.net/report/v/final/"&amp;2764414, 2764414)</f>
        <v>2764414</v>
      </c>
      <c r="D231" s="3" t="s">
        <v>1095</v>
      </c>
      <c r="E231" s="3" t="s">
        <v>1096</v>
      </c>
      <c r="F231" s="3" t="s">
        <v>22</v>
      </c>
      <c r="G231" s="3" t="s">
        <v>372</v>
      </c>
      <c r="H231" s="3" t="s">
        <v>1097</v>
      </c>
      <c r="I231" s="3" t="s">
        <v>469</v>
      </c>
      <c r="J231" s="3" t="s">
        <v>470</v>
      </c>
      <c r="K231" s="3" t="s">
        <v>28</v>
      </c>
      <c r="L231" s="3" t="s">
        <v>28</v>
      </c>
      <c r="M231" s="3" t="s">
        <v>28</v>
      </c>
      <c r="N231" s="3" t="s">
        <v>28</v>
      </c>
      <c r="O231" s="3" t="s">
        <v>27</v>
      </c>
      <c r="P231" s="3" t="s">
        <v>28</v>
      </c>
      <c r="Q231" s="3" t="s">
        <v>27</v>
      </c>
      <c r="R231" s="3" t="s">
        <v>28</v>
      </c>
      <c r="S231" s="3" t="s">
        <v>28</v>
      </c>
      <c r="T231" s="3" t="s">
        <v>28</v>
      </c>
    </row>
    <row r="232" spans="1:20" ht="409.6">
      <c r="A232" s="3">
        <v>2764391</v>
      </c>
      <c r="B232" s="3">
        <f>HYPERLINK("https://platform.v2.vetology.net/cases/2764391/screening-report/6?type=pdf&amp;v=v6&amp;scorecard=1&amp;secret_key=BX%25IJ%24%2F65ieZ%29f6", 2764391)</f>
        <v>2764391</v>
      </c>
      <c r="C232" s="3">
        <f>HYPERLINK("https://platform.v2.vetology.net/report/v/final/"&amp;2764391, 2764391)</f>
        <v>2764391</v>
      </c>
      <c r="D232" s="3" t="s">
        <v>1098</v>
      </c>
      <c r="E232" s="3" t="s">
        <v>1099</v>
      </c>
      <c r="F232" s="3" t="s">
        <v>22</v>
      </c>
      <c r="G232" s="3" t="s">
        <v>100</v>
      </c>
      <c r="H232" s="3" t="s">
        <v>58</v>
      </c>
      <c r="I232" s="3" t="s">
        <v>59</v>
      </c>
      <c r="J232" s="3" t="s">
        <v>60</v>
      </c>
      <c r="K232" s="3" t="s">
        <v>28</v>
      </c>
      <c r="L232" s="3" t="s">
        <v>28</v>
      </c>
      <c r="M232" s="3" t="s">
        <v>28</v>
      </c>
      <c r="N232" s="3" t="s">
        <v>28</v>
      </c>
      <c r="O232" s="3" t="s">
        <v>27</v>
      </c>
      <c r="P232" s="3" t="s">
        <v>28</v>
      </c>
      <c r="Q232" s="3" t="s">
        <v>28</v>
      </c>
      <c r="R232" s="3" t="s">
        <v>28</v>
      </c>
      <c r="S232" s="3" t="s">
        <v>28</v>
      </c>
      <c r="T232" s="3" t="s">
        <v>27</v>
      </c>
    </row>
    <row r="233" spans="1:20" ht="381.75">
      <c r="A233" s="3">
        <v>2764390</v>
      </c>
      <c r="B233" s="3">
        <f>HYPERLINK("https://platform.v2.vetology.net/cases/2764390/screening-report/6?type=pdf&amp;v=v6&amp;scorecard=1&amp;secret_key=BX%25IJ%24%2F65ieZ%29f6", 2764390)</f>
        <v>2764390</v>
      </c>
      <c r="C233" s="3">
        <f>HYPERLINK("https://platform.v2.vetology.net/report/v/final/"&amp;2764390, 2764390)</f>
        <v>2764390</v>
      </c>
      <c r="D233" s="3" t="s">
        <v>1100</v>
      </c>
      <c r="E233" s="3" t="s">
        <v>1101</v>
      </c>
      <c r="F233" s="3" t="s">
        <v>956</v>
      </c>
      <c r="G233" s="3" t="s">
        <v>100</v>
      </c>
      <c r="H233" s="3" t="s">
        <v>1102</v>
      </c>
      <c r="I233" s="3" t="s">
        <v>324</v>
      </c>
      <c r="J233" s="3" t="s">
        <v>325</v>
      </c>
      <c r="K233" s="3" t="s">
        <v>27</v>
      </c>
      <c r="L233" s="3" t="s">
        <v>28</v>
      </c>
      <c r="M233" s="3" t="s">
        <v>27</v>
      </c>
      <c r="N233" s="3" t="s">
        <v>28</v>
      </c>
      <c r="O233" s="3" t="s">
        <v>27</v>
      </c>
      <c r="P233" s="3" t="s">
        <v>28</v>
      </c>
      <c r="Q233" s="3" t="s">
        <v>27</v>
      </c>
      <c r="R233" s="3" t="s">
        <v>28</v>
      </c>
      <c r="S233" s="3" t="s">
        <v>27</v>
      </c>
      <c r="T233" s="3" t="s">
        <v>28</v>
      </c>
    </row>
    <row r="234" spans="1:20" ht="366">
      <c r="A234" s="3">
        <v>2764343</v>
      </c>
      <c r="B234" s="3">
        <f>HYPERLINK("https://platform.v2.vetology.net/cases/2764343/screening-report/6?type=pdf&amp;v=v6&amp;scorecard=1&amp;secret_key=BX%25IJ%24%2F65ieZ%29f6", 2764343)</f>
        <v>2764343</v>
      </c>
      <c r="C234" s="3">
        <f>HYPERLINK("https://platform.v2.vetology.net/report/v/final/"&amp;2764343, 2764343)</f>
        <v>2764343</v>
      </c>
      <c r="D234" s="3" t="s">
        <v>1103</v>
      </c>
      <c r="E234" s="3" t="s">
        <v>1104</v>
      </c>
      <c r="F234" s="3" t="s">
        <v>22</v>
      </c>
      <c r="G234" s="3" t="s">
        <v>23</v>
      </c>
      <c r="H234" s="3" t="s">
        <v>31</v>
      </c>
      <c r="I234" s="3" t="s">
        <v>32</v>
      </c>
      <c r="J234" s="3" t="s">
        <v>33</v>
      </c>
      <c r="K234" s="3" t="s">
        <v>28</v>
      </c>
      <c r="L234" s="3" t="s">
        <v>28</v>
      </c>
      <c r="M234" s="3" t="s">
        <v>28</v>
      </c>
      <c r="N234" s="3" t="s">
        <v>28</v>
      </c>
      <c r="O234" s="3" t="s">
        <v>28</v>
      </c>
      <c r="P234" s="3" t="s">
        <v>27</v>
      </c>
      <c r="Q234" s="3" t="s">
        <v>28</v>
      </c>
      <c r="R234" s="3" t="s">
        <v>28</v>
      </c>
      <c r="S234" s="3" t="s">
        <v>28</v>
      </c>
      <c r="T234" s="3" t="s">
        <v>28</v>
      </c>
    </row>
    <row r="235" spans="1:20" ht="409.6">
      <c r="A235" s="3">
        <v>2764321</v>
      </c>
      <c r="B235" s="3">
        <f>HYPERLINK("https://platform.v2.vetology.net/cases/2764321/screening-report/6?type=pdf&amp;v=v6&amp;scorecard=1&amp;secret_key=BX%25IJ%24%2F65ieZ%29f6", 2764321)</f>
        <v>2764321</v>
      </c>
      <c r="C235" s="3">
        <f>HYPERLINK("https://platform.v2.vetology.net/report/v/final/"&amp;2764321, 2764321)</f>
        <v>2764321</v>
      </c>
      <c r="D235" s="3" t="s">
        <v>1105</v>
      </c>
      <c r="E235" s="3" t="s">
        <v>1106</v>
      </c>
      <c r="F235" s="3" t="s">
        <v>1107</v>
      </c>
      <c r="G235" s="3" t="s">
        <v>64</v>
      </c>
      <c r="H235" s="3" t="s">
        <v>1108</v>
      </c>
      <c r="I235" s="3" t="s">
        <v>1109</v>
      </c>
      <c r="J235" s="3" t="s">
        <v>1110</v>
      </c>
      <c r="K235" s="3" t="s">
        <v>28</v>
      </c>
      <c r="L235" s="3" t="s">
        <v>28</v>
      </c>
      <c r="M235" s="3" t="s">
        <v>28</v>
      </c>
      <c r="N235" s="3" t="s">
        <v>28</v>
      </c>
      <c r="O235" s="3" t="s">
        <v>27</v>
      </c>
      <c r="P235" s="3" t="s">
        <v>28</v>
      </c>
      <c r="Q235" s="3" t="s">
        <v>27</v>
      </c>
      <c r="R235" s="3" t="s">
        <v>28</v>
      </c>
      <c r="S235" s="3" t="s">
        <v>28</v>
      </c>
      <c r="T235" s="3" t="s">
        <v>27</v>
      </c>
    </row>
    <row r="236" spans="1:20" ht="321">
      <c r="A236" s="3">
        <v>2764318</v>
      </c>
      <c r="B236" s="3">
        <f>HYPERLINK("https://platform.v2.vetology.net/cases/2764318/screening-report/6?type=pdf&amp;v=v6&amp;scorecard=1&amp;secret_key=BX%25IJ%24%2F65ieZ%29f6", 2764318)</f>
        <v>2764318</v>
      </c>
      <c r="C236" s="3">
        <f>HYPERLINK("https://platform.v2.vetology.net/report/v/final/"&amp;2764318, 2764318)</f>
        <v>2764318</v>
      </c>
      <c r="D236" s="3" t="s">
        <v>1111</v>
      </c>
      <c r="E236" s="3" t="s">
        <v>1112</v>
      </c>
      <c r="F236" s="3" t="s">
        <v>1113</v>
      </c>
      <c r="G236" s="3" t="s">
        <v>179</v>
      </c>
      <c r="H236" s="3" t="s">
        <v>788</v>
      </c>
      <c r="I236" s="3" t="s">
        <v>32</v>
      </c>
      <c r="J236" s="3" t="s">
        <v>119</v>
      </c>
      <c r="K236" s="3" t="s">
        <v>27</v>
      </c>
      <c r="L236" s="3" t="s">
        <v>28</v>
      </c>
      <c r="M236" s="3" t="s">
        <v>28</v>
      </c>
      <c r="N236" s="3" t="s">
        <v>28</v>
      </c>
      <c r="O236" s="3" t="s">
        <v>27</v>
      </c>
      <c r="P236" s="3" t="s">
        <v>28</v>
      </c>
      <c r="Q236" s="3" t="s">
        <v>28</v>
      </c>
      <c r="R236" s="3" t="s">
        <v>28</v>
      </c>
      <c r="S236" s="3" t="s">
        <v>28</v>
      </c>
      <c r="T236" s="3" t="s">
        <v>28</v>
      </c>
    </row>
    <row r="237" spans="1:20" ht="290.25">
      <c r="A237" s="3">
        <v>2764281</v>
      </c>
      <c r="B237" s="3">
        <f>HYPERLINK("https://platform.v2.vetology.net/cases/2764281/screening-report/6?type=pdf&amp;v=v6&amp;scorecard=1&amp;secret_key=BX%25IJ%24%2F65ieZ%29f6", 2764281)</f>
        <v>2764281</v>
      </c>
      <c r="C237" s="3">
        <f>HYPERLINK("https://platform.v2.vetology.net/report/v/final/"&amp;2764281, 2764281)</f>
        <v>2764281</v>
      </c>
      <c r="D237" s="3" t="s">
        <v>1114</v>
      </c>
      <c r="E237" s="3" t="s">
        <v>1115</v>
      </c>
      <c r="F237" s="3" t="s">
        <v>1116</v>
      </c>
      <c r="G237" s="3" t="s">
        <v>186</v>
      </c>
      <c r="H237" s="3" t="s">
        <v>1117</v>
      </c>
      <c r="I237" s="3" t="s">
        <v>1118</v>
      </c>
      <c r="J237" s="3" t="s">
        <v>1119</v>
      </c>
      <c r="K237" s="3" t="s">
        <v>28</v>
      </c>
      <c r="L237" s="3" t="s">
        <v>27</v>
      </c>
      <c r="M237" s="3" t="s">
        <v>27</v>
      </c>
      <c r="N237" s="3" t="s">
        <v>28</v>
      </c>
      <c r="O237" s="3" t="s">
        <v>27</v>
      </c>
      <c r="P237" s="3" t="s">
        <v>27</v>
      </c>
      <c r="Q237" s="3" t="s">
        <v>27</v>
      </c>
      <c r="R237" s="3" t="s">
        <v>28</v>
      </c>
      <c r="S237" s="3" t="s">
        <v>27</v>
      </c>
      <c r="T237" s="3" t="s">
        <v>28</v>
      </c>
    </row>
    <row r="238" spans="1:20" ht="409.6">
      <c r="A238" s="3">
        <v>2764271</v>
      </c>
      <c r="B238" s="3">
        <f>HYPERLINK("https://platform.v2.vetology.net/cases/2764271/screening-report/6?type=pdf&amp;v=v6&amp;scorecard=1&amp;secret_key=BX%25IJ%24%2F65ieZ%29f6", 2764271)</f>
        <v>2764271</v>
      </c>
      <c r="C238" s="3">
        <f>HYPERLINK("https://platform.v2.vetology.net/report/v/final/"&amp;2764271, 2764271)</f>
        <v>2764271</v>
      </c>
      <c r="D238" s="3" t="s">
        <v>1120</v>
      </c>
      <c r="E238" s="3" t="s">
        <v>1121</v>
      </c>
      <c r="F238" s="3" t="s">
        <v>1122</v>
      </c>
      <c r="G238" s="3" t="s">
        <v>64</v>
      </c>
      <c r="H238" s="3" t="s">
        <v>1123</v>
      </c>
      <c r="I238" s="3" t="s">
        <v>1124</v>
      </c>
      <c r="J238" s="3" t="s">
        <v>1125</v>
      </c>
      <c r="K238" s="3" t="s">
        <v>27</v>
      </c>
      <c r="L238" s="3" t="s">
        <v>27</v>
      </c>
      <c r="M238" s="3" t="s">
        <v>27</v>
      </c>
      <c r="N238" s="3" t="s">
        <v>28</v>
      </c>
      <c r="O238" s="3" t="s">
        <v>28</v>
      </c>
      <c r="P238" s="3" t="s">
        <v>28</v>
      </c>
      <c r="Q238" s="3" t="s">
        <v>27</v>
      </c>
      <c r="R238" s="3" t="s">
        <v>27</v>
      </c>
      <c r="S238" s="3" t="s">
        <v>27</v>
      </c>
      <c r="T238" s="3" t="s">
        <v>28</v>
      </c>
    </row>
    <row r="239" spans="1:20" ht="366">
      <c r="A239" s="3">
        <v>2764269</v>
      </c>
      <c r="B239" s="3">
        <f>HYPERLINK("https://platform.v2.vetology.net/cases/2764269/screening-report/6?type=pdf&amp;v=v6&amp;scorecard=1&amp;secret_key=BX%25IJ%24%2F65ieZ%29f6", 2764269)</f>
        <v>2764269</v>
      </c>
      <c r="C239" s="3">
        <f>HYPERLINK("https://platform.v2.vetology.net/report/v/final/"&amp;2764269, 2764269)</f>
        <v>2764269</v>
      </c>
      <c r="D239" s="3" t="s">
        <v>1126</v>
      </c>
      <c r="E239" s="3" t="s">
        <v>1127</v>
      </c>
      <c r="F239" s="3" t="s">
        <v>1128</v>
      </c>
      <c r="G239" s="3" t="s">
        <v>186</v>
      </c>
      <c r="H239" s="3" t="s">
        <v>1129</v>
      </c>
      <c r="I239" s="3" t="s">
        <v>1130</v>
      </c>
      <c r="J239" s="3" t="s">
        <v>1131</v>
      </c>
      <c r="K239" s="3" t="s">
        <v>27</v>
      </c>
      <c r="L239" s="3" t="s">
        <v>28</v>
      </c>
      <c r="M239" s="3" t="s">
        <v>27</v>
      </c>
      <c r="N239" s="3" t="s">
        <v>28</v>
      </c>
      <c r="O239" s="3" t="s">
        <v>27</v>
      </c>
      <c r="P239" s="3" t="s">
        <v>28</v>
      </c>
      <c r="Q239" s="3" t="s">
        <v>27</v>
      </c>
      <c r="R239" s="3" t="s">
        <v>28</v>
      </c>
      <c r="S239" s="3" t="s">
        <v>28</v>
      </c>
      <c r="T239" s="3" t="s">
        <v>28</v>
      </c>
    </row>
    <row r="240" spans="1:20" ht="409.6">
      <c r="A240" s="3">
        <v>2764247</v>
      </c>
      <c r="B240" s="3">
        <f>HYPERLINK("https://platform.v2.vetology.net/cases/2764247/screening-report/6?type=pdf&amp;v=v6&amp;scorecard=1&amp;secret_key=BX%25IJ%24%2F65ieZ%29f6", 2764247)</f>
        <v>2764247</v>
      </c>
      <c r="C240" s="3">
        <f>HYPERLINK("https://platform.v2.vetology.net/report/v/final/"&amp;2764247, 2764247)</f>
        <v>2764247</v>
      </c>
      <c r="D240" s="3" t="s">
        <v>1132</v>
      </c>
      <c r="E240" s="3" t="s">
        <v>1133</v>
      </c>
      <c r="F240" s="3" t="s">
        <v>22</v>
      </c>
      <c r="G240" s="3" t="s">
        <v>372</v>
      </c>
      <c r="H240" s="3" t="s">
        <v>1134</v>
      </c>
      <c r="I240" s="3" t="s">
        <v>1135</v>
      </c>
      <c r="J240" s="3" t="s">
        <v>1136</v>
      </c>
      <c r="K240" s="3" t="s">
        <v>28</v>
      </c>
      <c r="L240" s="3" t="s">
        <v>27</v>
      </c>
      <c r="M240" s="3" t="s">
        <v>27</v>
      </c>
      <c r="N240" s="3" t="s">
        <v>27</v>
      </c>
      <c r="O240" s="3" t="s">
        <v>27</v>
      </c>
      <c r="P240" s="3" t="s">
        <v>28</v>
      </c>
      <c r="Q240" s="3" t="s">
        <v>27</v>
      </c>
      <c r="R240" s="3" t="s">
        <v>27</v>
      </c>
      <c r="S240" s="3" t="s">
        <v>27</v>
      </c>
      <c r="T240" s="3" t="s">
        <v>27</v>
      </c>
    </row>
    <row r="241" spans="1:20" ht="275.25">
      <c r="A241" s="3">
        <v>2764200</v>
      </c>
      <c r="B241" s="3">
        <f>HYPERLINK("https://platform.v2.vetology.net/cases/2764200/screening-report/6?type=pdf&amp;v=v6&amp;scorecard=1&amp;secret_key=BX%25IJ%24%2F65ieZ%29f6", 2764200)</f>
        <v>2764200</v>
      </c>
      <c r="C241" s="3">
        <f>HYPERLINK("https://platform.v2.vetology.net/report/v/final/"&amp;2764200, 2764200)</f>
        <v>2764200</v>
      </c>
      <c r="D241" s="3" t="s">
        <v>1137</v>
      </c>
      <c r="E241" s="3" t="s">
        <v>1138</v>
      </c>
      <c r="F241" s="3" t="s">
        <v>22</v>
      </c>
      <c r="G241" s="3" t="s">
        <v>100</v>
      </c>
      <c r="H241" s="3" t="s">
        <v>1139</v>
      </c>
      <c r="I241" s="3" t="s">
        <v>72</v>
      </c>
      <c r="J241" s="3" t="s">
        <v>207</v>
      </c>
      <c r="K241" s="3" t="s">
        <v>27</v>
      </c>
      <c r="L241" s="3" t="s">
        <v>28</v>
      </c>
      <c r="M241" s="3" t="s">
        <v>28</v>
      </c>
      <c r="N241" s="3" t="s">
        <v>28</v>
      </c>
      <c r="O241" s="3" t="s">
        <v>27</v>
      </c>
      <c r="P241" s="3" t="s">
        <v>28</v>
      </c>
      <c r="Q241" s="3" t="s">
        <v>27</v>
      </c>
      <c r="R241" s="3" t="s">
        <v>28</v>
      </c>
      <c r="S241" s="3" t="s">
        <v>28</v>
      </c>
      <c r="T241" s="3" t="s">
        <v>28</v>
      </c>
    </row>
    <row r="242" spans="1:20" ht="409.6">
      <c r="A242" s="3">
        <v>2764115</v>
      </c>
      <c r="B242" s="3">
        <f>HYPERLINK("https://platform.v2.vetology.net/cases/2764115/screening-report/6?type=pdf&amp;v=v6&amp;scorecard=1&amp;secret_key=BX%25IJ%24%2F65ieZ%29f6", 2764115)</f>
        <v>2764115</v>
      </c>
      <c r="C242" s="3">
        <f>HYPERLINK("https://platform.v2.vetology.net/report/v/final/"&amp;2764115, 2764115)</f>
        <v>2764115</v>
      </c>
      <c r="D242" s="3" t="s">
        <v>1140</v>
      </c>
      <c r="E242" s="3" t="s">
        <v>1141</v>
      </c>
      <c r="F242" s="3" t="s">
        <v>1142</v>
      </c>
      <c r="G242" s="3" t="s">
        <v>64</v>
      </c>
      <c r="H242" s="3" t="s">
        <v>1143</v>
      </c>
      <c r="I242" s="3" t="s">
        <v>718</v>
      </c>
      <c r="J242" s="3" t="s">
        <v>719</v>
      </c>
      <c r="K242" s="3" t="s">
        <v>28</v>
      </c>
      <c r="L242" s="3" t="s">
        <v>28</v>
      </c>
      <c r="M242" s="3" t="s">
        <v>28</v>
      </c>
      <c r="N242" s="3" t="s">
        <v>28</v>
      </c>
      <c r="O242" s="3" t="s">
        <v>27</v>
      </c>
      <c r="P242" s="3" t="s">
        <v>28</v>
      </c>
      <c r="Q242" s="3" t="s">
        <v>28</v>
      </c>
      <c r="R242" s="3" t="s">
        <v>28</v>
      </c>
      <c r="S242" s="3" t="s">
        <v>28</v>
      </c>
      <c r="T242" s="3" t="s">
        <v>28</v>
      </c>
    </row>
    <row r="243" spans="1:20" ht="396.75">
      <c r="A243" s="3">
        <v>2764051</v>
      </c>
      <c r="B243" s="3">
        <f>HYPERLINK("https://platform.v2.vetology.net/cases/2764051/screening-report/6?type=pdf&amp;v=v6&amp;scorecard=1&amp;secret_key=BX%25IJ%24%2F65ieZ%29f6", 2764051)</f>
        <v>2764051</v>
      </c>
      <c r="C243" s="3">
        <f>HYPERLINK("https://platform.v2.vetology.net/report/v/final/"&amp;2764051, 2764051)</f>
        <v>2764051</v>
      </c>
      <c r="D243" s="3" t="s">
        <v>1144</v>
      </c>
      <c r="E243" s="3" t="s">
        <v>1145</v>
      </c>
      <c r="F243" s="3" t="s">
        <v>1146</v>
      </c>
      <c r="G243" s="3" t="s">
        <v>64</v>
      </c>
      <c r="H243" s="3" t="s">
        <v>304</v>
      </c>
      <c r="I243" s="3" t="s">
        <v>305</v>
      </c>
      <c r="J243" s="3" t="s">
        <v>119</v>
      </c>
      <c r="K243" s="3" t="s">
        <v>28</v>
      </c>
      <c r="L243" s="3" t="s">
        <v>28</v>
      </c>
      <c r="M243" s="3" t="s">
        <v>28</v>
      </c>
      <c r="N243" s="3" t="s">
        <v>28</v>
      </c>
      <c r="O243" s="3" t="s">
        <v>28</v>
      </c>
      <c r="P243" s="3" t="s">
        <v>28</v>
      </c>
      <c r="Q243" s="3" t="s">
        <v>28</v>
      </c>
      <c r="R243" s="3" t="s">
        <v>28</v>
      </c>
      <c r="S243" s="3" t="s">
        <v>28</v>
      </c>
      <c r="T243" s="3" t="s">
        <v>28</v>
      </c>
    </row>
    <row r="244" spans="1:20" ht="321">
      <c r="A244" s="3">
        <v>2764040</v>
      </c>
      <c r="B244" s="3">
        <f>HYPERLINK("https://platform.v2.vetology.net/cases/2764040/screening-report/6?type=pdf&amp;v=v6&amp;scorecard=1&amp;secret_key=BX%25IJ%24%2F65ieZ%29f6", 2764040)</f>
        <v>2764040</v>
      </c>
      <c r="C244" s="3">
        <f>HYPERLINK("https://platform.v2.vetology.net/report/v/final/"&amp;2764040, 2764040)</f>
        <v>2764040</v>
      </c>
      <c r="D244" s="3" t="s">
        <v>1147</v>
      </c>
      <c r="E244" s="3" t="s">
        <v>1148</v>
      </c>
      <c r="F244" s="3" t="s">
        <v>22</v>
      </c>
      <c r="G244" s="3" t="s">
        <v>23</v>
      </c>
      <c r="H244" s="3" t="s">
        <v>31</v>
      </c>
      <c r="I244" s="3" t="s">
        <v>32</v>
      </c>
      <c r="J244" s="3" t="s">
        <v>119</v>
      </c>
      <c r="K244" s="3" t="s">
        <v>28</v>
      </c>
      <c r="L244" s="3" t="s">
        <v>28</v>
      </c>
      <c r="M244" s="3" t="s">
        <v>28</v>
      </c>
      <c r="N244" s="3" t="s">
        <v>28</v>
      </c>
      <c r="O244" s="3" t="s">
        <v>27</v>
      </c>
      <c r="P244" s="3" t="s">
        <v>28</v>
      </c>
      <c r="Q244" s="3" t="s">
        <v>28</v>
      </c>
      <c r="R244" s="3" t="s">
        <v>28</v>
      </c>
      <c r="S244" s="3" t="s">
        <v>28</v>
      </c>
      <c r="T244" s="3" t="s">
        <v>28</v>
      </c>
    </row>
    <row r="245" spans="1:20" ht="396.75">
      <c r="A245" s="3">
        <v>2764032</v>
      </c>
      <c r="B245" s="3">
        <f>HYPERLINK("https://platform.v2.vetology.net/cases/2764032/screening-report/6?type=pdf&amp;v=v6&amp;scorecard=1&amp;secret_key=BX%25IJ%24%2F65ieZ%29f6", 2764032)</f>
        <v>2764032</v>
      </c>
      <c r="C245" s="3">
        <f>HYPERLINK("https://platform.v2.vetology.net/report/v/final/"&amp;2764032, 2764032)</f>
        <v>2764032</v>
      </c>
      <c r="D245" s="3" t="s">
        <v>1149</v>
      </c>
      <c r="E245" s="3" t="s">
        <v>1150</v>
      </c>
      <c r="F245" s="3" t="s">
        <v>1151</v>
      </c>
      <c r="G245" s="3" t="s">
        <v>566</v>
      </c>
      <c r="H245" s="3" t="s">
        <v>350</v>
      </c>
      <c r="I245" s="3" t="s">
        <v>351</v>
      </c>
      <c r="J245" s="3" t="s">
        <v>352</v>
      </c>
      <c r="K245" s="3" t="s">
        <v>28</v>
      </c>
      <c r="L245" s="3" t="s">
        <v>28</v>
      </c>
      <c r="M245" s="3" t="s">
        <v>28</v>
      </c>
      <c r="N245" s="3" t="s">
        <v>28</v>
      </c>
      <c r="O245" s="3" t="s">
        <v>27</v>
      </c>
      <c r="P245" s="3" t="s">
        <v>28</v>
      </c>
      <c r="Q245" s="3" t="s">
        <v>28</v>
      </c>
      <c r="R245" s="3" t="s">
        <v>28</v>
      </c>
      <c r="S245" s="3" t="s">
        <v>28</v>
      </c>
      <c r="T245" s="3" t="s">
        <v>27</v>
      </c>
    </row>
    <row r="246" spans="1:20" ht="366">
      <c r="A246" s="3">
        <v>2763964</v>
      </c>
      <c r="B246" s="3">
        <f>HYPERLINK("https://platform.v2.vetology.net/cases/2763964/screening-report/6?type=pdf&amp;v=v6&amp;scorecard=1&amp;secret_key=BX%25IJ%24%2F65ieZ%29f6", 2763964)</f>
        <v>2763964</v>
      </c>
      <c r="C246" s="3">
        <f>HYPERLINK("https://platform.v2.vetology.net/report/v/final/"&amp;2763964, 2763964)</f>
        <v>2763964</v>
      </c>
      <c r="D246" s="3" t="s">
        <v>1152</v>
      </c>
      <c r="E246" s="3" t="s">
        <v>1153</v>
      </c>
      <c r="F246" s="3" t="s">
        <v>1154</v>
      </c>
      <c r="G246" s="3" t="s">
        <v>23</v>
      </c>
      <c r="H246" s="3" t="s">
        <v>31</v>
      </c>
      <c r="I246" s="3" t="s">
        <v>32</v>
      </c>
      <c r="J246" s="3" t="s">
        <v>33</v>
      </c>
      <c r="K246" s="3" t="s">
        <v>28</v>
      </c>
      <c r="L246" s="3" t="s">
        <v>28</v>
      </c>
      <c r="M246" s="3" t="s">
        <v>28</v>
      </c>
      <c r="N246" s="3" t="s">
        <v>28</v>
      </c>
      <c r="O246" s="3" t="s">
        <v>28</v>
      </c>
      <c r="P246" s="3" t="s">
        <v>28</v>
      </c>
      <c r="Q246" s="3" t="s">
        <v>28</v>
      </c>
      <c r="R246" s="3" t="s">
        <v>28</v>
      </c>
      <c r="S246" s="3" t="s">
        <v>28</v>
      </c>
      <c r="T246" s="3" t="s">
        <v>28</v>
      </c>
    </row>
    <row r="247" spans="1:20" ht="396.75">
      <c r="A247" s="3">
        <v>2763910</v>
      </c>
      <c r="B247" s="3">
        <f>HYPERLINK("https://platform.v2.vetology.net/cases/2763910/screening-report/6?type=pdf&amp;v=v6&amp;scorecard=1&amp;secret_key=BX%25IJ%24%2F65ieZ%29f6", 2763910)</f>
        <v>2763910</v>
      </c>
      <c r="C247" s="3">
        <f>HYPERLINK("https://platform.v2.vetology.net/report/v/final/"&amp;2763910, 2763910)</f>
        <v>2763910</v>
      </c>
      <c r="D247" s="3" t="s">
        <v>1155</v>
      </c>
      <c r="E247" s="3" t="s">
        <v>1156</v>
      </c>
      <c r="F247" s="3" t="s">
        <v>1157</v>
      </c>
      <c r="G247" s="3" t="s">
        <v>496</v>
      </c>
      <c r="H247" s="3" t="s">
        <v>1158</v>
      </c>
      <c r="I247" s="3" t="s">
        <v>32</v>
      </c>
      <c r="J247" s="3" t="s">
        <v>33</v>
      </c>
      <c r="K247" s="3" t="s">
        <v>28</v>
      </c>
      <c r="L247" s="3" t="s">
        <v>28</v>
      </c>
      <c r="M247" s="3" t="s">
        <v>28</v>
      </c>
      <c r="N247" s="3" t="s">
        <v>28</v>
      </c>
      <c r="O247" s="3" t="s">
        <v>27</v>
      </c>
      <c r="P247" s="3" t="s">
        <v>28</v>
      </c>
      <c r="Q247" s="3" t="s">
        <v>28</v>
      </c>
      <c r="R247" s="3" t="s">
        <v>28</v>
      </c>
      <c r="S247" s="3" t="s">
        <v>28</v>
      </c>
      <c r="T247" s="3" t="s">
        <v>27</v>
      </c>
    </row>
    <row r="248" spans="1:20" ht="305.25">
      <c r="A248" s="3">
        <v>2763852</v>
      </c>
      <c r="B248" s="3">
        <f>HYPERLINK("https://platform.v2.vetology.net/cases/2763852/screening-report/6?type=pdf&amp;v=v6&amp;scorecard=1&amp;secret_key=BX%25IJ%24%2F65ieZ%29f6", 2763852)</f>
        <v>2763852</v>
      </c>
      <c r="C248" s="3">
        <f>HYPERLINK("https://platform.v2.vetology.net/report/v/final/"&amp;2763852, 2763852)</f>
        <v>2763852</v>
      </c>
      <c r="D248" s="3" t="s">
        <v>1159</v>
      </c>
      <c r="E248" s="3" t="s">
        <v>1160</v>
      </c>
      <c r="F248" s="3" t="s">
        <v>1161</v>
      </c>
      <c r="G248" s="3" t="s">
        <v>179</v>
      </c>
      <c r="H248" s="3" t="s">
        <v>31</v>
      </c>
      <c r="I248" s="3" t="s">
        <v>32</v>
      </c>
      <c r="J248" s="3" t="s">
        <v>33</v>
      </c>
      <c r="K248" s="3" t="s">
        <v>28</v>
      </c>
      <c r="L248" s="3" t="s">
        <v>28</v>
      </c>
      <c r="M248" s="3" t="s">
        <v>28</v>
      </c>
      <c r="N248" s="3" t="s">
        <v>28</v>
      </c>
      <c r="O248" s="3" t="s">
        <v>27</v>
      </c>
      <c r="P248" s="3" t="s">
        <v>28</v>
      </c>
      <c r="Q248" s="3" t="s">
        <v>28</v>
      </c>
      <c r="R248" s="3" t="s">
        <v>28</v>
      </c>
      <c r="S248" s="3" t="s">
        <v>28</v>
      </c>
      <c r="T248" s="3" t="s">
        <v>28</v>
      </c>
    </row>
    <row r="249" spans="1:20" ht="229.5">
      <c r="A249" s="3">
        <v>2763847</v>
      </c>
      <c r="B249" s="3">
        <f>HYPERLINK("https://platform.v2.vetology.net/cases/2763847/screening-report/6?type=pdf&amp;v=v6&amp;scorecard=1&amp;secret_key=BX%25IJ%24%2F65ieZ%29f6", 2763847)</f>
        <v>2763847</v>
      </c>
      <c r="C249" s="3">
        <f>HYPERLINK("https://platform.v2.vetology.net/report/v/final/"&amp;2763847, 2763847)</f>
        <v>2763847</v>
      </c>
      <c r="D249" s="3" t="s">
        <v>1162</v>
      </c>
      <c r="E249" s="3" t="s">
        <v>1163</v>
      </c>
      <c r="F249" s="3" t="s">
        <v>1164</v>
      </c>
      <c r="G249" s="3" t="s">
        <v>100</v>
      </c>
      <c r="H249" s="3" t="s">
        <v>135</v>
      </c>
      <c r="I249" s="3" t="s">
        <v>136</v>
      </c>
      <c r="J249" s="3" t="s">
        <v>137</v>
      </c>
      <c r="K249" s="3" t="s">
        <v>28</v>
      </c>
      <c r="L249" s="3" t="s">
        <v>28</v>
      </c>
      <c r="M249" s="3" t="s">
        <v>28</v>
      </c>
      <c r="N249" s="3" t="s">
        <v>28</v>
      </c>
      <c r="O249" s="3" t="s">
        <v>27</v>
      </c>
      <c r="P249" s="3" t="s">
        <v>28</v>
      </c>
      <c r="Q249" s="3" t="s">
        <v>27</v>
      </c>
      <c r="R249" s="3" t="s">
        <v>28</v>
      </c>
      <c r="S249" s="3" t="s">
        <v>28</v>
      </c>
      <c r="T249" s="3" t="s">
        <v>27</v>
      </c>
    </row>
    <row r="250" spans="1:20" ht="409.6">
      <c r="A250" s="3">
        <v>2763797</v>
      </c>
      <c r="B250" s="3">
        <f>HYPERLINK("https://platform.v2.vetology.net/cases/2763797/screening-report/6?type=pdf&amp;v=v6&amp;scorecard=1&amp;secret_key=BX%25IJ%24%2F65ieZ%29f6", 2763797)</f>
        <v>2763797</v>
      </c>
      <c r="C250" s="3">
        <f>HYPERLINK("https://platform.v2.vetology.net/report/v/final/"&amp;2763797, 2763797)</f>
        <v>2763797</v>
      </c>
      <c r="D250" s="3" t="s">
        <v>1165</v>
      </c>
      <c r="E250" s="3" t="s">
        <v>1166</v>
      </c>
      <c r="F250" s="3" t="s">
        <v>1167</v>
      </c>
      <c r="G250" s="3" t="s">
        <v>179</v>
      </c>
      <c r="H250" s="3" t="s">
        <v>1168</v>
      </c>
      <c r="I250" s="3" t="s">
        <v>1169</v>
      </c>
      <c r="J250" s="3" t="s">
        <v>1170</v>
      </c>
      <c r="K250" s="3" t="s">
        <v>27</v>
      </c>
      <c r="L250" s="3" t="s">
        <v>27</v>
      </c>
      <c r="M250" s="3" t="s">
        <v>27</v>
      </c>
      <c r="N250" s="3" t="s">
        <v>28</v>
      </c>
      <c r="O250" s="3" t="s">
        <v>27</v>
      </c>
      <c r="P250" s="3" t="s">
        <v>28</v>
      </c>
      <c r="Q250" s="3" t="s">
        <v>27</v>
      </c>
      <c r="R250" s="3" t="s">
        <v>28</v>
      </c>
      <c r="S250" s="3" t="s">
        <v>28</v>
      </c>
      <c r="T250" s="3" t="s">
        <v>27</v>
      </c>
    </row>
    <row r="251" spans="1:20" ht="396.75">
      <c r="A251" s="3">
        <v>2763720</v>
      </c>
      <c r="B251" s="3">
        <f>HYPERLINK("https://platform.v2.vetology.net/cases/2763720/screening-report/6?type=pdf&amp;v=v6&amp;scorecard=1&amp;secret_key=BX%25IJ%24%2F65ieZ%29f6", 2763720)</f>
        <v>2763720</v>
      </c>
      <c r="C251" s="3">
        <f>HYPERLINK("https://platform.v2.vetology.net/report/v/final/"&amp;2763720, 2763720)</f>
        <v>2763720</v>
      </c>
      <c r="D251" s="3" t="s">
        <v>1171</v>
      </c>
      <c r="E251" s="3" t="s">
        <v>1172</v>
      </c>
      <c r="F251" s="3" t="s">
        <v>1173</v>
      </c>
      <c r="G251" s="3" t="s">
        <v>179</v>
      </c>
      <c r="H251" s="3" t="s">
        <v>1108</v>
      </c>
      <c r="I251" s="3" t="s">
        <v>1109</v>
      </c>
      <c r="J251" s="3" t="s">
        <v>1110</v>
      </c>
      <c r="K251" s="3" t="s">
        <v>28</v>
      </c>
      <c r="L251" s="3" t="s">
        <v>28</v>
      </c>
      <c r="M251" s="3" t="s">
        <v>28</v>
      </c>
      <c r="N251" s="3" t="s">
        <v>28</v>
      </c>
      <c r="O251" s="3" t="s">
        <v>27</v>
      </c>
      <c r="P251" s="3" t="s">
        <v>28</v>
      </c>
      <c r="Q251" s="3" t="s">
        <v>28</v>
      </c>
      <c r="R251" s="3" t="s">
        <v>28</v>
      </c>
      <c r="S251" s="3" t="s">
        <v>28</v>
      </c>
      <c r="T251" s="3" t="s">
        <v>27</v>
      </c>
    </row>
    <row r="252" spans="1:20" ht="244.5">
      <c r="A252" s="3">
        <v>2763707</v>
      </c>
      <c r="B252" s="3">
        <f>HYPERLINK("https://platform.v2.vetology.net/cases/2763707/screening-report/6?type=pdf&amp;v=v6&amp;scorecard=1&amp;secret_key=BX%25IJ%24%2F65ieZ%29f6", 2763707)</f>
        <v>2763707</v>
      </c>
      <c r="C252" s="3">
        <f>HYPERLINK("https://platform.v2.vetology.net/report/v/final/"&amp;2763707, 2763707)</f>
        <v>2763707</v>
      </c>
      <c r="D252" s="3" t="s">
        <v>1174</v>
      </c>
      <c r="E252" s="3" t="s">
        <v>1175</v>
      </c>
      <c r="F252" s="3" t="s">
        <v>1090</v>
      </c>
      <c r="G252" s="3" t="s">
        <v>100</v>
      </c>
      <c r="H252" s="3" t="s">
        <v>1176</v>
      </c>
      <c r="I252" s="3" t="s">
        <v>206</v>
      </c>
      <c r="J252" s="3" t="s">
        <v>207</v>
      </c>
      <c r="K252" s="3" t="s">
        <v>27</v>
      </c>
      <c r="L252" s="3" t="s">
        <v>28</v>
      </c>
      <c r="M252" s="3" t="s">
        <v>28</v>
      </c>
      <c r="N252" s="3" t="s">
        <v>28</v>
      </c>
      <c r="O252" s="3" t="s">
        <v>27</v>
      </c>
      <c r="P252" s="3" t="s">
        <v>27</v>
      </c>
      <c r="Q252" s="3" t="s">
        <v>28</v>
      </c>
      <c r="R252" s="3" t="s">
        <v>28</v>
      </c>
      <c r="S252" s="3" t="s">
        <v>28</v>
      </c>
      <c r="T252" s="3" t="s">
        <v>28</v>
      </c>
    </row>
    <row r="253" spans="1:20" ht="409.6">
      <c r="A253" s="3">
        <v>2763673</v>
      </c>
      <c r="B253" s="3">
        <f>HYPERLINK("https://platform.v2.vetology.net/cases/2763673/screening-report/6?type=pdf&amp;v=v6&amp;scorecard=1&amp;secret_key=BX%25IJ%24%2F65ieZ%29f6", 2763673)</f>
        <v>2763673</v>
      </c>
      <c r="C253" s="3">
        <f>HYPERLINK("https://platform.v2.vetology.net/report/v/final/"&amp;2763673, 2763673)</f>
        <v>2763673</v>
      </c>
      <c r="D253" s="3" t="s">
        <v>1177</v>
      </c>
      <c r="E253" s="3" t="s">
        <v>1178</v>
      </c>
      <c r="F253" s="3" t="s">
        <v>1179</v>
      </c>
      <c r="G253" s="3" t="s">
        <v>64</v>
      </c>
      <c r="H253" s="3" t="s">
        <v>1180</v>
      </c>
      <c r="I253" s="3" t="s">
        <v>305</v>
      </c>
      <c r="J253" s="3" t="s">
        <v>119</v>
      </c>
      <c r="K253" s="3" t="s">
        <v>28</v>
      </c>
      <c r="L253" s="3" t="s">
        <v>28</v>
      </c>
      <c r="M253" s="3" t="s">
        <v>28</v>
      </c>
      <c r="N253" s="3" t="s">
        <v>28</v>
      </c>
      <c r="O253" s="3" t="s">
        <v>28</v>
      </c>
      <c r="P253" s="3" t="s">
        <v>28</v>
      </c>
      <c r="Q253" s="3" t="s">
        <v>28</v>
      </c>
      <c r="R253" s="3" t="s">
        <v>28</v>
      </c>
      <c r="S253" s="3" t="s">
        <v>28</v>
      </c>
      <c r="T253" s="3" t="s">
        <v>28</v>
      </c>
    </row>
    <row r="254" spans="1:20" ht="381.75">
      <c r="A254" s="3">
        <v>2763589</v>
      </c>
      <c r="B254" s="3">
        <f>HYPERLINK("https://platform.v2.vetology.net/cases/2763589/screening-report/6?type=pdf&amp;v=v6&amp;scorecard=1&amp;secret_key=BX%25IJ%24%2F65ieZ%29f6", 2763589)</f>
        <v>2763589</v>
      </c>
      <c r="C254" s="3">
        <f>HYPERLINK("https://platform.v2.vetology.net/report/v/final/"&amp;2763589, 2763589)</f>
        <v>2763589</v>
      </c>
      <c r="D254" s="3" t="s">
        <v>1181</v>
      </c>
      <c r="E254" s="3" t="s">
        <v>1182</v>
      </c>
      <c r="F254" s="3" t="s">
        <v>1183</v>
      </c>
      <c r="G254" s="3" t="s">
        <v>179</v>
      </c>
      <c r="H254" s="3" t="s">
        <v>1184</v>
      </c>
      <c r="I254" s="3" t="s">
        <v>1185</v>
      </c>
      <c r="J254" s="3" t="s">
        <v>1186</v>
      </c>
      <c r="K254" s="3" t="s">
        <v>27</v>
      </c>
      <c r="L254" s="3" t="s">
        <v>28</v>
      </c>
      <c r="M254" s="3" t="s">
        <v>27</v>
      </c>
      <c r="N254" s="3" t="s">
        <v>28</v>
      </c>
      <c r="O254" s="3" t="s">
        <v>27</v>
      </c>
      <c r="P254" s="3" t="s">
        <v>28</v>
      </c>
      <c r="Q254" s="3" t="s">
        <v>28</v>
      </c>
      <c r="R254" s="3" t="s">
        <v>28</v>
      </c>
      <c r="S254" s="3" t="s">
        <v>28</v>
      </c>
      <c r="T254" s="3" t="s">
        <v>28</v>
      </c>
    </row>
    <row r="255" spans="1:20" ht="409.6">
      <c r="A255" s="3">
        <v>2763553</v>
      </c>
      <c r="B255" s="3">
        <f>HYPERLINK("https://platform.v2.vetology.net/cases/2763553/screening-report/6?type=pdf&amp;v=v6&amp;scorecard=1&amp;secret_key=BX%25IJ%24%2F65ieZ%29f6", 2763553)</f>
        <v>2763553</v>
      </c>
      <c r="C255" s="3">
        <f>HYPERLINK("https://platform.v2.vetology.net/report/v/final/"&amp;2763553, 2763553)</f>
        <v>2763553</v>
      </c>
      <c r="D255" s="3" t="s">
        <v>1187</v>
      </c>
      <c r="E255" s="3" t="s">
        <v>1188</v>
      </c>
      <c r="F255" s="3" t="s">
        <v>1189</v>
      </c>
      <c r="G255" s="3" t="s">
        <v>64</v>
      </c>
      <c r="H255" s="3" t="s">
        <v>1190</v>
      </c>
      <c r="I255" s="3" t="s">
        <v>1034</v>
      </c>
      <c r="J255" s="3" t="s">
        <v>1035</v>
      </c>
      <c r="K255" s="3" t="s">
        <v>28</v>
      </c>
      <c r="L255" s="3" t="s">
        <v>27</v>
      </c>
      <c r="M255" s="3" t="s">
        <v>28</v>
      </c>
      <c r="N255" s="3" t="s">
        <v>27</v>
      </c>
      <c r="O255" s="3" t="s">
        <v>28</v>
      </c>
      <c r="P255" s="3" t="s">
        <v>28</v>
      </c>
      <c r="Q255" s="3" t="s">
        <v>28</v>
      </c>
      <c r="R255" s="3" t="s">
        <v>27</v>
      </c>
      <c r="S255" s="3" t="s">
        <v>27</v>
      </c>
      <c r="T255" s="3" t="s">
        <v>27</v>
      </c>
    </row>
    <row r="256" spans="1:20" ht="305.25">
      <c r="A256" s="3">
        <v>2763543</v>
      </c>
      <c r="B256" s="3">
        <f>HYPERLINK("https://platform.v2.vetology.net/cases/2763543/screening-report/6?type=pdf&amp;v=v6&amp;scorecard=1&amp;secret_key=BX%25IJ%24%2F65ieZ%29f6", 2763543)</f>
        <v>2763543</v>
      </c>
      <c r="C256" s="3">
        <f>HYPERLINK("https://platform.v2.vetology.net/report/v/final/"&amp;2763543, 2763543)</f>
        <v>2763543</v>
      </c>
      <c r="D256" s="3" t="s">
        <v>1191</v>
      </c>
      <c r="E256" s="3" t="s">
        <v>1192</v>
      </c>
      <c r="F256" s="3" t="s">
        <v>1193</v>
      </c>
      <c r="G256" s="3" t="s">
        <v>566</v>
      </c>
      <c r="H256" s="3" t="s">
        <v>1194</v>
      </c>
      <c r="I256" s="3" t="s">
        <v>1195</v>
      </c>
      <c r="J256" s="3" t="s">
        <v>1196</v>
      </c>
      <c r="K256" s="3" t="s">
        <v>28</v>
      </c>
      <c r="L256" s="3" t="s">
        <v>28</v>
      </c>
      <c r="M256" s="3" t="s">
        <v>27</v>
      </c>
      <c r="N256" s="3" t="s">
        <v>28</v>
      </c>
      <c r="O256" s="3" t="s">
        <v>27</v>
      </c>
      <c r="P256" s="3" t="s">
        <v>28</v>
      </c>
      <c r="Q256" s="3" t="s">
        <v>28</v>
      </c>
      <c r="R256" s="3" t="s">
        <v>28</v>
      </c>
      <c r="S256" s="3" t="s">
        <v>28</v>
      </c>
      <c r="T256" s="3" t="s">
        <v>28</v>
      </c>
    </row>
    <row r="257" spans="1:20" ht="409.6">
      <c r="A257" s="3">
        <v>2763514</v>
      </c>
      <c r="B257" s="3">
        <f>HYPERLINK("https://platform.v2.vetology.net/cases/2763514/screening-report/6?type=pdf&amp;v=v6&amp;scorecard=1&amp;secret_key=BX%25IJ%24%2F65ieZ%29f6", 2763514)</f>
        <v>2763514</v>
      </c>
      <c r="C257" s="3">
        <f>HYPERLINK("https://platform.v2.vetology.net/report/v/final/"&amp;2763514, 2763514)</f>
        <v>2763514</v>
      </c>
      <c r="D257" s="3" t="s">
        <v>1197</v>
      </c>
      <c r="E257" s="3" t="s">
        <v>1198</v>
      </c>
      <c r="F257" s="3" t="s">
        <v>1199</v>
      </c>
      <c r="G257" s="3" t="s">
        <v>64</v>
      </c>
      <c r="H257" s="3" t="s">
        <v>1200</v>
      </c>
      <c r="I257" s="3" t="s">
        <v>1201</v>
      </c>
      <c r="J257" s="3" t="s">
        <v>1202</v>
      </c>
      <c r="K257" s="3" t="s">
        <v>28</v>
      </c>
      <c r="L257" s="3" t="s">
        <v>28</v>
      </c>
      <c r="M257" s="3" t="s">
        <v>28</v>
      </c>
      <c r="N257" s="3" t="s">
        <v>28</v>
      </c>
      <c r="O257" s="3" t="s">
        <v>27</v>
      </c>
      <c r="P257" s="3" t="s">
        <v>28</v>
      </c>
      <c r="Q257" s="3" t="s">
        <v>28</v>
      </c>
      <c r="R257" s="3" t="s">
        <v>28</v>
      </c>
      <c r="S257" s="3" t="s">
        <v>28</v>
      </c>
      <c r="T257" s="3" t="s">
        <v>27</v>
      </c>
    </row>
    <row r="258" spans="1:20" ht="244.5">
      <c r="A258" s="3">
        <v>2763471</v>
      </c>
      <c r="B258" s="3">
        <f>HYPERLINK("https://platform.v2.vetology.net/cases/2763471/screening-report/6?type=pdf&amp;v=v6&amp;scorecard=1&amp;secret_key=BX%25IJ%24%2F65ieZ%29f6", 2763471)</f>
        <v>2763471</v>
      </c>
      <c r="C258" s="3">
        <f>HYPERLINK("https://platform.v2.vetology.net/report/v/final/"&amp;2763471, 2763471)</f>
        <v>2763471</v>
      </c>
      <c r="D258" s="3" t="s">
        <v>1203</v>
      </c>
      <c r="E258" s="3" t="s">
        <v>1204</v>
      </c>
      <c r="F258" s="3" t="s">
        <v>1205</v>
      </c>
      <c r="G258" s="3" t="s">
        <v>100</v>
      </c>
      <c r="H258" s="3" t="s">
        <v>205</v>
      </c>
      <c r="I258" s="3" t="s">
        <v>206</v>
      </c>
      <c r="J258" s="3" t="s">
        <v>207</v>
      </c>
      <c r="K258" s="3" t="s">
        <v>27</v>
      </c>
      <c r="L258" s="3" t="s">
        <v>28</v>
      </c>
      <c r="M258" s="3" t="s">
        <v>27</v>
      </c>
      <c r="N258" s="3" t="s">
        <v>28</v>
      </c>
      <c r="O258" s="3" t="s">
        <v>27</v>
      </c>
      <c r="P258" s="3" t="s">
        <v>27</v>
      </c>
      <c r="Q258" s="3" t="s">
        <v>27</v>
      </c>
      <c r="R258" s="3" t="s">
        <v>28</v>
      </c>
      <c r="S258" s="3" t="s">
        <v>28</v>
      </c>
      <c r="T258" s="3" t="s">
        <v>28</v>
      </c>
    </row>
    <row r="259" spans="1:20" ht="366">
      <c r="A259" s="3">
        <v>2763364</v>
      </c>
      <c r="B259" s="3">
        <f>HYPERLINK("https://platform.v2.vetology.net/cases/2763364/screening-report/6?type=pdf&amp;v=v6&amp;scorecard=1&amp;secret_key=BX%25IJ%24%2F65ieZ%29f6", 2763364)</f>
        <v>2763364</v>
      </c>
      <c r="C259" s="3">
        <f>HYPERLINK("https://platform.v2.vetology.net/report/v/final/"&amp;2763364, 2763364)</f>
        <v>2763364</v>
      </c>
      <c r="D259" s="3" t="s">
        <v>1206</v>
      </c>
      <c r="E259" s="3" t="s">
        <v>1207</v>
      </c>
      <c r="F259" s="3" t="s">
        <v>1208</v>
      </c>
      <c r="G259" s="3" t="s">
        <v>186</v>
      </c>
      <c r="H259" s="3" t="s">
        <v>1209</v>
      </c>
      <c r="I259" s="3" t="s">
        <v>1210</v>
      </c>
      <c r="J259" s="3" t="s">
        <v>207</v>
      </c>
      <c r="K259" s="3" t="s">
        <v>28</v>
      </c>
      <c r="L259" s="3" t="s">
        <v>27</v>
      </c>
      <c r="M259" s="3" t="s">
        <v>27</v>
      </c>
      <c r="N259" s="3" t="s">
        <v>27</v>
      </c>
      <c r="O259" s="3" t="s">
        <v>27</v>
      </c>
      <c r="P259" s="3" t="s">
        <v>28</v>
      </c>
      <c r="Q259" s="3" t="s">
        <v>27</v>
      </c>
      <c r="R259" s="3" t="s">
        <v>27</v>
      </c>
      <c r="S259" s="3" t="s">
        <v>27</v>
      </c>
      <c r="T259" s="3" t="s">
        <v>27</v>
      </c>
    </row>
    <row r="260" spans="1:20" ht="381.75">
      <c r="A260" s="3">
        <v>2763362</v>
      </c>
      <c r="B260" s="3">
        <f>HYPERLINK("https://platform.v2.vetology.net/cases/2763362/screening-report/6?type=pdf&amp;v=v6&amp;scorecard=1&amp;secret_key=BX%25IJ%24%2F65ieZ%29f6", 2763362)</f>
        <v>2763362</v>
      </c>
      <c r="C260" s="3">
        <f>HYPERLINK("https://platform.v2.vetology.net/report/v/final/"&amp;2763362, 2763362)</f>
        <v>2763362</v>
      </c>
      <c r="D260" s="3" t="s">
        <v>1211</v>
      </c>
      <c r="E260" s="3" t="s">
        <v>1212</v>
      </c>
      <c r="F260" s="3" t="s">
        <v>1213</v>
      </c>
      <c r="G260" s="3" t="s">
        <v>566</v>
      </c>
      <c r="H260" s="3" t="s">
        <v>1214</v>
      </c>
      <c r="I260" s="3" t="s">
        <v>856</v>
      </c>
      <c r="J260" s="3" t="s">
        <v>857</v>
      </c>
      <c r="K260" s="3" t="s">
        <v>28</v>
      </c>
      <c r="L260" s="3" t="s">
        <v>28</v>
      </c>
      <c r="M260" s="3" t="s">
        <v>28</v>
      </c>
      <c r="N260" s="3" t="s">
        <v>28</v>
      </c>
      <c r="O260" s="3" t="s">
        <v>27</v>
      </c>
      <c r="P260" s="3" t="s">
        <v>28</v>
      </c>
      <c r="Q260" s="3" t="s">
        <v>28</v>
      </c>
      <c r="R260" s="3" t="s">
        <v>28</v>
      </c>
      <c r="S260" s="3" t="s">
        <v>28</v>
      </c>
      <c r="T260" s="3" t="s">
        <v>28</v>
      </c>
    </row>
    <row r="261" spans="1:20" ht="409.6">
      <c r="A261" s="3">
        <v>2763356</v>
      </c>
      <c r="B261" s="3">
        <f>HYPERLINK("https://platform.v2.vetology.net/cases/2763356/screening-report/6?type=pdf&amp;v=v6&amp;scorecard=1&amp;secret_key=BX%25IJ%24%2F65ieZ%29f6", 2763356)</f>
        <v>2763356</v>
      </c>
      <c r="C261" s="3">
        <f>HYPERLINK("https://platform.v2.vetology.net/report/v/final/"&amp;2763356, 2763356)</f>
        <v>2763356</v>
      </c>
      <c r="D261" s="3" t="s">
        <v>1215</v>
      </c>
      <c r="E261" s="3" t="s">
        <v>1216</v>
      </c>
      <c r="F261" s="3" t="s">
        <v>1217</v>
      </c>
      <c r="G261" s="3" t="s">
        <v>64</v>
      </c>
      <c r="H261" s="3" t="s">
        <v>1218</v>
      </c>
      <c r="I261" s="3" t="s">
        <v>351</v>
      </c>
      <c r="J261" s="3" t="s">
        <v>352</v>
      </c>
      <c r="K261" s="3" t="s">
        <v>28</v>
      </c>
      <c r="L261" s="3" t="s">
        <v>28</v>
      </c>
      <c r="M261" s="3" t="s">
        <v>28</v>
      </c>
      <c r="N261" s="3" t="s">
        <v>28</v>
      </c>
      <c r="O261" s="3" t="s">
        <v>28</v>
      </c>
      <c r="P261" s="3" t="s">
        <v>28</v>
      </c>
      <c r="Q261" s="3" t="s">
        <v>28</v>
      </c>
      <c r="R261" s="3" t="s">
        <v>28</v>
      </c>
      <c r="S261" s="3" t="s">
        <v>28</v>
      </c>
      <c r="T261" s="3" t="s">
        <v>27</v>
      </c>
    </row>
    <row r="262" spans="1:20" ht="409.6">
      <c r="A262" s="3">
        <v>2763339</v>
      </c>
      <c r="B262" s="3">
        <f>HYPERLINK("https://platform.v2.vetology.net/cases/2763339/screening-report/6?type=pdf&amp;v=v6&amp;scorecard=1&amp;secret_key=BX%25IJ%24%2F65ieZ%29f6", 2763339)</f>
        <v>2763339</v>
      </c>
      <c r="C262" s="3">
        <f>HYPERLINK("https://platform.v2.vetology.net/report/v/final/"&amp;2763339, 2763339)</f>
        <v>2763339</v>
      </c>
      <c r="D262" s="3" t="s">
        <v>1219</v>
      </c>
      <c r="E262" s="3" t="s">
        <v>1220</v>
      </c>
      <c r="F262" s="3" t="s">
        <v>1221</v>
      </c>
      <c r="G262" s="3" t="s">
        <v>100</v>
      </c>
      <c r="H262" s="3" t="s">
        <v>1222</v>
      </c>
      <c r="I262" s="3" t="s">
        <v>632</v>
      </c>
      <c r="J262" s="3" t="s">
        <v>1223</v>
      </c>
      <c r="K262" s="3" t="s">
        <v>28</v>
      </c>
      <c r="L262" s="3" t="s">
        <v>28</v>
      </c>
      <c r="M262" s="3" t="s">
        <v>28</v>
      </c>
      <c r="N262" s="3" t="s">
        <v>28</v>
      </c>
      <c r="O262" s="3" t="s">
        <v>27</v>
      </c>
      <c r="P262" s="3" t="s">
        <v>28</v>
      </c>
      <c r="Q262" s="3" t="s">
        <v>28</v>
      </c>
      <c r="R262" s="3" t="s">
        <v>27</v>
      </c>
      <c r="S262" s="3" t="s">
        <v>27</v>
      </c>
      <c r="T262" s="3" t="s">
        <v>27</v>
      </c>
    </row>
    <row r="263" spans="1:20" ht="396.75">
      <c r="A263" s="3">
        <v>2763205</v>
      </c>
      <c r="B263" s="3">
        <f>HYPERLINK("https://platform.v2.vetology.net/cases/2763205/screening-report/6?type=pdf&amp;v=v6&amp;scorecard=1&amp;secret_key=BX%25IJ%24%2F65ieZ%29f6", 2763205)</f>
        <v>2763205</v>
      </c>
      <c r="C263" s="3">
        <f>HYPERLINK("https://platform.v2.vetology.net/report/v/final/"&amp;2763205, 2763205)</f>
        <v>2763205</v>
      </c>
      <c r="D263" s="3" t="s">
        <v>1224</v>
      </c>
      <c r="E263" s="3" t="s">
        <v>1225</v>
      </c>
      <c r="F263" s="3" t="s">
        <v>22</v>
      </c>
      <c r="G263" s="3" t="s">
        <v>23</v>
      </c>
      <c r="H263" s="3" t="s">
        <v>1226</v>
      </c>
      <c r="I263" s="3" t="s">
        <v>1227</v>
      </c>
      <c r="J263" s="3" t="s">
        <v>1228</v>
      </c>
      <c r="K263" s="3" t="s">
        <v>28</v>
      </c>
      <c r="L263" s="3" t="s">
        <v>28</v>
      </c>
      <c r="M263" s="3" t="s">
        <v>28</v>
      </c>
      <c r="N263" s="3" t="s">
        <v>27</v>
      </c>
      <c r="O263" s="3" t="s">
        <v>27</v>
      </c>
      <c r="P263" s="3" t="s">
        <v>28</v>
      </c>
      <c r="Q263" s="3" t="s">
        <v>28</v>
      </c>
      <c r="R263" s="3" t="s">
        <v>27</v>
      </c>
      <c r="S263" s="3" t="s">
        <v>28</v>
      </c>
      <c r="T263" s="3" t="s">
        <v>27</v>
      </c>
    </row>
    <row r="264" spans="1:20" ht="381.75">
      <c r="A264" s="3">
        <v>2763148</v>
      </c>
      <c r="B264" s="3">
        <f>HYPERLINK("https://platform.v2.vetology.net/cases/2763148/screening-report/6?type=pdf&amp;v=v6&amp;scorecard=1&amp;secret_key=BX%25IJ%24%2F65ieZ%29f6", 2763148)</f>
        <v>2763148</v>
      </c>
      <c r="C264" s="3">
        <f>HYPERLINK("https://platform.v2.vetology.net/report/v/final/"&amp;2763148, 2763148)</f>
        <v>2763148</v>
      </c>
      <c r="D264" s="3" t="s">
        <v>1229</v>
      </c>
      <c r="E264" s="3" t="s">
        <v>1230</v>
      </c>
      <c r="F264" s="3" t="s">
        <v>1049</v>
      </c>
      <c r="G264" s="3" t="s">
        <v>100</v>
      </c>
      <c r="H264" s="3" t="s">
        <v>1231</v>
      </c>
      <c r="I264" s="3" t="s">
        <v>856</v>
      </c>
      <c r="J264" s="3" t="s">
        <v>857</v>
      </c>
      <c r="K264" s="3" t="s">
        <v>28</v>
      </c>
      <c r="L264" s="3" t="s">
        <v>28</v>
      </c>
      <c r="M264" s="3" t="s">
        <v>28</v>
      </c>
      <c r="N264" s="3" t="s">
        <v>28</v>
      </c>
      <c r="O264" s="3" t="s">
        <v>27</v>
      </c>
      <c r="P264" s="3" t="s">
        <v>28</v>
      </c>
      <c r="Q264" s="3" t="s">
        <v>28</v>
      </c>
      <c r="R264" s="3" t="s">
        <v>28</v>
      </c>
      <c r="S264" s="3" t="s">
        <v>28</v>
      </c>
      <c r="T264" s="3" t="s">
        <v>28</v>
      </c>
    </row>
    <row r="265" spans="1:20" ht="229.5">
      <c r="A265" s="3">
        <v>2763126</v>
      </c>
      <c r="B265" s="3">
        <f>HYPERLINK("https://platform.v2.vetology.net/cases/2763126/screening-report/6?type=pdf&amp;v=v6&amp;scorecard=1&amp;secret_key=BX%25IJ%24%2F65ieZ%29f6", 2763126)</f>
        <v>2763126</v>
      </c>
      <c r="C265" s="3">
        <f>HYPERLINK("https://platform.v2.vetology.net/report/v/final/"&amp;2763126, 2763126)</f>
        <v>2763126</v>
      </c>
      <c r="D265" s="3" t="s">
        <v>1232</v>
      </c>
      <c r="E265" s="3" t="s">
        <v>1233</v>
      </c>
      <c r="F265" s="3"/>
      <c r="G265" s="3" t="s">
        <v>122</v>
      </c>
      <c r="H265" s="3" t="s">
        <v>31</v>
      </c>
      <c r="I265" s="3" t="s">
        <v>32</v>
      </c>
      <c r="J265" s="3" t="s">
        <v>119</v>
      </c>
      <c r="K265" s="3" t="s">
        <v>28</v>
      </c>
      <c r="L265" s="3" t="s">
        <v>28</v>
      </c>
      <c r="M265" s="3" t="s">
        <v>28</v>
      </c>
      <c r="N265" s="3" t="s">
        <v>28</v>
      </c>
      <c r="O265" s="3" t="s">
        <v>28</v>
      </c>
      <c r="P265" s="3" t="s">
        <v>28</v>
      </c>
      <c r="Q265" s="3" t="s">
        <v>28</v>
      </c>
      <c r="R265" s="3" t="s">
        <v>28</v>
      </c>
      <c r="S265" s="3" t="s">
        <v>28</v>
      </c>
      <c r="T265" s="3" t="s">
        <v>28</v>
      </c>
    </row>
    <row r="266" spans="1:20" ht="275.25">
      <c r="A266" s="3">
        <v>2763124</v>
      </c>
      <c r="B266" s="3">
        <f>HYPERLINK("https://platform.v2.vetology.net/cases/2763124/screening-report/6?type=pdf&amp;v=v6&amp;scorecard=1&amp;secret_key=BX%25IJ%24%2F65ieZ%29f6", 2763124)</f>
        <v>2763124</v>
      </c>
      <c r="C266" s="3">
        <f>HYPERLINK("https://platform.v2.vetology.net/report/v/final/"&amp;2763124, 2763124)</f>
        <v>2763124</v>
      </c>
      <c r="D266" s="3" t="s">
        <v>1234</v>
      </c>
      <c r="E266" s="3" t="s">
        <v>1235</v>
      </c>
      <c r="F266" s="3"/>
      <c r="G266" s="3" t="s">
        <v>122</v>
      </c>
      <c r="H266" s="3" t="s">
        <v>223</v>
      </c>
      <c r="I266" s="3" t="s">
        <v>224</v>
      </c>
      <c r="J266" s="3" t="s">
        <v>225</v>
      </c>
      <c r="K266" s="3" t="s">
        <v>27</v>
      </c>
      <c r="L266" s="3" t="s">
        <v>28</v>
      </c>
      <c r="M266" s="3" t="s">
        <v>28</v>
      </c>
      <c r="N266" s="3" t="s">
        <v>28</v>
      </c>
      <c r="O266" s="3" t="s">
        <v>28</v>
      </c>
      <c r="P266" s="3" t="s">
        <v>28</v>
      </c>
      <c r="Q266" s="3" t="s">
        <v>28</v>
      </c>
      <c r="R266" s="3" t="s">
        <v>28</v>
      </c>
      <c r="S266" s="3" t="s">
        <v>28</v>
      </c>
      <c r="T266" s="3" t="s">
        <v>27</v>
      </c>
    </row>
    <row r="267" spans="1:20" ht="244.5">
      <c r="A267" s="3">
        <v>2763122</v>
      </c>
      <c r="B267" s="3">
        <f>HYPERLINK("https://platform.v2.vetology.net/cases/2763122/screening-report/6?type=pdf&amp;v=v6&amp;scorecard=1&amp;secret_key=BX%25IJ%24%2F65ieZ%29f6", 2763122)</f>
        <v>2763122</v>
      </c>
      <c r="C267" s="3">
        <f>HYPERLINK("https://platform.v2.vetology.net/report/v/final/"&amp;2763122, 2763122)</f>
        <v>2763122</v>
      </c>
      <c r="D267" s="3" t="s">
        <v>1236</v>
      </c>
      <c r="E267" s="3" t="s">
        <v>1237</v>
      </c>
      <c r="F267" s="3"/>
      <c r="G267" s="3" t="s">
        <v>122</v>
      </c>
      <c r="H267" s="3" t="s">
        <v>1238</v>
      </c>
      <c r="I267" s="3" t="s">
        <v>206</v>
      </c>
      <c r="J267" s="3" t="s">
        <v>207</v>
      </c>
      <c r="K267" s="3" t="s">
        <v>27</v>
      </c>
      <c r="L267" s="3" t="s">
        <v>28</v>
      </c>
      <c r="M267" s="3" t="s">
        <v>28</v>
      </c>
      <c r="N267" s="3" t="s">
        <v>28</v>
      </c>
      <c r="O267" s="3" t="s">
        <v>27</v>
      </c>
      <c r="P267" s="3" t="s">
        <v>28</v>
      </c>
      <c r="Q267" s="3" t="s">
        <v>27</v>
      </c>
      <c r="R267" s="3" t="s">
        <v>28</v>
      </c>
      <c r="S267" s="3" t="s">
        <v>28</v>
      </c>
      <c r="T267" s="3" t="s">
        <v>28</v>
      </c>
    </row>
    <row r="268" spans="1:20" ht="409.6">
      <c r="A268" s="3">
        <v>2763062</v>
      </c>
      <c r="B268" s="3">
        <f>HYPERLINK("https://platform.v2.vetology.net/cases/2763062/screening-report/6?type=pdf&amp;v=v6&amp;scorecard=1&amp;secret_key=BX%25IJ%24%2F65ieZ%29f6", 2763062)</f>
        <v>2763062</v>
      </c>
      <c r="C268" s="3">
        <f>HYPERLINK("https://platform.v2.vetology.net/report/v/final/"&amp;2763062, 2763062)</f>
        <v>2763062</v>
      </c>
      <c r="D268" s="3" t="s">
        <v>1239</v>
      </c>
      <c r="E268" s="3" t="s">
        <v>1240</v>
      </c>
      <c r="F268" s="3" t="s">
        <v>1241</v>
      </c>
      <c r="G268" s="3" t="s">
        <v>211</v>
      </c>
      <c r="H268" s="3" t="s">
        <v>1242</v>
      </c>
      <c r="I268" s="3" t="s">
        <v>1243</v>
      </c>
      <c r="J268" s="3" t="s">
        <v>154</v>
      </c>
      <c r="K268" s="3" t="s">
        <v>27</v>
      </c>
      <c r="L268" s="3" t="s">
        <v>27</v>
      </c>
      <c r="M268" s="3" t="s">
        <v>28</v>
      </c>
      <c r="N268" s="3" t="s">
        <v>28</v>
      </c>
      <c r="O268" s="3" t="s">
        <v>27</v>
      </c>
      <c r="P268" s="3" t="s">
        <v>28</v>
      </c>
      <c r="Q268" s="3" t="s">
        <v>28</v>
      </c>
      <c r="R268" s="3" t="s">
        <v>28</v>
      </c>
      <c r="S268" s="3" t="s">
        <v>28</v>
      </c>
      <c r="T268" s="3" t="s">
        <v>28</v>
      </c>
    </row>
    <row r="269" spans="1:20" ht="409.6">
      <c r="A269" s="3">
        <v>2763059</v>
      </c>
      <c r="B269" s="3">
        <f>HYPERLINK("https://platform.v2.vetology.net/cases/2763059/screening-report/6?type=pdf&amp;v=v6&amp;scorecard=1&amp;secret_key=BX%25IJ%24%2F65ieZ%29f6", 2763059)</f>
        <v>2763059</v>
      </c>
      <c r="C269" s="3">
        <f>HYPERLINK("https://platform.v2.vetology.net/report/v/final/"&amp;2763059, 2763059)</f>
        <v>2763059</v>
      </c>
      <c r="D269" s="3" t="s">
        <v>1244</v>
      </c>
      <c r="E269" s="3" t="s">
        <v>1245</v>
      </c>
      <c r="F269" s="3" t="s">
        <v>1246</v>
      </c>
      <c r="G269" s="3" t="s">
        <v>64</v>
      </c>
      <c r="H269" s="3" t="s">
        <v>1247</v>
      </c>
      <c r="I269" s="3" t="s">
        <v>1248</v>
      </c>
      <c r="J269" s="3" t="s">
        <v>325</v>
      </c>
      <c r="K269" s="3" t="s">
        <v>28</v>
      </c>
      <c r="L269" s="3" t="s">
        <v>28</v>
      </c>
      <c r="M269" s="3" t="s">
        <v>27</v>
      </c>
      <c r="N269" s="3" t="s">
        <v>28</v>
      </c>
      <c r="O269" s="3" t="s">
        <v>28</v>
      </c>
      <c r="P269" s="3" t="s">
        <v>28</v>
      </c>
      <c r="Q269" s="3" t="s">
        <v>28</v>
      </c>
      <c r="R269" s="3" t="s">
        <v>28</v>
      </c>
      <c r="S269" s="3" t="s">
        <v>28</v>
      </c>
      <c r="T269" s="3" t="s">
        <v>28</v>
      </c>
    </row>
    <row r="270" spans="1:20" ht="381.75">
      <c r="A270" s="3">
        <v>2763033</v>
      </c>
      <c r="B270" s="3">
        <f>HYPERLINK("https://platform.v2.vetology.net/cases/2763033/screening-report/6?type=pdf&amp;v=v6&amp;scorecard=1&amp;secret_key=BX%25IJ%24%2F65ieZ%29f6", 2763033)</f>
        <v>2763033</v>
      </c>
      <c r="C270" s="3">
        <f>HYPERLINK("https://platform.v2.vetology.net/report/v/final/"&amp;2763033, 2763033)</f>
        <v>2763033</v>
      </c>
      <c r="D270" s="3" t="s">
        <v>1249</v>
      </c>
      <c r="E270" s="3" t="s">
        <v>1250</v>
      </c>
      <c r="F270" s="3" t="s">
        <v>1251</v>
      </c>
      <c r="G270" s="3" t="s">
        <v>64</v>
      </c>
      <c r="H270" s="3" t="s">
        <v>1252</v>
      </c>
      <c r="I270" s="3" t="s">
        <v>279</v>
      </c>
      <c r="J270" s="3" t="s">
        <v>280</v>
      </c>
      <c r="K270" s="3" t="s">
        <v>28</v>
      </c>
      <c r="L270" s="3" t="s">
        <v>28</v>
      </c>
      <c r="M270" s="3" t="s">
        <v>28</v>
      </c>
      <c r="N270" s="3" t="s">
        <v>28</v>
      </c>
      <c r="O270" s="3" t="s">
        <v>27</v>
      </c>
      <c r="P270" s="3" t="s">
        <v>28</v>
      </c>
      <c r="Q270" s="3" t="s">
        <v>28</v>
      </c>
      <c r="R270" s="3" t="s">
        <v>28</v>
      </c>
      <c r="S270" s="3" t="s">
        <v>28</v>
      </c>
      <c r="T270" s="3" t="s">
        <v>27</v>
      </c>
    </row>
    <row r="271" spans="1:20" ht="409.6">
      <c r="A271" s="3">
        <v>2762957</v>
      </c>
      <c r="B271" s="3">
        <f>HYPERLINK("https://platform.v2.vetology.net/cases/2762957/screening-report/6?type=pdf&amp;v=v6&amp;scorecard=1&amp;secret_key=BX%25IJ%24%2F65ieZ%29f6", 2762957)</f>
        <v>2762957</v>
      </c>
      <c r="C271" s="3">
        <f>HYPERLINK("https://platform.v2.vetology.net/report/v/final/"&amp;2762957, 2762957)</f>
        <v>2762957</v>
      </c>
      <c r="D271" s="3" t="s">
        <v>1253</v>
      </c>
      <c r="E271" s="3" t="s">
        <v>1254</v>
      </c>
      <c r="F271" s="3" t="s">
        <v>1255</v>
      </c>
      <c r="G271" s="3" t="s">
        <v>566</v>
      </c>
      <c r="H271" s="3" t="s">
        <v>595</v>
      </c>
      <c r="I271" s="3" t="s">
        <v>596</v>
      </c>
      <c r="J271" s="3" t="s">
        <v>597</v>
      </c>
      <c r="K271" s="3" t="s">
        <v>28</v>
      </c>
      <c r="L271" s="3" t="s">
        <v>28</v>
      </c>
      <c r="M271" s="3" t="s">
        <v>28</v>
      </c>
      <c r="N271" s="3" t="s">
        <v>27</v>
      </c>
      <c r="O271" s="3" t="s">
        <v>28</v>
      </c>
      <c r="P271" s="3" t="s">
        <v>28</v>
      </c>
      <c r="Q271" s="3" t="s">
        <v>28</v>
      </c>
      <c r="R271" s="3" t="s">
        <v>27</v>
      </c>
      <c r="S271" s="3" t="s">
        <v>28</v>
      </c>
      <c r="T271" s="3" t="s">
        <v>27</v>
      </c>
    </row>
    <row r="272" spans="1:20" ht="409.6">
      <c r="A272" s="3">
        <v>2762936</v>
      </c>
      <c r="B272" s="3">
        <f>HYPERLINK("https://platform.v2.vetology.net/cases/2762936/screening-report/6?type=pdf&amp;v=v6&amp;scorecard=1&amp;secret_key=BX%25IJ%24%2F65ieZ%29f6", 2762936)</f>
        <v>2762936</v>
      </c>
      <c r="C272" s="3">
        <f>HYPERLINK("https://platform.v2.vetology.net/report/v/final/"&amp;2762936, 2762936)</f>
        <v>2762936</v>
      </c>
      <c r="D272" s="3" t="s">
        <v>1256</v>
      </c>
      <c r="E272" s="3" t="s">
        <v>1257</v>
      </c>
      <c r="F272" s="3" t="s">
        <v>1258</v>
      </c>
      <c r="G272" s="3" t="s">
        <v>64</v>
      </c>
      <c r="H272" s="3" t="s">
        <v>1259</v>
      </c>
      <c r="I272" s="3"/>
      <c r="J272" s="3" t="s">
        <v>207</v>
      </c>
      <c r="K272" s="3" t="s">
        <v>28</v>
      </c>
      <c r="L272" s="3" t="s">
        <v>28</v>
      </c>
      <c r="M272" s="3" t="s">
        <v>28</v>
      </c>
      <c r="N272" s="3" t="s">
        <v>28</v>
      </c>
      <c r="O272" s="3" t="s">
        <v>27</v>
      </c>
      <c r="P272" s="3" t="s">
        <v>28</v>
      </c>
      <c r="Q272" s="3" t="s">
        <v>28</v>
      </c>
      <c r="R272" s="3" t="s">
        <v>28</v>
      </c>
      <c r="S272" s="3" t="s">
        <v>28</v>
      </c>
      <c r="T272" s="3" t="s">
        <v>27</v>
      </c>
    </row>
    <row r="273" spans="1:20" ht="409.6">
      <c r="A273" s="3">
        <v>2762848</v>
      </c>
      <c r="B273" s="3">
        <f>HYPERLINK("https://platform.v2.vetology.net/cases/2762848/screening-report/6?type=pdf&amp;v=v6&amp;scorecard=1&amp;secret_key=BX%25IJ%24%2F65ieZ%29f6", 2762848)</f>
        <v>2762848</v>
      </c>
      <c r="C273" s="3">
        <f>HYPERLINK("https://platform.v2.vetology.net/report/v/final/"&amp;2762848, 2762848)</f>
        <v>2762848</v>
      </c>
      <c r="D273" s="3" t="s">
        <v>1260</v>
      </c>
      <c r="E273" s="3" t="s">
        <v>1261</v>
      </c>
      <c r="F273" s="3" t="s">
        <v>1262</v>
      </c>
      <c r="G273" s="3" t="s">
        <v>566</v>
      </c>
      <c r="H273" s="3" t="s">
        <v>1263</v>
      </c>
      <c r="I273" s="3" t="s">
        <v>678</v>
      </c>
      <c r="J273" s="3" t="s">
        <v>1264</v>
      </c>
      <c r="K273" s="3" t="s">
        <v>27</v>
      </c>
      <c r="L273" s="3" t="s">
        <v>27</v>
      </c>
      <c r="M273" s="3" t="s">
        <v>28</v>
      </c>
      <c r="N273" s="3" t="s">
        <v>27</v>
      </c>
      <c r="O273" s="3" t="s">
        <v>27</v>
      </c>
      <c r="P273" s="3" t="s">
        <v>28</v>
      </c>
      <c r="Q273" s="3" t="s">
        <v>27</v>
      </c>
      <c r="R273" s="3" t="s">
        <v>27</v>
      </c>
      <c r="S273" s="3" t="s">
        <v>27</v>
      </c>
      <c r="T273" s="3" t="s">
        <v>27</v>
      </c>
    </row>
    <row r="274" spans="1:20" ht="259.5">
      <c r="A274" s="3">
        <v>2762845</v>
      </c>
      <c r="B274" s="3">
        <f>HYPERLINK("https://platform.v2.vetology.net/cases/2762845/screening-report/6?type=pdf&amp;v=v6&amp;scorecard=1&amp;secret_key=BX%25IJ%24%2F65ieZ%29f6", 2762845)</f>
        <v>2762845</v>
      </c>
      <c r="C274" s="3">
        <f>HYPERLINK("https://platform.v2.vetology.net/report/v/final/"&amp;2762845, 2762845)</f>
        <v>2762845</v>
      </c>
      <c r="D274" s="3" t="s">
        <v>1265</v>
      </c>
      <c r="E274" s="3" t="s">
        <v>1266</v>
      </c>
      <c r="F274" s="3" t="s">
        <v>1267</v>
      </c>
      <c r="G274" s="3" t="s">
        <v>186</v>
      </c>
      <c r="H274" s="3" t="s">
        <v>1268</v>
      </c>
      <c r="I274" s="3" t="s">
        <v>261</v>
      </c>
      <c r="J274" s="3" t="s">
        <v>262</v>
      </c>
      <c r="K274" s="3" t="s">
        <v>28</v>
      </c>
      <c r="L274" s="3" t="s">
        <v>28</v>
      </c>
      <c r="M274" s="3" t="s">
        <v>28</v>
      </c>
      <c r="N274" s="3" t="s">
        <v>28</v>
      </c>
      <c r="O274" s="3" t="s">
        <v>27</v>
      </c>
      <c r="P274" s="3" t="s">
        <v>28</v>
      </c>
      <c r="Q274" s="3" t="s">
        <v>28</v>
      </c>
      <c r="R274" s="3" t="s">
        <v>28</v>
      </c>
      <c r="S274" s="3" t="s">
        <v>28</v>
      </c>
      <c r="T274" s="3" t="s">
        <v>28</v>
      </c>
    </row>
    <row r="275" spans="1:20" ht="366">
      <c r="A275" s="3">
        <v>2762827</v>
      </c>
      <c r="B275" s="3">
        <f>HYPERLINK("https://platform.v2.vetology.net/cases/2762827/screening-report/6?type=pdf&amp;v=v6&amp;scorecard=1&amp;secret_key=BX%25IJ%24%2F65ieZ%29f6", 2762827)</f>
        <v>2762827</v>
      </c>
      <c r="C275" s="3">
        <f>HYPERLINK("https://platform.v2.vetology.net/report/v/final/"&amp;2762827, 2762827)</f>
        <v>2762827</v>
      </c>
      <c r="D275" s="3" t="s">
        <v>1269</v>
      </c>
      <c r="E275" s="3" t="s">
        <v>1270</v>
      </c>
      <c r="F275" s="3" t="s">
        <v>22</v>
      </c>
      <c r="G275" s="3" t="s">
        <v>23</v>
      </c>
      <c r="H275" s="3" t="s">
        <v>1271</v>
      </c>
      <c r="I275" s="3" t="s">
        <v>883</v>
      </c>
      <c r="J275" s="3" t="s">
        <v>884</v>
      </c>
      <c r="K275" s="3" t="s">
        <v>28</v>
      </c>
      <c r="L275" s="3" t="s">
        <v>28</v>
      </c>
      <c r="M275" s="3" t="s">
        <v>28</v>
      </c>
      <c r="N275" s="3" t="s">
        <v>28</v>
      </c>
      <c r="O275" s="3" t="s">
        <v>28</v>
      </c>
      <c r="P275" s="3" t="s">
        <v>28</v>
      </c>
      <c r="Q275" s="3" t="s">
        <v>28</v>
      </c>
      <c r="R275" s="3" t="s">
        <v>28</v>
      </c>
      <c r="S275" s="3" t="s">
        <v>28</v>
      </c>
      <c r="T275" s="3" t="s">
        <v>28</v>
      </c>
    </row>
    <row r="276" spans="1:20" ht="336">
      <c r="A276" s="3">
        <v>2762765</v>
      </c>
      <c r="B276" s="3">
        <f>HYPERLINK("https://platform.v2.vetology.net/cases/2762765/screening-report/6?type=pdf&amp;v=v6&amp;scorecard=1&amp;secret_key=BX%25IJ%24%2F65ieZ%29f6", 2762765)</f>
        <v>2762765</v>
      </c>
      <c r="C276" s="3">
        <f>HYPERLINK("https://platform.v2.vetology.net/report/v/final/"&amp;2762765, 2762765)</f>
        <v>2762765</v>
      </c>
      <c r="D276" s="3" t="s">
        <v>1272</v>
      </c>
      <c r="E276" s="3" t="s">
        <v>1273</v>
      </c>
      <c r="F276" s="3" t="s">
        <v>1274</v>
      </c>
      <c r="G276" s="3" t="s">
        <v>186</v>
      </c>
      <c r="H276" s="3" t="s">
        <v>1275</v>
      </c>
      <c r="I276" s="3" t="s">
        <v>200</v>
      </c>
      <c r="J276" s="3" t="s">
        <v>201</v>
      </c>
      <c r="K276" s="3" t="s">
        <v>27</v>
      </c>
      <c r="L276" s="3" t="s">
        <v>28</v>
      </c>
      <c r="M276" s="3" t="s">
        <v>28</v>
      </c>
      <c r="N276" s="3" t="s">
        <v>28</v>
      </c>
      <c r="O276" s="3" t="s">
        <v>27</v>
      </c>
      <c r="P276" s="3" t="s">
        <v>28</v>
      </c>
      <c r="Q276" s="3" t="s">
        <v>27</v>
      </c>
      <c r="R276" s="3" t="s">
        <v>28</v>
      </c>
      <c r="S276" s="3" t="s">
        <v>28</v>
      </c>
      <c r="T276" s="3" t="s">
        <v>28</v>
      </c>
    </row>
    <row r="277" spans="1:20" ht="275.25">
      <c r="A277" s="3">
        <v>2762747</v>
      </c>
      <c r="B277" s="3">
        <f>HYPERLINK("https://platform.v2.vetology.net/cases/2762747/screening-report/6?type=pdf&amp;v=v6&amp;scorecard=1&amp;secret_key=BX%25IJ%24%2F65ieZ%29f6", 2762747)</f>
        <v>2762747</v>
      </c>
      <c r="C277" s="3">
        <f>HYPERLINK("https://platform.v2.vetology.net/report/v/final/"&amp;2762747, 2762747)</f>
        <v>2762747</v>
      </c>
      <c r="D277" s="3" t="s">
        <v>1276</v>
      </c>
      <c r="E277" s="3" t="s">
        <v>1277</v>
      </c>
      <c r="F277" s="3" t="s">
        <v>1278</v>
      </c>
      <c r="G277" s="3" t="s">
        <v>100</v>
      </c>
      <c r="H277" s="3" t="s">
        <v>31</v>
      </c>
      <c r="I277" s="3" t="s">
        <v>32</v>
      </c>
      <c r="J277" s="3" t="s">
        <v>847</v>
      </c>
      <c r="K277" s="3" t="s">
        <v>28</v>
      </c>
      <c r="L277" s="3" t="s">
        <v>28</v>
      </c>
      <c r="M277" s="3" t="s">
        <v>28</v>
      </c>
      <c r="N277" s="3" t="s">
        <v>28</v>
      </c>
      <c r="O277" s="3" t="s">
        <v>27</v>
      </c>
      <c r="P277" s="3" t="s">
        <v>28</v>
      </c>
      <c r="Q277" s="3" t="s">
        <v>28</v>
      </c>
      <c r="R277" s="3" t="s">
        <v>28</v>
      </c>
      <c r="S277" s="3" t="s">
        <v>28</v>
      </c>
      <c r="T277" s="3" t="s">
        <v>28</v>
      </c>
    </row>
    <row r="278" spans="1:20" ht="409.6">
      <c r="A278" s="3">
        <v>2762743</v>
      </c>
      <c r="B278" s="3">
        <f>HYPERLINK("https://platform.v2.vetology.net/cases/2762743/screening-report/6?type=pdf&amp;v=v6&amp;scorecard=1&amp;secret_key=BX%25IJ%24%2F65ieZ%29f6", 2762743)</f>
        <v>2762743</v>
      </c>
      <c r="C278" s="3">
        <f>HYPERLINK("https://platform.v2.vetology.net/report/v/final/"&amp;2762743, 2762743)</f>
        <v>2762743</v>
      </c>
      <c r="D278" s="3" t="s">
        <v>1279</v>
      </c>
      <c r="E278" s="3" t="s">
        <v>1280</v>
      </c>
      <c r="F278" s="3" t="s">
        <v>1281</v>
      </c>
      <c r="G278" s="3" t="s">
        <v>566</v>
      </c>
      <c r="H278" s="3" t="s">
        <v>601</v>
      </c>
      <c r="I278" s="3" t="s">
        <v>129</v>
      </c>
      <c r="J278" s="3" t="s">
        <v>119</v>
      </c>
      <c r="K278" s="3" t="s">
        <v>28</v>
      </c>
      <c r="L278" s="3" t="s">
        <v>28</v>
      </c>
      <c r="M278" s="3" t="s">
        <v>28</v>
      </c>
      <c r="N278" s="3" t="s">
        <v>28</v>
      </c>
      <c r="O278" s="3" t="s">
        <v>27</v>
      </c>
      <c r="P278" s="3" t="s">
        <v>28</v>
      </c>
      <c r="Q278" s="3" t="s">
        <v>28</v>
      </c>
      <c r="R278" s="3" t="s">
        <v>28</v>
      </c>
      <c r="S278" s="3" t="s">
        <v>28</v>
      </c>
      <c r="T278" s="3" t="s">
        <v>28</v>
      </c>
    </row>
    <row r="279" spans="1:20" ht="409.6">
      <c r="A279" s="3">
        <v>2762740</v>
      </c>
      <c r="B279" s="3">
        <f>HYPERLINK("https://platform.v2.vetology.net/cases/2762740/screening-report/6?type=pdf&amp;v=v6&amp;scorecard=1&amp;secret_key=BX%25IJ%24%2F65ieZ%29f6", 2762740)</f>
        <v>2762740</v>
      </c>
      <c r="C279" s="3">
        <f>HYPERLINK("https://platform.v2.vetology.net/report/v/final/"&amp;2762740, 2762740)</f>
        <v>2762740</v>
      </c>
      <c r="D279" s="3" t="s">
        <v>1282</v>
      </c>
      <c r="E279" s="3" t="s">
        <v>1283</v>
      </c>
      <c r="F279" s="3" t="s">
        <v>1284</v>
      </c>
      <c r="G279" s="3" t="s">
        <v>211</v>
      </c>
      <c r="H279" s="3" t="s">
        <v>1285</v>
      </c>
      <c r="I279" s="3" t="s">
        <v>1201</v>
      </c>
      <c r="J279" s="3" t="s">
        <v>1202</v>
      </c>
      <c r="K279" s="3" t="s">
        <v>28</v>
      </c>
      <c r="L279" s="3" t="s">
        <v>28</v>
      </c>
      <c r="M279" s="3" t="s">
        <v>28</v>
      </c>
      <c r="N279" s="3" t="s">
        <v>28</v>
      </c>
      <c r="O279" s="3" t="s">
        <v>28</v>
      </c>
      <c r="P279" s="3" t="s">
        <v>28</v>
      </c>
      <c r="Q279" s="3" t="s">
        <v>28</v>
      </c>
      <c r="R279" s="3" t="s">
        <v>28</v>
      </c>
      <c r="S279" s="3" t="s">
        <v>28</v>
      </c>
      <c r="T279" s="3" t="s">
        <v>28</v>
      </c>
    </row>
    <row r="280" spans="1:20" ht="409.6">
      <c r="A280" s="3">
        <v>2762736</v>
      </c>
      <c r="B280" s="3">
        <f>HYPERLINK("https://platform.v2.vetology.net/cases/2762736/screening-report/6?type=pdf&amp;v=v6&amp;scorecard=1&amp;secret_key=BX%25IJ%24%2F65ieZ%29f6", 2762736)</f>
        <v>2762736</v>
      </c>
      <c r="C280" s="3">
        <f>HYPERLINK("https://platform.v2.vetology.net/report/v/final/"&amp;2762736, 2762736)</f>
        <v>2762736</v>
      </c>
      <c r="D280" s="3" t="s">
        <v>1286</v>
      </c>
      <c r="E280" s="3" t="s">
        <v>1287</v>
      </c>
      <c r="F280" s="3" t="s">
        <v>1288</v>
      </c>
      <c r="G280" s="3" t="s">
        <v>64</v>
      </c>
      <c r="H280" s="3" t="s">
        <v>315</v>
      </c>
      <c r="I280" s="3" t="s">
        <v>316</v>
      </c>
      <c r="J280" s="3" t="s">
        <v>317</v>
      </c>
      <c r="K280" s="3" t="s">
        <v>28</v>
      </c>
      <c r="L280" s="3" t="s">
        <v>28</v>
      </c>
      <c r="M280" s="3" t="s">
        <v>28</v>
      </c>
      <c r="N280" s="3" t="s">
        <v>28</v>
      </c>
      <c r="O280" s="3" t="s">
        <v>27</v>
      </c>
      <c r="P280" s="3" t="s">
        <v>28</v>
      </c>
      <c r="Q280" s="3" t="s">
        <v>28</v>
      </c>
      <c r="R280" s="3" t="s">
        <v>28</v>
      </c>
      <c r="S280" s="3" t="s">
        <v>28</v>
      </c>
      <c r="T280" s="3" t="s">
        <v>28</v>
      </c>
    </row>
    <row r="281" spans="1:20" ht="381.75">
      <c r="A281" s="3">
        <v>2762722</v>
      </c>
      <c r="B281" s="3">
        <f>HYPERLINK("https://platform.v2.vetology.net/cases/2762722/screening-report/6?type=pdf&amp;v=v6&amp;scorecard=1&amp;secret_key=BX%25IJ%24%2F65ieZ%29f6", 2762722)</f>
        <v>2762722</v>
      </c>
      <c r="C281" s="3">
        <f>HYPERLINK("https://platform.v2.vetology.net/report/v/final/"&amp;2762722, 2762722)</f>
        <v>2762722</v>
      </c>
      <c r="D281" s="3" t="s">
        <v>1289</v>
      </c>
      <c r="E281" s="3" t="s">
        <v>1290</v>
      </c>
      <c r="F281" s="3" t="s">
        <v>1291</v>
      </c>
      <c r="G281" s="3" t="s">
        <v>100</v>
      </c>
      <c r="H281" s="3" t="s">
        <v>1292</v>
      </c>
      <c r="I281" s="3" t="s">
        <v>392</v>
      </c>
      <c r="J281" s="3" t="s">
        <v>393</v>
      </c>
      <c r="K281" s="3" t="s">
        <v>28</v>
      </c>
      <c r="L281" s="3" t="s">
        <v>28</v>
      </c>
      <c r="M281" s="3" t="s">
        <v>28</v>
      </c>
      <c r="N281" s="3" t="s">
        <v>27</v>
      </c>
      <c r="O281" s="3" t="s">
        <v>28</v>
      </c>
      <c r="P281" s="3" t="s">
        <v>28</v>
      </c>
      <c r="Q281" s="3" t="s">
        <v>28</v>
      </c>
      <c r="R281" s="3" t="s">
        <v>28</v>
      </c>
      <c r="S281" s="3" t="s">
        <v>28</v>
      </c>
      <c r="T281" s="3" t="s">
        <v>27</v>
      </c>
    </row>
    <row r="282" spans="1:20" ht="409.6">
      <c r="A282" s="3">
        <v>2762680</v>
      </c>
      <c r="B282" s="3">
        <f>HYPERLINK("https://platform.v2.vetology.net/cases/2762680/screening-report/6?type=pdf&amp;v=v6&amp;scorecard=1&amp;secret_key=BX%25IJ%24%2F65ieZ%29f6", 2762680)</f>
        <v>2762680</v>
      </c>
      <c r="C282" s="3">
        <f>HYPERLINK("https://platform.v2.vetology.net/report/v/final/"&amp;2762680, 2762680)</f>
        <v>2762680</v>
      </c>
      <c r="D282" s="3" t="s">
        <v>1293</v>
      </c>
      <c r="E282" s="3" t="s">
        <v>1294</v>
      </c>
      <c r="F282" s="3" t="s">
        <v>1295</v>
      </c>
      <c r="G282" s="3" t="s">
        <v>211</v>
      </c>
      <c r="H282" s="3" t="s">
        <v>1296</v>
      </c>
      <c r="I282" s="3" t="s">
        <v>316</v>
      </c>
      <c r="J282" s="3" t="s">
        <v>317</v>
      </c>
      <c r="K282" s="3" t="s">
        <v>28</v>
      </c>
      <c r="L282" s="3" t="s">
        <v>28</v>
      </c>
      <c r="M282" s="3" t="s">
        <v>28</v>
      </c>
      <c r="N282" s="3" t="s">
        <v>28</v>
      </c>
      <c r="O282" s="3" t="s">
        <v>27</v>
      </c>
      <c r="P282" s="3" t="s">
        <v>28</v>
      </c>
      <c r="Q282" s="3" t="s">
        <v>28</v>
      </c>
      <c r="R282" s="3" t="s">
        <v>28</v>
      </c>
      <c r="S282" s="3" t="s">
        <v>28</v>
      </c>
      <c r="T282" s="3" t="s">
        <v>28</v>
      </c>
    </row>
    <row r="283" spans="1:20" ht="381.75">
      <c r="A283" s="3">
        <v>2762632</v>
      </c>
      <c r="B283" s="3">
        <f>HYPERLINK("https://platform.v2.vetology.net/cases/2762632/screening-report/6?type=pdf&amp;v=v6&amp;scorecard=1&amp;secret_key=BX%25IJ%24%2F65ieZ%29f6", 2762632)</f>
        <v>2762632</v>
      </c>
      <c r="C283" s="3">
        <f>HYPERLINK("https://platform.v2.vetology.net/report/v/final/"&amp;2762632, 2762632)</f>
        <v>2762632</v>
      </c>
      <c r="D283" s="3" t="s">
        <v>1297</v>
      </c>
      <c r="E283" s="3" t="s">
        <v>1298</v>
      </c>
      <c r="F283" s="3" t="s">
        <v>1299</v>
      </c>
      <c r="G283" s="3" t="s">
        <v>566</v>
      </c>
      <c r="H283" s="3" t="s">
        <v>590</v>
      </c>
      <c r="I283" s="3" t="s">
        <v>291</v>
      </c>
      <c r="J283" s="3" t="s">
        <v>225</v>
      </c>
      <c r="K283" s="3" t="s">
        <v>28</v>
      </c>
      <c r="L283" s="3" t="s">
        <v>28</v>
      </c>
      <c r="M283" s="3" t="s">
        <v>28</v>
      </c>
      <c r="N283" s="3" t="s">
        <v>27</v>
      </c>
      <c r="O283" s="3" t="s">
        <v>28</v>
      </c>
      <c r="P283" s="3" t="s">
        <v>28</v>
      </c>
      <c r="Q283" s="3" t="s">
        <v>28</v>
      </c>
      <c r="R283" s="3" t="s">
        <v>27</v>
      </c>
      <c r="S283" s="3" t="s">
        <v>27</v>
      </c>
      <c r="T283" s="3" t="s">
        <v>27</v>
      </c>
    </row>
    <row r="284" spans="1:20" ht="409.6">
      <c r="A284" s="3">
        <v>2762604</v>
      </c>
      <c r="B284" s="3">
        <f>HYPERLINK("https://platform.v2.vetology.net/cases/2762604/screening-report/6?type=pdf&amp;v=v6&amp;scorecard=1&amp;secret_key=BX%25IJ%24%2F65ieZ%29f6", 2762604)</f>
        <v>2762604</v>
      </c>
      <c r="C284" s="3">
        <f>HYPERLINK("https://platform.v2.vetology.net/report/v/final/"&amp;2762604, 2762604)</f>
        <v>2762604</v>
      </c>
      <c r="D284" s="3" t="s">
        <v>1300</v>
      </c>
      <c r="E284" s="3" t="s">
        <v>1301</v>
      </c>
      <c r="F284" s="3" t="s">
        <v>1302</v>
      </c>
      <c r="G284" s="3" t="s">
        <v>211</v>
      </c>
      <c r="H284" s="3" t="s">
        <v>1303</v>
      </c>
      <c r="I284" s="3" t="s">
        <v>72</v>
      </c>
      <c r="J284" s="3" t="s">
        <v>363</v>
      </c>
      <c r="K284" s="3" t="s">
        <v>28</v>
      </c>
      <c r="L284" s="3" t="s">
        <v>28</v>
      </c>
      <c r="M284" s="3" t="s">
        <v>28</v>
      </c>
      <c r="N284" s="3" t="s">
        <v>27</v>
      </c>
      <c r="O284" s="3" t="s">
        <v>27</v>
      </c>
      <c r="P284" s="3" t="s">
        <v>28</v>
      </c>
      <c r="Q284" s="3" t="s">
        <v>28</v>
      </c>
      <c r="R284" s="3" t="s">
        <v>28</v>
      </c>
      <c r="S284" s="3" t="s">
        <v>28</v>
      </c>
      <c r="T284" s="3" t="s">
        <v>27</v>
      </c>
    </row>
    <row r="285" spans="1:20" ht="396.75">
      <c r="A285" s="3">
        <v>2762577</v>
      </c>
      <c r="B285" s="3">
        <f>HYPERLINK("https://platform.v2.vetology.net/cases/2762577/screening-report/6?type=pdf&amp;v=v6&amp;scorecard=1&amp;secret_key=BX%25IJ%24%2F65ieZ%29f6", 2762577)</f>
        <v>2762577</v>
      </c>
      <c r="C285" s="3">
        <f>HYPERLINK("https://platform.v2.vetology.net/report/v/final/"&amp;2762577, 2762577)</f>
        <v>2762577</v>
      </c>
      <c r="D285" s="3" t="s">
        <v>1304</v>
      </c>
      <c r="E285" s="3" t="s">
        <v>1305</v>
      </c>
      <c r="F285" s="3" t="s">
        <v>1306</v>
      </c>
      <c r="G285" s="3" t="s">
        <v>566</v>
      </c>
      <c r="H285" s="3" t="s">
        <v>1307</v>
      </c>
      <c r="I285" s="3" t="s">
        <v>351</v>
      </c>
      <c r="J285" s="3" t="s">
        <v>352</v>
      </c>
      <c r="K285" s="3" t="s">
        <v>28</v>
      </c>
      <c r="L285" s="3" t="s">
        <v>28</v>
      </c>
      <c r="M285" s="3" t="s">
        <v>28</v>
      </c>
      <c r="N285" s="3" t="s">
        <v>28</v>
      </c>
      <c r="O285" s="3" t="s">
        <v>28</v>
      </c>
      <c r="P285" s="3" t="s">
        <v>28</v>
      </c>
      <c r="Q285" s="3" t="s">
        <v>28</v>
      </c>
      <c r="R285" s="3" t="s">
        <v>28</v>
      </c>
      <c r="S285" s="3" t="s">
        <v>28</v>
      </c>
      <c r="T285" s="3" t="s">
        <v>27</v>
      </c>
    </row>
    <row r="286" spans="1:20" ht="409.6">
      <c r="A286" s="3">
        <v>2762576</v>
      </c>
      <c r="B286" s="3">
        <f>HYPERLINK("https://platform.v2.vetology.net/cases/2762576/screening-report/6?type=pdf&amp;v=v6&amp;scorecard=1&amp;secret_key=BX%25IJ%24%2F65ieZ%29f6", 2762576)</f>
        <v>2762576</v>
      </c>
      <c r="C286" s="3">
        <f>HYPERLINK("https://platform.v2.vetology.net/report/v/final/"&amp;2762576, 2762576)</f>
        <v>2762576</v>
      </c>
      <c r="D286" s="3" t="s">
        <v>1308</v>
      </c>
      <c r="E286" s="3" t="s">
        <v>1309</v>
      </c>
      <c r="F286" s="3" t="s">
        <v>1310</v>
      </c>
      <c r="G286" s="3" t="s">
        <v>64</v>
      </c>
      <c r="H286" s="3" t="s">
        <v>1311</v>
      </c>
      <c r="I286" s="3" t="s">
        <v>1312</v>
      </c>
      <c r="J286" s="3" t="s">
        <v>1313</v>
      </c>
      <c r="K286" s="3" t="s">
        <v>27</v>
      </c>
      <c r="L286" s="3" t="s">
        <v>28</v>
      </c>
      <c r="M286" s="3" t="s">
        <v>27</v>
      </c>
      <c r="N286" s="3" t="s">
        <v>27</v>
      </c>
      <c r="O286" s="3" t="s">
        <v>27</v>
      </c>
      <c r="P286" s="3" t="s">
        <v>28</v>
      </c>
      <c r="Q286" s="3" t="s">
        <v>27</v>
      </c>
      <c r="R286" s="3" t="s">
        <v>27</v>
      </c>
      <c r="S286" s="3" t="s">
        <v>27</v>
      </c>
      <c r="T286" s="3" t="s">
        <v>27</v>
      </c>
    </row>
    <row r="287" spans="1:20" ht="275.25">
      <c r="A287" s="3">
        <v>2762543</v>
      </c>
      <c r="B287" s="3">
        <f>HYPERLINK("https://platform.v2.vetology.net/cases/2762543/screening-report/6?type=pdf&amp;v=v6&amp;scorecard=1&amp;secret_key=BX%25IJ%24%2F65ieZ%29f6", 2762543)</f>
        <v>2762543</v>
      </c>
      <c r="C287" s="3">
        <f>HYPERLINK("https://platform.v2.vetology.net/report/v/final/"&amp;2762543, 2762543)</f>
        <v>2762543</v>
      </c>
      <c r="D287" s="3" t="s">
        <v>1314</v>
      </c>
      <c r="E287" s="3" t="s">
        <v>1315</v>
      </c>
      <c r="F287" s="3" t="s">
        <v>1316</v>
      </c>
      <c r="G287" s="3" t="s">
        <v>186</v>
      </c>
      <c r="H287" s="3" t="s">
        <v>590</v>
      </c>
      <c r="I287" s="3" t="s">
        <v>291</v>
      </c>
      <c r="J287" s="3" t="s">
        <v>225</v>
      </c>
      <c r="K287" s="3" t="s">
        <v>27</v>
      </c>
      <c r="L287" s="3" t="s">
        <v>27</v>
      </c>
      <c r="M287" s="3" t="s">
        <v>28</v>
      </c>
      <c r="N287" s="3" t="s">
        <v>28</v>
      </c>
      <c r="O287" s="3" t="s">
        <v>27</v>
      </c>
      <c r="P287" s="3" t="s">
        <v>28</v>
      </c>
      <c r="Q287" s="3" t="s">
        <v>28</v>
      </c>
      <c r="R287" s="3" t="s">
        <v>28</v>
      </c>
      <c r="S287" s="3" t="s">
        <v>28</v>
      </c>
      <c r="T287" s="3" t="s">
        <v>27</v>
      </c>
    </row>
    <row r="288" spans="1:20" ht="409.6">
      <c r="A288" s="3">
        <v>2762524</v>
      </c>
      <c r="B288" s="3">
        <f>HYPERLINK("https://platform.v2.vetology.net/cases/2762524/screening-report/6?type=pdf&amp;v=v6&amp;scorecard=1&amp;secret_key=BX%25IJ%24%2F65ieZ%29f6", 2762524)</f>
        <v>2762524</v>
      </c>
      <c r="C288" s="3">
        <f>HYPERLINK("https://platform.v2.vetology.net/report/v/final/"&amp;2762524, 2762524)</f>
        <v>2762524</v>
      </c>
      <c r="D288" s="3" t="s">
        <v>1317</v>
      </c>
      <c r="E288" s="3" t="s">
        <v>1318</v>
      </c>
      <c r="F288" s="3" t="s">
        <v>1319</v>
      </c>
      <c r="G288" s="3" t="s">
        <v>566</v>
      </c>
      <c r="H288" s="3" t="s">
        <v>1046</v>
      </c>
      <c r="I288" s="3" t="s">
        <v>59</v>
      </c>
      <c r="J288" s="3" t="s">
        <v>60</v>
      </c>
      <c r="K288" s="3" t="s">
        <v>28</v>
      </c>
      <c r="L288" s="3" t="s">
        <v>28</v>
      </c>
      <c r="M288" s="3" t="s">
        <v>28</v>
      </c>
      <c r="N288" s="3" t="s">
        <v>28</v>
      </c>
      <c r="O288" s="3" t="s">
        <v>27</v>
      </c>
      <c r="P288" s="3" t="s">
        <v>28</v>
      </c>
      <c r="Q288" s="3" t="s">
        <v>28</v>
      </c>
      <c r="R288" s="3" t="s">
        <v>28</v>
      </c>
      <c r="S288" s="3" t="s">
        <v>28</v>
      </c>
      <c r="T288" s="3" t="s">
        <v>27</v>
      </c>
    </row>
    <row r="289" spans="1:20" ht="409.6">
      <c r="A289" s="3">
        <v>2762504</v>
      </c>
      <c r="B289" s="3">
        <f>HYPERLINK("https://platform.v2.vetology.net/cases/2762504/screening-report/6?type=pdf&amp;v=v6&amp;scorecard=1&amp;secret_key=BX%25IJ%24%2F65ieZ%29f6", 2762504)</f>
        <v>2762504</v>
      </c>
      <c r="C289" s="3">
        <f>HYPERLINK("https://platform.v2.vetology.net/report/v/final/"&amp;2762504, 2762504)</f>
        <v>2762504</v>
      </c>
      <c r="D289" s="3" t="s">
        <v>1320</v>
      </c>
      <c r="E289" s="3" t="s">
        <v>1321</v>
      </c>
      <c r="F289" s="3" t="s">
        <v>1322</v>
      </c>
      <c r="G289" s="3" t="s">
        <v>64</v>
      </c>
      <c r="H289" s="3" t="s">
        <v>1323</v>
      </c>
      <c r="I289" s="3" t="s">
        <v>153</v>
      </c>
      <c r="J289" s="3" t="s">
        <v>154</v>
      </c>
      <c r="K289" s="3" t="s">
        <v>27</v>
      </c>
      <c r="L289" s="3" t="s">
        <v>27</v>
      </c>
      <c r="M289" s="3" t="s">
        <v>28</v>
      </c>
      <c r="N289" s="3" t="s">
        <v>28</v>
      </c>
      <c r="O289" s="3" t="s">
        <v>27</v>
      </c>
      <c r="P289" s="3" t="s">
        <v>28</v>
      </c>
      <c r="Q289" s="3" t="s">
        <v>27</v>
      </c>
      <c r="R289" s="3" t="s">
        <v>28</v>
      </c>
      <c r="S289" s="3" t="s">
        <v>28</v>
      </c>
      <c r="T289" s="3" t="s">
        <v>28</v>
      </c>
    </row>
    <row r="290" spans="1:20" ht="396.75">
      <c r="A290" s="3">
        <v>2762441</v>
      </c>
      <c r="B290" s="3">
        <f>HYPERLINK("https://platform.v2.vetology.net/cases/2762441/screening-report/6?type=pdf&amp;v=v6&amp;scorecard=1&amp;secret_key=BX%25IJ%24%2F65ieZ%29f6", 2762441)</f>
        <v>2762441</v>
      </c>
      <c r="C290" s="3">
        <f>HYPERLINK("https://platform.v2.vetology.net/report/v/final/"&amp;2762441, 2762441)</f>
        <v>2762441</v>
      </c>
      <c r="D290" s="3" t="s">
        <v>1324</v>
      </c>
      <c r="E290" s="3" t="s">
        <v>1325</v>
      </c>
      <c r="F290" s="3" t="s">
        <v>222</v>
      </c>
      <c r="G290" s="3" t="s">
        <v>186</v>
      </c>
      <c r="H290" s="3" t="s">
        <v>1326</v>
      </c>
      <c r="I290" s="3" t="s">
        <v>351</v>
      </c>
      <c r="J290" s="3" t="s">
        <v>352</v>
      </c>
      <c r="K290" s="3" t="s">
        <v>27</v>
      </c>
      <c r="L290" s="3" t="s">
        <v>28</v>
      </c>
      <c r="M290" s="3" t="s">
        <v>28</v>
      </c>
      <c r="N290" s="3" t="s">
        <v>28</v>
      </c>
      <c r="O290" s="3" t="s">
        <v>28</v>
      </c>
      <c r="P290" s="3" t="s">
        <v>28</v>
      </c>
      <c r="Q290" s="3" t="s">
        <v>28</v>
      </c>
      <c r="R290" s="3" t="s">
        <v>28</v>
      </c>
      <c r="S290" s="3" t="s">
        <v>28</v>
      </c>
      <c r="T290" s="3" t="s">
        <v>27</v>
      </c>
    </row>
    <row r="291" spans="1:20" ht="213">
      <c r="A291" s="3">
        <v>2762410</v>
      </c>
      <c r="B291" s="3">
        <f>HYPERLINK("https://platform.v2.vetology.net/cases/2762410/screening-report/6?type=pdf&amp;v=v6&amp;scorecard=1&amp;secret_key=BX%25IJ%24%2F65ieZ%29f6", 2762410)</f>
        <v>2762410</v>
      </c>
      <c r="C291" s="3">
        <f>HYPERLINK("https://platform.v2.vetology.net/report/v/final/"&amp;2762410, 2762410)</f>
        <v>2762410</v>
      </c>
      <c r="D291" s="3" t="s">
        <v>1327</v>
      </c>
      <c r="E291" s="3" t="s">
        <v>1328</v>
      </c>
      <c r="F291" s="3" t="s">
        <v>1329</v>
      </c>
      <c r="G291" s="3" t="s">
        <v>186</v>
      </c>
      <c r="H291" s="3" t="s">
        <v>223</v>
      </c>
      <c r="I291" s="3" t="s">
        <v>1330</v>
      </c>
      <c r="J291" s="3" t="s">
        <v>1331</v>
      </c>
      <c r="K291" s="3" t="s">
        <v>28</v>
      </c>
      <c r="L291" s="3" t="s">
        <v>28</v>
      </c>
      <c r="M291" s="3" t="s">
        <v>28</v>
      </c>
      <c r="N291" s="3" t="s">
        <v>27</v>
      </c>
      <c r="O291" s="3" t="s">
        <v>28</v>
      </c>
      <c r="P291" s="3" t="s">
        <v>28</v>
      </c>
      <c r="Q291" s="3" t="s">
        <v>28</v>
      </c>
      <c r="R291" s="3" t="s">
        <v>28</v>
      </c>
      <c r="S291" s="3" t="s">
        <v>27</v>
      </c>
      <c r="T291" s="3" t="s">
        <v>27</v>
      </c>
    </row>
    <row r="292" spans="1:20" ht="336">
      <c r="A292" s="3">
        <v>2762339</v>
      </c>
      <c r="B292" s="3">
        <f>HYPERLINK("https://platform.v2.vetology.net/cases/2762339/screening-report/6?type=pdf&amp;v=v6&amp;scorecard=1&amp;secret_key=BX%25IJ%24%2F65ieZ%29f6", 2762339)</f>
        <v>2762339</v>
      </c>
      <c r="C292" s="3">
        <f>HYPERLINK("https://platform.v2.vetology.net/report/v/final/"&amp;2762339, 2762339)</f>
        <v>2762339</v>
      </c>
      <c r="D292" s="3" t="s">
        <v>1332</v>
      </c>
      <c r="E292" s="3" t="s">
        <v>1333</v>
      </c>
      <c r="F292" s="3" t="s">
        <v>1334</v>
      </c>
      <c r="G292" s="3" t="s">
        <v>100</v>
      </c>
      <c r="H292" s="3" t="s">
        <v>1335</v>
      </c>
      <c r="I292" s="3" t="s">
        <v>66</v>
      </c>
      <c r="J292" s="3" t="s">
        <v>67</v>
      </c>
      <c r="K292" s="3" t="s">
        <v>27</v>
      </c>
      <c r="L292" s="3" t="s">
        <v>28</v>
      </c>
      <c r="M292" s="3" t="s">
        <v>28</v>
      </c>
      <c r="N292" s="3" t="s">
        <v>28</v>
      </c>
      <c r="O292" s="3" t="s">
        <v>27</v>
      </c>
      <c r="P292" s="3" t="s">
        <v>28</v>
      </c>
      <c r="Q292" s="3" t="s">
        <v>28</v>
      </c>
      <c r="R292" s="3" t="s">
        <v>28</v>
      </c>
      <c r="S292" s="3" t="s">
        <v>28</v>
      </c>
      <c r="T292" s="3" t="s">
        <v>28</v>
      </c>
    </row>
    <row r="293" spans="1:20" ht="409.6">
      <c r="A293" s="3">
        <v>2762338</v>
      </c>
      <c r="B293" s="3">
        <f>HYPERLINK("https://platform.v2.vetology.net/cases/2762338/screening-report/6?type=pdf&amp;v=v6&amp;scorecard=1&amp;secret_key=BX%25IJ%24%2F65ieZ%29f6", 2762338)</f>
        <v>2762338</v>
      </c>
      <c r="C293" s="3">
        <f>HYPERLINK("https://platform.v2.vetology.net/report/v/final/"&amp;2762338, 2762338)</f>
        <v>2762338</v>
      </c>
      <c r="D293" s="3" t="s">
        <v>1336</v>
      </c>
      <c r="E293" s="3" t="s">
        <v>1337</v>
      </c>
      <c r="F293" s="3" t="s">
        <v>22</v>
      </c>
      <c r="G293" s="3" t="s">
        <v>100</v>
      </c>
      <c r="H293" s="3" t="s">
        <v>1338</v>
      </c>
      <c r="I293" s="3" t="s">
        <v>1339</v>
      </c>
      <c r="J293" s="3" t="s">
        <v>1340</v>
      </c>
      <c r="K293" s="3" t="s">
        <v>28</v>
      </c>
      <c r="L293" s="3" t="s">
        <v>27</v>
      </c>
      <c r="M293" s="3" t="s">
        <v>27</v>
      </c>
      <c r="N293" s="3" t="s">
        <v>28</v>
      </c>
      <c r="O293" s="3" t="s">
        <v>27</v>
      </c>
      <c r="P293" s="3" t="s">
        <v>28</v>
      </c>
      <c r="Q293" s="3" t="s">
        <v>27</v>
      </c>
      <c r="R293" s="3" t="s">
        <v>28</v>
      </c>
      <c r="S293" s="3" t="s">
        <v>27</v>
      </c>
      <c r="T293" s="3" t="s">
        <v>28</v>
      </c>
    </row>
    <row r="294" spans="1:20" ht="305.25">
      <c r="A294" s="3">
        <v>2762336</v>
      </c>
      <c r="B294" s="3">
        <f>HYPERLINK("https://platform.v2.vetology.net/cases/2762336/screening-report/6?type=pdf&amp;v=v6&amp;scorecard=1&amp;secret_key=BX%25IJ%24%2F65ieZ%29f6", 2762336)</f>
        <v>2762336</v>
      </c>
      <c r="C294" s="3">
        <f>HYPERLINK("https://platform.v2.vetology.net/report/v/final/"&amp;2762336, 2762336)</f>
        <v>2762336</v>
      </c>
      <c r="D294" s="3" t="s">
        <v>1341</v>
      </c>
      <c r="E294" s="3" t="s">
        <v>1342</v>
      </c>
      <c r="F294" s="3" t="s">
        <v>1343</v>
      </c>
      <c r="G294" s="3" t="s">
        <v>186</v>
      </c>
      <c r="H294" s="3" t="s">
        <v>519</v>
      </c>
      <c r="I294" s="3" t="s">
        <v>1344</v>
      </c>
      <c r="J294" s="3" t="s">
        <v>33</v>
      </c>
      <c r="K294" s="3" t="s">
        <v>28</v>
      </c>
      <c r="L294" s="3" t="s">
        <v>28</v>
      </c>
      <c r="M294" s="3" t="s">
        <v>28</v>
      </c>
      <c r="N294" s="3" t="s">
        <v>28</v>
      </c>
      <c r="O294" s="3" t="s">
        <v>27</v>
      </c>
      <c r="P294" s="3" t="s">
        <v>28</v>
      </c>
      <c r="Q294" s="3" t="s">
        <v>27</v>
      </c>
      <c r="R294" s="3" t="s">
        <v>28</v>
      </c>
      <c r="S294" s="3" t="s">
        <v>28</v>
      </c>
      <c r="T294" s="3" t="s">
        <v>28</v>
      </c>
    </row>
    <row r="295" spans="1:20" ht="396.75">
      <c r="A295" s="3">
        <v>2762163</v>
      </c>
      <c r="B295" s="3">
        <f>HYPERLINK("https://platform.v2.vetology.net/cases/2762163/screening-report/6?type=pdf&amp;v=v6&amp;scorecard=1&amp;secret_key=BX%25IJ%24%2F65ieZ%29f6", 2762163)</f>
        <v>2762163</v>
      </c>
      <c r="C295" s="3">
        <f>HYPERLINK("https://platform.v2.vetology.net/report/v/final/"&amp;2762163, 2762163)</f>
        <v>2762163</v>
      </c>
      <c r="D295" s="3" t="s">
        <v>1345</v>
      </c>
      <c r="E295" s="3" t="s">
        <v>1346</v>
      </c>
      <c r="F295" s="3" t="s">
        <v>1347</v>
      </c>
      <c r="G295" s="3" t="s">
        <v>179</v>
      </c>
      <c r="H295" s="3" t="s">
        <v>1097</v>
      </c>
      <c r="I295" s="3" t="s">
        <v>469</v>
      </c>
      <c r="J295" s="3" t="s">
        <v>470</v>
      </c>
      <c r="K295" s="3" t="s">
        <v>27</v>
      </c>
      <c r="L295" s="3" t="s">
        <v>28</v>
      </c>
      <c r="M295" s="3" t="s">
        <v>28</v>
      </c>
      <c r="N295" s="3" t="s">
        <v>28</v>
      </c>
      <c r="O295" s="3" t="s">
        <v>27</v>
      </c>
      <c r="P295" s="3" t="s">
        <v>28</v>
      </c>
      <c r="Q295" s="3" t="s">
        <v>28</v>
      </c>
      <c r="R295" s="3" t="s">
        <v>28</v>
      </c>
      <c r="S295" s="3" t="s">
        <v>28</v>
      </c>
      <c r="T295" s="3" t="s">
        <v>28</v>
      </c>
    </row>
    <row r="296" spans="1:20" ht="409.6">
      <c r="A296" s="3">
        <v>2762154</v>
      </c>
      <c r="B296" s="3">
        <f>HYPERLINK("https://platform.v2.vetology.net/cases/2762154/screening-report/6?type=pdf&amp;v=v6&amp;scorecard=1&amp;secret_key=BX%25IJ%24%2F65ieZ%29f6", 2762154)</f>
        <v>2762154</v>
      </c>
      <c r="C296" s="3">
        <f>HYPERLINK("https://platform.v2.vetology.net/report/v/final/"&amp;2762154, 2762154)</f>
        <v>2762154</v>
      </c>
      <c r="D296" s="3" t="s">
        <v>1348</v>
      </c>
      <c r="E296" s="3" t="s">
        <v>1349</v>
      </c>
      <c r="F296" s="3" t="s">
        <v>1350</v>
      </c>
      <c r="G296" s="3" t="s">
        <v>64</v>
      </c>
      <c r="H296" s="3" t="s">
        <v>1351</v>
      </c>
      <c r="I296" s="3" t="s">
        <v>1352</v>
      </c>
      <c r="J296" s="3" t="s">
        <v>1353</v>
      </c>
      <c r="K296" s="3" t="s">
        <v>28</v>
      </c>
      <c r="L296" s="3" t="s">
        <v>27</v>
      </c>
      <c r="M296" s="3" t="s">
        <v>28</v>
      </c>
      <c r="N296" s="3" t="s">
        <v>27</v>
      </c>
      <c r="O296" s="3" t="s">
        <v>27</v>
      </c>
      <c r="P296" s="3" t="s">
        <v>28</v>
      </c>
      <c r="Q296" s="3" t="s">
        <v>28</v>
      </c>
      <c r="R296" s="3" t="s">
        <v>27</v>
      </c>
      <c r="S296" s="3" t="s">
        <v>27</v>
      </c>
      <c r="T296" s="3" t="s">
        <v>27</v>
      </c>
    </row>
    <row r="297" spans="1:20" ht="305.25">
      <c r="A297" s="3">
        <v>2762148</v>
      </c>
      <c r="B297" s="3">
        <f>HYPERLINK("https://platform.v2.vetology.net/cases/2762148/screening-report/6?type=pdf&amp;v=v6&amp;scorecard=1&amp;secret_key=BX%25IJ%24%2F65ieZ%29f6", 2762148)</f>
        <v>2762148</v>
      </c>
      <c r="C297" s="3">
        <f>HYPERLINK("https://platform.v2.vetology.net/report/v/final/"&amp;2762148, 2762148)</f>
        <v>2762148</v>
      </c>
      <c r="D297" s="3" t="s">
        <v>1354</v>
      </c>
      <c r="E297" s="3" t="s">
        <v>1355</v>
      </c>
      <c r="F297" s="3"/>
      <c r="G297" s="3" t="s">
        <v>372</v>
      </c>
      <c r="H297" s="3" t="s">
        <v>31</v>
      </c>
      <c r="I297" s="3" t="s">
        <v>32</v>
      </c>
      <c r="J297" s="3" t="s">
        <v>33</v>
      </c>
      <c r="K297" s="3" t="s">
        <v>28</v>
      </c>
      <c r="L297" s="3" t="s">
        <v>28</v>
      </c>
      <c r="M297" s="3" t="s">
        <v>28</v>
      </c>
      <c r="N297" s="3" t="s">
        <v>28</v>
      </c>
      <c r="O297" s="3" t="s">
        <v>27</v>
      </c>
      <c r="P297" s="3" t="s">
        <v>28</v>
      </c>
      <c r="Q297" s="3" t="s">
        <v>28</v>
      </c>
      <c r="R297" s="3" t="s">
        <v>28</v>
      </c>
      <c r="S297" s="3" t="s">
        <v>28</v>
      </c>
      <c r="T297" s="3" t="s">
        <v>28</v>
      </c>
    </row>
    <row r="298" spans="1:20" ht="409.6">
      <c r="A298" s="3">
        <v>2762138</v>
      </c>
      <c r="B298" s="3">
        <f>HYPERLINK("https://platform.v2.vetology.net/cases/2762138/screening-report/6?type=pdf&amp;v=v6&amp;scorecard=1&amp;secret_key=BX%25IJ%24%2F65ieZ%29f6", 2762138)</f>
        <v>2762138</v>
      </c>
      <c r="C298" s="3">
        <f>HYPERLINK("https://platform.v2.vetology.net/report/v/final/"&amp;2762138, 2762138)</f>
        <v>2762138</v>
      </c>
      <c r="D298" s="3" t="s">
        <v>1356</v>
      </c>
      <c r="E298" s="3" t="s">
        <v>1357</v>
      </c>
      <c r="F298" s="3" t="s">
        <v>1358</v>
      </c>
      <c r="G298" s="3" t="s">
        <v>566</v>
      </c>
      <c r="H298" s="3" t="s">
        <v>31</v>
      </c>
      <c r="I298" s="3" t="s">
        <v>32</v>
      </c>
      <c r="J298" s="3" t="s">
        <v>119</v>
      </c>
      <c r="K298" s="3" t="s">
        <v>28</v>
      </c>
      <c r="L298" s="3" t="s">
        <v>28</v>
      </c>
      <c r="M298" s="3" t="s">
        <v>28</v>
      </c>
      <c r="N298" s="3" t="s">
        <v>28</v>
      </c>
      <c r="O298" s="3" t="s">
        <v>28</v>
      </c>
      <c r="P298" s="3" t="s">
        <v>28</v>
      </c>
      <c r="Q298" s="3" t="s">
        <v>28</v>
      </c>
      <c r="R298" s="3" t="s">
        <v>28</v>
      </c>
      <c r="S298" s="3" t="s">
        <v>28</v>
      </c>
      <c r="T298" s="3" t="s">
        <v>28</v>
      </c>
    </row>
    <row r="299" spans="1:20" ht="336">
      <c r="A299" s="3">
        <v>2762115</v>
      </c>
      <c r="B299" s="3">
        <f>HYPERLINK("https://platform.v2.vetology.net/cases/2762115/screening-report/6?type=pdf&amp;v=v6&amp;scorecard=1&amp;secret_key=BX%25IJ%24%2F65ieZ%29f6", 2762115)</f>
        <v>2762115</v>
      </c>
      <c r="C299" s="3">
        <f>HYPERLINK("https://platform.v2.vetology.net/report/v/final/"&amp;2762115, 2762115)</f>
        <v>2762115</v>
      </c>
      <c r="D299" s="3" t="s">
        <v>1359</v>
      </c>
      <c r="E299" s="3" t="s">
        <v>1360</v>
      </c>
      <c r="F299" s="3" t="s">
        <v>22</v>
      </c>
      <c r="G299" s="3" t="s">
        <v>23</v>
      </c>
      <c r="H299" s="3" t="s">
        <v>241</v>
      </c>
      <c r="I299" s="3"/>
      <c r="J299" s="3" t="s">
        <v>207</v>
      </c>
      <c r="K299" s="3" t="s">
        <v>28</v>
      </c>
      <c r="L299" s="3" t="s">
        <v>28</v>
      </c>
      <c r="M299" s="3" t="s">
        <v>28</v>
      </c>
      <c r="N299" s="3" t="s">
        <v>28</v>
      </c>
      <c r="O299" s="3" t="s">
        <v>27</v>
      </c>
      <c r="P299" s="3" t="s">
        <v>28</v>
      </c>
      <c r="Q299" s="3" t="s">
        <v>28</v>
      </c>
      <c r="R299" s="3" t="s">
        <v>28</v>
      </c>
      <c r="S299" s="3" t="s">
        <v>28</v>
      </c>
      <c r="T299" s="3" t="s">
        <v>28</v>
      </c>
    </row>
    <row r="300" spans="1:20" ht="366">
      <c r="A300" s="3">
        <v>2762111</v>
      </c>
      <c r="B300" s="3">
        <f>HYPERLINK("https://platform.v2.vetology.net/cases/2762111/screening-report/6?type=pdf&amp;v=v6&amp;scorecard=1&amp;secret_key=BX%25IJ%24%2F65ieZ%29f6", 2762111)</f>
        <v>2762111</v>
      </c>
      <c r="C300" s="3">
        <f>HYPERLINK("https://platform.v2.vetology.net/report/v/final/"&amp;2762111, 2762111)</f>
        <v>2762111</v>
      </c>
      <c r="D300" s="3" t="s">
        <v>1361</v>
      </c>
      <c r="E300" s="3" t="s">
        <v>1362</v>
      </c>
      <c r="F300" s="3" t="s">
        <v>1363</v>
      </c>
      <c r="G300" s="3" t="s">
        <v>211</v>
      </c>
      <c r="H300" s="3" t="s">
        <v>1268</v>
      </c>
      <c r="I300" s="3" t="s">
        <v>213</v>
      </c>
      <c r="J300" s="3" t="s">
        <v>214</v>
      </c>
      <c r="K300" s="3" t="s">
        <v>28</v>
      </c>
      <c r="L300" s="3" t="s">
        <v>28</v>
      </c>
      <c r="M300" s="3" t="s">
        <v>28</v>
      </c>
      <c r="N300" s="3" t="s">
        <v>28</v>
      </c>
      <c r="O300" s="3" t="s">
        <v>28</v>
      </c>
      <c r="P300" s="3" t="s">
        <v>28</v>
      </c>
      <c r="Q300" s="3" t="s">
        <v>28</v>
      </c>
      <c r="R300" s="3" t="s">
        <v>28</v>
      </c>
      <c r="S300" s="3" t="s">
        <v>28</v>
      </c>
      <c r="T300" s="3" t="s">
        <v>28</v>
      </c>
    </row>
    <row r="301" spans="1:20" ht="409.6">
      <c r="A301" s="3">
        <v>2762103</v>
      </c>
      <c r="B301" s="3">
        <f>HYPERLINK("https://platform.v2.vetology.net/cases/2762103/screening-report/6?type=pdf&amp;v=v6&amp;scorecard=1&amp;secret_key=BX%25IJ%24%2F65ieZ%29f6", 2762103)</f>
        <v>2762103</v>
      </c>
      <c r="C301" s="3">
        <f>HYPERLINK("https://platform.v2.vetology.net/report/v/final/"&amp;2762103, 2762103)</f>
        <v>2762103</v>
      </c>
      <c r="D301" s="3" t="s">
        <v>1364</v>
      </c>
      <c r="E301" s="3" t="s">
        <v>1365</v>
      </c>
      <c r="F301" s="3" t="s">
        <v>1366</v>
      </c>
      <c r="G301" s="3" t="s">
        <v>64</v>
      </c>
      <c r="H301" s="3" t="s">
        <v>1367</v>
      </c>
      <c r="I301" s="3" t="s">
        <v>1368</v>
      </c>
      <c r="J301" s="3" t="s">
        <v>1369</v>
      </c>
      <c r="K301" s="3" t="s">
        <v>28</v>
      </c>
      <c r="L301" s="3" t="s">
        <v>28</v>
      </c>
      <c r="M301" s="3" t="s">
        <v>28</v>
      </c>
      <c r="N301" s="3" t="s">
        <v>28</v>
      </c>
      <c r="O301" s="3" t="s">
        <v>27</v>
      </c>
      <c r="P301" s="3" t="s">
        <v>27</v>
      </c>
      <c r="Q301" s="3" t="s">
        <v>28</v>
      </c>
      <c r="R301" s="3" t="s">
        <v>28</v>
      </c>
      <c r="S301" s="3" t="s">
        <v>28</v>
      </c>
      <c r="T301" s="3" t="s">
        <v>28</v>
      </c>
    </row>
    <row r="302" spans="1:20" ht="290.25">
      <c r="A302" s="3">
        <v>2762049</v>
      </c>
      <c r="B302" s="3">
        <f>HYPERLINK("https://platform.v2.vetology.net/cases/2762049/screening-report/6?type=pdf&amp;v=v6&amp;scorecard=1&amp;secret_key=BX%25IJ%24%2F65ieZ%29f6", 2762049)</f>
        <v>2762049</v>
      </c>
      <c r="C302" s="3">
        <f>HYPERLINK("https://platform.v2.vetology.net/report/v/final/"&amp;2762049, 2762049)</f>
        <v>2762049</v>
      </c>
      <c r="D302" s="3" t="s">
        <v>1370</v>
      </c>
      <c r="E302" s="3" t="s">
        <v>1371</v>
      </c>
      <c r="F302" s="3" t="s">
        <v>22</v>
      </c>
      <c r="G302" s="3" t="s">
        <v>100</v>
      </c>
      <c r="H302" s="3" t="s">
        <v>1372</v>
      </c>
      <c r="I302" s="3" t="s">
        <v>1373</v>
      </c>
      <c r="J302" s="3" t="s">
        <v>1374</v>
      </c>
      <c r="K302" s="3" t="s">
        <v>27</v>
      </c>
      <c r="L302" s="3" t="s">
        <v>27</v>
      </c>
      <c r="M302" s="3" t="s">
        <v>27</v>
      </c>
      <c r="N302" s="3" t="s">
        <v>27</v>
      </c>
      <c r="O302" s="3" t="s">
        <v>27</v>
      </c>
      <c r="P302" s="3" t="s">
        <v>27</v>
      </c>
      <c r="Q302" s="3" t="s">
        <v>27</v>
      </c>
      <c r="R302" s="3" t="s">
        <v>27</v>
      </c>
      <c r="S302" s="3" t="s">
        <v>27</v>
      </c>
      <c r="T302" s="3" t="s">
        <v>27</v>
      </c>
    </row>
    <row r="303" spans="1:20" ht="244.5">
      <c r="A303" s="3">
        <v>2762029</v>
      </c>
      <c r="B303" s="3">
        <f>HYPERLINK("https://platform.v2.vetology.net/cases/2762029/screening-report/6?type=pdf&amp;v=v6&amp;scorecard=1&amp;secret_key=BX%25IJ%24%2F65ieZ%29f6", 2762029)</f>
        <v>2762029</v>
      </c>
      <c r="C303" s="3">
        <f>HYPERLINK("https://platform.v2.vetology.net/report/v/final/"&amp;2762029, 2762029)</f>
        <v>2762029</v>
      </c>
      <c r="D303" s="3" t="s">
        <v>1375</v>
      </c>
      <c r="E303" s="3" t="s">
        <v>1376</v>
      </c>
      <c r="F303" s="3" t="s">
        <v>1377</v>
      </c>
      <c r="G303" s="3" t="s">
        <v>186</v>
      </c>
      <c r="H303" s="3" t="s">
        <v>1259</v>
      </c>
      <c r="I303" s="3"/>
      <c r="J303" s="3" t="s">
        <v>207</v>
      </c>
      <c r="K303" s="3" t="s">
        <v>28</v>
      </c>
      <c r="L303" s="3" t="s">
        <v>28</v>
      </c>
      <c r="M303" s="3" t="s">
        <v>28</v>
      </c>
      <c r="N303" s="3" t="s">
        <v>28</v>
      </c>
      <c r="O303" s="3" t="s">
        <v>27</v>
      </c>
      <c r="P303" s="3" t="s">
        <v>28</v>
      </c>
      <c r="Q303" s="3" t="s">
        <v>28</v>
      </c>
      <c r="R303" s="3" t="s">
        <v>28</v>
      </c>
      <c r="S303" s="3" t="s">
        <v>28</v>
      </c>
      <c r="T303" s="3" t="s">
        <v>27</v>
      </c>
    </row>
    <row r="304" spans="1:20" ht="366">
      <c r="A304" s="3">
        <v>2762009</v>
      </c>
      <c r="B304" s="3">
        <f>HYPERLINK("https://platform.v2.vetology.net/cases/2762009/screening-report/6?type=pdf&amp;v=v6&amp;scorecard=1&amp;secret_key=BX%25IJ%24%2F65ieZ%29f6", 2762009)</f>
        <v>2762009</v>
      </c>
      <c r="C304" s="3">
        <f>HYPERLINK("https://platform.v2.vetology.net/report/v/final/"&amp;2762009, 2762009)</f>
        <v>2762009</v>
      </c>
      <c r="D304" s="3" t="s">
        <v>1378</v>
      </c>
      <c r="E304" s="3" t="s">
        <v>1379</v>
      </c>
      <c r="F304" s="3" t="s">
        <v>1380</v>
      </c>
      <c r="G304" s="3" t="s">
        <v>186</v>
      </c>
      <c r="H304" s="3" t="s">
        <v>1381</v>
      </c>
      <c r="I304" s="3" t="s">
        <v>267</v>
      </c>
      <c r="J304" s="3" t="s">
        <v>268</v>
      </c>
      <c r="K304" s="3" t="s">
        <v>27</v>
      </c>
      <c r="L304" s="3" t="s">
        <v>28</v>
      </c>
      <c r="M304" s="3" t="s">
        <v>28</v>
      </c>
      <c r="N304" s="3" t="s">
        <v>28</v>
      </c>
      <c r="O304" s="3" t="s">
        <v>27</v>
      </c>
      <c r="P304" s="3" t="s">
        <v>27</v>
      </c>
      <c r="Q304" s="3" t="s">
        <v>28</v>
      </c>
      <c r="R304" s="3" t="s">
        <v>28</v>
      </c>
      <c r="S304" s="3" t="s">
        <v>28</v>
      </c>
      <c r="T304" s="3" t="s">
        <v>28</v>
      </c>
    </row>
    <row r="305" spans="1:20" ht="198">
      <c r="A305" s="3">
        <v>2762007</v>
      </c>
      <c r="B305" s="3">
        <f>HYPERLINK("https://platform.v2.vetology.net/cases/2762007/screening-report/6?type=pdf&amp;v=v6&amp;scorecard=1&amp;secret_key=BX%25IJ%24%2F65ieZ%29f6", 2762007)</f>
        <v>2762007</v>
      </c>
      <c r="C305" s="3">
        <f>HYPERLINK("https://platform.v2.vetology.net/report/v/final/"&amp;2762007, 2762007)</f>
        <v>2762007</v>
      </c>
      <c r="D305" s="3" t="s">
        <v>1382</v>
      </c>
      <c r="E305" s="3" t="s">
        <v>1383</v>
      </c>
      <c r="F305" s="3" t="s">
        <v>22</v>
      </c>
      <c r="G305" s="3" t="s">
        <v>100</v>
      </c>
      <c r="H305" s="3" t="s">
        <v>1384</v>
      </c>
      <c r="I305" s="3" t="s">
        <v>291</v>
      </c>
      <c r="J305" s="3" t="s">
        <v>363</v>
      </c>
      <c r="K305" s="3" t="s">
        <v>28</v>
      </c>
      <c r="L305" s="3" t="s">
        <v>27</v>
      </c>
      <c r="M305" s="3" t="s">
        <v>28</v>
      </c>
      <c r="N305" s="3" t="s">
        <v>27</v>
      </c>
      <c r="O305" s="3" t="s">
        <v>27</v>
      </c>
      <c r="P305" s="3" t="s">
        <v>28</v>
      </c>
      <c r="Q305" s="3" t="s">
        <v>28</v>
      </c>
      <c r="R305" s="3" t="s">
        <v>27</v>
      </c>
      <c r="S305" s="3" t="s">
        <v>27</v>
      </c>
      <c r="T305" s="3" t="s">
        <v>27</v>
      </c>
    </row>
    <row r="306" spans="1:20" ht="409.6">
      <c r="A306" s="3">
        <v>2761948</v>
      </c>
      <c r="B306" s="3">
        <f>HYPERLINK("https://platform.v2.vetology.net/cases/2761948/screening-report/6?type=pdf&amp;v=v6&amp;scorecard=1&amp;secret_key=BX%25IJ%24%2F65ieZ%29f6", 2761948)</f>
        <v>2761948</v>
      </c>
      <c r="C306" s="3">
        <f>HYPERLINK("https://platform.v2.vetology.net/report/v/final/"&amp;2761948, 2761948)</f>
        <v>2761948</v>
      </c>
      <c r="D306" s="3" t="s">
        <v>1385</v>
      </c>
      <c r="E306" s="3" t="s">
        <v>1386</v>
      </c>
      <c r="F306" s="3" t="s">
        <v>1387</v>
      </c>
      <c r="G306" s="3" t="s">
        <v>179</v>
      </c>
      <c r="H306" s="3" t="s">
        <v>1388</v>
      </c>
      <c r="I306" s="3" t="s">
        <v>939</v>
      </c>
      <c r="J306" s="3" t="s">
        <v>940</v>
      </c>
      <c r="K306" s="3" t="s">
        <v>28</v>
      </c>
      <c r="L306" s="3" t="s">
        <v>28</v>
      </c>
      <c r="M306" s="3" t="s">
        <v>28</v>
      </c>
      <c r="N306" s="3" t="s">
        <v>28</v>
      </c>
      <c r="O306" s="3" t="s">
        <v>27</v>
      </c>
      <c r="P306" s="3" t="s">
        <v>27</v>
      </c>
      <c r="Q306" s="3" t="s">
        <v>28</v>
      </c>
      <c r="R306" s="3" t="s">
        <v>28</v>
      </c>
      <c r="S306" s="3" t="s">
        <v>28</v>
      </c>
      <c r="T306" s="3" t="s">
        <v>28</v>
      </c>
    </row>
    <row r="307" spans="1:20" ht="290.25">
      <c r="A307" s="3">
        <v>2761892</v>
      </c>
      <c r="B307" s="3">
        <f>HYPERLINK("https://platform.v2.vetology.net/cases/2761892/screening-report/6?type=pdf&amp;v=v6&amp;scorecard=1&amp;secret_key=BX%25IJ%24%2F65ieZ%29f6", 2761892)</f>
        <v>2761892</v>
      </c>
      <c r="C307" s="3">
        <f>HYPERLINK("https://platform.v2.vetology.net/report/v/final/"&amp;2761892, 2761892)</f>
        <v>2761892</v>
      </c>
      <c r="D307" s="3" t="s">
        <v>1389</v>
      </c>
      <c r="E307" s="3" t="s">
        <v>1390</v>
      </c>
      <c r="F307" s="3" t="s">
        <v>1391</v>
      </c>
      <c r="G307" s="3" t="s">
        <v>496</v>
      </c>
      <c r="H307" s="3" t="s">
        <v>238</v>
      </c>
      <c r="I307" s="3"/>
      <c r="J307" s="3" t="s">
        <v>207</v>
      </c>
      <c r="K307" s="3" t="s">
        <v>28</v>
      </c>
      <c r="L307" s="3" t="s">
        <v>28</v>
      </c>
      <c r="M307" s="3" t="s">
        <v>28</v>
      </c>
      <c r="N307" s="3" t="s">
        <v>28</v>
      </c>
      <c r="O307" s="3" t="s">
        <v>27</v>
      </c>
      <c r="P307" s="3" t="s">
        <v>28</v>
      </c>
      <c r="Q307" s="3" t="s">
        <v>28</v>
      </c>
      <c r="R307" s="3" t="s">
        <v>28</v>
      </c>
      <c r="S307" s="3" t="s">
        <v>28</v>
      </c>
      <c r="T307" s="3" t="s">
        <v>27</v>
      </c>
    </row>
    <row r="308" spans="1:20" ht="409.6">
      <c r="A308" s="3">
        <v>2761882</v>
      </c>
      <c r="B308" s="3">
        <f>HYPERLINK("https://platform.v2.vetology.net/cases/2761882/screening-report/6?type=pdf&amp;v=v6&amp;scorecard=1&amp;secret_key=BX%25IJ%24%2F65ieZ%29f6", 2761882)</f>
        <v>2761882</v>
      </c>
      <c r="C308" s="3">
        <f>HYPERLINK("https://platform.v2.vetology.net/report/v/final/"&amp;2761882, 2761882)</f>
        <v>2761882</v>
      </c>
      <c r="D308" s="3" t="s">
        <v>1392</v>
      </c>
      <c r="E308" s="3" t="s">
        <v>1393</v>
      </c>
      <c r="F308" s="3" t="s">
        <v>1394</v>
      </c>
      <c r="G308" s="3" t="s">
        <v>64</v>
      </c>
      <c r="H308" s="3" t="s">
        <v>1395</v>
      </c>
      <c r="I308" s="3" t="s">
        <v>1396</v>
      </c>
      <c r="J308" s="3" t="s">
        <v>1397</v>
      </c>
      <c r="K308" s="3" t="s">
        <v>27</v>
      </c>
      <c r="L308" s="3" t="s">
        <v>27</v>
      </c>
      <c r="M308" s="3" t="s">
        <v>27</v>
      </c>
      <c r="N308" s="3" t="s">
        <v>28</v>
      </c>
      <c r="O308" s="3" t="s">
        <v>27</v>
      </c>
      <c r="P308" s="3" t="s">
        <v>27</v>
      </c>
      <c r="Q308" s="3" t="s">
        <v>27</v>
      </c>
      <c r="R308" s="3" t="s">
        <v>28</v>
      </c>
      <c r="S308" s="3" t="s">
        <v>27</v>
      </c>
      <c r="T308" s="3" t="s">
        <v>27</v>
      </c>
    </row>
    <row r="309" spans="1:20" ht="409.6">
      <c r="A309" s="3">
        <v>2761881</v>
      </c>
      <c r="B309" s="3">
        <f>HYPERLINK("https://platform.v2.vetology.net/cases/2761881/screening-report/6?type=pdf&amp;v=v6&amp;scorecard=1&amp;secret_key=BX%25IJ%24%2F65ieZ%29f6", 2761881)</f>
        <v>2761881</v>
      </c>
      <c r="C309" s="3">
        <f>HYPERLINK("https://platform.v2.vetology.net/report/v/final/"&amp;2761881, 2761881)</f>
        <v>2761881</v>
      </c>
      <c r="D309" s="3" t="s">
        <v>1398</v>
      </c>
      <c r="E309" s="3" t="s">
        <v>1399</v>
      </c>
      <c r="F309" s="3" t="s">
        <v>1400</v>
      </c>
      <c r="G309" s="3" t="s">
        <v>64</v>
      </c>
      <c r="H309" s="3" t="s">
        <v>1271</v>
      </c>
      <c r="I309" s="3" t="s">
        <v>883</v>
      </c>
      <c r="J309" s="3" t="s">
        <v>884</v>
      </c>
      <c r="K309" s="3" t="s">
        <v>28</v>
      </c>
      <c r="L309" s="3" t="s">
        <v>28</v>
      </c>
      <c r="M309" s="3" t="s">
        <v>28</v>
      </c>
      <c r="N309" s="3" t="s">
        <v>28</v>
      </c>
      <c r="O309" s="3" t="s">
        <v>28</v>
      </c>
      <c r="P309" s="3" t="s">
        <v>28</v>
      </c>
      <c r="Q309" s="3" t="s">
        <v>28</v>
      </c>
      <c r="R309" s="3" t="s">
        <v>28</v>
      </c>
      <c r="S309" s="3" t="s">
        <v>28</v>
      </c>
      <c r="T309" s="3" t="s">
        <v>28</v>
      </c>
    </row>
    <row r="310" spans="1:20" ht="409.6">
      <c r="A310" s="3">
        <v>2761846</v>
      </c>
      <c r="B310" s="3">
        <f>HYPERLINK("https://platform.v2.vetology.net/cases/2761846/screening-report/6?type=pdf&amp;v=v6&amp;scorecard=1&amp;secret_key=BX%25IJ%24%2F65ieZ%29f6", 2761846)</f>
        <v>2761846</v>
      </c>
      <c r="C310" s="3">
        <f>HYPERLINK("https://platform.v2.vetology.net/report/v/final/"&amp;2761846, 2761846)</f>
        <v>2761846</v>
      </c>
      <c r="D310" s="3" t="s">
        <v>1401</v>
      </c>
      <c r="E310" s="3" t="s">
        <v>1402</v>
      </c>
      <c r="F310" s="3" t="s">
        <v>797</v>
      </c>
      <c r="G310" s="3" t="s">
        <v>122</v>
      </c>
      <c r="H310" s="3" t="s">
        <v>1403</v>
      </c>
      <c r="I310" s="3" t="s">
        <v>1404</v>
      </c>
      <c r="J310" s="3" t="s">
        <v>1405</v>
      </c>
      <c r="K310" s="3" t="s">
        <v>27</v>
      </c>
      <c r="L310" s="3" t="s">
        <v>28</v>
      </c>
      <c r="M310" s="3" t="s">
        <v>27</v>
      </c>
      <c r="N310" s="3" t="s">
        <v>28</v>
      </c>
      <c r="O310" s="3" t="s">
        <v>27</v>
      </c>
      <c r="P310" s="3" t="s">
        <v>28</v>
      </c>
      <c r="Q310" s="3" t="s">
        <v>27</v>
      </c>
      <c r="R310" s="3" t="s">
        <v>28</v>
      </c>
      <c r="S310" s="3" t="s">
        <v>28</v>
      </c>
      <c r="T310" s="3" t="s">
        <v>28</v>
      </c>
    </row>
    <row r="311" spans="1:20" ht="409.6">
      <c r="A311" s="3">
        <v>2761821</v>
      </c>
      <c r="B311" s="3">
        <f>HYPERLINK("https://platform.v2.vetology.net/cases/2761821/screening-report/6?type=pdf&amp;v=v6&amp;scorecard=1&amp;secret_key=BX%25IJ%24%2F65ieZ%29f6", 2761821)</f>
        <v>2761821</v>
      </c>
      <c r="C311" s="3">
        <f>HYPERLINK("https://platform.v2.vetology.net/report/v/final/"&amp;2761821, 2761821)</f>
        <v>2761821</v>
      </c>
      <c r="D311" s="3" t="s">
        <v>1406</v>
      </c>
      <c r="E311" s="3" t="s">
        <v>1407</v>
      </c>
      <c r="F311" s="3" t="s">
        <v>691</v>
      </c>
      <c r="G311" s="3" t="s">
        <v>57</v>
      </c>
      <c r="H311" s="3" t="s">
        <v>1408</v>
      </c>
      <c r="I311" s="3" t="s">
        <v>1409</v>
      </c>
      <c r="J311" s="3" t="s">
        <v>1410</v>
      </c>
      <c r="K311" s="3" t="s">
        <v>27</v>
      </c>
      <c r="L311" s="3" t="s">
        <v>27</v>
      </c>
      <c r="M311" s="3" t="s">
        <v>28</v>
      </c>
      <c r="N311" s="3" t="s">
        <v>28</v>
      </c>
      <c r="O311" s="3" t="s">
        <v>27</v>
      </c>
      <c r="P311" s="3" t="s">
        <v>28</v>
      </c>
      <c r="Q311" s="3" t="s">
        <v>28</v>
      </c>
      <c r="R311" s="3" t="s">
        <v>28</v>
      </c>
      <c r="S311" s="3" t="s">
        <v>28</v>
      </c>
      <c r="T311" s="3" t="s">
        <v>28</v>
      </c>
    </row>
    <row r="312" spans="1:20" ht="244.5">
      <c r="A312" s="3">
        <v>2761700</v>
      </c>
      <c r="B312" s="3">
        <f>HYPERLINK("https://platform.v2.vetology.net/cases/2761700/screening-report/6?type=pdf&amp;v=v6&amp;scorecard=1&amp;secret_key=BX%25IJ%24%2F65ieZ%29f6", 2761700)</f>
        <v>2761700</v>
      </c>
      <c r="C312" s="3">
        <f>HYPERLINK("https://platform.v2.vetology.net/report/v/final/"&amp;2761700, 2761700)</f>
        <v>2761700</v>
      </c>
      <c r="D312" s="3" t="s">
        <v>1411</v>
      </c>
      <c r="E312" s="3" t="s">
        <v>1412</v>
      </c>
      <c r="F312" s="3" t="s">
        <v>1413</v>
      </c>
      <c r="G312" s="3" t="s">
        <v>100</v>
      </c>
      <c r="H312" s="3" t="s">
        <v>1176</v>
      </c>
      <c r="I312" s="3" t="s">
        <v>206</v>
      </c>
      <c r="J312" s="3" t="s">
        <v>207</v>
      </c>
      <c r="K312" s="3" t="s">
        <v>27</v>
      </c>
      <c r="L312" s="3" t="s">
        <v>28</v>
      </c>
      <c r="M312" s="3" t="s">
        <v>28</v>
      </c>
      <c r="N312" s="3" t="s">
        <v>28</v>
      </c>
      <c r="O312" s="3" t="s">
        <v>27</v>
      </c>
      <c r="P312" s="3" t="s">
        <v>28</v>
      </c>
      <c r="Q312" s="3" t="s">
        <v>28</v>
      </c>
      <c r="R312" s="3" t="s">
        <v>28</v>
      </c>
      <c r="S312" s="3" t="s">
        <v>28</v>
      </c>
      <c r="T312" s="3" t="s">
        <v>28</v>
      </c>
    </row>
    <row r="313" spans="1:20" ht="409.6">
      <c r="A313" s="3">
        <v>2761694</v>
      </c>
      <c r="B313" s="3">
        <f>HYPERLINK("https://platform.v2.vetology.net/cases/2761694/screening-report/6?type=pdf&amp;v=v6&amp;scorecard=1&amp;secret_key=BX%25IJ%24%2F65ieZ%29f6", 2761694)</f>
        <v>2761694</v>
      </c>
      <c r="C313" s="3">
        <f>HYPERLINK("https://platform.v2.vetology.net/report/v/final/"&amp;2761694, 2761694)</f>
        <v>2761694</v>
      </c>
      <c r="D313" s="3" t="s">
        <v>1414</v>
      </c>
      <c r="E313" s="3" t="s">
        <v>1415</v>
      </c>
      <c r="F313" s="3" t="s">
        <v>1416</v>
      </c>
      <c r="G313" s="3" t="s">
        <v>64</v>
      </c>
      <c r="H313" s="3" t="s">
        <v>112</v>
      </c>
      <c r="I313" s="3" t="s">
        <v>1417</v>
      </c>
      <c r="J313" s="3" t="s">
        <v>1418</v>
      </c>
      <c r="K313" s="3" t="s">
        <v>27</v>
      </c>
      <c r="L313" s="3" t="s">
        <v>28</v>
      </c>
      <c r="M313" s="3" t="s">
        <v>27</v>
      </c>
      <c r="N313" s="3" t="s">
        <v>28</v>
      </c>
      <c r="O313" s="3" t="s">
        <v>27</v>
      </c>
      <c r="P313" s="3" t="s">
        <v>27</v>
      </c>
      <c r="Q313" s="3" t="s">
        <v>27</v>
      </c>
      <c r="R313" s="3" t="s">
        <v>28</v>
      </c>
      <c r="S313" s="3" t="s">
        <v>28</v>
      </c>
      <c r="T313" s="3" t="s">
        <v>28</v>
      </c>
    </row>
    <row r="314" spans="1:20" ht="229.5">
      <c r="A314" s="3">
        <v>2761687</v>
      </c>
      <c r="B314" s="3">
        <f>HYPERLINK("https://platform.v2.vetology.net/cases/2761687/screening-report/6?type=pdf&amp;v=v6&amp;scorecard=1&amp;secret_key=BX%25IJ%24%2F65ieZ%29f6", 2761687)</f>
        <v>2761687</v>
      </c>
      <c r="C314" s="3">
        <f>HYPERLINK("https://platform.v2.vetology.net/report/v/final/"&amp;2761687, 2761687)</f>
        <v>2761687</v>
      </c>
      <c r="D314" s="3" t="s">
        <v>1419</v>
      </c>
      <c r="E314" s="3" t="s">
        <v>1028</v>
      </c>
      <c r="F314" s="3" t="s">
        <v>1420</v>
      </c>
      <c r="G314" s="3" t="s">
        <v>100</v>
      </c>
      <c r="H314" s="3" t="s">
        <v>1421</v>
      </c>
      <c r="I314" s="3" t="s">
        <v>32</v>
      </c>
      <c r="J314" s="3" t="s">
        <v>119</v>
      </c>
      <c r="K314" s="3" t="s">
        <v>28</v>
      </c>
      <c r="L314" s="3" t="s">
        <v>27</v>
      </c>
      <c r="M314" s="3" t="s">
        <v>28</v>
      </c>
      <c r="N314" s="3" t="s">
        <v>28</v>
      </c>
      <c r="O314" s="3" t="s">
        <v>27</v>
      </c>
      <c r="P314" s="3" t="s">
        <v>28</v>
      </c>
      <c r="Q314" s="3" t="s">
        <v>28</v>
      </c>
      <c r="R314" s="3" t="s">
        <v>28</v>
      </c>
      <c r="S314" s="3" t="s">
        <v>28</v>
      </c>
      <c r="T314" s="3" t="s">
        <v>28</v>
      </c>
    </row>
    <row r="315" spans="1:20" ht="290.25">
      <c r="A315" s="3">
        <v>2761678</v>
      </c>
      <c r="B315" s="3">
        <f>HYPERLINK("https://platform.v2.vetology.net/cases/2761678/screening-report/6?type=pdf&amp;v=v6&amp;scorecard=1&amp;secret_key=BX%25IJ%24%2F65ieZ%29f6", 2761678)</f>
        <v>2761678</v>
      </c>
      <c r="C315" s="3">
        <f>HYPERLINK("https://platform.v2.vetology.net/report/v/final/"&amp;2761678, 2761678)</f>
        <v>2761678</v>
      </c>
      <c r="D315" s="3" t="s">
        <v>1422</v>
      </c>
      <c r="E315" s="3" t="s">
        <v>1423</v>
      </c>
      <c r="F315" s="3" t="s">
        <v>1424</v>
      </c>
      <c r="G315" s="3" t="s">
        <v>186</v>
      </c>
      <c r="H315" s="3" t="s">
        <v>1425</v>
      </c>
      <c r="I315" s="3" t="s">
        <v>1426</v>
      </c>
      <c r="J315" s="3" t="s">
        <v>207</v>
      </c>
      <c r="K315" s="3" t="s">
        <v>27</v>
      </c>
      <c r="L315" s="3" t="s">
        <v>27</v>
      </c>
      <c r="M315" s="3" t="s">
        <v>27</v>
      </c>
      <c r="N315" s="3" t="s">
        <v>27</v>
      </c>
      <c r="O315" s="3" t="s">
        <v>27</v>
      </c>
      <c r="P315" s="3" t="s">
        <v>28</v>
      </c>
      <c r="Q315" s="3" t="s">
        <v>27</v>
      </c>
      <c r="R315" s="3" t="s">
        <v>27</v>
      </c>
      <c r="S315" s="3" t="s">
        <v>27</v>
      </c>
      <c r="T315" s="3" t="s">
        <v>27</v>
      </c>
    </row>
    <row r="316" spans="1:20" ht="305.25">
      <c r="A316" s="3">
        <v>2761668</v>
      </c>
      <c r="B316" s="3">
        <f>HYPERLINK("https://platform.v2.vetology.net/cases/2761668/screening-report/6?type=pdf&amp;v=v6&amp;scorecard=1&amp;secret_key=BX%25IJ%24%2F65ieZ%29f6", 2761668)</f>
        <v>2761668</v>
      </c>
      <c r="C316" s="3">
        <f>HYPERLINK("https://platform.v2.vetology.net/report/v/final/"&amp;2761668, 2761668)</f>
        <v>2761668</v>
      </c>
      <c r="D316" s="3" t="s">
        <v>1427</v>
      </c>
      <c r="E316" s="3" t="s">
        <v>1428</v>
      </c>
      <c r="F316" s="3" t="s">
        <v>22</v>
      </c>
      <c r="G316" s="3" t="s">
        <v>23</v>
      </c>
      <c r="H316" s="3" t="s">
        <v>1429</v>
      </c>
      <c r="I316" s="3" t="s">
        <v>1430</v>
      </c>
      <c r="J316" s="3" t="s">
        <v>1431</v>
      </c>
      <c r="K316" s="3" t="s">
        <v>28</v>
      </c>
      <c r="L316" s="3" t="s">
        <v>28</v>
      </c>
      <c r="M316" s="3" t="s">
        <v>28</v>
      </c>
      <c r="N316" s="3" t="s">
        <v>28</v>
      </c>
      <c r="O316" s="3" t="s">
        <v>27</v>
      </c>
      <c r="P316" s="3" t="s">
        <v>28</v>
      </c>
      <c r="Q316" s="3" t="s">
        <v>28</v>
      </c>
      <c r="R316" s="3" t="s">
        <v>28</v>
      </c>
      <c r="S316" s="3" t="s">
        <v>28</v>
      </c>
      <c r="T316" s="3" t="s">
        <v>27</v>
      </c>
    </row>
    <row r="317" spans="1:20" ht="366">
      <c r="A317" s="3">
        <v>2761652</v>
      </c>
      <c r="B317" s="3">
        <f>HYPERLINK("https://platform.v2.vetology.net/cases/2761652/screening-report/6?type=pdf&amp;v=v6&amp;scorecard=1&amp;secret_key=BX%25IJ%24%2F65ieZ%29f6", 2761652)</f>
        <v>2761652</v>
      </c>
      <c r="C317" s="3">
        <f>HYPERLINK("https://platform.v2.vetology.net/report/v/final/"&amp;2761652, 2761652)</f>
        <v>2761652</v>
      </c>
      <c r="D317" s="3" t="s">
        <v>1432</v>
      </c>
      <c r="E317" s="3" t="s">
        <v>1433</v>
      </c>
      <c r="F317" s="3" t="s">
        <v>22</v>
      </c>
      <c r="G317" s="3" t="s">
        <v>23</v>
      </c>
      <c r="H317" s="3" t="s">
        <v>1271</v>
      </c>
      <c r="I317" s="3" t="s">
        <v>883</v>
      </c>
      <c r="J317" s="3" t="s">
        <v>884</v>
      </c>
      <c r="K317" s="3" t="s">
        <v>28</v>
      </c>
      <c r="L317" s="3" t="s">
        <v>28</v>
      </c>
      <c r="M317" s="3" t="s">
        <v>28</v>
      </c>
      <c r="N317" s="3" t="s">
        <v>28</v>
      </c>
      <c r="O317" s="3" t="s">
        <v>27</v>
      </c>
      <c r="P317" s="3" t="s">
        <v>28</v>
      </c>
      <c r="Q317" s="3" t="s">
        <v>28</v>
      </c>
      <c r="R317" s="3" t="s">
        <v>28</v>
      </c>
      <c r="S317" s="3" t="s">
        <v>28</v>
      </c>
      <c r="T317" s="3" t="s">
        <v>28</v>
      </c>
    </row>
    <row r="318" spans="1:20" ht="351">
      <c r="A318" s="3">
        <v>2761631</v>
      </c>
      <c r="B318" s="3">
        <f>HYPERLINK("https://platform.v2.vetology.net/cases/2761631/screening-report/6?type=pdf&amp;v=v6&amp;scorecard=1&amp;secret_key=BX%25IJ%24%2F65ieZ%29f6", 2761631)</f>
        <v>2761631</v>
      </c>
      <c r="C318" s="3">
        <f>HYPERLINK("https://platform.v2.vetology.net/report/v/final/"&amp;2761631, 2761631)</f>
        <v>2761631</v>
      </c>
      <c r="D318" s="3" t="s">
        <v>1434</v>
      </c>
      <c r="E318" s="3" t="s">
        <v>1435</v>
      </c>
      <c r="F318" s="3" t="s">
        <v>1436</v>
      </c>
      <c r="G318" s="3" t="s">
        <v>186</v>
      </c>
      <c r="H318" s="3" t="s">
        <v>1437</v>
      </c>
      <c r="I318" s="3" t="s">
        <v>1438</v>
      </c>
      <c r="J318" s="3" t="s">
        <v>1439</v>
      </c>
      <c r="K318" s="3" t="s">
        <v>28</v>
      </c>
      <c r="L318" s="3" t="s">
        <v>28</v>
      </c>
      <c r="M318" s="3" t="s">
        <v>28</v>
      </c>
      <c r="N318" s="3" t="s">
        <v>28</v>
      </c>
      <c r="O318" s="3" t="s">
        <v>27</v>
      </c>
      <c r="P318" s="3" t="s">
        <v>28</v>
      </c>
      <c r="Q318" s="3" t="s">
        <v>28</v>
      </c>
      <c r="R318" s="3" t="s">
        <v>28</v>
      </c>
      <c r="S318" s="3" t="s">
        <v>28</v>
      </c>
      <c r="T318" s="3" t="s">
        <v>27</v>
      </c>
    </row>
    <row r="319" spans="1:20" ht="409.6">
      <c r="A319" s="3">
        <v>2761599</v>
      </c>
      <c r="B319" s="3">
        <f>HYPERLINK("https://platform.v2.vetology.net/cases/2761599/screening-report/6?type=pdf&amp;v=v6&amp;scorecard=1&amp;secret_key=BX%25IJ%24%2F65ieZ%29f6", 2761599)</f>
        <v>2761599</v>
      </c>
      <c r="C319" s="3">
        <f>HYPERLINK("https://platform.v2.vetology.net/report/v/final/"&amp;2761599, 2761599)</f>
        <v>2761599</v>
      </c>
      <c r="D319" s="3" t="s">
        <v>1440</v>
      </c>
      <c r="E319" s="3" t="s">
        <v>1441</v>
      </c>
      <c r="F319" s="3" t="s">
        <v>1442</v>
      </c>
      <c r="G319" s="3" t="s">
        <v>186</v>
      </c>
      <c r="H319" s="3" t="s">
        <v>1443</v>
      </c>
      <c r="I319" s="3" t="s">
        <v>1444</v>
      </c>
      <c r="J319" s="3" t="s">
        <v>1445</v>
      </c>
      <c r="K319" s="3" t="s">
        <v>27</v>
      </c>
      <c r="L319" s="3" t="s">
        <v>28</v>
      </c>
      <c r="M319" s="3" t="s">
        <v>28</v>
      </c>
      <c r="N319" s="3" t="s">
        <v>28</v>
      </c>
      <c r="O319" s="3" t="s">
        <v>27</v>
      </c>
      <c r="P319" s="3" t="s">
        <v>27</v>
      </c>
      <c r="Q319" s="3" t="s">
        <v>28</v>
      </c>
      <c r="R319" s="3" t="s">
        <v>28</v>
      </c>
      <c r="S319" s="3" t="s">
        <v>28</v>
      </c>
      <c r="T319" s="3" t="s">
        <v>28</v>
      </c>
    </row>
    <row r="320" spans="1:20" ht="409.6">
      <c r="A320" s="3">
        <v>2761536</v>
      </c>
      <c r="B320" s="3">
        <f>HYPERLINK("https://platform.v2.vetology.net/cases/2761536/screening-report/6?type=pdf&amp;v=v6&amp;scorecard=1&amp;secret_key=BX%25IJ%24%2F65ieZ%29f6", 2761536)</f>
        <v>2761536</v>
      </c>
      <c r="C320" s="3">
        <f>HYPERLINK("https://platform.v2.vetology.net/report/v/final/"&amp;2761536, 2761536)</f>
        <v>2761536</v>
      </c>
      <c r="D320" s="3" t="s">
        <v>1446</v>
      </c>
      <c r="E320" s="3" t="s">
        <v>1447</v>
      </c>
      <c r="F320" s="3" t="s">
        <v>1448</v>
      </c>
      <c r="G320" s="3" t="s">
        <v>186</v>
      </c>
      <c r="H320" s="3" t="s">
        <v>548</v>
      </c>
      <c r="I320" s="3" t="s">
        <v>549</v>
      </c>
      <c r="J320" s="3" t="s">
        <v>550</v>
      </c>
      <c r="K320" s="3" t="s">
        <v>28</v>
      </c>
      <c r="L320" s="3" t="s">
        <v>27</v>
      </c>
      <c r="M320" s="3" t="s">
        <v>28</v>
      </c>
      <c r="N320" s="3" t="s">
        <v>27</v>
      </c>
      <c r="O320" s="3" t="s">
        <v>27</v>
      </c>
      <c r="P320" s="3" t="s">
        <v>28</v>
      </c>
      <c r="Q320" s="3" t="s">
        <v>28</v>
      </c>
      <c r="R320" s="3" t="s">
        <v>27</v>
      </c>
      <c r="S320" s="3" t="s">
        <v>27</v>
      </c>
      <c r="T320" s="3" t="s">
        <v>27</v>
      </c>
    </row>
    <row r="321" spans="1:20" ht="409.6">
      <c r="A321" s="3">
        <v>2761532</v>
      </c>
      <c r="B321" s="3">
        <f>HYPERLINK("https://platform.v2.vetology.net/cases/2761532/screening-report/6?type=pdf&amp;v=v6&amp;scorecard=1&amp;secret_key=BX%25IJ%24%2F65ieZ%29f6", 2761532)</f>
        <v>2761532</v>
      </c>
      <c r="C321" s="3">
        <f>HYPERLINK("https://platform.v2.vetology.net/report/v/final/"&amp;2761532, 2761532)</f>
        <v>2761532</v>
      </c>
      <c r="D321" s="3" t="s">
        <v>1449</v>
      </c>
      <c r="E321" s="3" t="s">
        <v>1450</v>
      </c>
      <c r="F321" s="3" t="s">
        <v>1451</v>
      </c>
      <c r="G321" s="3" t="s">
        <v>64</v>
      </c>
      <c r="H321" s="3" t="s">
        <v>1452</v>
      </c>
      <c r="I321" s="3" t="s">
        <v>549</v>
      </c>
      <c r="J321" s="3" t="s">
        <v>550</v>
      </c>
      <c r="K321" s="3" t="s">
        <v>28</v>
      </c>
      <c r="L321" s="3" t="s">
        <v>27</v>
      </c>
      <c r="M321" s="3" t="s">
        <v>28</v>
      </c>
      <c r="N321" s="3" t="s">
        <v>27</v>
      </c>
      <c r="O321" s="3" t="s">
        <v>27</v>
      </c>
      <c r="P321" s="3" t="s">
        <v>28</v>
      </c>
      <c r="Q321" s="3" t="s">
        <v>28</v>
      </c>
      <c r="R321" s="3" t="s">
        <v>27</v>
      </c>
      <c r="S321" s="3" t="s">
        <v>27</v>
      </c>
      <c r="T321" s="3" t="s">
        <v>27</v>
      </c>
    </row>
    <row r="322" spans="1:20" ht="290.25">
      <c r="A322" s="3">
        <v>2761482</v>
      </c>
      <c r="B322" s="3">
        <f>HYPERLINK("https://platform.v2.vetology.net/cases/2761482/screening-report/6?type=pdf&amp;v=v6&amp;scorecard=1&amp;secret_key=BX%25IJ%24%2F65ieZ%29f6", 2761482)</f>
        <v>2761482</v>
      </c>
      <c r="C322" s="3">
        <f>HYPERLINK("https://platform.v2.vetology.net/report/v/final/"&amp;2761482, 2761482)</f>
        <v>2761482</v>
      </c>
      <c r="D322" s="3" t="s">
        <v>1453</v>
      </c>
      <c r="E322" s="3" t="s">
        <v>1454</v>
      </c>
      <c r="F322" s="3" t="s">
        <v>1455</v>
      </c>
      <c r="G322" s="3" t="s">
        <v>186</v>
      </c>
      <c r="H322" s="3" t="s">
        <v>1456</v>
      </c>
      <c r="I322" s="3" t="s">
        <v>316</v>
      </c>
      <c r="J322" s="3" t="s">
        <v>317</v>
      </c>
      <c r="K322" s="3" t="s">
        <v>28</v>
      </c>
      <c r="L322" s="3" t="s">
        <v>28</v>
      </c>
      <c r="M322" s="3" t="s">
        <v>28</v>
      </c>
      <c r="N322" s="3" t="s">
        <v>28</v>
      </c>
      <c r="O322" s="3" t="s">
        <v>27</v>
      </c>
      <c r="P322" s="3" t="s">
        <v>28</v>
      </c>
      <c r="Q322" s="3" t="s">
        <v>28</v>
      </c>
      <c r="R322" s="3" t="s">
        <v>28</v>
      </c>
      <c r="S322" s="3" t="s">
        <v>28</v>
      </c>
      <c r="T322" s="3" t="s">
        <v>28</v>
      </c>
    </row>
    <row r="323" spans="1:20" ht="366">
      <c r="A323" s="3">
        <v>2761425</v>
      </c>
      <c r="B323" s="3">
        <f>HYPERLINK("https://platform.v2.vetology.net/cases/2761425/screening-report/6?type=pdf&amp;v=v6&amp;scorecard=1&amp;secret_key=BX%25IJ%24%2F65ieZ%29f6", 2761425)</f>
        <v>2761425</v>
      </c>
      <c r="C323" s="3">
        <f>HYPERLINK("https://platform.v2.vetology.net/report/v/final/"&amp;2761425, 2761425)</f>
        <v>2761425</v>
      </c>
      <c r="D323" s="3" t="s">
        <v>1457</v>
      </c>
      <c r="E323" s="3" t="s">
        <v>1458</v>
      </c>
      <c r="F323" s="3" t="s">
        <v>22</v>
      </c>
      <c r="G323" s="3" t="s">
        <v>100</v>
      </c>
      <c r="H323" s="3" t="s">
        <v>1459</v>
      </c>
      <c r="I323" s="3" t="s">
        <v>1460</v>
      </c>
      <c r="J323" s="3" t="s">
        <v>1461</v>
      </c>
      <c r="K323" s="3" t="s">
        <v>28</v>
      </c>
      <c r="L323" s="3" t="s">
        <v>27</v>
      </c>
      <c r="M323" s="3" t="s">
        <v>27</v>
      </c>
      <c r="N323" s="3" t="s">
        <v>27</v>
      </c>
      <c r="O323" s="3" t="s">
        <v>27</v>
      </c>
      <c r="P323" s="3" t="s">
        <v>27</v>
      </c>
      <c r="Q323" s="3" t="s">
        <v>28</v>
      </c>
      <c r="R323" s="3" t="s">
        <v>27</v>
      </c>
      <c r="S323" s="3" t="s">
        <v>27</v>
      </c>
      <c r="T323" s="3" t="s">
        <v>27</v>
      </c>
    </row>
    <row r="324" spans="1:20" ht="409.6">
      <c r="A324" s="3">
        <v>2761174</v>
      </c>
      <c r="B324" s="3">
        <f>HYPERLINK("https://platform.v2.vetology.net/cases/2761174/screening-report/6?type=pdf&amp;v=v6&amp;scorecard=1&amp;secret_key=BX%25IJ%24%2F65ieZ%29f6", 2761174)</f>
        <v>2761174</v>
      </c>
      <c r="C324" s="3">
        <f>HYPERLINK("https://platform.v2.vetology.net/report/v/final/"&amp;2761174, 2761174)</f>
        <v>2761174</v>
      </c>
      <c r="D324" s="3" t="s">
        <v>1462</v>
      </c>
      <c r="E324" s="3" t="s">
        <v>1463</v>
      </c>
      <c r="F324" s="3" t="s">
        <v>22</v>
      </c>
      <c r="G324" s="3" t="s">
        <v>23</v>
      </c>
      <c r="H324" s="3" t="s">
        <v>877</v>
      </c>
      <c r="I324" s="3" t="s">
        <v>878</v>
      </c>
      <c r="J324" s="3" t="s">
        <v>879</v>
      </c>
      <c r="K324" s="3" t="s">
        <v>27</v>
      </c>
      <c r="L324" s="3" t="s">
        <v>27</v>
      </c>
      <c r="M324" s="3" t="s">
        <v>28</v>
      </c>
      <c r="N324" s="3" t="s">
        <v>27</v>
      </c>
      <c r="O324" s="3" t="s">
        <v>27</v>
      </c>
      <c r="P324" s="3" t="s">
        <v>28</v>
      </c>
      <c r="Q324" s="3" t="s">
        <v>28</v>
      </c>
      <c r="R324" s="3" t="s">
        <v>27</v>
      </c>
      <c r="S324" s="3" t="s">
        <v>27</v>
      </c>
      <c r="T324" s="3" t="s">
        <v>27</v>
      </c>
    </row>
    <row r="325" spans="1:20" ht="381.75">
      <c r="A325" s="3">
        <v>2761161</v>
      </c>
      <c r="B325" s="3">
        <f>HYPERLINK("https://platform.v2.vetology.net/cases/2761161/screening-report/6?type=pdf&amp;v=v6&amp;scorecard=1&amp;secret_key=BX%25IJ%24%2F65ieZ%29f6", 2761161)</f>
        <v>2761161</v>
      </c>
      <c r="C325" s="3">
        <f>HYPERLINK("https://platform.v2.vetology.net/report/v/final/"&amp;2761161, 2761161)</f>
        <v>2761161</v>
      </c>
      <c r="D325" s="3" t="s">
        <v>1464</v>
      </c>
      <c r="E325" s="3" t="s">
        <v>1465</v>
      </c>
      <c r="F325" s="3" t="s">
        <v>1466</v>
      </c>
      <c r="G325" s="3" t="s">
        <v>100</v>
      </c>
      <c r="H325" s="3" t="s">
        <v>1467</v>
      </c>
      <c r="I325" s="3" t="s">
        <v>194</v>
      </c>
      <c r="J325" s="3" t="s">
        <v>195</v>
      </c>
      <c r="K325" s="3" t="s">
        <v>28</v>
      </c>
      <c r="L325" s="3" t="s">
        <v>28</v>
      </c>
      <c r="M325" s="3" t="s">
        <v>28</v>
      </c>
      <c r="N325" s="3" t="s">
        <v>28</v>
      </c>
      <c r="O325" s="3" t="s">
        <v>27</v>
      </c>
      <c r="P325" s="3" t="s">
        <v>28</v>
      </c>
      <c r="Q325" s="3" t="s">
        <v>28</v>
      </c>
      <c r="R325" s="3" t="s">
        <v>27</v>
      </c>
      <c r="S325" s="3" t="s">
        <v>27</v>
      </c>
      <c r="T325" s="3" t="s">
        <v>27</v>
      </c>
    </row>
    <row r="326" spans="1:20" ht="396.75">
      <c r="A326" s="3">
        <v>2761119</v>
      </c>
      <c r="B326" s="3">
        <f>HYPERLINK("https://platform.v2.vetology.net/cases/2761119/screening-report/6?type=pdf&amp;v=v6&amp;scorecard=1&amp;secret_key=BX%25IJ%24%2F65ieZ%29f6", 2761119)</f>
        <v>2761119</v>
      </c>
      <c r="C326" s="3">
        <f>HYPERLINK("https://platform.v2.vetology.net/report/v/final/"&amp;2761119, 2761119)</f>
        <v>2761119</v>
      </c>
      <c r="D326" s="3" t="s">
        <v>1468</v>
      </c>
      <c r="E326" s="3" t="s">
        <v>1469</v>
      </c>
      <c r="F326" s="3" t="s">
        <v>1470</v>
      </c>
      <c r="G326" s="3" t="s">
        <v>64</v>
      </c>
      <c r="H326" s="3" t="s">
        <v>1471</v>
      </c>
      <c r="I326" s="3" t="s">
        <v>1472</v>
      </c>
      <c r="J326" s="3" t="s">
        <v>1374</v>
      </c>
      <c r="K326" s="3" t="s">
        <v>27</v>
      </c>
      <c r="L326" s="3" t="s">
        <v>28</v>
      </c>
      <c r="M326" s="3" t="s">
        <v>27</v>
      </c>
      <c r="N326" s="3" t="s">
        <v>28</v>
      </c>
      <c r="O326" s="3" t="s">
        <v>27</v>
      </c>
      <c r="P326" s="3" t="s">
        <v>28</v>
      </c>
      <c r="Q326" s="3" t="s">
        <v>28</v>
      </c>
      <c r="R326" s="3" t="s">
        <v>28</v>
      </c>
      <c r="S326" s="3" t="s">
        <v>28</v>
      </c>
      <c r="T326" s="3" t="s">
        <v>28</v>
      </c>
    </row>
    <row r="327" spans="1:20" ht="305.25">
      <c r="A327" s="3">
        <v>2761054</v>
      </c>
      <c r="B327" s="3">
        <f>HYPERLINK("https://platform.v2.vetology.net/cases/2761054/screening-report/6?type=pdf&amp;v=v6&amp;scorecard=1&amp;secret_key=BX%25IJ%24%2F65ieZ%29f6", 2761054)</f>
        <v>2761054</v>
      </c>
      <c r="C327" s="3">
        <f>HYPERLINK("https://platform.v2.vetology.net/report/v/final/"&amp;2761054, 2761054)</f>
        <v>2761054</v>
      </c>
      <c r="D327" s="3" t="s">
        <v>1473</v>
      </c>
      <c r="E327" s="3" t="s">
        <v>1474</v>
      </c>
      <c r="F327" s="3" t="s">
        <v>22</v>
      </c>
      <c r="G327" s="3" t="s">
        <v>23</v>
      </c>
      <c r="H327" s="3" t="s">
        <v>1475</v>
      </c>
      <c r="I327" s="3"/>
      <c r="J327" s="3" t="s">
        <v>207</v>
      </c>
      <c r="K327" s="3" t="s">
        <v>28</v>
      </c>
      <c r="L327" s="3" t="s">
        <v>28</v>
      </c>
      <c r="M327" s="3" t="s">
        <v>28</v>
      </c>
      <c r="N327" s="3" t="s">
        <v>28</v>
      </c>
      <c r="O327" s="3" t="s">
        <v>27</v>
      </c>
      <c r="P327" s="3" t="s">
        <v>28</v>
      </c>
      <c r="Q327" s="3" t="s">
        <v>28</v>
      </c>
      <c r="R327" s="3" t="s">
        <v>28</v>
      </c>
      <c r="S327" s="3" t="s">
        <v>28</v>
      </c>
      <c r="T327" s="3" t="s">
        <v>27</v>
      </c>
    </row>
    <row r="328" spans="1:20" ht="381.75">
      <c r="A328" s="3">
        <v>2760947</v>
      </c>
      <c r="B328" s="3">
        <f>HYPERLINK("https://platform.v2.vetology.net/cases/2760947/screening-report/6?type=pdf&amp;v=v6&amp;scorecard=1&amp;secret_key=BX%25IJ%24%2F65ieZ%29f6", 2760947)</f>
        <v>2760947</v>
      </c>
      <c r="C328" s="3">
        <f>HYPERLINK("https://platform.v2.vetology.net/report/v/final/"&amp;2760947, 2760947)</f>
        <v>2760947</v>
      </c>
      <c r="D328" s="3" t="s">
        <v>1476</v>
      </c>
      <c r="E328" s="3" t="s">
        <v>1477</v>
      </c>
      <c r="F328" s="3" t="s">
        <v>22</v>
      </c>
      <c r="G328" s="3" t="s">
        <v>100</v>
      </c>
      <c r="H328" s="3" t="s">
        <v>1478</v>
      </c>
      <c r="I328" s="3" t="s">
        <v>279</v>
      </c>
      <c r="J328" s="3" t="s">
        <v>280</v>
      </c>
      <c r="K328" s="3" t="s">
        <v>28</v>
      </c>
      <c r="L328" s="3" t="s">
        <v>28</v>
      </c>
      <c r="M328" s="3" t="s">
        <v>28</v>
      </c>
      <c r="N328" s="3" t="s">
        <v>28</v>
      </c>
      <c r="O328" s="3" t="s">
        <v>28</v>
      </c>
      <c r="P328" s="3" t="s">
        <v>28</v>
      </c>
      <c r="Q328" s="3" t="s">
        <v>28</v>
      </c>
      <c r="R328" s="3" t="s">
        <v>28</v>
      </c>
      <c r="S328" s="3" t="s">
        <v>28</v>
      </c>
      <c r="T328" s="3" t="s">
        <v>27</v>
      </c>
    </row>
    <row r="329" spans="1:20" ht="409.6">
      <c r="A329" s="3">
        <v>2760940</v>
      </c>
      <c r="B329" s="3">
        <f>HYPERLINK("https://platform.v2.vetology.net/cases/2760940/screening-report/6?type=pdf&amp;v=v6&amp;scorecard=1&amp;secret_key=BX%25IJ%24%2F65ieZ%29f6", 2760940)</f>
        <v>2760940</v>
      </c>
      <c r="C329" s="3">
        <f>HYPERLINK("https://platform.v2.vetology.net/report/v/final/"&amp;2760940, 2760940)</f>
        <v>2760940</v>
      </c>
      <c r="D329" s="3" t="s">
        <v>1479</v>
      </c>
      <c r="E329" s="3" t="s">
        <v>1480</v>
      </c>
      <c r="F329" s="3" t="s">
        <v>1481</v>
      </c>
      <c r="G329" s="3" t="s">
        <v>64</v>
      </c>
      <c r="H329" s="3" t="s">
        <v>1482</v>
      </c>
      <c r="I329" s="3" t="s">
        <v>1483</v>
      </c>
      <c r="J329" s="3" t="s">
        <v>207</v>
      </c>
      <c r="K329" s="3" t="s">
        <v>28</v>
      </c>
      <c r="L329" s="3" t="s">
        <v>28</v>
      </c>
      <c r="M329" s="3" t="s">
        <v>28</v>
      </c>
      <c r="N329" s="3" t="s">
        <v>28</v>
      </c>
      <c r="O329" s="3" t="s">
        <v>27</v>
      </c>
      <c r="P329" s="3" t="s">
        <v>28</v>
      </c>
      <c r="Q329" s="3" t="s">
        <v>28</v>
      </c>
      <c r="R329" s="3" t="s">
        <v>28</v>
      </c>
      <c r="S329" s="3" t="s">
        <v>28</v>
      </c>
      <c r="T329" s="3" t="s">
        <v>27</v>
      </c>
    </row>
    <row r="330" spans="1:20" ht="351">
      <c r="A330" s="3">
        <v>2760915</v>
      </c>
      <c r="B330" s="3">
        <f>HYPERLINK("https://platform.v2.vetology.net/cases/2760915/screening-report/6?type=pdf&amp;v=v6&amp;scorecard=1&amp;secret_key=BX%25IJ%24%2F65ieZ%29f6", 2760915)</f>
        <v>2760915</v>
      </c>
      <c r="C330" s="3">
        <f>HYPERLINK("https://platform.v2.vetology.net/report/v/final/"&amp;2760915, 2760915)</f>
        <v>2760915</v>
      </c>
      <c r="D330" s="3" t="s">
        <v>1484</v>
      </c>
      <c r="E330" s="3" t="s">
        <v>1485</v>
      </c>
      <c r="F330" s="3" t="s">
        <v>1486</v>
      </c>
      <c r="G330" s="3" t="s">
        <v>211</v>
      </c>
      <c r="H330" s="3" t="s">
        <v>238</v>
      </c>
      <c r="I330" s="3"/>
      <c r="J330" s="3" t="s">
        <v>207</v>
      </c>
      <c r="K330" s="3" t="s">
        <v>28</v>
      </c>
      <c r="L330" s="3" t="s">
        <v>28</v>
      </c>
      <c r="M330" s="3" t="s">
        <v>28</v>
      </c>
      <c r="N330" s="3" t="s">
        <v>28</v>
      </c>
      <c r="O330" s="3" t="s">
        <v>27</v>
      </c>
      <c r="P330" s="3" t="s">
        <v>28</v>
      </c>
      <c r="Q330" s="3" t="s">
        <v>28</v>
      </c>
      <c r="R330" s="3" t="s">
        <v>28</v>
      </c>
      <c r="S330" s="3" t="s">
        <v>28</v>
      </c>
      <c r="T330" s="3" t="s">
        <v>27</v>
      </c>
    </row>
    <row r="331" spans="1:20" ht="381.75">
      <c r="A331" s="3">
        <v>2760878</v>
      </c>
      <c r="B331" s="3">
        <f>HYPERLINK("https://platform.v2.vetology.net/cases/2760878/screening-report/6?type=pdf&amp;v=v6&amp;scorecard=1&amp;secret_key=BX%25IJ%24%2F65ieZ%29f6", 2760878)</f>
        <v>2760878</v>
      </c>
      <c r="C331" s="3">
        <f>HYPERLINK("https://platform.v2.vetology.net/report/v/final/"&amp;2760878, 2760878)</f>
        <v>2760878</v>
      </c>
      <c r="D331" s="3" t="s">
        <v>1487</v>
      </c>
      <c r="E331" s="3" t="s">
        <v>1488</v>
      </c>
      <c r="F331" s="3" t="s">
        <v>1489</v>
      </c>
      <c r="G331" s="3" t="s">
        <v>211</v>
      </c>
      <c r="H331" s="3" t="s">
        <v>1490</v>
      </c>
      <c r="I331" s="3" t="s">
        <v>1491</v>
      </c>
      <c r="J331" s="3" t="s">
        <v>1492</v>
      </c>
      <c r="K331" s="3" t="s">
        <v>27</v>
      </c>
      <c r="L331" s="3" t="s">
        <v>28</v>
      </c>
      <c r="M331" s="3" t="s">
        <v>28</v>
      </c>
      <c r="N331" s="3" t="s">
        <v>27</v>
      </c>
      <c r="O331" s="3" t="s">
        <v>27</v>
      </c>
      <c r="P331" s="3" t="s">
        <v>28</v>
      </c>
      <c r="Q331" s="3" t="s">
        <v>28</v>
      </c>
      <c r="R331" s="3" t="s">
        <v>28</v>
      </c>
      <c r="S331" s="3" t="s">
        <v>28</v>
      </c>
      <c r="T331" s="3" t="s">
        <v>27</v>
      </c>
    </row>
    <row r="332" spans="1:20" ht="409.6">
      <c r="A332" s="3">
        <v>2760874</v>
      </c>
      <c r="B332" s="3">
        <f>HYPERLINK("https://platform.v2.vetology.net/cases/2760874/screening-report/6?type=pdf&amp;v=v6&amp;scorecard=1&amp;secret_key=BX%25IJ%24%2F65ieZ%29f6", 2760874)</f>
        <v>2760874</v>
      </c>
      <c r="C332" s="3">
        <f>HYPERLINK("https://platform.v2.vetology.net/report/v/final/"&amp;2760874, 2760874)</f>
        <v>2760874</v>
      </c>
      <c r="D332" s="3" t="s">
        <v>1493</v>
      </c>
      <c r="E332" s="3" t="s">
        <v>1494</v>
      </c>
      <c r="F332" s="3" t="s">
        <v>1495</v>
      </c>
      <c r="G332" s="3" t="s">
        <v>64</v>
      </c>
      <c r="H332" s="3" t="s">
        <v>1496</v>
      </c>
      <c r="I332" s="3" t="s">
        <v>1497</v>
      </c>
      <c r="J332" s="3" t="s">
        <v>207</v>
      </c>
      <c r="K332" s="3" t="s">
        <v>28</v>
      </c>
      <c r="L332" s="3" t="s">
        <v>28</v>
      </c>
      <c r="M332" s="3" t="s">
        <v>28</v>
      </c>
      <c r="N332" s="3" t="s">
        <v>28</v>
      </c>
      <c r="O332" s="3" t="s">
        <v>28</v>
      </c>
      <c r="P332" s="3" t="s">
        <v>27</v>
      </c>
      <c r="Q332" s="3" t="s">
        <v>28</v>
      </c>
      <c r="R332" s="3" t="s">
        <v>28</v>
      </c>
      <c r="S332" s="3" t="s">
        <v>28</v>
      </c>
      <c r="T332" s="3" t="s">
        <v>28</v>
      </c>
    </row>
    <row r="333" spans="1:20" ht="259.5">
      <c r="A333" s="3">
        <v>2760727</v>
      </c>
      <c r="B333" s="3">
        <f>HYPERLINK("https://platform.v2.vetology.net/cases/2760727/screening-report/6?type=pdf&amp;v=v6&amp;scorecard=1&amp;secret_key=BX%25IJ%24%2F65ieZ%29f6", 2760727)</f>
        <v>2760727</v>
      </c>
      <c r="C333" s="3">
        <f>HYPERLINK("https://platform.v2.vetology.net/report/v/final/"&amp;2760727, 2760727)</f>
        <v>2760727</v>
      </c>
      <c r="D333" s="3" t="s">
        <v>1498</v>
      </c>
      <c r="E333" s="3" t="s">
        <v>1499</v>
      </c>
      <c r="F333" s="3" t="s">
        <v>1500</v>
      </c>
      <c r="G333" s="3" t="s">
        <v>186</v>
      </c>
      <c r="H333" s="3" t="s">
        <v>1372</v>
      </c>
      <c r="I333" s="3" t="s">
        <v>1373</v>
      </c>
      <c r="J333" s="3" t="s">
        <v>1374</v>
      </c>
      <c r="K333" s="3" t="s">
        <v>27</v>
      </c>
      <c r="L333" s="3" t="s">
        <v>28</v>
      </c>
      <c r="M333" s="3" t="s">
        <v>27</v>
      </c>
      <c r="N333" s="3" t="s">
        <v>27</v>
      </c>
      <c r="O333" s="3" t="s">
        <v>27</v>
      </c>
      <c r="P333" s="3" t="s">
        <v>28</v>
      </c>
      <c r="Q333" s="3" t="s">
        <v>27</v>
      </c>
      <c r="R333" s="3" t="s">
        <v>27</v>
      </c>
      <c r="S333" s="3" t="s">
        <v>28</v>
      </c>
      <c r="T333" s="3" t="s">
        <v>27</v>
      </c>
    </row>
    <row r="334" spans="1:20" ht="305.25">
      <c r="A334" s="3">
        <v>2760695</v>
      </c>
      <c r="B334" s="3">
        <f>HYPERLINK("https://platform.v2.vetology.net/cases/2760695/screening-report/6?type=pdf&amp;v=v6&amp;scorecard=1&amp;secret_key=BX%25IJ%24%2F65ieZ%29f6", 2760695)</f>
        <v>2760695</v>
      </c>
      <c r="C334" s="3">
        <f>HYPERLINK("https://platform.v2.vetology.net/report/v/final/"&amp;2760695, 2760695)</f>
        <v>2760695</v>
      </c>
      <c r="D334" s="3" t="s">
        <v>1501</v>
      </c>
      <c r="E334" s="3" t="s">
        <v>1502</v>
      </c>
      <c r="F334" s="3" t="s">
        <v>22</v>
      </c>
      <c r="G334" s="3" t="s">
        <v>372</v>
      </c>
      <c r="H334" s="3" t="s">
        <v>944</v>
      </c>
      <c r="I334" s="3" t="s">
        <v>32</v>
      </c>
      <c r="J334" s="3" t="s">
        <v>33</v>
      </c>
      <c r="K334" s="3" t="s">
        <v>28</v>
      </c>
      <c r="L334" s="3" t="s">
        <v>27</v>
      </c>
      <c r="M334" s="3" t="s">
        <v>28</v>
      </c>
      <c r="N334" s="3" t="s">
        <v>28</v>
      </c>
      <c r="O334" s="3" t="s">
        <v>28</v>
      </c>
      <c r="P334" s="3" t="s">
        <v>28</v>
      </c>
      <c r="Q334" s="3" t="s">
        <v>27</v>
      </c>
      <c r="R334" s="3" t="s">
        <v>27</v>
      </c>
      <c r="S334" s="3" t="s">
        <v>28</v>
      </c>
      <c r="T334" s="3" t="s">
        <v>28</v>
      </c>
    </row>
    <row r="335" spans="1:20" ht="321">
      <c r="A335" s="3">
        <v>2760688</v>
      </c>
      <c r="B335" s="3">
        <f>HYPERLINK("https://platform.v2.vetology.net/cases/2760688/screening-report/6?type=pdf&amp;v=v6&amp;scorecard=1&amp;secret_key=BX%25IJ%24%2F65ieZ%29f6", 2760688)</f>
        <v>2760688</v>
      </c>
      <c r="C335" s="3">
        <f>HYPERLINK("https://platform.v2.vetology.net/report/v/final/"&amp;2760688, 2760688)</f>
        <v>2760688</v>
      </c>
      <c r="D335" s="3" t="s">
        <v>1503</v>
      </c>
      <c r="E335" s="3" t="s">
        <v>1504</v>
      </c>
      <c r="F335" s="3"/>
      <c r="G335" s="3" t="s">
        <v>100</v>
      </c>
      <c r="H335" s="3" t="s">
        <v>1421</v>
      </c>
      <c r="I335" s="3" t="s">
        <v>32</v>
      </c>
      <c r="J335" s="3" t="s">
        <v>847</v>
      </c>
      <c r="K335" s="3" t="s">
        <v>28</v>
      </c>
      <c r="L335" s="3" t="s">
        <v>27</v>
      </c>
      <c r="M335" s="3" t="s">
        <v>28</v>
      </c>
      <c r="N335" s="3" t="s">
        <v>28</v>
      </c>
      <c r="O335" s="3" t="s">
        <v>27</v>
      </c>
      <c r="P335" s="3" t="s">
        <v>28</v>
      </c>
      <c r="Q335" s="3" t="s">
        <v>28</v>
      </c>
      <c r="R335" s="3" t="s">
        <v>28</v>
      </c>
      <c r="S335" s="3" t="s">
        <v>28</v>
      </c>
      <c r="T335" s="3" t="s">
        <v>28</v>
      </c>
    </row>
    <row r="336" spans="1:20" ht="396.75">
      <c r="A336" s="3">
        <v>2760669</v>
      </c>
      <c r="B336" s="3">
        <f>HYPERLINK("https://platform.v2.vetology.net/cases/2760669/screening-report/6?type=pdf&amp;v=v6&amp;scorecard=1&amp;secret_key=BX%25IJ%24%2F65ieZ%29f6", 2760669)</f>
        <v>2760669</v>
      </c>
      <c r="C336" s="3">
        <f>HYPERLINK("https://platform.v2.vetology.net/report/v/final/"&amp;2760669, 2760669)</f>
        <v>2760669</v>
      </c>
      <c r="D336" s="3" t="s">
        <v>1505</v>
      </c>
      <c r="E336" s="3" t="s">
        <v>1506</v>
      </c>
      <c r="F336" s="3" t="s">
        <v>1507</v>
      </c>
      <c r="G336" s="3" t="s">
        <v>186</v>
      </c>
      <c r="H336" s="3" t="s">
        <v>1508</v>
      </c>
      <c r="I336" s="3" t="s">
        <v>351</v>
      </c>
      <c r="J336" s="3" t="s">
        <v>352</v>
      </c>
      <c r="K336" s="3" t="s">
        <v>28</v>
      </c>
      <c r="L336" s="3" t="s">
        <v>28</v>
      </c>
      <c r="M336" s="3" t="s">
        <v>28</v>
      </c>
      <c r="N336" s="3" t="s">
        <v>28</v>
      </c>
      <c r="O336" s="3" t="s">
        <v>28</v>
      </c>
      <c r="P336" s="3" t="s">
        <v>28</v>
      </c>
      <c r="Q336" s="3" t="s">
        <v>28</v>
      </c>
      <c r="R336" s="3" t="s">
        <v>28</v>
      </c>
      <c r="S336" s="3" t="s">
        <v>28</v>
      </c>
      <c r="T336" s="3" t="s">
        <v>27</v>
      </c>
    </row>
    <row r="337" spans="1:20" ht="305.25">
      <c r="A337" s="3">
        <v>2760642</v>
      </c>
      <c r="B337" s="3">
        <f>HYPERLINK("https://platform.v2.vetology.net/cases/2760642/screening-report/6?type=pdf&amp;v=v6&amp;scorecard=1&amp;secret_key=BX%25IJ%24%2F65ieZ%29f6", 2760642)</f>
        <v>2760642</v>
      </c>
      <c r="C337" s="3">
        <f>HYPERLINK("https://platform.v2.vetology.net/report/v/final/"&amp;2760642, 2760642)</f>
        <v>2760642</v>
      </c>
      <c r="D337" s="3" t="s">
        <v>1509</v>
      </c>
      <c r="E337" s="3" t="s">
        <v>1510</v>
      </c>
      <c r="F337" s="3" t="s">
        <v>1049</v>
      </c>
      <c r="G337" s="3" t="s">
        <v>100</v>
      </c>
      <c r="H337" s="3" t="s">
        <v>1511</v>
      </c>
      <c r="I337" s="3" t="s">
        <v>464</v>
      </c>
      <c r="J337" s="3" t="s">
        <v>688</v>
      </c>
      <c r="K337" s="3" t="s">
        <v>28</v>
      </c>
      <c r="L337" s="3" t="s">
        <v>28</v>
      </c>
      <c r="M337" s="3" t="s">
        <v>28</v>
      </c>
      <c r="N337" s="3" t="s">
        <v>28</v>
      </c>
      <c r="O337" s="3" t="s">
        <v>28</v>
      </c>
      <c r="P337" s="3" t="s">
        <v>28</v>
      </c>
      <c r="Q337" s="3" t="s">
        <v>27</v>
      </c>
      <c r="R337" s="3" t="s">
        <v>28</v>
      </c>
      <c r="S337" s="3" t="s">
        <v>28</v>
      </c>
      <c r="T337" s="3" t="s">
        <v>28</v>
      </c>
    </row>
    <row r="338" spans="1:20" ht="409.6">
      <c r="A338" s="3">
        <v>2760634</v>
      </c>
      <c r="B338" s="3">
        <f>HYPERLINK("https://platform.v2.vetology.net/cases/2760634/screening-report/6?type=pdf&amp;v=v6&amp;scorecard=1&amp;secret_key=BX%25IJ%24%2F65ieZ%29f6", 2760634)</f>
        <v>2760634</v>
      </c>
      <c r="C338" s="3">
        <f>HYPERLINK("https://platform.v2.vetology.net/report/v/final/"&amp;2760634, 2760634)</f>
        <v>2760634</v>
      </c>
      <c r="D338" s="3" t="s">
        <v>1512</v>
      </c>
      <c r="E338" s="3" t="s">
        <v>1513</v>
      </c>
      <c r="F338" s="3" t="s">
        <v>1514</v>
      </c>
      <c r="G338" s="3" t="s">
        <v>100</v>
      </c>
      <c r="H338" s="3" t="s">
        <v>1515</v>
      </c>
      <c r="I338" s="3" t="s">
        <v>1516</v>
      </c>
      <c r="J338" s="3" t="s">
        <v>1517</v>
      </c>
      <c r="K338" s="3" t="s">
        <v>27</v>
      </c>
      <c r="L338" s="3" t="s">
        <v>27</v>
      </c>
      <c r="M338" s="3" t="s">
        <v>27</v>
      </c>
      <c r="N338" s="3" t="s">
        <v>27</v>
      </c>
      <c r="O338" s="3" t="s">
        <v>27</v>
      </c>
      <c r="P338" s="3" t="s">
        <v>28</v>
      </c>
      <c r="Q338" s="3" t="s">
        <v>28</v>
      </c>
      <c r="R338" s="3" t="s">
        <v>27</v>
      </c>
      <c r="S338" s="3" t="s">
        <v>27</v>
      </c>
      <c r="T338" s="3" t="s">
        <v>27</v>
      </c>
    </row>
    <row r="339" spans="1:20" ht="366">
      <c r="A339" s="3">
        <v>2760551</v>
      </c>
      <c r="B339" s="3">
        <f>HYPERLINK("https://platform.v2.vetology.net/cases/2760551/screening-report/6?type=pdf&amp;v=v6&amp;scorecard=1&amp;secret_key=BX%25IJ%24%2F65ieZ%29f6", 2760551)</f>
        <v>2760551</v>
      </c>
      <c r="C339" s="3">
        <f>HYPERLINK("https://platform.v2.vetology.net/report/v/final/"&amp;2760551, 2760551)</f>
        <v>2760551</v>
      </c>
      <c r="D339" s="3" t="s">
        <v>1518</v>
      </c>
      <c r="E339" s="3" t="s">
        <v>1519</v>
      </c>
      <c r="F339" s="3" t="s">
        <v>22</v>
      </c>
      <c r="G339" s="3" t="s">
        <v>372</v>
      </c>
      <c r="H339" s="3" t="s">
        <v>1520</v>
      </c>
      <c r="I339" s="3" t="s">
        <v>136</v>
      </c>
      <c r="J339" s="3" t="s">
        <v>424</v>
      </c>
      <c r="K339" s="3" t="s">
        <v>28</v>
      </c>
      <c r="L339" s="3" t="s">
        <v>28</v>
      </c>
      <c r="M339" s="3" t="s">
        <v>28</v>
      </c>
      <c r="N339" s="3" t="s">
        <v>28</v>
      </c>
      <c r="O339" s="3" t="s">
        <v>27</v>
      </c>
      <c r="P339" s="3" t="s">
        <v>28</v>
      </c>
      <c r="Q339" s="3" t="s">
        <v>28</v>
      </c>
      <c r="R339" s="3" t="s">
        <v>28</v>
      </c>
      <c r="S339" s="3" t="s">
        <v>28</v>
      </c>
      <c r="T339" s="3" t="s">
        <v>27</v>
      </c>
    </row>
    <row r="340" spans="1:20" ht="305.25">
      <c r="A340" s="3">
        <v>2760545</v>
      </c>
      <c r="B340" s="3">
        <f>HYPERLINK("https://platform.v2.vetology.net/cases/2760545/screening-report/6?type=pdf&amp;v=v6&amp;scorecard=1&amp;secret_key=BX%25IJ%24%2F65ieZ%29f6", 2760545)</f>
        <v>2760545</v>
      </c>
      <c r="C340" s="3">
        <f>HYPERLINK("https://platform.v2.vetology.net/report/v/final/"&amp;2760545, 2760545)</f>
        <v>2760545</v>
      </c>
      <c r="D340" s="3" t="s">
        <v>1521</v>
      </c>
      <c r="E340" s="3" t="s">
        <v>1522</v>
      </c>
      <c r="F340" s="3"/>
      <c r="G340" s="3" t="s">
        <v>372</v>
      </c>
      <c r="H340" s="3" t="s">
        <v>788</v>
      </c>
      <c r="I340" s="3" t="s">
        <v>32</v>
      </c>
      <c r="J340" s="3" t="s">
        <v>33</v>
      </c>
      <c r="K340" s="3" t="s">
        <v>28</v>
      </c>
      <c r="L340" s="3" t="s">
        <v>28</v>
      </c>
      <c r="M340" s="3" t="s">
        <v>28</v>
      </c>
      <c r="N340" s="3" t="s">
        <v>28</v>
      </c>
      <c r="O340" s="3" t="s">
        <v>28</v>
      </c>
      <c r="P340" s="3" t="s">
        <v>28</v>
      </c>
      <c r="Q340" s="3" t="s">
        <v>28</v>
      </c>
      <c r="R340" s="3" t="s">
        <v>28</v>
      </c>
      <c r="S340" s="3" t="s">
        <v>28</v>
      </c>
      <c r="T340" s="3" t="s">
        <v>28</v>
      </c>
    </row>
    <row r="341" spans="1:20" ht="409.6">
      <c r="A341" s="3">
        <v>2760468</v>
      </c>
      <c r="B341" s="3">
        <f>HYPERLINK("https://platform.v2.vetology.net/cases/2760468/screening-report/6?type=pdf&amp;v=v6&amp;scorecard=1&amp;secret_key=BX%25IJ%24%2F65ieZ%29f6", 2760468)</f>
        <v>2760468</v>
      </c>
      <c r="C341" s="3">
        <f>HYPERLINK("https://platform.v2.vetology.net/report/v/final/"&amp;2760468, 2760468)</f>
        <v>2760468</v>
      </c>
      <c r="D341" s="3" t="s">
        <v>1523</v>
      </c>
      <c r="E341" s="3" t="s">
        <v>1524</v>
      </c>
      <c r="F341" s="3" t="s">
        <v>22</v>
      </c>
      <c r="G341" s="3" t="s">
        <v>372</v>
      </c>
      <c r="H341" s="3" t="s">
        <v>238</v>
      </c>
      <c r="I341" s="3"/>
      <c r="J341" s="3" t="s">
        <v>207</v>
      </c>
      <c r="K341" s="3" t="s">
        <v>27</v>
      </c>
      <c r="L341" s="3" t="s">
        <v>28</v>
      </c>
      <c r="M341" s="3" t="s">
        <v>28</v>
      </c>
      <c r="N341" s="3" t="s">
        <v>28</v>
      </c>
      <c r="O341" s="3" t="s">
        <v>27</v>
      </c>
      <c r="P341" s="3" t="s">
        <v>28</v>
      </c>
      <c r="Q341" s="3" t="s">
        <v>28</v>
      </c>
      <c r="R341" s="3" t="s">
        <v>28</v>
      </c>
      <c r="S341" s="3" t="s">
        <v>28</v>
      </c>
      <c r="T341" s="3" t="s">
        <v>27</v>
      </c>
    </row>
    <row r="342" spans="1:20" ht="409.6">
      <c r="A342" s="3">
        <v>2760450</v>
      </c>
      <c r="B342" s="3">
        <f>HYPERLINK("https://platform.v2.vetology.net/cases/2760450/screening-report/6?type=pdf&amp;v=v6&amp;scorecard=1&amp;secret_key=BX%25IJ%24%2F65ieZ%29f6", 2760450)</f>
        <v>2760450</v>
      </c>
      <c r="C342" s="3">
        <f>HYPERLINK("https://platform.v2.vetology.net/report/v/final/"&amp;2760450, 2760450)</f>
        <v>2760450</v>
      </c>
      <c r="D342" s="3" t="s">
        <v>1525</v>
      </c>
      <c r="E342" s="3" t="s">
        <v>1526</v>
      </c>
      <c r="F342" s="3" t="s">
        <v>1527</v>
      </c>
      <c r="G342" s="3" t="s">
        <v>64</v>
      </c>
      <c r="H342" s="3" t="s">
        <v>1528</v>
      </c>
      <c r="I342" s="3" t="s">
        <v>1529</v>
      </c>
      <c r="J342" s="3" t="s">
        <v>1530</v>
      </c>
      <c r="K342" s="3" t="s">
        <v>27</v>
      </c>
      <c r="L342" s="3" t="s">
        <v>27</v>
      </c>
      <c r="M342" s="3" t="s">
        <v>27</v>
      </c>
      <c r="N342" s="3" t="s">
        <v>28</v>
      </c>
      <c r="O342" s="3" t="s">
        <v>27</v>
      </c>
      <c r="P342" s="3" t="s">
        <v>28</v>
      </c>
      <c r="Q342" s="3" t="s">
        <v>27</v>
      </c>
      <c r="R342" s="3" t="s">
        <v>28</v>
      </c>
      <c r="S342" s="3" t="s">
        <v>28</v>
      </c>
      <c r="T342" s="3" t="s">
        <v>28</v>
      </c>
    </row>
    <row r="343" spans="1:20" ht="409.6">
      <c r="A343" s="3">
        <v>2760440</v>
      </c>
      <c r="B343" s="3">
        <f>HYPERLINK("https://platform.v2.vetology.net/cases/2760440/screening-report/6?type=pdf&amp;v=v6&amp;scorecard=1&amp;secret_key=BX%25IJ%24%2F65ieZ%29f6", 2760440)</f>
        <v>2760440</v>
      </c>
      <c r="C343" s="3">
        <f>HYPERLINK("https://platform.v2.vetology.net/report/v/final/"&amp;2760440, 2760440)</f>
        <v>2760440</v>
      </c>
      <c r="D343" s="3" t="s">
        <v>1531</v>
      </c>
      <c r="E343" s="3" t="s">
        <v>1532</v>
      </c>
      <c r="F343" s="3" t="s">
        <v>1533</v>
      </c>
      <c r="G343" s="3" t="s">
        <v>64</v>
      </c>
      <c r="H343" s="3" t="s">
        <v>1534</v>
      </c>
      <c r="I343" s="3" t="s">
        <v>291</v>
      </c>
      <c r="J343" s="3" t="s">
        <v>225</v>
      </c>
      <c r="K343" s="3" t="s">
        <v>28</v>
      </c>
      <c r="L343" s="3" t="s">
        <v>28</v>
      </c>
      <c r="M343" s="3" t="s">
        <v>28</v>
      </c>
      <c r="N343" s="3" t="s">
        <v>27</v>
      </c>
      <c r="O343" s="3" t="s">
        <v>27</v>
      </c>
      <c r="P343" s="3" t="s">
        <v>28</v>
      </c>
      <c r="Q343" s="3" t="s">
        <v>28</v>
      </c>
      <c r="R343" s="3" t="s">
        <v>27</v>
      </c>
      <c r="S343" s="3" t="s">
        <v>27</v>
      </c>
      <c r="T343" s="3" t="s">
        <v>27</v>
      </c>
    </row>
    <row r="344" spans="1:20" ht="259.5">
      <c r="A344" s="3">
        <v>2760404</v>
      </c>
      <c r="B344" s="3">
        <f>HYPERLINK("https://platform.v2.vetology.net/cases/2760404/screening-report/6?type=pdf&amp;v=v6&amp;scorecard=1&amp;secret_key=BX%25IJ%24%2F65ieZ%29f6", 2760404)</f>
        <v>2760404</v>
      </c>
      <c r="C344" s="3">
        <f>HYPERLINK("https://platform.v2.vetology.net/report/v/final/"&amp;2760404, 2760404)</f>
        <v>2760404</v>
      </c>
      <c r="D344" s="3" t="s">
        <v>1535</v>
      </c>
      <c r="E344" s="3" t="s">
        <v>1536</v>
      </c>
      <c r="F344" s="3" t="s">
        <v>1537</v>
      </c>
      <c r="G344" s="3" t="s">
        <v>211</v>
      </c>
      <c r="H344" s="3" t="s">
        <v>1538</v>
      </c>
      <c r="I344" s="3" t="s">
        <v>72</v>
      </c>
      <c r="J344" s="3" t="s">
        <v>363</v>
      </c>
      <c r="K344" s="3" t="s">
        <v>28</v>
      </c>
      <c r="L344" s="3" t="s">
        <v>28</v>
      </c>
      <c r="M344" s="3" t="s">
        <v>28</v>
      </c>
      <c r="N344" s="3" t="s">
        <v>28</v>
      </c>
      <c r="O344" s="3" t="s">
        <v>27</v>
      </c>
      <c r="P344" s="3" t="s">
        <v>28</v>
      </c>
      <c r="Q344" s="3" t="s">
        <v>28</v>
      </c>
      <c r="R344" s="3" t="s">
        <v>28</v>
      </c>
      <c r="S344" s="3" t="s">
        <v>28</v>
      </c>
      <c r="T344" s="3" t="s">
        <v>27</v>
      </c>
    </row>
    <row r="345" spans="1:20" ht="259.5">
      <c r="A345" s="3">
        <v>2760384</v>
      </c>
      <c r="B345" s="3">
        <f>HYPERLINK("https://platform.v2.vetology.net/cases/2760384/screening-report/6?type=pdf&amp;v=v6&amp;scorecard=1&amp;secret_key=BX%25IJ%24%2F65ieZ%29f6", 2760384)</f>
        <v>2760384</v>
      </c>
      <c r="C345" s="3">
        <f>HYPERLINK("https://platform.v2.vetology.net/report/v/final/"&amp;2760384, 2760384)</f>
        <v>2760384</v>
      </c>
      <c r="D345" s="3" t="s">
        <v>1539</v>
      </c>
      <c r="E345" s="3" t="s">
        <v>1230</v>
      </c>
      <c r="F345" s="3" t="s">
        <v>1049</v>
      </c>
      <c r="G345" s="3" t="s">
        <v>100</v>
      </c>
      <c r="H345" s="3" t="s">
        <v>1540</v>
      </c>
      <c r="I345" s="3" t="s">
        <v>261</v>
      </c>
      <c r="J345" s="3" t="s">
        <v>262</v>
      </c>
      <c r="K345" s="3" t="s">
        <v>27</v>
      </c>
      <c r="L345" s="3" t="s">
        <v>28</v>
      </c>
      <c r="M345" s="3" t="s">
        <v>27</v>
      </c>
      <c r="N345" s="3" t="s">
        <v>28</v>
      </c>
      <c r="O345" s="3" t="s">
        <v>27</v>
      </c>
      <c r="P345" s="3" t="s">
        <v>28</v>
      </c>
      <c r="Q345" s="3" t="s">
        <v>28</v>
      </c>
      <c r="R345" s="3" t="s">
        <v>28</v>
      </c>
      <c r="S345" s="3" t="s">
        <v>28</v>
      </c>
      <c r="T345" s="3" t="s">
        <v>28</v>
      </c>
    </row>
    <row r="346" spans="1:20" ht="409.6">
      <c r="A346" s="3">
        <v>2760341</v>
      </c>
      <c r="B346" s="3">
        <f>HYPERLINK("https://platform.v2.vetology.net/cases/2760341/screening-report/6?type=pdf&amp;v=v6&amp;scorecard=1&amp;secret_key=BX%25IJ%24%2F65ieZ%29f6", 2760341)</f>
        <v>2760341</v>
      </c>
      <c r="C346" s="3">
        <f>HYPERLINK("https://platform.v2.vetology.net/report/v/final/"&amp;2760341, 2760341)</f>
        <v>2760341</v>
      </c>
      <c r="D346" s="3" t="s">
        <v>1541</v>
      </c>
      <c r="E346" s="3" t="s">
        <v>1542</v>
      </c>
      <c r="F346" s="3" t="s">
        <v>1543</v>
      </c>
      <c r="G346" s="3" t="s">
        <v>566</v>
      </c>
      <c r="H346" s="3" t="s">
        <v>1544</v>
      </c>
      <c r="I346" s="3" t="s">
        <v>1545</v>
      </c>
      <c r="J346" s="3" t="s">
        <v>1546</v>
      </c>
      <c r="K346" s="3" t="s">
        <v>28</v>
      </c>
      <c r="L346" s="3" t="s">
        <v>28</v>
      </c>
      <c r="M346" s="3" t="s">
        <v>28</v>
      </c>
      <c r="N346" s="3" t="s">
        <v>27</v>
      </c>
      <c r="O346" s="3" t="s">
        <v>28</v>
      </c>
      <c r="P346" s="3" t="s">
        <v>28</v>
      </c>
      <c r="Q346" s="3" t="s">
        <v>28</v>
      </c>
      <c r="R346" s="3" t="s">
        <v>28</v>
      </c>
      <c r="S346" s="3" t="s">
        <v>27</v>
      </c>
      <c r="T346" s="3" t="s">
        <v>28</v>
      </c>
    </row>
    <row r="347" spans="1:20" ht="366">
      <c r="A347" s="3">
        <v>2760248</v>
      </c>
      <c r="B347" s="3">
        <f>HYPERLINK("https://platform.v2.vetology.net/cases/2760248/screening-report/6?type=pdf&amp;v=v6&amp;scorecard=1&amp;secret_key=BX%25IJ%24%2F65ieZ%29f6", 2760248)</f>
        <v>2760248</v>
      </c>
      <c r="C347" s="3">
        <f>HYPERLINK("https://platform.v2.vetology.net/report/v/final/"&amp;2760248, 2760248)</f>
        <v>2760248</v>
      </c>
      <c r="D347" s="3" t="s">
        <v>1547</v>
      </c>
      <c r="E347" s="3" t="s">
        <v>1548</v>
      </c>
      <c r="F347" s="3" t="s">
        <v>1549</v>
      </c>
      <c r="G347" s="3" t="s">
        <v>211</v>
      </c>
      <c r="H347" s="3" t="s">
        <v>1482</v>
      </c>
      <c r="I347" s="3" t="s">
        <v>1483</v>
      </c>
      <c r="J347" s="3" t="s">
        <v>207</v>
      </c>
      <c r="K347" s="3" t="s">
        <v>28</v>
      </c>
      <c r="L347" s="3" t="s">
        <v>28</v>
      </c>
      <c r="M347" s="3" t="s">
        <v>28</v>
      </c>
      <c r="N347" s="3" t="s">
        <v>28</v>
      </c>
      <c r="O347" s="3" t="s">
        <v>27</v>
      </c>
      <c r="P347" s="3" t="s">
        <v>28</v>
      </c>
      <c r="Q347" s="3" t="s">
        <v>28</v>
      </c>
      <c r="R347" s="3" t="s">
        <v>28</v>
      </c>
      <c r="S347" s="3" t="s">
        <v>28</v>
      </c>
      <c r="T347" s="3" t="s">
        <v>27</v>
      </c>
    </row>
    <row r="348" spans="1:20" ht="381.75">
      <c r="A348" s="3">
        <v>2760226</v>
      </c>
      <c r="B348" s="3">
        <f>HYPERLINK("https://platform.v2.vetology.net/cases/2760226/screening-report/6?type=pdf&amp;v=v6&amp;scorecard=1&amp;secret_key=BX%25IJ%24%2F65ieZ%29f6", 2760226)</f>
        <v>2760226</v>
      </c>
      <c r="C348" s="3">
        <f>HYPERLINK("https://platform.v2.vetology.net/report/v/final/"&amp;2760226, 2760226)</f>
        <v>2760226</v>
      </c>
      <c r="D348" s="3" t="s">
        <v>1550</v>
      </c>
      <c r="E348" s="3" t="s">
        <v>1551</v>
      </c>
      <c r="F348" s="3" t="s">
        <v>1552</v>
      </c>
      <c r="G348" s="3" t="s">
        <v>211</v>
      </c>
      <c r="H348" s="3" t="s">
        <v>1553</v>
      </c>
      <c r="I348" s="3" t="s">
        <v>1070</v>
      </c>
      <c r="J348" s="3" t="s">
        <v>207</v>
      </c>
      <c r="K348" s="3" t="s">
        <v>27</v>
      </c>
      <c r="L348" s="3" t="s">
        <v>28</v>
      </c>
      <c r="M348" s="3" t="s">
        <v>28</v>
      </c>
      <c r="N348" s="3" t="s">
        <v>28</v>
      </c>
      <c r="O348" s="3" t="s">
        <v>27</v>
      </c>
      <c r="P348" s="3" t="s">
        <v>28</v>
      </c>
      <c r="Q348" s="3" t="s">
        <v>28</v>
      </c>
      <c r="R348" s="3" t="s">
        <v>28</v>
      </c>
      <c r="S348" s="3" t="s">
        <v>28</v>
      </c>
      <c r="T348" s="3" t="s">
        <v>28</v>
      </c>
    </row>
    <row r="349" spans="1:20" ht="259.5">
      <c r="A349" s="3">
        <v>2760148</v>
      </c>
      <c r="B349" s="3">
        <f>HYPERLINK("https://platform.v2.vetology.net/cases/2760148/screening-report/6?type=pdf&amp;v=v6&amp;scorecard=1&amp;secret_key=BX%25IJ%24%2F65ieZ%29f6", 2760148)</f>
        <v>2760148</v>
      </c>
      <c r="C349" s="3">
        <f>HYPERLINK("https://platform.v2.vetology.net/report/v/final/"&amp;2760148, 2760148)</f>
        <v>2760148</v>
      </c>
      <c r="D349" s="3" t="s">
        <v>1554</v>
      </c>
      <c r="E349" s="3" t="s">
        <v>1555</v>
      </c>
      <c r="F349" s="3" t="s">
        <v>1556</v>
      </c>
      <c r="G349" s="3" t="s">
        <v>186</v>
      </c>
      <c r="H349" s="3" t="s">
        <v>31</v>
      </c>
      <c r="I349" s="3" t="s">
        <v>32</v>
      </c>
      <c r="J349" s="3" t="s">
        <v>119</v>
      </c>
      <c r="K349" s="3" t="s">
        <v>28</v>
      </c>
      <c r="L349" s="3" t="s">
        <v>28</v>
      </c>
      <c r="M349" s="3" t="s">
        <v>28</v>
      </c>
      <c r="N349" s="3" t="s">
        <v>28</v>
      </c>
      <c r="O349" s="3" t="s">
        <v>28</v>
      </c>
      <c r="P349" s="3" t="s">
        <v>28</v>
      </c>
      <c r="Q349" s="3" t="s">
        <v>28</v>
      </c>
      <c r="R349" s="3" t="s">
        <v>28</v>
      </c>
      <c r="S349" s="3" t="s">
        <v>28</v>
      </c>
      <c r="T349" s="3" t="s">
        <v>28</v>
      </c>
    </row>
    <row r="350" spans="1:20" ht="366">
      <c r="A350" s="3">
        <v>2760134</v>
      </c>
      <c r="B350" s="3">
        <f>HYPERLINK("https://platform.v2.vetology.net/cases/2760134/screening-report/6?type=pdf&amp;v=v6&amp;scorecard=1&amp;secret_key=BX%25IJ%24%2F65ieZ%29f6", 2760134)</f>
        <v>2760134</v>
      </c>
      <c r="C350" s="3">
        <f>HYPERLINK("https://platform.v2.vetology.net/report/v/final/"&amp;2760134, 2760134)</f>
        <v>2760134</v>
      </c>
      <c r="D350" s="3" t="s">
        <v>1557</v>
      </c>
      <c r="E350" s="3" t="s">
        <v>1558</v>
      </c>
      <c r="F350" s="3" t="s">
        <v>1559</v>
      </c>
      <c r="G350" s="3" t="s">
        <v>64</v>
      </c>
      <c r="H350" s="3" t="s">
        <v>1560</v>
      </c>
      <c r="I350" s="3" t="s">
        <v>305</v>
      </c>
      <c r="J350" s="3" t="s">
        <v>847</v>
      </c>
      <c r="K350" s="3" t="s">
        <v>28</v>
      </c>
      <c r="L350" s="3" t="s">
        <v>28</v>
      </c>
      <c r="M350" s="3" t="s">
        <v>28</v>
      </c>
      <c r="N350" s="3" t="s">
        <v>28</v>
      </c>
      <c r="O350" s="3" t="s">
        <v>28</v>
      </c>
      <c r="P350" s="3" t="s">
        <v>27</v>
      </c>
      <c r="Q350" s="3" t="s">
        <v>28</v>
      </c>
      <c r="R350" s="3" t="s">
        <v>28</v>
      </c>
      <c r="S350" s="3" t="s">
        <v>28</v>
      </c>
      <c r="T350" s="3" t="s">
        <v>28</v>
      </c>
    </row>
    <row r="351" spans="1:20" ht="409.6">
      <c r="A351" s="3">
        <v>2760132</v>
      </c>
      <c r="B351" s="3">
        <f>HYPERLINK("https://platform.v2.vetology.net/cases/2760132/screening-report/6?type=pdf&amp;v=v6&amp;scorecard=1&amp;secret_key=BX%25IJ%24%2F65ieZ%29f6", 2760132)</f>
        <v>2760132</v>
      </c>
      <c r="C351" s="3">
        <f>HYPERLINK("https://platform.v2.vetology.net/report/v/final/"&amp;2760132, 2760132)</f>
        <v>2760132</v>
      </c>
      <c r="D351" s="3" t="s">
        <v>1561</v>
      </c>
      <c r="E351" s="3" t="s">
        <v>1562</v>
      </c>
      <c r="F351" s="3" t="s">
        <v>1563</v>
      </c>
      <c r="G351" s="3" t="s">
        <v>64</v>
      </c>
      <c r="H351" s="3" t="s">
        <v>1564</v>
      </c>
      <c r="I351" s="3" t="s">
        <v>1565</v>
      </c>
      <c r="J351" s="3" t="s">
        <v>1566</v>
      </c>
      <c r="K351" s="3" t="s">
        <v>28</v>
      </c>
      <c r="L351" s="3" t="s">
        <v>28</v>
      </c>
      <c r="M351" s="3" t="s">
        <v>28</v>
      </c>
      <c r="N351" s="3" t="s">
        <v>28</v>
      </c>
      <c r="O351" s="3" t="s">
        <v>28</v>
      </c>
      <c r="P351" s="3" t="s">
        <v>28</v>
      </c>
      <c r="Q351" s="3" t="s">
        <v>28</v>
      </c>
      <c r="R351" s="3" t="s">
        <v>28</v>
      </c>
      <c r="S351" s="3" t="s">
        <v>28</v>
      </c>
      <c r="T351" s="3" t="s">
        <v>28</v>
      </c>
    </row>
    <row r="352" spans="1:20" ht="409.6">
      <c r="A352" s="3">
        <v>2760131</v>
      </c>
      <c r="B352" s="3">
        <f>HYPERLINK("https://platform.v2.vetology.net/cases/2760131/screening-report/6?type=pdf&amp;v=v6&amp;scorecard=1&amp;secret_key=BX%25IJ%24%2F65ieZ%29f6", 2760131)</f>
        <v>2760131</v>
      </c>
      <c r="C352" s="3">
        <f>HYPERLINK("https://platform.v2.vetology.net/report/v/final/"&amp;2760131, 2760131)</f>
        <v>2760131</v>
      </c>
      <c r="D352" s="3" t="s">
        <v>1567</v>
      </c>
      <c r="E352" s="3" t="s">
        <v>1568</v>
      </c>
      <c r="F352" s="3" t="s">
        <v>1569</v>
      </c>
      <c r="G352" s="3" t="s">
        <v>64</v>
      </c>
      <c r="H352" s="3" t="s">
        <v>828</v>
      </c>
      <c r="I352" s="3" t="s">
        <v>829</v>
      </c>
      <c r="J352" s="3" t="s">
        <v>830</v>
      </c>
      <c r="K352" s="3" t="s">
        <v>28</v>
      </c>
      <c r="L352" s="3" t="s">
        <v>27</v>
      </c>
      <c r="M352" s="3" t="s">
        <v>28</v>
      </c>
      <c r="N352" s="3" t="s">
        <v>27</v>
      </c>
      <c r="O352" s="3" t="s">
        <v>27</v>
      </c>
      <c r="P352" s="3" t="s">
        <v>28</v>
      </c>
      <c r="Q352" s="3" t="s">
        <v>27</v>
      </c>
      <c r="R352" s="3" t="s">
        <v>27</v>
      </c>
      <c r="S352" s="3" t="s">
        <v>27</v>
      </c>
      <c r="T352" s="3" t="s">
        <v>27</v>
      </c>
    </row>
    <row r="353" spans="1:20" ht="305.25">
      <c r="A353" s="3">
        <v>2760102</v>
      </c>
      <c r="B353" s="3">
        <f>HYPERLINK("https://platform.v2.vetology.net/cases/2760102/screening-report/6?type=pdf&amp;v=v6&amp;scorecard=1&amp;secret_key=BX%25IJ%24%2F65ieZ%29f6", 2760102)</f>
        <v>2760102</v>
      </c>
      <c r="C353" s="3">
        <f>HYPERLINK("https://platform.v2.vetology.net/report/v/final/"&amp;2760102, 2760102)</f>
        <v>2760102</v>
      </c>
      <c r="D353" s="3" t="s">
        <v>1570</v>
      </c>
      <c r="E353" s="3" t="s">
        <v>1571</v>
      </c>
      <c r="F353" s="3" t="s">
        <v>1572</v>
      </c>
      <c r="G353" s="3" t="s">
        <v>211</v>
      </c>
      <c r="H353" s="3" t="s">
        <v>1573</v>
      </c>
      <c r="I353" s="3" t="s">
        <v>1574</v>
      </c>
      <c r="J353" s="3" t="s">
        <v>1083</v>
      </c>
      <c r="K353" s="3" t="s">
        <v>27</v>
      </c>
      <c r="L353" s="3" t="s">
        <v>28</v>
      </c>
      <c r="M353" s="3" t="s">
        <v>27</v>
      </c>
      <c r="N353" s="3" t="s">
        <v>28</v>
      </c>
      <c r="O353" s="3" t="s">
        <v>27</v>
      </c>
      <c r="P353" s="3" t="s">
        <v>28</v>
      </c>
      <c r="Q353" s="3" t="s">
        <v>28</v>
      </c>
      <c r="R353" s="3" t="s">
        <v>28</v>
      </c>
      <c r="S353" s="3" t="s">
        <v>27</v>
      </c>
      <c r="T353" s="3" t="s">
        <v>27</v>
      </c>
    </row>
    <row r="354" spans="1:20" ht="244.5">
      <c r="A354" s="3">
        <v>2760088</v>
      </c>
      <c r="B354" s="3">
        <f>HYPERLINK("https://platform.v2.vetology.net/cases/2760088/screening-report/6?type=pdf&amp;v=v6&amp;scorecard=1&amp;secret_key=BX%25IJ%24%2F65ieZ%29f6", 2760088)</f>
        <v>2760088</v>
      </c>
      <c r="C354" s="3">
        <f>HYPERLINK("https://platform.v2.vetology.net/report/v/final/"&amp;2760088, 2760088)</f>
        <v>2760088</v>
      </c>
      <c r="D354" s="3" t="s">
        <v>1575</v>
      </c>
      <c r="E354" s="3" t="s">
        <v>1576</v>
      </c>
      <c r="F354" s="3" t="s">
        <v>1577</v>
      </c>
      <c r="G354" s="3" t="s">
        <v>100</v>
      </c>
      <c r="H354" s="3" t="s">
        <v>1578</v>
      </c>
      <c r="I354" s="3" t="s">
        <v>1579</v>
      </c>
      <c r="J354" s="3" t="s">
        <v>207</v>
      </c>
      <c r="K354" s="3" t="s">
        <v>27</v>
      </c>
      <c r="L354" s="3" t="s">
        <v>27</v>
      </c>
      <c r="M354" s="3" t="s">
        <v>27</v>
      </c>
      <c r="N354" s="3" t="s">
        <v>27</v>
      </c>
      <c r="O354" s="3" t="s">
        <v>27</v>
      </c>
      <c r="P354" s="3" t="s">
        <v>27</v>
      </c>
      <c r="Q354" s="3" t="s">
        <v>27</v>
      </c>
      <c r="R354" s="3" t="s">
        <v>27</v>
      </c>
      <c r="S354" s="3" t="s">
        <v>27</v>
      </c>
      <c r="T354" s="3" t="s">
        <v>27</v>
      </c>
    </row>
    <row r="355" spans="1:20" ht="259.5">
      <c r="A355" s="3">
        <v>2760076</v>
      </c>
      <c r="B355" s="3">
        <f>HYPERLINK("https://platform.v2.vetology.net/cases/2760076/screening-report/6?type=pdf&amp;v=v6&amp;scorecard=1&amp;secret_key=BX%25IJ%24%2F65ieZ%29f6", 2760076)</f>
        <v>2760076</v>
      </c>
      <c r="C355" s="3">
        <f>HYPERLINK("https://platform.v2.vetology.net/report/v/final/"&amp;2760076, 2760076)</f>
        <v>2760076</v>
      </c>
      <c r="D355" s="3" t="s">
        <v>1580</v>
      </c>
      <c r="E355" s="3" t="s">
        <v>1581</v>
      </c>
      <c r="F355" s="3" t="s">
        <v>1582</v>
      </c>
      <c r="G355" s="3" t="s">
        <v>186</v>
      </c>
      <c r="H355" s="3" t="s">
        <v>1372</v>
      </c>
      <c r="I355" s="3" t="s">
        <v>1373</v>
      </c>
      <c r="J355" s="3" t="s">
        <v>207</v>
      </c>
      <c r="K355" s="3" t="s">
        <v>27</v>
      </c>
      <c r="L355" s="3" t="s">
        <v>27</v>
      </c>
      <c r="M355" s="3" t="s">
        <v>27</v>
      </c>
      <c r="N355" s="3" t="s">
        <v>28</v>
      </c>
      <c r="O355" s="3" t="s">
        <v>27</v>
      </c>
      <c r="P355" s="3" t="s">
        <v>28</v>
      </c>
      <c r="Q355" s="3" t="s">
        <v>27</v>
      </c>
      <c r="R355" s="3" t="s">
        <v>28</v>
      </c>
      <c r="S355" s="3" t="s">
        <v>28</v>
      </c>
      <c r="T355" s="3" t="s">
        <v>27</v>
      </c>
    </row>
    <row r="356" spans="1:20" ht="409.6">
      <c r="A356" s="3">
        <v>2760071</v>
      </c>
      <c r="B356" s="3">
        <f>HYPERLINK("https://platform.v2.vetology.net/cases/2760071/screening-report/6?type=pdf&amp;v=v6&amp;scorecard=1&amp;secret_key=BX%25IJ%24%2F65ieZ%29f6", 2760071)</f>
        <v>2760071</v>
      </c>
      <c r="C356" s="3">
        <f>HYPERLINK("https://platform.v2.vetology.net/report/v/final/"&amp;2760071, 2760071)</f>
        <v>2760071</v>
      </c>
      <c r="D356" s="3" t="s">
        <v>1583</v>
      </c>
      <c r="E356" s="3" t="s">
        <v>1584</v>
      </c>
      <c r="F356" s="3" t="s">
        <v>22</v>
      </c>
      <c r="G356" s="3" t="s">
        <v>372</v>
      </c>
      <c r="H356" s="3" t="s">
        <v>31</v>
      </c>
      <c r="I356" s="3" t="s">
        <v>852</v>
      </c>
      <c r="J356" s="3" t="s">
        <v>713</v>
      </c>
      <c r="K356" s="3" t="s">
        <v>28</v>
      </c>
      <c r="L356" s="3" t="s">
        <v>28</v>
      </c>
      <c r="M356" s="3" t="s">
        <v>28</v>
      </c>
      <c r="N356" s="3" t="s">
        <v>28</v>
      </c>
      <c r="O356" s="3" t="s">
        <v>27</v>
      </c>
      <c r="P356" s="3" t="s">
        <v>28</v>
      </c>
      <c r="Q356" s="3" t="s">
        <v>28</v>
      </c>
      <c r="R356" s="3" t="s">
        <v>28</v>
      </c>
      <c r="S356" s="3" t="s">
        <v>28</v>
      </c>
      <c r="T356" s="3" t="s">
        <v>28</v>
      </c>
    </row>
    <row r="357" spans="1:20" ht="396.75">
      <c r="A357" s="3">
        <v>2760064</v>
      </c>
      <c r="B357" s="3">
        <f>HYPERLINK("https://platform.v2.vetology.net/cases/2760064/screening-report/6?type=pdf&amp;v=v6&amp;scorecard=1&amp;secret_key=BX%25IJ%24%2F65ieZ%29f6", 2760064)</f>
        <v>2760064</v>
      </c>
      <c r="C357" s="3">
        <f>HYPERLINK("https://platform.v2.vetology.net/report/v/final/"&amp;2760064, 2760064)</f>
        <v>2760064</v>
      </c>
      <c r="D357" s="3" t="s">
        <v>1585</v>
      </c>
      <c r="E357" s="3" t="s">
        <v>1586</v>
      </c>
      <c r="F357" s="3" t="s">
        <v>1587</v>
      </c>
      <c r="G357" s="3" t="s">
        <v>100</v>
      </c>
      <c r="H357" s="3" t="s">
        <v>1326</v>
      </c>
      <c r="I357" s="3" t="s">
        <v>351</v>
      </c>
      <c r="J357" s="3" t="s">
        <v>352</v>
      </c>
      <c r="K357" s="3" t="s">
        <v>28</v>
      </c>
      <c r="L357" s="3" t="s">
        <v>28</v>
      </c>
      <c r="M357" s="3" t="s">
        <v>28</v>
      </c>
      <c r="N357" s="3" t="s">
        <v>28</v>
      </c>
      <c r="O357" s="3" t="s">
        <v>27</v>
      </c>
      <c r="P357" s="3" t="s">
        <v>28</v>
      </c>
      <c r="Q357" s="3" t="s">
        <v>28</v>
      </c>
      <c r="R357" s="3" t="s">
        <v>28</v>
      </c>
      <c r="S357" s="3" t="s">
        <v>28</v>
      </c>
      <c r="T357" s="3" t="s">
        <v>27</v>
      </c>
    </row>
    <row r="358" spans="1:20" ht="409.6">
      <c r="A358" s="3">
        <v>2760061</v>
      </c>
      <c r="B358" s="3">
        <f>HYPERLINK("https://platform.v2.vetology.net/cases/2760061/screening-report/6?type=pdf&amp;v=v6&amp;scorecard=1&amp;secret_key=BX%25IJ%24%2F65ieZ%29f6", 2760061)</f>
        <v>2760061</v>
      </c>
      <c r="C358" s="3">
        <f>HYPERLINK("https://platform.v2.vetology.net/report/v/final/"&amp;2760061, 2760061)</f>
        <v>2760061</v>
      </c>
      <c r="D358" s="3" t="s">
        <v>1588</v>
      </c>
      <c r="E358" s="3" t="s">
        <v>1589</v>
      </c>
      <c r="F358" s="3" t="s">
        <v>1590</v>
      </c>
      <c r="G358" s="3" t="s">
        <v>64</v>
      </c>
      <c r="H358" s="3" t="s">
        <v>1591</v>
      </c>
      <c r="I358" s="3" t="s">
        <v>1592</v>
      </c>
      <c r="J358" s="3" t="s">
        <v>1593</v>
      </c>
      <c r="K358" s="3" t="s">
        <v>27</v>
      </c>
      <c r="L358" s="3" t="s">
        <v>28</v>
      </c>
      <c r="M358" s="3" t="s">
        <v>27</v>
      </c>
      <c r="N358" s="3" t="s">
        <v>28</v>
      </c>
      <c r="O358" s="3" t="s">
        <v>27</v>
      </c>
      <c r="P358" s="3" t="s">
        <v>28</v>
      </c>
      <c r="Q358" s="3" t="s">
        <v>28</v>
      </c>
      <c r="R358" s="3" t="s">
        <v>28</v>
      </c>
      <c r="S358" s="3" t="s">
        <v>27</v>
      </c>
      <c r="T358" s="3" t="s">
        <v>28</v>
      </c>
    </row>
    <row r="359" spans="1:20" ht="290.25">
      <c r="A359" s="3">
        <v>2760032</v>
      </c>
      <c r="B359" s="3">
        <f>HYPERLINK("https://platform.v2.vetology.net/cases/2760032/screening-report/6?type=pdf&amp;v=v6&amp;scorecard=1&amp;secret_key=BX%25IJ%24%2F65ieZ%29f6", 2760032)</f>
        <v>2760032</v>
      </c>
      <c r="C359" s="3">
        <f>HYPERLINK("https://platform.v2.vetology.net/report/v/final/"&amp;2760032, 2760032)</f>
        <v>2760032</v>
      </c>
      <c r="D359" s="3" t="s">
        <v>1594</v>
      </c>
      <c r="E359" s="3" t="s">
        <v>1595</v>
      </c>
      <c r="F359" s="3" t="s">
        <v>1596</v>
      </c>
      <c r="G359" s="3" t="s">
        <v>186</v>
      </c>
      <c r="H359" s="3" t="s">
        <v>1597</v>
      </c>
      <c r="I359" s="3" t="s">
        <v>32</v>
      </c>
      <c r="J359" s="3" t="s">
        <v>119</v>
      </c>
      <c r="K359" s="3" t="s">
        <v>28</v>
      </c>
      <c r="L359" s="3" t="s">
        <v>28</v>
      </c>
      <c r="M359" s="3" t="s">
        <v>28</v>
      </c>
      <c r="N359" s="3" t="s">
        <v>28</v>
      </c>
      <c r="O359" s="3" t="s">
        <v>28</v>
      </c>
      <c r="P359" s="3" t="s">
        <v>28</v>
      </c>
      <c r="Q359" s="3" t="s">
        <v>28</v>
      </c>
      <c r="R359" s="3" t="s">
        <v>28</v>
      </c>
      <c r="S359" s="3" t="s">
        <v>28</v>
      </c>
      <c r="T359" s="3" t="s">
        <v>28</v>
      </c>
    </row>
    <row r="360" spans="1:20" ht="396.75">
      <c r="A360" s="3">
        <v>2760014</v>
      </c>
      <c r="B360" s="3">
        <f>HYPERLINK("https://platform.v2.vetology.net/cases/2760014/screening-report/6?type=pdf&amp;v=v6&amp;scorecard=1&amp;secret_key=BX%25IJ%24%2F65ieZ%29f6", 2760014)</f>
        <v>2760014</v>
      </c>
      <c r="C360" s="3">
        <f>HYPERLINK("https://platform.v2.vetology.net/report/v/final/"&amp;2760014, 2760014)</f>
        <v>2760014</v>
      </c>
      <c r="D360" s="3" t="s">
        <v>1598</v>
      </c>
      <c r="E360" s="3" t="s">
        <v>531</v>
      </c>
      <c r="F360" s="3" t="s">
        <v>1599</v>
      </c>
      <c r="G360" s="3" t="s">
        <v>211</v>
      </c>
      <c r="H360" s="3" t="s">
        <v>1600</v>
      </c>
      <c r="I360" s="3" t="s">
        <v>572</v>
      </c>
      <c r="J360" s="3" t="s">
        <v>573</v>
      </c>
      <c r="K360" s="3" t="s">
        <v>27</v>
      </c>
      <c r="L360" s="3" t="s">
        <v>28</v>
      </c>
      <c r="M360" s="3" t="s">
        <v>27</v>
      </c>
      <c r="N360" s="3" t="s">
        <v>28</v>
      </c>
      <c r="O360" s="3" t="s">
        <v>27</v>
      </c>
      <c r="P360" s="3" t="s">
        <v>28</v>
      </c>
      <c r="Q360" s="3" t="s">
        <v>27</v>
      </c>
      <c r="R360" s="3" t="s">
        <v>28</v>
      </c>
      <c r="S360" s="3" t="s">
        <v>28</v>
      </c>
      <c r="T360" s="3" t="s">
        <v>27</v>
      </c>
    </row>
    <row r="361" spans="1:20" ht="396.75">
      <c r="A361" s="3">
        <v>2760003</v>
      </c>
      <c r="B361" s="3">
        <f>HYPERLINK("https://platform.v2.vetology.net/cases/2760003/screening-report/6?type=pdf&amp;v=v6&amp;scorecard=1&amp;secret_key=BX%25IJ%24%2F65ieZ%29f6", 2760003)</f>
        <v>2760003</v>
      </c>
      <c r="C361" s="3">
        <f>HYPERLINK("https://platform.v2.vetology.net/report/v/final/"&amp;2760003, 2760003)</f>
        <v>2760003</v>
      </c>
      <c r="D361" s="3" t="s">
        <v>1601</v>
      </c>
      <c r="E361" s="3" t="s">
        <v>1602</v>
      </c>
      <c r="F361" s="3" t="s">
        <v>1603</v>
      </c>
      <c r="G361" s="3" t="s">
        <v>211</v>
      </c>
      <c r="H361" s="3" t="s">
        <v>1604</v>
      </c>
      <c r="I361" s="3" t="s">
        <v>724</v>
      </c>
      <c r="J361" s="3" t="s">
        <v>725</v>
      </c>
      <c r="K361" s="3" t="s">
        <v>27</v>
      </c>
      <c r="L361" s="3" t="s">
        <v>28</v>
      </c>
      <c r="M361" s="3" t="s">
        <v>28</v>
      </c>
      <c r="N361" s="3" t="s">
        <v>28</v>
      </c>
      <c r="O361" s="3" t="s">
        <v>27</v>
      </c>
      <c r="P361" s="3" t="s">
        <v>27</v>
      </c>
      <c r="Q361" s="3" t="s">
        <v>28</v>
      </c>
      <c r="R361" s="3" t="s">
        <v>28</v>
      </c>
      <c r="S361" s="3" t="s">
        <v>28</v>
      </c>
      <c r="T361" s="3" t="s">
        <v>28</v>
      </c>
    </row>
    <row r="362" spans="1:20" ht="275.25">
      <c r="A362" s="3">
        <v>2759997</v>
      </c>
      <c r="B362" s="3">
        <f>HYPERLINK("https://platform.v2.vetology.net/cases/2759997/screening-report/6?type=pdf&amp;v=v6&amp;scorecard=1&amp;secret_key=BX%25IJ%24%2F65ieZ%29f6", 2759997)</f>
        <v>2759997</v>
      </c>
      <c r="C362" s="3">
        <f>HYPERLINK("https://platform.v2.vetology.net/report/v/final/"&amp;2759997, 2759997)</f>
        <v>2759997</v>
      </c>
      <c r="D362" s="3" t="s">
        <v>1605</v>
      </c>
      <c r="E362" s="3" t="s">
        <v>1606</v>
      </c>
      <c r="F362" s="3" t="s">
        <v>22</v>
      </c>
      <c r="G362" s="3" t="s">
        <v>100</v>
      </c>
      <c r="H362" s="3" t="s">
        <v>1607</v>
      </c>
      <c r="I362" s="3" t="s">
        <v>291</v>
      </c>
      <c r="J362" s="3" t="s">
        <v>225</v>
      </c>
      <c r="K362" s="3" t="s">
        <v>28</v>
      </c>
      <c r="L362" s="3" t="s">
        <v>27</v>
      </c>
      <c r="M362" s="3" t="s">
        <v>28</v>
      </c>
      <c r="N362" s="3" t="s">
        <v>28</v>
      </c>
      <c r="O362" s="3" t="s">
        <v>27</v>
      </c>
      <c r="P362" s="3" t="s">
        <v>28</v>
      </c>
      <c r="Q362" s="3" t="s">
        <v>28</v>
      </c>
      <c r="R362" s="3" t="s">
        <v>27</v>
      </c>
      <c r="S362" s="3" t="s">
        <v>27</v>
      </c>
      <c r="T362" s="3" t="s">
        <v>27</v>
      </c>
    </row>
    <row r="363" spans="1:20" ht="336">
      <c r="A363" s="3">
        <v>2759943</v>
      </c>
      <c r="B363" s="3">
        <f>HYPERLINK("https://platform.v2.vetology.net/cases/2759943/screening-report/6?type=pdf&amp;v=v6&amp;scorecard=1&amp;secret_key=BX%25IJ%24%2F65ieZ%29f6", 2759943)</f>
        <v>2759943</v>
      </c>
      <c r="C363" s="3">
        <f>HYPERLINK("https://platform.v2.vetology.net/report/v/final/"&amp;2759943, 2759943)</f>
        <v>2759943</v>
      </c>
      <c r="D363" s="3" t="s">
        <v>1608</v>
      </c>
      <c r="E363" s="3" t="s">
        <v>1609</v>
      </c>
      <c r="F363" s="3"/>
      <c r="G363" s="3" t="s">
        <v>100</v>
      </c>
      <c r="H363" s="3" t="s">
        <v>1610</v>
      </c>
      <c r="I363" s="3" t="s">
        <v>1611</v>
      </c>
      <c r="J363" s="3" t="s">
        <v>1612</v>
      </c>
      <c r="K363" s="3" t="s">
        <v>28</v>
      </c>
      <c r="L363" s="3" t="s">
        <v>28</v>
      </c>
      <c r="M363" s="3" t="s">
        <v>28</v>
      </c>
      <c r="N363" s="3" t="s">
        <v>28</v>
      </c>
      <c r="O363" s="3" t="s">
        <v>27</v>
      </c>
      <c r="P363" s="3" t="s">
        <v>28</v>
      </c>
      <c r="Q363" s="3" t="s">
        <v>28</v>
      </c>
      <c r="R363" s="3" t="s">
        <v>28</v>
      </c>
      <c r="S363" s="3" t="s">
        <v>27</v>
      </c>
      <c r="T363" s="3" t="s">
        <v>28</v>
      </c>
    </row>
    <row r="364" spans="1:20" ht="321">
      <c r="A364" s="3">
        <v>2759941</v>
      </c>
      <c r="B364" s="3">
        <f>HYPERLINK("https://platform.v2.vetology.net/cases/2759941/screening-report/6?type=pdf&amp;v=v6&amp;scorecard=1&amp;secret_key=BX%25IJ%24%2F65ieZ%29f6", 2759941)</f>
        <v>2759941</v>
      </c>
      <c r="C364" s="3">
        <f>HYPERLINK("https://platform.v2.vetology.net/report/v/final/"&amp;2759941, 2759941)</f>
        <v>2759941</v>
      </c>
      <c r="D364" s="3" t="s">
        <v>1613</v>
      </c>
      <c r="E364" s="3" t="s">
        <v>1614</v>
      </c>
      <c r="F364" s="3" t="s">
        <v>1442</v>
      </c>
      <c r="G364" s="3" t="s">
        <v>186</v>
      </c>
      <c r="H364" s="3" t="s">
        <v>1615</v>
      </c>
      <c r="I364" s="3" t="s">
        <v>305</v>
      </c>
      <c r="J364" s="3" t="s">
        <v>119</v>
      </c>
      <c r="K364" s="3" t="s">
        <v>28</v>
      </c>
      <c r="L364" s="3" t="s">
        <v>28</v>
      </c>
      <c r="M364" s="3" t="s">
        <v>28</v>
      </c>
      <c r="N364" s="3" t="s">
        <v>28</v>
      </c>
      <c r="O364" s="3" t="s">
        <v>28</v>
      </c>
      <c r="P364" s="3" t="s">
        <v>28</v>
      </c>
      <c r="Q364" s="3" t="s">
        <v>28</v>
      </c>
      <c r="R364" s="3" t="s">
        <v>28</v>
      </c>
      <c r="S364" s="3" t="s">
        <v>28</v>
      </c>
      <c r="T364" s="3" t="s">
        <v>28</v>
      </c>
    </row>
    <row r="365" spans="1:20" ht="351">
      <c r="A365" s="3">
        <v>2759925</v>
      </c>
      <c r="B365" s="3">
        <f>HYPERLINK("https://platform.v2.vetology.net/cases/2759925/screening-report/6?type=pdf&amp;v=v6&amp;scorecard=1&amp;secret_key=BX%25IJ%24%2F65ieZ%29f6", 2759925)</f>
        <v>2759925</v>
      </c>
      <c r="C365" s="3">
        <f>HYPERLINK("https://platform.v2.vetology.net/report/v/final/"&amp;2759925, 2759925)</f>
        <v>2759925</v>
      </c>
      <c r="D365" s="3" t="s">
        <v>1616</v>
      </c>
      <c r="E365" s="3" t="s">
        <v>1617</v>
      </c>
      <c r="F365" s="3" t="s">
        <v>1618</v>
      </c>
      <c r="G365" s="3" t="s">
        <v>566</v>
      </c>
      <c r="H365" s="3" t="s">
        <v>1564</v>
      </c>
      <c r="I365" s="3" t="s">
        <v>1565</v>
      </c>
      <c r="J365" s="3" t="s">
        <v>1566</v>
      </c>
      <c r="K365" s="3" t="s">
        <v>28</v>
      </c>
      <c r="L365" s="3" t="s">
        <v>28</v>
      </c>
      <c r="M365" s="3" t="s">
        <v>28</v>
      </c>
      <c r="N365" s="3" t="s">
        <v>28</v>
      </c>
      <c r="O365" s="3" t="s">
        <v>28</v>
      </c>
      <c r="P365" s="3" t="s">
        <v>28</v>
      </c>
      <c r="Q365" s="3" t="s">
        <v>28</v>
      </c>
      <c r="R365" s="3" t="s">
        <v>28</v>
      </c>
      <c r="S365" s="3" t="s">
        <v>28</v>
      </c>
      <c r="T365" s="3" t="s">
        <v>28</v>
      </c>
    </row>
    <row r="366" spans="1:20" ht="409.6">
      <c r="A366" s="3">
        <v>2759873</v>
      </c>
      <c r="B366" s="3">
        <f>HYPERLINK("https://platform.v2.vetology.net/cases/2759873/screening-report/6?type=pdf&amp;v=v6&amp;scorecard=1&amp;secret_key=BX%25IJ%24%2F65ieZ%29f6", 2759873)</f>
        <v>2759873</v>
      </c>
      <c r="C366" s="3">
        <f>HYPERLINK("https://platform.v2.vetology.net/report/v/final/"&amp;2759873, 2759873)</f>
        <v>2759873</v>
      </c>
      <c r="D366" s="3" t="s">
        <v>1619</v>
      </c>
      <c r="E366" s="3" t="s">
        <v>1620</v>
      </c>
      <c r="F366" s="3" t="s">
        <v>1621</v>
      </c>
      <c r="G366" s="3" t="s">
        <v>64</v>
      </c>
      <c r="H366" s="3" t="s">
        <v>1622</v>
      </c>
      <c r="I366" s="3" t="s">
        <v>1623</v>
      </c>
      <c r="J366" s="3" t="s">
        <v>1624</v>
      </c>
      <c r="K366" s="3" t="s">
        <v>27</v>
      </c>
      <c r="L366" s="3" t="s">
        <v>28</v>
      </c>
      <c r="M366" s="3" t="s">
        <v>27</v>
      </c>
      <c r="N366" s="3" t="s">
        <v>28</v>
      </c>
      <c r="O366" s="3" t="s">
        <v>27</v>
      </c>
      <c r="P366" s="3" t="s">
        <v>28</v>
      </c>
      <c r="Q366" s="3" t="s">
        <v>27</v>
      </c>
      <c r="R366" s="3" t="s">
        <v>28</v>
      </c>
      <c r="S366" s="3" t="s">
        <v>27</v>
      </c>
      <c r="T366" s="3" t="s">
        <v>28</v>
      </c>
    </row>
    <row r="367" spans="1:20" ht="275.25">
      <c r="A367" s="3">
        <v>2759839</v>
      </c>
      <c r="B367" s="3">
        <f>HYPERLINK("https://platform.v2.vetology.net/cases/2759839/screening-report/6?type=pdf&amp;v=v6&amp;scorecard=1&amp;secret_key=BX%25IJ%24%2F65ieZ%29f6", 2759839)</f>
        <v>2759839</v>
      </c>
      <c r="C367" s="3">
        <f>HYPERLINK("https://platform.v2.vetology.net/report/v/final/"&amp;2759839, 2759839)</f>
        <v>2759839</v>
      </c>
      <c r="D367" s="3" t="s">
        <v>1625</v>
      </c>
      <c r="E367" s="3" t="s">
        <v>1626</v>
      </c>
      <c r="F367" s="3" t="s">
        <v>1061</v>
      </c>
      <c r="G367" s="3" t="s">
        <v>100</v>
      </c>
      <c r="H367" s="3" t="s">
        <v>1627</v>
      </c>
      <c r="I367" s="3" t="s">
        <v>464</v>
      </c>
      <c r="J367" s="3" t="s">
        <v>297</v>
      </c>
      <c r="K367" s="3" t="s">
        <v>28</v>
      </c>
      <c r="L367" s="3" t="s">
        <v>28</v>
      </c>
      <c r="M367" s="3" t="s">
        <v>28</v>
      </c>
      <c r="N367" s="3" t="s">
        <v>28</v>
      </c>
      <c r="O367" s="3" t="s">
        <v>27</v>
      </c>
      <c r="P367" s="3" t="s">
        <v>28</v>
      </c>
      <c r="Q367" s="3" t="s">
        <v>27</v>
      </c>
      <c r="R367" s="3" t="s">
        <v>28</v>
      </c>
      <c r="S367" s="3" t="s">
        <v>28</v>
      </c>
      <c r="T367" s="3" t="s">
        <v>28</v>
      </c>
    </row>
    <row r="368" spans="1:20" ht="366">
      <c r="A368" s="3">
        <v>2759639</v>
      </c>
      <c r="B368" s="3">
        <f>HYPERLINK("https://platform.v2.vetology.net/cases/2759639/screening-report/6?type=pdf&amp;v=v6&amp;scorecard=1&amp;secret_key=BX%25IJ%24%2F65ieZ%29f6", 2759639)</f>
        <v>2759639</v>
      </c>
      <c r="C368" s="3">
        <f>HYPERLINK("https://platform.v2.vetology.net/report/v/final/"&amp;2759639, 2759639)</f>
        <v>2759639</v>
      </c>
      <c r="D368" s="3" t="s">
        <v>1628</v>
      </c>
      <c r="E368" s="3" t="s">
        <v>1629</v>
      </c>
      <c r="F368" s="3"/>
      <c r="G368" s="3" t="s">
        <v>122</v>
      </c>
      <c r="H368" s="3" t="s">
        <v>1630</v>
      </c>
      <c r="I368" s="3" t="s">
        <v>993</v>
      </c>
      <c r="J368" s="3" t="s">
        <v>994</v>
      </c>
      <c r="K368" s="3" t="s">
        <v>28</v>
      </c>
      <c r="L368" s="3" t="s">
        <v>28</v>
      </c>
      <c r="M368" s="3" t="s">
        <v>28</v>
      </c>
      <c r="N368" s="3" t="s">
        <v>28</v>
      </c>
      <c r="O368" s="3" t="s">
        <v>28</v>
      </c>
      <c r="P368" s="3" t="s">
        <v>28</v>
      </c>
      <c r="Q368" s="3" t="s">
        <v>28</v>
      </c>
      <c r="R368" s="3" t="s">
        <v>28</v>
      </c>
      <c r="S368" s="3" t="s">
        <v>28</v>
      </c>
      <c r="T368" s="3" t="s">
        <v>28</v>
      </c>
    </row>
    <row r="369" spans="1:20" ht="396.75">
      <c r="A369" s="3">
        <v>2759634</v>
      </c>
      <c r="B369" s="3">
        <f>HYPERLINK("https://platform.v2.vetology.net/cases/2759634/screening-report/6?type=pdf&amp;v=v6&amp;scorecard=1&amp;secret_key=BX%25IJ%24%2F65ieZ%29f6", 2759634)</f>
        <v>2759634</v>
      </c>
      <c r="C369" s="3">
        <f>HYPERLINK("https://platform.v2.vetology.net/report/v/final/"&amp;2759634, 2759634)</f>
        <v>2759634</v>
      </c>
      <c r="D369" s="3" t="s">
        <v>1631</v>
      </c>
      <c r="E369" s="3" t="s">
        <v>1632</v>
      </c>
      <c r="F369" s="3" t="s">
        <v>1633</v>
      </c>
      <c r="G369" s="3" t="s">
        <v>211</v>
      </c>
      <c r="H369" s="3" t="s">
        <v>1634</v>
      </c>
      <c r="I369" s="3" t="s">
        <v>83</v>
      </c>
      <c r="J369" s="3" t="s">
        <v>84</v>
      </c>
      <c r="K369" s="3" t="s">
        <v>28</v>
      </c>
      <c r="L369" s="3" t="s">
        <v>27</v>
      </c>
      <c r="M369" s="3" t="s">
        <v>28</v>
      </c>
      <c r="N369" s="3" t="s">
        <v>27</v>
      </c>
      <c r="O369" s="3" t="s">
        <v>28</v>
      </c>
      <c r="P369" s="3" t="s">
        <v>28</v>
      </c>
      <c r="Q369" s="3" t="s">
        <v>28</v>
      </c>
      <c r="R369" s="3" t="s">
        <v>28</v>
      </c>
      <c r="S369" s="3" t="s">
        <v>28</v>
      </c>
      <c r="T369" s="3" t="s">
        <v>27</v>
      </c>
    </row>
    <row r="370" spans="1:20" ht="366">
      <c r="A370" s="3">
        <v>2759619</v>
      </c>
      <c r="B370" s="3">
        <f>HYPERLINK("https://platform.v2.vetology.net/cases/2759619/screening-report/6?type=pdf&amp;v=v6&amp;scorecard=1&amp;secret_key=BX%25IJ%24%2F65ieZ%29f6", 2759619)</f>
        <v>2759619</v>
      </c>
      <c r="C370" s="3">
        <f>HYPERLINK("https://platform.v2.vetology.net/report/v/final/"&amp;2759619, 2759619)</f>
        <v>2759619</v>
      </c>
      <c r="D370" s="3" t="s">
        <v>1635</v>
      </c>
      <c r="E370" s="3" t="s">
        <v>1636</v>
      </c>
      <c r="F370" s="3" t="s">
        <v>1637</v>
      </c>
      <c r="G370" s="3" t="s">
        <v>211</v>
      </c>
      <c r="H370" s="3" t="s">
        <v>1638</v>
      </c>
      <c r="I370" s="3" t="s">
        <v>643</v>
      </c>
      <c r="J370" s="3" t="s">
        <v>143</v>
      </c>
      <c r="K370" s="3" t="s">
        <v>28</v>
      </c>
      <c r="L370" s="3" t="s">
        <v>28</v>
      </c>
      <c r="M370" s="3" t="s">
        <v>28</v>
      </c>
      <c r="N370" s="3" t="s">
        <v>28</v>
      </c>
      <c r="O370" s="3" t="s">
        <v>27</v>
      </c>
      <c r="P370" s="3" t="s">
        <v>28</v>
      </c>
      <c r="Q370" s="3" t="s">
        <v>28</v>
      </c>
      <c r="R370" s="3" t="s">
        <v>28</v>
      </c>
      <c r="S370" s="3" t="s">
        <v>28</v>
      </c>
      <c r="T370" s="3" t="s">
        <v>27</v>
      </c>
    </row>
    <row r="371" spans="1:20" ht="409.6">
      <c r="A371" s="3">
        <v>2759614</v>
      </c>
      <c r="B371" s="3">
        <f>HYPERLINK("https://platform.v2.vetology.net/cases/2759614/screening-report/6?type=pdf&amp;v=v6&amp;scorecard=1&amp;secret_key=BX%25IJ%24%2F65ieZ%29f6", 2759614)</f>
        <v>2759614</v>
      </c>
      <c r="C371" s="3">
        <f>HYPERLINK("https://platform.v2.vetology.net/report/v/final/"&amp;2759614, 2759614)</f>
        <v>2759614</v>
      </c>
      <c r="D371" s="3" t="s">
        <v>1639</v>
      </c>
      <c r="E371" s="3" t="s">
        <v>1640</v>
      </c>
      <c r="F371" s="3" t="s">
        <v>1641</v>
      </c>
      <c r="G371" s="3" t="s">
        <v>64</v>
      </c>
      <c r="H371" s="3" t="s">
        <v>1642</v>
      </c>
      <c r="I371" s="3" t="s">
        <v>279</v>
      </c>
      <c r="J371" s="3" t="s">
        <v>280</v>
      </c>
      <c r="K371" s="3" t="s">
        <v>28</v>
      </c>
      <c r="L371" s="3" t="s">
        <v>28</v>
      </c>
      <c r="M371" s="3" t="s">
        <v>28</v>
      </c>
      <c r="N371" s="3" t="s">
        <v>28</v>
      </c>
      <c r="O371" s="3" t="s">
        <v>28</v>
      </c>
      <c r="P371" s="3" t="s">
        <v>28</v>
      </c>
      <c r="Q371" s="3" t="s">
        <v>28</v>
      </c>
      <c r="R371" s="3" t="s">
        <v>28</v>
      </c>
      <c r="S371" s="3" t="s">
        <v>28</v>
      </c>
      <c r="T371" s="3" t="s">
        <v>27</v>
      </c>
    </row>
    <row r="372" spans="1:20" ht="409.6">
      <c r="A372" s="3">
        <v>2759544</v>
      </c>
      <c r="B372" s="3">
        <f>HYPERLINK("https://platform.v2.vetology.net/cases/2759544/screening-report/6?type=pdf&amp;v=v6&amp;scorecard=1&amp;secret_key=BX%25IJ%24%2F65ieZ%29f6", 2759544)</f>
        <v>2759544</v>
      </c>
      <c r="C372" s="3">
        <f>HYPERLINK("https://platform.v2.vetology.net/report/v/final/"&amp;2759544, 2759544)</f>
        <v>2759544</v>
      </c>
      <c r="D372" s="3" t="s">
        <v>1643</v>
      </c>
      <c r="E372" s="3" t="s">
        <v>1644</v>
      </c>
      <c r="F372" s="3" t="s">
        <v>1645</v>
      </c>
      <c r="G372" s="3" t="s">
        <v>372</v>
      </c>
      <c r="H372" s="3" t="s">
        <v>1646</v>
      </c>
      <c r="I372" s="3" t="s">
        <v>706</v>
      </c>
      <c r="J372" s="3" t="s">
        <v>707</v>
      </c>
      <c r="K372" s="3" t="s">
        <v>28</v>
      </c>
      <c r="L372" s="3" t="s">
        <v>28</v>
      </c>
      <c r="M372" s="3" t="s">
        <v>28</v>
      </c>
      <c r="N372" s="3" t="s">
        <v>28</v>
      </c>
      <c r="O372" s="3" t="s">
        <v>27</v>
      </c>
      <c r="P372" s="3" t="s">
        <v>28</v>
      </c>
      <c r="Q372" s="3" t="s">
        <v>28</v>
      </c>
      <c r="R372" s="3" t="s">
        <v>28</v>
      </c>
      <c r="S372" s="3" t="s">
        <v>28</v>
      </c>
      <c r="T372" s="3" t="s">
        <v>27</v>
      </c>
    </row>
    <row r="373" spans="1:20" ht="381.75">
      <c r="A373" s="3">
        <v>2759518</v>
      </c>
      <c r="B373" s="3">
        <f>HYPERLINK("https://platform.v2.vetology.net/cases/2759518/screening-report/6?type=pdf&amp;v=v6&amp;scorecard=1&amp;secret_key=BX%25IJ%24%2F65ieZ%29f6", 2759518)</f>
        <v>2759518</v>
      </c>
      <c r="C373" s="3">
        <f>HYPERLINK("https://platform.v2.vetology.net/report/v/final/"&amp;2759518, 2759518)</f>
        <v>2759518</v>
      </c>
      <c r="D373" s="3" t="s">
        <v>1647</v>
      </c>
      <c r="E373" s="3" t="s">
        <v>1648</v>
      </c>
      <c r="F373" s="3" t="s">
        <v>1649</v>
      </c>
      <c r="G373" s="3" t="s">
        <v>64</v>
      </c>
      <c r="H373" s="3" t="s">
        <v>31</v>
      </c>
      <c r="I373" s="3" t="s">
        <v>32</v>
      </c>
      <c r="J373" s="3" t="s">
        <v>33</v>
      </c>
      <c r="K373" s="3" t="s">
        <v>28</v>
      </c>
      <c r="L373" s="3" t="s">
        <v>28</v>
      </c>
      <c r="M373" s="3" t="s">
        <v>28</v>
      </c>
      <c r="N373" s="3" t="s">
        <v>28</v>
      </c>
      <c r="O373" s="3" t="s">
        <v>28</v>
      </c>
      <c r="P373" s="3" t="s">
        <v>28</v>
      </c>
      <c r="Q373" s="3" t="s">
        <v>28</v>
      </c>
      <c r="R373" s="3" t="s">
        <v>28</v>
      </c>
      <c r="S373" s="3" t="s">
        <v>28</v>
      </c>
      <c r="T373" s="3" t="s">
        <v>28</v>
      </c>
    </row>
    <row r="374" spans="1:20" ht="396.75">
      <c r="A374" s="3">
        <v>2759449</v>
      </c>
      <c r="B374" s="3">
        <f>HYPERLINK("https://platform.v2.vetology.net/cases/2759449/screening-report/6?type=pdf&amp;v=v6&amp;scorecard=1&amp;secret_key=BX%25IJ%24%2F65ieZ%29f6", 2759449)</f>
        <v>2759449</v>
      </c>
      <c r="C374" s="3">
        <f>HYPERLINK("https://platform.v2.vetology.net/report/v/final/"&amp;2759449, 2759449)</f>
        <v>2759449</v>
      </c>
      <c r="D374" s="3" t="s">
        <v>1650</v>
      </c>
      <c r="E374" s="3" t="s">
        <v>1651</v>
      </c>
      <c r="F374" s="3" t="s">
        <v>22</v>
      </c>
      <c r="G374" s="3" t="s">
        <v>372</v>
      </c>
      <c r="H374" s="3" t="s">
        <v>1597</v>
      </c>
      <c r="I374" s="3" t="s">
        <v>32</v>
      </c>
      <c r="J374" s="3" t="s">
        <v>119</v>
      </c>
      <c r="K374" s="3" t="s">
        <v>28</v>
      </c>
      <c r="L374" s="3" t="s">
        <v>28</v>
      </c>
      <c r="M374" s="3" t="s">
        <v>28</v>
      </c>
      <c r="N374" s="3" t="s">
        <v>28</v>
      </c>
      <c r="O374" s="3" t="s">
        <v>27</v>
      </c>
      <c r="P374" s="3" t="s">
        <v>28</v>
      </c>
      <c r="Q374" s="3" t="s">
        <v>28</v>
      </c>
      <c r="R374" s="3" t="s">
        <v>28</v>
      </c>
      <c r="S374" s="3" t="s">
        <v>28</v>
      </c>
      <c r="T374" s="3" t="s">
        <v>28</v>
      </c>
    </row>
    <row r="375" spans="1:20" ht="409.6">
      <c r="A375" s="3">
        <v>2759417</v>
      </c>
      <c r="B375" s="3">
        <f>HYPERLINK("https://platform.v2.vetology.net/cases/2759417/screening-report/6?type=pdf&amp;v=v6&amp;scorecard=1&amp;secret_key=BX%25IJ%24%2F65ieZ%29f6", 2759417)</f>
        <v>2759417</v>
      </c>
      <c r="C375" s="3">
        <f>HYPERLINK("https://platform.v2.vetology.net/report/v/final/"&amp;2759417, 2759417)</f>
        <v>2759417</v>
      </c>
      <c r="D375" s="3" t="s">
        <v>1652</v>
      </c>
      <c r="E375" s="3" t="s">
        <v>1653</v>
      </c>
      <c r="F375" s="3" t="s">
        <v>1654</v>
      </c>
      <c r="G375" s="3" t="s">
        <v>566</v>
      </c>
      <c r="H375" s="3" t="s">
        <v>1655</v>
      </c>
      <c r="I375" s="3" t="s">
        <v>310</v>
      </c>
      <c r="J375" s="3" t="s">
        <v>311</v>
      </c>
      <c r="K375" s="3" t="s">
        <v>27</v>
      </c>
      <c r="L375" s="3" t="s">
        <v>27</v>
      </c>
      <c r="M375" s="3" t="s">
        <v>28</v>
      </c>
      <c r="N375" s="3" t="s">
        <v>27</v>
      </c>
      <c r="O375" s="3" t="s">
        <v>27</v>
      </c>
      <c r="P375" s="3" t="s">
        <v>28</v>
      </c>
      <c r="Q375" s="3" t="s">
        <v>28</v>
      </c>
      <c r="R375" s="3" t="s">
        <v>27</v>
      </c>
      <c r="S375" s="3" t="s">
        <v>27</v>
      </c>
      <c r="T375" s="3" t="s">
        <v>27</v>
      </c>
    </row>
    <row r="376" spans="1:20" ht="409.6">
      <c r="A376" s="3">
        <v>2759411</v>
      </c>
      <c r="B376" s="3">
        <f>HYPERLINK("https://platform.v2.vetology.net/cases/2759411/screening-report/6?type=pdf&amp;v=v6&amp;scorecard=1&amp;secret_key=BX%25IJ%24%2F65ieZ%29f6", 2759411)</f>
        <v>2759411</v>
      </c>
      <c r="C376" s="3">
        <f>HYPERLINK("https://platform.v2.vetology.net/report/v/final/"&amp;2759411, 2759411)</f>
        <v>2759411</v>
      </c>
      <c r="D376" s="3" t="s">
        <v>1656</v>
      </c>
      <c r="E376" s="3" t="s">
        <v>1657</v>
      </c>
      <c r="F376" s="3" t="s">
        <v>1658</v>
      </c>
      <c r="G376" s="3" t="s">
        <v>64</v>
      </c>
      <c r="H376" s="3" t="s">
        <v>1659</v>
      </c>
      <c r="I376" s="3" t="s">
        <v>1660</v>
      </c>
      <c r="J376" s="3" t="s">
        <v>207</v>
      </c>
      <c r="K376" s="3" t="s">
        <v>28</v>
      </c>
      <c r="L376" s="3" t="s">
        <v>28</v>
      </c>
      <c r="M376" s="3" t="s">
        <v>27</v>
      </c>
      <c r="N376" s="3" t="s">
        <v>28</v>
      </c>
      <c r="O376" s="3" t="s">
        <v>27</v>
      </c>
      <c r="P376" s="3" t="s">
        <v>28</v>
      </c>
      <c r="Q376" s="3" t="s">
        <v>28</v>
      </c>
      <c r="R376" s="3" t="s">
        <v>28</v>
      </c>
      <c r="S376" s="3" t="s">
        <v>28</v>
      </c>
      <c r="T376" s="3" t="s">
        <v>27</v>
      </c>
    </row>
    <row r="377" spans="1:20" ht="229.5">
      <c r="A377" s="3">
        <v>2759384</v>
      </c>
      <c r="B377" s="3">
        <f>HYPERLINK("https://platform.v2.vetology.net/cases/2759384/screening-report/6?type=pdf&amp;v=v6&amp;scorecard=1&amp;secret_key=BX%25IJ%24%2F65ieZ%29f6", 2759384)</f>
        <v>2759384</v>
      </c>
      <c r="C377" s="3">
        <f>HYPERLINK("https://platform.v2.vetology.net/report/v/final/"&amp;2759384, 2759384)</f>
        <v>2759384</v>
      </c>
      <c r="D377" s="3" t="s">
        <v>1661</v>
      </c>
      <c r="E377" s="3" t="s">
        <v>1662</v>
      </c>
      <c r="F377" s="3" t="s">
        <v>1663</v>
      </c>
      <c r="G377" s="3" t="s">
        <v>23</v>
      </c>
      <c r="H377" s="3" t="s">
        <v>158</v>
      </c>
      <c r="I377" s="3" t="s">
        <v>32</v>
      </c>
      <c r="J377" s="3" t="s">
        <v>119</v>
      </c>
      <c r="K377" s="3" t="s">
        <v>28</v>
      </c>
      <c r="L377" s="3" t="s">
        <v>28</v>
      </c>
      <c r="M377" s="3" t="s">
        <v>28</v>
      </c>
      <c r="N377" s="3" t="s">
        <v>28</v>
      </c>
      <c r="O377" s="3" t="s">
        <v>27</v>
      </c>
      <c r="P377" s="3" t="s">
        <v>28</v>
      </c>
      <c r="Q377" s="3" t="s">
        <v>28</v>
      </c>
      <c r="R377" s="3" t="s">
        <v>28</v>
      </c>
      <c r="S377" s="3" t="s">
        <v>28</v>
      </c>
      <c r="T377" s="3" t="s">
        <v>28</v>
      </c>
    </row>
    <row r="378" spans="1:20" ht="396.75">
      <c r="A378" s="3">
        <v>2759351</v>
      </c>
      <c r="B378" s="3">
        <f>HYPERLINK("https://platform.v2.vetology.net/cases/2759351/screening-report/6?type=pdf&amp;v=v6&amp;scorecard=1&amp;secret_key=BX%25IJ%24%2F65ieZ%29f6", 2759351)</f>
        <v>2759351</v>
      </c>
      <c r="C378" s="3">
        <f>HYPERLINK("https://platform.v2.vetology.net/report/v/final/"&amp;2759351, 2759351)</f>
        <v>2759351</v>
      </c>
      <c r="D378" s="3" t="s">
        <v>1664</v>
      </c>
      <c r="E378" s="3" t="s">
        <v>1665</v>
      </c>
      <c r="F378" s="3" t="s">
        <v>1090</v>
      </c>
      <c r="G378" s="3" t="s">
        <v>100</v>
      </c>
      <c r="H378" s="3" t="s">
        <v>571</v>
      </c>
      <c r="I378" s="3" t="s">
        <v>572</v>
      </c>
      <c r="J378" s="3" t="s">
        <v>573</v>
      </c>
      <c r="K378" s="3" t="s">
        <v>27</v>
      </c>
      <c r="L378" s="3" t="s">
        <v>28</v>
      </c>
      <c r="M378" s="3" t="s">
        <v>28</v>
      </c>
      <c r="N378" s="3" t="s">
        <v>28</v>
      </c>
      <c r="O378" s="3" t="s">
        <v>27</v>
      </c>
      <c r="P378" s="3" t="s">
        <v>28</v>
      </c>
      <c r="Q378" s="3" t="s">
        <v>27</v>
      </c>
      <c r="R378" s="3" t="s">
        <v>28</v>
      </c>
      <c r="S378" s="3" t="s">
        <v>28</v>
      </c>
      <c r="T378" s="3" t="s">
        <v>28</v>
      </c>
    </row>
    <row r="379" spans="1:20" ht="229.5">
      <c r="A379" s="3">
        <v>2759303</v>
      </c>
      <c r="B379" s="3">
        <f>HYPERLINK("https://platform.v2.vetology.net/cases/2759303/screening-report/6?type=pdf&amp;v=v6&amp;scorecard=1&amp;secret_key=BX%25IJ%24%2F65ieZ%29f6", 2759303)</f>
        <v>2759303</v>
      </c>
      <c r="C379" s="3">
        <f>HYPERLINK("https://platform.v2.vetology.net/report/v/final/"&amp;2759303, 2759303)</f>
        <v>2759303</v>
      </c>
      <c r="D379" s="3" t="s">
        <v>1666</v>
      </c>
      <c r="E379" s="3" t="s">
        <v>1667</v>
      </c>
      <c r="F379" s="3" t="s">
        <v>1668</v>
      </c>
      <c r="G379" s="3" t="s">
        <v>122</v>
      </c>
      <c r="H379" s="3" t="s">
        <v>31</v>
      </c>
      <c r="I379" s="3" t="s">
        <v>32</v>
      </c>
      <c r="J379" s="3" t="s">
        <v>119</v>
      </c>
      <c r="K379" s="3" t="s">
        <v>28</v>
      </c>
      <c r="L379" s="3" t="s">
        <v>28</v>
      </c>
      <c r="M379" s="3" t="s">
        <v>28</v>
      </c>
      <c r="N379" s="3" t="s">
        <v>28</v>
      </c>
      <c r="O379" s="3" t="s">
        <v>28</v>
      </c>
      <c r="P379" s="3" t="s">
        <v>28</v>
      </c>
      <c r="Q379" s="3" t="s">
        <v>28</v>
      </c>
      <c r="R379" s="3" t="s">
        <v>28</v>
      </c>
      <c r="S379" s="3" t="s">
        <v>28</v>
      </c>
      <c r="T379" s="3" t="s">
        <v>28</v>
      </c>
    </row>
    <row r="380" spans="1:20" ht="305.25">
      <c r="A380" s="3">
        <v>2759283</v>
      </c>
      <c r="B380" s="3">
        <f>HYPERLINK("https://platform.v2.vetology.net/cases/2759283/screening-report/6?type=pdf&amp;v=v6&amp;scorecard=1&amp;secret_key=BX%25IJ%24%2F65ieZ%29f6", 2759283)</f>
        <v>2759283</v>
      </c>
      <c r="C380" s="3">
        <f>HYPERLINK("https://platform.v2.vetology.net/report/v/final/"&amp;2759283, 2759283)</f>
        <v>2759283</v>
      </c>
      <c r="D380" s="3" t="s">
        <v>1669</v>
      </c>
      <c r="E380" s="3" t="s">
        <v>1670</v>
      </c>
      <c r="F380" s="3" t="s">
        <v>1671</v>
      </c>
      <c r="G380" s="3" t="s">
        <v>186</v>
      </c>
      <c r="H380" s="3" t="s">
        <v>31</v>
      </c>
      <c r="I380" s="3" t="s">
        <v>32</v>
      </c>
      <c r="J380" s="3" t="s">
        <v>33</v>
      </c>
      <c r="K380" s="3" t="s">
        <v>27</v>
      </c>
      <c r="L380" s="3" t="s">
        <v>28</v>
      </c>
      <c r="M380" s="3" t="s">
        <v>27</v>
      </c>
      <c r="N380" s="3" t="s">
        <v>28</v>
      </c>
      <c r="O380" s="3" t="s">
        <v>27</v>
      </c>
      <c r="P380" s="3" t="s">
        <v>28</v>
      </c>
      <c r="Q380" s="3" t="s">
        <v>27</v>
      </c>
      <c r="R380" s="3" t="s">
        <v>28</v>
      </c>
      <c r="S380" s="3" t="s">
        <v>28</v>
      </c>
      <c r="T380" s="3" t="s">
        <v>28</v>
      </c>
    </row>
    <row r="381" spans="1:20" ht="409.6">
      <c r="A381" s="3">
        <v>2759281</v>
      </c>
      <c r="B381" s="3">
        <f>HYPERLINK("https://platform.v2.vetology.net/cases/2759281/screening-report/6?type=pdf&amp;v=v6&amp;scorecard=1&amp;secret_key=BX%25IJ%24%2F65ieZ%29f6", 2759281)</f>
        <v>2759281</v>
      </c>
      <c r="C381" s="3">
        <f>HYPERLINK("https://platform.v2.vetology.net/report/v/final/"&amp;2759281, 2759281)</f>
        <v>2759281</v>
      </c>
      <c r="D381" s="3" t="s">
        <v>1672</v>
      </c>
      <c r="E381" s="3" t="s">
        <v>1673</v>
      </c>
      <c r="F381" s="3" t="s">
        <v>1674</v>
      </c>
      <c r="G381" s="3" t="s">
        <v>736</v>
      </c>
      <c r="H381" s="3" t="s">
        <v>1675</v>
      </c>
      <c r="I381" s="3" t="s">
        <v>939</v>
      </c>
      <c r="J381" s="3" t="s">
        <v>940</v>
      </c>
      <c r="K381" s="3" t="s">
        <v>28</v>
      </c>
      <c r="L381" s="3" t="s">
        <v>28</v>
      </c>
      <c r="M381" s="3" t="s">
        <v>27</v>
      </c>
      <c r="N381" s="3" t="s">
        <v>28</v>
      </c>
      <c r="O381" s="3" t="s">
        <v>27</v>
      </c>
      <c r="P381" s="3" t="s">
        <v>27</v>
      </c>
      <c r="Q381" s="3" t="s">
        <v>28</v>
      </c>
      <c r="R381" s="3" t="s">
        <v>28</v>
      </c>
      <c r="S381" s="3" t="s">
        <v>28</v>
      </c>
      <c r="T381" s="3" t="s">
        <v>28</v>
      </c>
    </row>
    <row r="382" spans="1:20" ht="409.6">
      <c r="A382" s="3">
        <v>2759251</v>
      </c>
      <c r="B382" s="3">
        <f>HYPERLINK("https://platform.v2.vetology.net/cases/2759251/screening-report/6?type=pdf&amp;v=v6&amp;scorecard=1&amp;secret_key=BX%25IJ%24%2F65ieZ%29f6", 2759251)</f>
        <v>2759251</v>
      </c>
      <c r="C382" s="3">
        <f>HYPERLINK("https://platform.v2.vetology.net/report/v/final/"&amp;2759251, 2759251)</f>
        <v>2759251</v>
      </c>
      <c r="D382" s="3" t="s">
        <v>1676</v>
      </c>
      <c r="E382" s="3" t="s">
        <v>1677</v>
      </c>
      <c r="F382" s="3" t="s">
        <v>1678</v>
      </c>
      <c r="G382" s="3" t="s">
        <v>64</v>
      </c>
      <c r="H382" s="3" t="s">
        <v>595</v>
      </c>
      <c r="I382" s="3" t="s">
        <v>596</v>
      </c>
      <c r="J382" s="3" t="s">
        <v>597</v>
      </c>
      <c r="K382" s="3" t="s">
        <v>28</v>
      </c>
      <c r="L382" s="3" t="s">
        <v>27</v>
      </c>
      <c r="M382" s="3" t="s">
        <v>28</v>
      </c>
      <c r="N382" s="3" t="s">
        <v>27</v>
      </c>
      <c r="O382" s="3" t="s">
        <v>27</v>
      </c>
      <c r="P382" s="3" t="s">
        <v>28</v>
      </c>
      <c r="Q382" s="3" t="s">
        <v>28</v>
      </c>
      <c r="R382" s="3" t="s">
        <v>27</v>
      </c>
      <c r="S382" s="3" t="s">
        <v>28</v>
      </c>
      <c r="T382" s="3" t="s">
        <v>27</v>
      </c>
    </row>
    <row r="383" spans="1:20" ht="409.6">
      <c r="A383" s="3">
        <v>2759239</v>
      </c>
      <c r="B383" s="3">
        <f>HYPERLINK("https://platform.v2.vetology.net/cases/2759239/screening-report/6?type=pdf&amp;v=v6&amp;scorecard=1&amp;secret_key=BX%25IJ%24%2F65ieZ%29f6", 2759239)</f>
        <v>2759239</v>
      </c>
      <c r="C383" s="3">
        <f>HYPERLINK("https://platform.v2.vetology.net/report/v/final/"&amp;2759239, 2759239)</f>
        <v>2759239</v>
      </c>
      <c r="D383" s="3" t="s">
        <v>1679</v>
      </c>
      <c r="E383" s="3" t="s">
        <v>1680</v>
      </c>
      <c r="F383" s="3" t="s">
        <v>22</v>
      </c>
      <c r="G383" s="3" t="s">
        <v>23</v>
      </c>
      <c r="H383" s="3" t="s">
        <v>88</v>
      </c>
      <c r="I383" s="3" t="s">
        <v>89</v>
      </c>
      <c r="J383" s="3" t="s">
        <v>90</v>
      </c>
      <c r="K383" s="3" t="s">
        <v>27</v>
      </c>
      <c r="L383" s="3" t="s">
        <v>28</v>
      </c>
      <c r="M383" s="3" t="s">
        <v>28</v>
      </c>
      <c r="N383" s="3" t="s">
        <v>28</v>
      </c>
      <c r="O383" s="3" t="s">
        <v>27</v>
      </c>
      <c r="P383" s="3" t="s">
        <v>28</v>
      </c>
      <c r="Q383" s="3" t="s">
        <v>28</v>
      </c>
      <c r="R383" s="3" t="s">
        <v>28</v>
      </c>
      <c r="S383" s="3" t="s">
        <v>28</v>
      </c>
      <c r="T383" s="3" t="s">
        <v>28</v>
      </c>
    </row>
    <row r="384" spans="1:20" ht="351">
      <c r="A384" s="3">
        <v>2759216</v>
      </c>
      <c r="B384" s="3">
        <f>HYPERLINK("https://platform.v2.vetology.net/cases/2759216/screening-report/6?type=pdf&amp;v=v6&amp;scorecard=1&amp;secret_key=BX%25IJ%24%2F65ieZ%29f6", 2759216)</f>
        <v>2759216</v>
      </c>
      <c r="C384" s="3">
        <f>HYPERLINK("https://platform.v2.vetology.net/report/v/final/"&amp;2759216, 2759216)</f>
        <v>2759216</v>
      </c>
      <c r="D384" s="3" t="s">
        <v>1681</v>
      </c>
      <c r="E384" s="3" t="s">
        <v>1682</v>
      </c>
      <c r="F384" s="3" t="s">
        <v>22</v>
      </c>
      <c r="G384" s="3" t="s">
        <v>23</v>
      </c>
      <c r="H384" s="3" t="s">
        <v>1683</v>
      </c>
      <c r="I384" s="3" t="s">
        <v>291</v>
      </c>
      <c r="J384" s="3" t="s">
        <v>207</v>
      </c>
      <c r="K384" s="3" t="s">
        <v>28</v>
      </c>
      <c r="L384" s="3" t="s">
        <v>28</v>
      </c>
      <c r="M384" s="3" t="s">
        <v>28</v>
      </c>
      <c r="N384" s="3" t="s">
        <v>27</v>
      </c>
      <c r="O384" s="3" t="s">
        <v>27</v>
      </c>
      <c r="P384" s="3" t="s">
        <v>27</v>
      </c>
      <c r="Q384" s="3" t="s">
        <v>28</v>
      </c>
      <c r="R384" s="3" t="s">
        <v>27</v>
      </c>
      <c r="S384" s="3" t="s">
        <v>27</v>
      </c>
      <c r="T384" s="3" t="s">
        <v>27</v>
      </c>
    </row>
    <row r="385" spans="1:20" ht="409.6">
      <c r="A385" s="3">
        <v>2759175</v>
      </c>
      <c r="B385" s="3">
        <f>HYPERLINK("https://platform.v2.vetology.net/cases/2759175/screening-report/6?type=pdf&amp;v=v6&amp;scorecard=1&amp;secret_key=BX%25IJ%24%2F65ieZ%29f6", 2759175)</f>
        <v>2759175</v>
      </c>
      <c r="C385" s="3">
        <f>HYPERLINK("https://platform.v2.vetology.net/report/v/final/"&amp;2759175, 2759175)</f>
        <v>2759175</v>
      </c>
      <c r="D385" s="3" t="s">
        <v>1684</v>
      </c>
      <c r="E385" s="3" t="s">
        <v>1685</v>
      </c>
      <c r="F385" s="3" t="s">
        <v>1686</v>
      </c>
      <c r="G385" s="3" t="s">
        <v>64</v>
      </c>
      <c r="H385" s="3" t="s">
        <v>1687</v>
      </c>
      <c r="I385" s="3" t="s">
        <v>1688</v>
      </c>
      <c r="J385" s="3" t="s">
        <v>207</v>
      </c>
      <c r="K385" s="3" t="s">
        <v>27</v>
      </c>
      <c r="L385" s="3" t="s">
        <v>28</v>
      </c>
      <c r="M385" s="3" t="s">
        <v>27</v>
      </c>
      <c r="N385" s="3" t="s">
        <v>28</v>
      </c>
      <c r="O385" s="3" t="s">
        <v>27</v>
      </c>
      <c r="P385" s="3" t="s">
        <v>28</v>
      </c>
      <c r="Q385" s="3" t="s">
        <v>27</v>
      </c>
      <c r="R385" s="3" t="s">
        <v>28</v>
      </c>
      <c r="S385" s="3" t="s">
        <v>27</v>
      </c>
      <c r="T385" s="3" t="s">
        <v>28</v>
      </c>
    </row>
    <row r="386" spans="1:20" ht="366">
      <c r="A386" s="3">
        <v>2759113</v>
      </c>
      <c r="B386" s="3">
        <f>HYPERLINK("https://platform.v2.vetology.net/cases/2759113/screening-report/6?type=pdf&amp;v=v6&amp;scorecard=1&amp;secret_key=BX%25IJ%24%2F65ieZ%29f6", 2759113)</f>
        <v>2759113</v>
      </c>
      <c r="C386" s="3">
        <f>HYPERLINK("https://platform.v2.vetology.net/report/v/final/"&amp;2759113, 2759113)</f>
        <v>2759113</v>
      </c>
      <c r="D386" s="3" t="s">
        <v>1689</v>
      </c>
      <c r="E386" s="3" t="s">
        <v>1690</v>
      </c>
      <c r="F386" s="3"/>
      <c r="G386" s="3" t="s">
        <v>100</v>
      </c>
      <c r="H386" s="3" t="s">
        <v>1691</v>
      </c>
      <c r="I386" s="3" t="s">
        <v>188</v>
      </c>
      <c r="J386" s="3" t="s">
        <v>189</v>
      </c>
      <c r="K386" s="3" t="s">
        <v>28</v>
      </c>
      <c r="L386" s="3" t="s">
        <v>28</v>
      </c>
      <c r="M386" s="3" t="s">
        <v>28</v>
      </c>
      <c r="N386" s="3" t="s">
        <v>28</v>
      </c>
      <c r="O386" s="3" t="s">
        <v>27</v>
      </c>
      <c r="P386" s="3" t="s">
        <v>28</v>
      </c>
      <c r="Q386" s="3" t="s">
        <v>27</v>
      </c>
      <c r="R386" s="3" t="s">
        <v>28</v>
      </c>
      <c r="S386" s="3" t="s">
        <v>28</v>
      </c>
      <c r="T386" s="3" t="s">
        <v>28</v>
      </c>
    </row>
    <row r="387" spans="1:20" ht="409.6">
      <c r="A387" s="3">
        <v>2759108</v>
      </c>
      <c r="B387" s="3">
        <f>HYPERLINK("https://platform.v2.vetology.net/cases/2759108/screening-report/6?type=pdf&amp;v=v6&amp;scorecard=1&amp;secret_key=BX%25IJ%24%2F65ieZ%29f6", 2759108)</f>
        <v>2759108</v>
      </c>
      <c r="C387" s="3">
        <f>HYPERLINK("https://platform.v2.vetology.net/report/v/final/"&amp;2759108, 2759108)</f>
        <v>2759108</v>
      </c>
      <c r="D387" s="3" t="s">
        <v>1692</v>
      </c>
      <c r="E387" s="3" t="s">
        <v>1693</v>
      </c>
      <c r="F387" s="3" t="s">
        <v>1694</v>
      </c>
      <c r="G387" s="3" t="s">
        <v>64</v>
      </c>
      <c r="H387" s="3" t="s">
        <v>1695</v>
      </c>
      <c r="I387" s="3" t="s">
        <v>1034</v>
      </c>
      <c r="J387" s="3" t="s">
        <v>1035</v>
      </c>
      <c r="K387" s="3" t="s">
        <v>28</v>
      </c>
      <c r="L387" s="3" t="s">
        <v>27</v>
      </c>
      <c r="M387" s="3" t="s">
        <v>28</v>
      </c>
      <c r="N387" s="3" t="s">
        <v>27</v>
      </c>
      <c r="O387" s="3" t="s">
        <v>28</v>
      </c>
      <c r="P387" s="3" t="s">
        <v>28</v>
      </c>
      <c r="Q387" s="3" t="s">
        <v>28</v>
      </c>
      <c r="R387" s="3" t="s">
        <v>28</v>
      </c>
      <c r="S387" s="3" t="s">
        <v>28</v>
      </c>
      <c r="T387" s="3" t="s">
        <v>27</v>
      </c>
    </row>
    <row r="388" spans="1:20" ht="409.6">
      <c r="A388" s="3">
        <v>2759106</v>
      </c>
      <c r="B388" s="3">
        <f>HYPERLINK("https://platform.v2.vetology.net/cases/2759106/screening-report/6?type=pdf&amp;v=v6&amp;scorecard=1&amp;secret_key=BX%25IJ%24%2F65ieZ%29f6", 2759106)</f>
        <v>2759106</v>
      </c>
      <c r="C388" s="3">
        <f>HYPERLINK("https://platform.v2.vetology.net/report/v/final/"&amp;2759106, 2759106)</f>
        <v>2759106</v>
      </c>
      <c r="D388" s="3" t="s">
        <v>1696</v>
      </c>
      <c r="E388" s="3" t="s">
        <v>1697</v>
      </c>
      <c r="F388" s="3" t="s">
        <v>1698</v>
      </c>
      <c r="G388" s="3" t="s">
        <v>100</v>
      </c>
      <c r="H388" s="3" t="s">
        <v>1699</v>
      </c>
      <c r="I388" s="3" t="s">
        <v>1700</v>
      </c>
      <c r="J388" s="3" t="s">
        <v>1701</v>
      </c>
      <c r="K388" s="3" t="s">
        <v>27</v>
      </c>
      <c r="L388" s="3" t="s">
        <v>27</v>
      </c>
      <c r="M388" s="3" t="s">
        <v>27</v>
      </c>
      <c r="N388" s="3" t="s">
        <v>27</v>
      </c>
      <c r="O388" s="3" t="s">
        <v>27</v>
      </c>
      <c r="P388" s="3" t="s">
        <v>27</v>
      </c>
      <c r="Q388" s="3" t="s">
        <v>27</v>
      </c>
      <c r="R388" s="3" t="s">
        <v>27</v>
      </c>
      <c r="S388" s="3" t="s">
        <v>27</v>
      </c>
      <c r="T388" s="3" t="s">
        <v>27</v>
      </c>
    </row>
    <row r="389" spans="1:20" ht="409.6">
      <c r="A389" s="3">
        <v>2759095</v>
      </c>
      <c r="B389" s="3">
        <f>HYPERLINK("https://platform.v2.vetology.net/cases/2759095/screening-report/6?type=pdf&amp;v=v6&amp;scorecard=1&amp;secret_key=BX%25IJ%24%2F65ieZ%29f6", 2759095)</f>
        <v>2759095</v>
      </c>
      <c r="C389" s="3">
        <f>HYPERLINK("https://platform.v2.vetology.net/report/v/final/"&amp;2759095, 2759095)</f>
        <v>2759095</v>
      </c>
      <c r="D389" s="3" t="s">
        <v>1702</v>
      </c>
      <c r="E389" s="3" t="s">
        <v>1703</v>
      </c>
      <c r="F389" s="3" t="s">
        <v>1704</v>
      </c>
      <c r="G389" s="3" t="s">
        <v>64</v>
      </c>
      <c r="H389" s="3" t="s">
        <v>1705</v>
      </c>
      <c r="I389" s="3" t="s">
        <v>291</v>
      </c>
      <c r="J389" s="3" t="s">
        <v>225</v>
      </c>
      <c r="K389" s="3" t="s">
        <v>28</v>
      </c>
      <c r="L389" s="3" t="s">
        <v>27</v>
      </c>
      <c r="M389" s="3" t="s">
        <v>28</v>
      </c>
      <c r="N389" s="3" t="s">
        <v>27</v>
      </c>
      <c r="O389" s="3" t="s">
        <v>27</v>
      </c>
      <c r="P389" s="3" t="s">
        <v>28</v>
      </c>
      <c r="Q389" s="3" t="s">
        <v>28</v>
      </c>
      <c r="R389" s="3" t="s">
        <v>28</v>
      </c>
      <c r="S389" s="3" t="s">
        <v>28</v>
      </c>
      <c r="T389" s="3" t="s">
        <v>27</v>
      </c>
    </row>
    <row r="390" spans="1:20" ht="229.5">
      <c r="A390" s="3">
        <v>2759090</v>
      </c>
      <c r="B390" s="3">
        <f>HYPERLINK("https://platform.v2.vetology.net/cases/2759090/screening-report/6?type=pdf&amp;v=v6&amp;scorecard=1&amp;secret_key=BX%25IJ%24%2F65ieZ%29f6", 2759090)</f>
        <v>2759090</v>
      </c>
      <c r="C390" s="3">
        <f>HYPERLINK("https://platform.v2.vetology.net/report/v/final/"&amp;2759090, 2759090)</f>
        <v>2759090</v>
      </c>
      <c r="D390" s="3" t="s">
        <v>1706</v>
      </c>
      <c r="E390" s="3" t="s">
        <v>1707</v>
      </c>
      <c r="F390" s="3"/>
      <c r="G390" s="3" t="s">
        <v>100</v>
      </c>
      <c r="H390" s="3" t="s">
        <v>31</v>
      </c>
      <c r="I390" s="3" t="s">
        <v>129</v>
      </c>
      <c r="J390" s="3" t="s">
        <v>119</v>
      </c>
      <c r="K390" s="3" t="s">
        <v>28</v>
      </c>
      <c r="L390" s="3" t="s">
        <v>28</v>
      </c>
      <c r="M390" s="3" t="s">
        <v>28</v>
      </c>
      <c r="N390" s="3" t="s">
        <v>28</v>
      </c>
      <c r="O390" s="3" t="s">
        <v>27</v>
      </c>
      <c r="P390" s="3" t="s">
        <v>28</v>
      </c>
      <c r="Q390" s="3" t="s">
        <v>28</v>
      </c>
      <c r="R390" s="3" t="s">
        <v>28</v>
      </c>
      <c r="S390" s="3" t="s">
        <v>28</v>
      </c>
      <c r="T390" s="3" t="s">
        <v>28</v>
      </c>
    </row>
    <row r="391" spans="1:20" ht="409.6">
      <c r="A391" s="3">
        <v>2759083</v>
      </c>
      <c r="B391" s="3">
        <f>HYPERLINK("https://platform.v2.vetology.net/cases/2759083/screening-report/6?type=pdf&amp;v=v6&amp;scorecard=1&amp;secret_key=BX%25IJ%24%2F65ieZ%29f6", 2759083)</f>
        <v>2759083</v>
      </c>
      <c r="C391" s="3">
        <f>HYPERLINK("https://platform.v2.vetology.net/report/v/final/"&amp;2759083, 2759083)</f>
        <v>2759083</v>
      </c>
      <c r="D391" s="3" t="s">
        <v>1708</v>
      </c>
      <c r="E391" s="3" t="s">
        <v>1709</v>
      </c>
      <c r="F391" s="3" t="s">
        <v>22</v>
      </c>
      <c r="G391" s="3" t="s">
        <v>23</v>
      </c>
      <c r="H391" s="3" t="s">
        <v>1710</v>
      </c>
      <c r="I391" s="3" t="s">
        <v>693</v>
      </c>
      <c r="J391" s="3" t="s">
        <v>335</v>
      </c>
      <c r="K391" s="3" t="s">
        <v>28</v>
      </c>
      <c r="L391" s="3" t="s">
        <v>28</v>
      </c>
      <c r="M391" s="3" t="s">
        <v>28</v>
      </c>
      <c r="N391" s="3" t="s">
        <v>28</v>
      </c>
      <c r="O391" s="3" t="s">
        <v>28</v>
      </c>
      <c r="P391" s="3" t="s">
        <v>28</v>
      </c>
      <c r="Q391" s="3" t="s">
        <v>28</v>
      </c>
      <c r="R391" s="3" t="s">
        <v>28</v>
      </c>
      <c r="S391" s="3" t="s">
        <v>27</v>
      </c>
      <c r="T391" s="3" t="s">
        <v>28</v>
      </c>
    </row>
    <row r="392" spans="1:20" ht="381.75">
      <c r="A392" s="3">
        <v>2759071</v>
      </c>
      <c r="B392" s="3">
        <f>HYPERLINK("https://platform.v2.vetology.net/cases/2759071/screening-report/6?type=pdf&amp;v=v6&amp;scorecard=1&amp;secret_key=BX%25IJ%24%2F65ieZ%29f6", 2759071)</f>
        <v>2759071</v>
      </c>
      <c r="C392" s="3">
        <f>HYPERLINK("https://platform.v2.vetology.net/report/v/final/"&amp;2759071, 2759071)</f>
        <v>2759071</v>
      </c>
      <c r="D392" s="3" t="s">
        <v>1711</v>
      </c>
      <c r="E392" s="3" t="s">
        <v>1712</v>
      </c>
      <c r="F392" s="3" t="s">
        <v>1713</v>
      </c>
      <c r="G392" s="3" t="s">
        <v>64</v>
      </c>
      <c r="H392" s="3" t="s">
        <v>1714</v>
      </c>
      <c r="I392" s="3" t="s">
        <v>561</v>
      </c>
      <c r="J392" s="3" t="s">
        <v>562</v>
      </c>
      <c r="K392" s="3" t="s">
        <v>28</v>
      </c>
      <c r="L392" s="3" t="s">
        <v>27</v>
      </c>
      <c r="M392" s="3" t="s">
        <v>28</v>
      </c>
      <c r="N392" s="3" t="s">
        <v>28</v>
      </c>
      <c r="O392" s="3" t="s">
        <v>27</v>
      </c>
      <c r="P392" s="3" t="s">
        <v>27</v>
      </c>
      <c r="Q392" s="3" t="s">
        <v>28</v>
      </c>
      <c r="R392" s="3" t="s">
        <v>28</v>
      </c>
      <c r="S392" s="3" t="s">
        <v>28</v>
      </c>
      <c r="T392" s="3" t="s">
        <v>27</v>
      </c>
    </row>
    <row r="393" spans="1:20" ht="409.6">
      <c r="A393" s="3">
        <v>2759005</v>
      </c>
      <c r="B393" s="3">
        <f>HYPERLINK("https://platform.v2.vetology.net/cases/2759005/screening-report/6?type=pdf&amp;v=v6&amp;scorecard=1&amp;secret_key=BX%25IJ%24%2F65ieZ%29f6", 2759005)</f>
        <v>2759005</v>
      </c>
      <c r="C393" s="3">
        <f>HYPERLINK("https://platform.v2.vetology.net/report/v/final/"&amp;2759005, 2759005)</f>
        <v>2759005</v>
      </c>
      <c r="D393" s="3" t="s">
        <v>1715</v>
      </c>
      <c r="E393" s="3" t="s">
        <v>1716</v>
      </c>
      <c r="F393" s="3" t="s">
        <v>1717</v>
      </c>
      <c r="G393" s="3" t="s">
        <v>186</v>
      </c>
      <c r="H393" s="3" t="s">
        <v>1718</v>
      </c>
      <c r="I393" s="3" t="s">
        <v>520</v>
      </c>
      <c r="J393" s="3" t="s">
        <v>335</v>
      </c>
      <c r="K393" s="3" t="s">
        <v>28</v>
      </c>
      <c r="L393" s="3" t="s">
        <v>28</v>
      </c>
      <c r="M393" s="3" t="s">
        <v>27</v>
      </c>
      <c r="N393" s="3" t="s">
        <v>28</v>
      </c>
      <c r="O393" s="3" t="s">
        <v>27</v>
      </c>
      <c r="P393" s="3" t="s">
        <v>28</v>
      </c>
      <c r="Q393" s="3" t="s">
        <v>28</v>
      </c>
      <c r="R393" s="3" t="s">
        <v>28</v>
      </c>
      <c r="S393" s="3" t="s">
        <v>28</v>
      </c>
      <c r="T393" s="3" t="s">
        <v>28</v>
      </c>
    </row>
    <row r="394" spans="1:20" ht="229.5">
      <c r="A394" s="3">
        <v>2758960</v>
      </c>
      <c r="B394" s="3">
        <f>HYPERLINK("https://platform.v2.vetology.net/cases/2758960/screening-report/6?type=pdf&amp;v=v6&amp;scorecard=1&amp;secret_key=BX%25IJ%24%2F65ieZ%29f6", 2758960)</f>
        <v>2758960</v>
      </c>
      <c r="C394" s="3">
        <f>HYPERLINK("https://platform.v2.vetology.net/report/v/final/"&amp;2758960, 2758960)</f>
        <v>2758960</v>
      </c>
      <c r="D394" s="3" t="s">
        <v>1719</v>
      </c>
      <c r="E394" s="3" t="s">
        <v>1581</v>
      </c>
      <c r="F394" s="3" t="s">
        <v>222</v>
      </c>
      <c r="G394" s="3" t="s">
        <v>186</v>
      </c>
      <c r="H394" s="3" t="s">
        <v>1720</v>
      </c>
      <c r="I394" s="3" t="s">
        <v>129</v>
      </c>
      <c r="J394" s="3" t="s">
        <v>119</v>
      </c>
      <c r="K394" s="3" t="s">
        <v>28</v>
      </c>
      <c r="L394" s="3" t="s">
        <v>28</v>
      </c>
      <c r="M394" s="3" t="s">
        <v>28</v>
      </c>
      <c r="N394" s="3" t="s">
        <v>28</v>
      </c>
      <c r="O394" s="3" t="s">
        <v>27</v>
      </c>
      <c r="P394" s="3" t="s">
        <v>28</v>
      </c>
      <c r="Q394" s="3" t="s">
        <v>28</v>
      </c>
      <c r="R394" s="3" t="s">
        <v>28</v>
      </c>
      <c r="S394" s="3" t="s">
        <v>28</v>
      </c>
      <c r="T394" s="3" t="s">
        <v>28</v>
      </c>
    </row>
    <row r="395" spans="1:20" ht="409.6">
      <c r="A395" s="3">
        <v>2758915</v>
      </c>
      <c r="B395" s="3">
        <f>HYPERLINK("https://platform.v2.vetology.net/cases/2758915/screening-report/6?type=pdf&amp;v=v6&amp;scorecard=1&amp;secret_key=BX%25IJ%24%2F65ieZ%29f6", 2758915)</f>
        <v>2758915</v>
      </c>
      <c r="C395" s="3">
        <f>HYPERLINK("https://platform.v2.vetology.net/report/v/final/"&amp;2758915, 2758915)</f>
        <v>2758915</v>
      </c>
      <c r="D395" s="3" t="s">
        <v>1721</v>
      </c>
      <c r="E395" s="3" t="s">
        <v>1722</v>
      </c>
      <c r="F395" s="3" t="s">
        <v>1723</v>
      </c>
      <c r="G395" s="3" t="s">
        <v>64</v>
      </c>
      <c r="H395" s="3" t="s">
        <v>1724</v>
      </c>
      <c r="I395" s="3" t="s">
        <v>1725</v>
      </c>
      <c r="J395" s="3" t="s">
        <v>1726</v>
      </c>
      <c r="K395" s="3" t="s">
        <v>28</v>
      </c>
      <c r="L395" s="3" t="s">
        <v>28</v>
      </c>
      <c r="M395" s="3" t="s">
        <v>28</v>
      </c>
      <c r="N395" s="3" t="s">
        <v>28</v>
      </c>
      <c r="O395" s="3" t="s">
        <v>27</v>
      </c>
      <c r="P395" s="3" t="s">
        <v>28</v>
      </c>
      <c r="Q395" s="3" t="s">
        <v>27</v>
      </c>
      <c r="R395" s="3" t="s">
        <v>28</v>
      </c>
      <c r="S395" s="3" t="s">
        <v>28</v>
      </c>
      <c r="T395" s="3" t="s">
        <v>28</v>
      </c>
    </row>
    <row r="396" spans="1:20" ht="409.6">
      <c r="A396" s="3">
        <v>2758893</v>
      </c>
      <c r="B396" s="3">
        <f>HYPERLINK("https://platform.v2.vetology.net/cases/2758893/screening-report/6?type=pdf&amp;v=v6&amp;scorecard=1&amp;secret_key=BX%25IJ%24%2F65ieZ%29f6", 2758893)</f>
        <v>2758893</v>
      </c>
      <c r="C396" s="3">
        <f>HYPERLINK("https://platform.v2.vetology.net/report/v/final/"&amp;2758893, 2758893)</f>
        <v>2758893</v>
      </c>
      <c r="D396" s="3" t="s">
        <v>1727</v>
      </c>
      <c r="E396" s="3" t="s">
        <v>1728</v>
      </c>
      <c r="F396" s="3" t="s">
        <v>1729</v>
      </c>
      <c r="G396" s="3" t="s">
        <v>64</v>
      </c>
      <c r="H396" s="3" t="s">
        <v>1730</v>
      </c>
      <c r="I396" s="3" t="s">
        <v>520</v>
      </c>
      <c r="J396" s="3" t="s">
        <v>335</v>
      </c>
      <c r="K396" s="3" t="s">
        <v>28</v>
      </c>
      <c r="L396" s="3" t="s">
        <v>28</v>
      </c>
      <c r="M396" s="3" t="s">
        <v>27</v>
      </c>
      <c r="N396" s="3" t="s">
        <v>28</v>
      </c>
      <c r="O396" s="3" t="s">
        <v>28</v>
      </c>
      <c r="P396" s="3" t="s">
        <v>28</v>
      </c>
      <c r="Q396" s="3" t="s">
        <v>28</v>
      </c>
      <c r="R396" s="3" t="s">
        <v>28</v>
      </c>
      <c r="S396" s="3" t="s">
        <v>28</v>
      </c>
      <c r="T396" s="3" t="s">
        <v>28</v>
      </c>
    </row>
    <row r="397" spans="1:20" ht="229.5">
      <c r="A397" s="3">
        <v>2758755</v>
      </c>
      <c r="B397" s="3">
        <f>HYPERLINK("https://platform.v2.vetology.net/cases/2758755/screening-report/6?type=pdf&amp;v=v6&amp;scorecard=1&amp;secret_key=BX%25IJ%24%2F65ieZ%29f6", 2758755)</f>
        <v>2758755</v>
      </c>
      <c r="C397" s="3">
        <f>HYPERLINK("https://platform.v2.vetology.net/report/v/final/"&amp;2758755, 2758755)</f>
        <v>2758755</v>
      </c>
      <c r="D397" s="3" t="s">
        <v>1731</v>
      </c>
      <c r="E397" s="3" t="s">
        <v>1732</v>
      </c>
      <c r="F397" s="3" t="s">
        <v>1733</v>
      </c>
      <c r="G397" s="3" t="s">
        <v>186</v>
      </c>
      <c r="H397" s="3" t="s">
        <v>1734</v>
      </c>
      <c r="I397" s="3" t="s">
        <v>305</v>
      </c>
      <c r="J397" s="3" t="s">
        <v>119</v>
      </c>
      <c r="K397" s="3" t="s">
        <v>28</v>
      </c>
      <c r="L397" s="3" t="s">
        <v>28</v>
      </c>
      <c r="M397" s="3" t="s">
        <v>28</v>
      </c>
      <c r="N397" s="3" t="s">
        <v>28</v>
      </c>
      <c r="O397" s="3" t="s">
        <v>28</v>
      </c>
      <c r="P397" s="3" t="s">
        <v>28</v>
      </c>
      <c r="Q397" s="3" t="s">
        <v>28</v>
      </c>
      <c r="R397" s="3" t="s">
        <v>28</v>
      </c>
      <c r="S397" s="3" t="s">
        <v>28</v>
      </c>
      <c r="T397" s="3" t="s">
        <v>28</v>
      </c>
    </row>
    <row r="398" spans="1:20" ht="381.75">
      <c r="A398" s="3">
        <v>2758594</v>
      </c>
      <c r="B398" s="3">
        <f>HYPERLINK("https://platform.v2.vetology.net/cases/2758594/screening-report/6?type=pdf&amp;v=v6&amp;scorecard=1&amp;secret_key=BX%25IJ%24%2F65ieZ%29f6", 2758594)</f>
        <v>2758594</v>
      </c>
      <c r="C398" s="3">
        <f>HYPERLINK("https://platform.v2.vetology.net/report/v/final/"&amp;2758594, 2758594)</f>
        <v>2758594</v>
      </c>
      <c r="D398" s="3" t="s">
        <v>1735</v>
      </c>
      <c r="E398" s="3" t="s">
        <v>1736</v>
      </c>
      <c r="F398" s="3" t="s">
        <v>1737</v>
      </c>
      <c r="G398" s="3" t="s">
        <v>100</v>
      </c>
      <c r="H398" s="3" t="s">
        <v>1738</v>
      </c>
      <c r="I398" s="3" t="s">
        <v>392</v>
      </c>
      <c r="J398" s="3" t="s">
        <v>393</v>
      </c>
      <c r="K398" s="3" t="s">
        <v>28</v>
      </c>
      <c r="L398" s="3" t="s">
        <v>28</v>
      </c>
      <c r="M398" s="3" t="s">
        <v>28</v>
      </c>
      <c r="N398" s="3" t="s">
        <v>28</v>
      </c>
      <c r="O398" s="3" t="s">
        <v>28</v>
      </c>
      <c r="P398" s="3" t="s">
        <v>28</v>
      </c>
      <c r="Q398" s="3" t="s">
        <v>28</v>
      </c>
      <c r="R398" s="3" t="s">
        <v>28</v>
      </c>
      <c r="S398" s="3" t="s">
        <v>27</v>
      </c>
      <c r="T398" s="3" t="s">
        <v>27</v>
      </c>
    </row>
    <row r="399" spans="1:20" ht="409.6">
      <c r="A399" s="3">
        <v>2758553</v>
      </c>
      <c r="B399" s="3">
        <f>HYPERLINK("https://platform.v2.vetology.net/cases/2758553/screening-report/6?type=pdf&amp;v=v6&amp;scorecard=1&amp;secret_key=BX%25IJ%24%2F65ieZ%29f6", 2758553)</f>
        <v>2758553</v>
      </c>
      <c r="C399" s="3">
        <f>HYPERLINK("https://platform.v2.vetology.net/report/v/final/"&amp;2758553, 2758553)</f>
        <v>2758553</v>
      </c>
      <c r="D399" s="3" t="s">
        <v>1739</v>
      </c>
      <c r="E399" s="3" t="s">
        <v>1740</v>
      </c>
      <c r="F399" s="3" t="s">
        <v>22</v>
      </c>
      <c r="G399" s="3" t="s">
        <v>372</v>
      </c>
      <c r="H399" s="3" t="s">
        <v>1741</v>
      </c>
      <c r="I399" s="3" t="s">
        <v>32</v>
      </c>
      <c r="J399" s="3" t="s">
        <v>578</v>
      </c>
      <c r="K399" s="3" t="s">
        <v>27</v>
      </c>
      <c r="L399" s="3" t="s">
        <v>28</v>
      </c>
      <c r="M399" s="3" t="s">
        <v>28</v>
      </c>
      <c r="N399" s="3" t="s">
        <v>28</v>
      </c>
      <c r="O399" s="3" t="s">
        <v>27</v>
      </c>
      <c r="P399" s="3" t="s">
        <v>28</v>
      </c>
      <c r="Q399" s="3" t="s">
        <v>27</v>
      </c>
      <c r="R399" s="3" t="s">
        <v>28</v>
      </c>
      <c r="S399" s="3" t="s">
        <v>28</v>
      </c>
      <c r="T399" s="3" t="s">
        <v>28</v>
      </c>
    </row>
    <row r="400" spans="1:20" ht="336">
      <c r="A400" s="3">
        <v>2758489</v>
      </c>
      <c r="B400" s="3">
        <f>HYPERLINK("https://platform.v2.vetology.net/cases/2758489/screening-report/6?type=pdf&amp;v=v6&amp;scorecard=1&amp;secret_key=BX%25IJ%24%2F65ieZ%29f6", 2758489)</f>
        <v>2758489</v>
      </c>
      <c r="C400" s="3">
        <f>HYPERLINK("https://platform.v2.vetology.net/report/v/final/"&amp;2758489, 2758489)</f>
        <v>2758489</v>
      </c>
      <c r="D400" s="3" t="s">
        <v>1742</v>
      </c>
      <c r="E400" s="3" t="s">
        <v>1743</v>
      </c>
      <c r="F400" s="3" t="s">
        <v>1744</v>
      </c>
      <c r="G400" s="3" t="s">
        <v>186</v>
      </c>
      <c r="H400" s="3" t="s">
        <v>1745</v>
      </c>
      <c r="I400" s="3" t="s">
        <v>66</v>
      </c>
      <c r="J400" s="3" t="s">
        <v>67</v>
      </c>
      <c r="K400" s="3" t="s">
        <v>27</v>
      </c>
      <c r="L400" s="3" t="s">
        <v>28</v>
      </c>
      <c r="M400" s="3" t="s">
        <v>28</v>
      </c>
      <c r="N400" s="3" t="s">
        <v>28</v>
      </c>
      <c r="O400" s="3" t="s">
        <v>27</v>
      </c>
      <c r="P400" s="3" t="s">
        <v>28</v>
      </c>
      <c r="Q400" s="3" t="s">
        <v>28</v>
      </c>
      <c r="R400" s="3" t="s">
        <v>28</v>
      </c>
      <c r="S400" s="3" t="s">
        <v>28</v>
      </c>
      <c r="T400" s="3" t="s">
        <v>28</v>
      </c>
    </row>
    <row r="401" spans="1:20" ht="409.6">
      <c r="A401" s="3">
        <v>2758466</v>
      </c>
      <c r="B401" s="3">
        <f>HYPERLINK("https://platform.v2.vetology.net/cases/2758466/screening-report/6?type=pdf&amp;v=v6&amp;scorecard=1&amp;secret_key=BX%25IJ%24%2F65ieZ%29f6", 2758466)</f>
        <v>2758466</v>
      </c>
      <c r="C401" s="3">
        <f>HYPERLINK("https://platform.v2.vetology.net/report/v/final/"&amp;2758466, 2758466)</f>
        <v>2758466</v>
      </c>
      <c r="D401" s="3" t="s">
        <v>1746</v>
      </c>
      <c r="E401" s="3" t="s">
        <v>1747</v>
      </c>
      <c r="F401" s="3" t="s">
        <v>22</v>
      </c>
      <c r="G401" s="3" t="s">
        <v>372</v>
      </c>
      <c r="H401" s="3" t="s">
        <v>1748</v>
      </c>
      <c r="I401" s="3" t="s">
        <v>1312</v>
      </c>
      <c r="J401" s="3" t="s">
        <v>1313</v>
      </c>
      <c r="K401" s="3" t="s">
        <v>27</v>
      </c>
      <c r="L401" s="3" t="s">
        <v>27</v>
      </c>
      <c r="M401" s="3" t="s">
        <v>27</v>
      </c>
      <c r="N401" s="3" t="s">
        <v>28</v>
      </c>
      <c r="O401" s="3" t="s">
        <v>27</v>
      </c>
      <c r="P401" s="3" t="s">
        <v>28</v>
      </c>
      <c r="Q401" s="3" t="s">
        <v>27</v>
      </c>
      <c r="R401" s="3" t="s">
        <v>27</v>
      </c>
      <c r="S401" s="3" t="s">
        <v>27</v>
      </c>
      <c r="T401" s="3" t="s">
        <v>28</v>
      </c>
    </row>
    <row r="402" spans="1:20" ht="409.6">
      <c r="A402" s="3">
        <v>2758454</v>
      </c>
      <c r="B402" s="3">
        <f>HYPERLINK("https://platform.v2.vetology.net/cases/2758454/screening-report/6?type=pdf&amp;v=v6&amp;scorecard=1&amp;secret_key=BX%25IJ%24%2F65ieZ%29f6", 2758454)</f>
        <v>2758454</v>
      </c>
      <c r="C402" s="3">
        <f>HYPERLINK("https://platform.v2.vetology.net/report/v/final/"&amp;2758454, 2758454)</f>
        <v>2758454</v>
      </c>
      <c r="D402" s="3" t="s">
        <v>1749</v>
      </c>
      <c r="E402" s="3" t="s">
        <v>1750</v>
      </c>
      <c r="F402" s="3"/>
      <c r="G402" s="3" t="s">
        <v>372</v>
      </c>
      <c r="H402" s="3" t="s">
        <v>1751</v>
      </c>
      <c r="I402" s="3" t="s">
        <v>878</v>
      </c>
      <c r="J402" s="3" t="s">
        <v>879</v>
      </c>
      <c r="K402" s="3" t="s">
        <v>27</v>
      </c>
      <c r="L402" s="3" t="s">
        <v>27</v>
      </c>
      <c r="M402" s="3" t="s">
        <v>28</v>
      </c>
      <c r="N402" s="3" t="s">
        <v>27</v>
      </c>
      <c r="O402" s="3" t="s">
        <v>27</v>
      </c>
      <c r="P402" s="3" t="s">
        <v>28</v>
      </c>
      <c r="Q402" s="3" t="s">
        <v>27</v>
      </c>
      <c r="R402" s="3" t="s">
        <v>27</v>
      </c>
      <c r="S402" s="3" t="s">
        <v>27</v>
      </c>
      <c r="T402" s="3" t="s">
        <v>27</v>
      </c>
    </row>
    <row r="403" spans="1:20" ht="305.25">
      <c r="A403" s="3">
        <v>2758433</v>
      </c>
      <c r="B403" s="3">
        <f>HYPERLINK("https://platform.v2.vetology.net/cases/2758433/screening-report/6?type=pdf&amp;v=v6&amp;scorecard=1&amp;secret_key=BX%25IJ%24%2F65ieZ%29f6", 2758433)</f>
        <v>2758433</v>
      </c>
      <c r="C403" s="3">
        <f>HYPERLINK("https://platform.v2.vetology.net/report/v/final/"&amp;2758433, 2758433)</f>
        <v>2758433</v>
      </c>
      <c r="D403" s="3" t="s">
        <v>1752</v>
      </c>
      <c r="E403" s="3" t="s">
        <v>1753</v>
      </c>
      <c r="F403" s="3" t="s">
        <v>1754</v>
      </c>
      <c r="G403" s="3" t="s">
        <v>186</v>
      </c>
      <c r="H403" s="3" t="s">
        <v>1755</v>
      </c>
      <c r="I403" s="3" t="s">
        <v>32</v>
      </c>
      <c r="J403" s="3" t="s">
        <v>33</v>
      </c>
      <c r="K403" s="3" t="s">
        <v>28</v>
      </c>
      <c r="L403" s="3" t="s">
        <v>28</v>
      </c>
      <c r="M403" s="3" t="s">
        <v>28</v>
      </c>
      <c r="N403" s="3" t="s">
        <v>28</v>
      </c>
      <c r="O403" s="3" t="s">
        <v>28</v>
      </c>
      <c r="P403" s="3" t="s">
        <v>28</v>
      </c>
      <c r="Q403" s="3" t="s">
        <v>28</v>
      </c>
      <c r="R403" s="3" t="s">
        <v>28</v>
      </c>
      <c r="S403" s="3" t="s">
        <v>28</v>
      </c>
      <c r="T403" s="3" t="s">
        <v>28</v>
      </c>
    </row>
    <row r="404" spans="1:20" ht="321">
      <c r="A404" s="3">
        <v>2758416</v>
      </c>
      <c r="B404" s="3">
        <f>HYPERLINK("https://platform.v2.vetology.net/cases/2758416/screening-report/6?type=pdf&amp;v=v6&amp;scorecard=1&amp;secret_key=BX%25IJ%24%2F65ieZ%29f6", 2758416)</f>
        <v>2758416</v>
      </c>
      <c r="C404" s="3">
        <f>HYPERLINK("https://platform.v2.vetology.net/report/v/final/"&amp;2758416, 2758416)</f>
        <v>2758416</v>
      </c>
      <c r="D404" s="3" t="s">
        <v>1756</v>
      </c>
      <c r="E404" s="3" t="s">
        <v>1757</v>
      </c>
      <c r="F404" s="3" t="s">
        <v>22</v>
      </c>
      <c r="G404" s="3" t="s">
        <v>23</v>
      </c>
      <c r="H404" s="3" t="s">
        <v>944</v>
      </c>
      <c r="I404" s="3" t="s">
        <v>32</v>
      </c>
      <c r="J404" s="3" t="s">
        <v>119</v>
      </c>
      <c r="K404" s="3" t="s">
        <v>28</v>
      </c>
      <c r="L404" s="3" t="s">
        <v>28</v>
      </c>
      <c r="M404" s="3" t="s">
        <v>28</v>
      </c>
      <c r="N404" s="3" t="s">
        <v>28</v>
      </c>
      <c r="O404" s="3" t="s">
        <v>27</v>
      </c>
      <c r="P404" s="3" t="s">
        <v>28</v>
      </c>
      <c r="Q404" s="3" t="s">
        <v>28</v>
      </c>
      <c r="R404" s="3" t="s">
        <v>28</v>
      </c>
      <c r="S404" s="3" t="s">
        <v>28</v>
      </c>
      <c r="T404" s="3" t="s">
        <v>28</v>
      </c>
    </row>
    <row r="405" spans="1:20" ht="290.25">
      <c r="A405" s="3">
        <v>2758388</v>
      </c>
      <c r="B405" s="3">
        <f>HYPERLINK("https://platform.v2.vetology.net/cases/2758388/screening-report/6?type=pdf&amp;v=v6&amp;scorecard=1&amp;secret_key=BX%25IJ%24%2F65ieZ%29f6", 2758388)</f>
        <v>2758388</v>
      </c>
      <c r="C405" s="3">
        <f>HYPERLINK("https://platform.v2.vetology.net/report/v/final/"&amp;2758388, 2758388)</f>
        <v>2758388</v>
      </c>
      <c r="D405" s="3" t="s">
        <v>1758</v>
      </c>
      <c r="E405" s="3" t="s">
        <v>1759</v>
      </c>
      <c r="F405" s="3" t="s">
        <v>22</v>
      </c>
      <c r="G405" s="3" t="s">
        <v>372</v>
      </c>
      <c r="H405" s="3" t="s">
        <v>419</v>
      </c>
      <c r="I405" s="3" t="s">
        <v>316</v>
      </c>
      <c r="J405" s="3" t="s">
        <v>317</v>
      </c>
      <c r="K405" s="3" t="s">
        <v>28</v>
      </c>
      <c r="L405" s="3" t="s">
        <v>28</v>
      </c>
      <c r="M405" s="3" t="s">
        <v>28</v>
      </c>
      <c r="N405" s="3" t="s">
        <v>28</v>
      </c>
      <c r="O405" s="3" t="s">
        <v>27</v>
      </c>
      <c r="P405" s="3" t="s">
        <v>28</v>
      </c>
      <c r="Q405" s="3" t="s">
        <v>28</v>
      </c>
      <c r="R405" s="3" t="s">
        <v>28</v>
      </c>
      <c r="S405" s="3" t="s">
        <v>28</v>
      </c>
      <c r="T405" s="3" t="s">
        <v>28</v>
      </c>
    </row>
    <row r="406" spans="1:20" ht="290.25">
      <c r="A406" s="3">
        <v>2758374</v>
      </c>
      <c r="B406" s="3">
        <f>HYPERLINK("https://platform.v2.vetology.net/cases/2758374/screening-report/6?type=pdf&amp;v=v6&amp;scorecard=1&amp;secret_key=BX%25IJ%24%2F65ieZ%29f6", 2758374)</f>
        <v>2758374</v>
      </c>
      <c r="C406" s="3">
        <f>HYPERLINK("https://platform.v2.vetology.net/report/v/final/"&amp;2758374, 2758374)</f>
        <v>2758374</v>
      </c>
      <c r="D406" s="3" t="s">
        <v>1760</v>
      </c>
      <c r="E406" s="3" t="s">
        <v>1761</v>
      </c>
      <c r="F406" s="3" t="s">
        <v>1762</v>
      </c>
      <c r="G406" s="3" t="s">
        <v>100</v>
      </c>
      <c r="H406" s="3" t="s">
        <v>141</v>
      </c>
      <c r="I406" s="3" t="s">
        <v>142</v>
      </c>
      <c r="J406" s="3" t="s">
        <v>143</v>
      </c>
      <c r="K406" s="3" t="s">
        <v>28</v>
      </c>
      <c r="L406" s="3" t="s">
        <v>28</v>
      </c>
      <c r="M406" s="3" t="s">
        <v>28</v>
      </c>
      <c r="N406" s="3" t="s">
        <v>28</v>
      </c>
      <c r="O406" s="3" t="s">
        <v>27</v>
      </c>
      <c r="P406" s="3" t="s">
        <v>28</v>
      </c>
      <c r="Q406" s="3" t="s">
        <v>28</v>
      </c>
      <c r="R406" s="3" t="s">
        <v>28</v>
      </c>
      <c r="S406" s="3" t="s">
        <v>28</v>
      </c>
      <c r="T406" s="3" t="s">
        <v>27</v>
      </c>
    </row>
    <row r="407" spans="1:20" ht="336">
      <c r="A407" s="3">
        <v>2758303</v>
      </c>
      <c r="B407" s="3">
        <f>HYPERLINK("https://platform.v2.vetology.net/cases/2758303/screening-report/6?type=pdf&amp;v=v6&amp;scorecard=1&amp;secret_key=BX%25IJ%24%2F65ieZ%29f6", 2758303)</f>
        <v>2758303</v>
      </c>
      <c r="C407" s="3">
        <f>HYPERLINK("https://platform.v2.vetology.net/report/v/final/"&amp;2758303, 2758303)</f>
        <v>2758303</v>
      </c>
      <c r="D407" s="3" t="s">
        <v>1763</v>
      </c>
      <c r="E407" s="3" t="s">
        <v>1764</v>
      </c>
      <c r="F407" s="3" t="s">
        <v>1765</v>
      </c>
      <c r="G407" s="3" t="s">
        <v>57</v>
      </c>
      <c r="H407" s="3" t="s">
        <v>31</v>
      </c>
      <c r="I407" s="3" t="s">
        <v>32</v>
      </c>
      <c r="J407" s="3" t="s">
        <v>119</v>
      </c>
      <c r="K407" s="3" t="s">
        <v>28</v>
      </c>
      <c r="L407" s="3" t="s">
        <v>28</v>
      </c>
      <c r="M407" s="3" t="s">
        <v>28</v>
      </c>
      <c r="N407" s="3" t="s">
        <v>28</v>
      </c>
      <c r="O407" s="3" t="s">
        <v>27</v>
      </c>
      <c r="P407" s="3" t="s">
        <v>28</v>
      </c>
      <c r="Q407" s="3" t="s">
        <v>28</v>
      </c>
      <c r="R407" s="3" t="s">
        <v>28</v>
      </c>
      <c r="S407" s="3" t="s">
        <v>28</v>
      </c>
      <c r="T407" s="3" t="s">
        <v>28</v>
      </c>
    </row>
    <row r="408" spans="1:20" ht="290.25">
      <c r="A408" s="3">
        <v>2758274</v>
      </c>
      <c r="B408" s="3">
        <f>HYPERLINK("https://platform.v2.vetology.net/cases/2758274/screening-report/6?type=pdf&amp;v=v6&amp;scorecard=1&amp;secret_key=BX%25IJ%24%2F65ieZ%29f6", 2758274)</f>
        <v>2758274</v>
      </c>
      <c r="C408" s="3">
        <f>HYPERLINK("https://platform.v2.vetology.net/report/v/final/"&amp;2758274, 2758274)</f>
        <v>2758274</v>
      </c>
      <c r="D408" s="3" t="s">
        <v>1766</v>
      </c>
      <c r="E408" s="3" t="s">
        <v>1767</v>
      </c>
      <c r="F408" s="3"/>
      <c r="G408" s="3" t="s">
        <v>122</v>
      </c>
      <c r="H408" s="3" t="s">
        <v>1768</v>
      </c>
      <c r="I408" s="3" t="s">
        <v>316</v>
      </c>
      <c r="J408" s="3" t="s">
        <v>317</v>
      </c>
      <c r="K408" s="3" t="s">
        <v>28</v>
      </c>
      <c r="L408" s="3" t="s">
        <v>28</v>
      </c>
      <c r="M408" s="3" t="s">
        <v>28</v>
      </c>
      <c r="N408" s="3" t="s">
        <v>28</v>
      </c>
      <c r="O408" s="3" t="s">
        <v>27</v>
      </c>
      <c r="P408" s="3" t="s">
        <v>28</v>
      </c>
      <c r="Q408" s="3" t="s">
        <v>28</v>
      </c>
      <c r="R408" s="3" t="s">
        <v>28</v>
      </c>
      <c r="S408" s="3" t="s">
        <v>28</v>
      </c>
      <c r="T408" s="3" t="s">
        <v>28</v>
      </c>
    </row>
    <row r="409" spans="1:20" ht="409.6">
      <c r="A409" s="3">
        <v>2758254</v>
      </c>
      <c r="B409" s="3">
        <f>HYPERLINK("https://platform.v2.vetology.net/cases/2758254/screening-report/6?type=pdf&amp;v=v6&amp;scorecard=1&amp;secret_key=BX%25IJ%24%2F65ieZ%29f6", 2758254)</f>
        <v>2758254</v>
      </c>
      <c r="C409" s="3">
        <f>HYPERLINK("https://platform.v2.vetology.net/report/v/final/"&amp;2758254, 2758254)</f>
        <v>2758254</v>
      </c>
      <c r="D409" s="3" t="s">
        <v>1769</v>
      </c>
      <c r="E409" s="3" t="s">
        <v>1770</v>
      </c>
      <c r="F409" s="3" t="s">
        <v>1771</v>
      </c>
      <c r="G409" s="3" t="s">
        <v>1772</v>
      </c>
      <c r="H409" s="3" t="s">
        <v>658</v>
      </c>
      <c r="I409" s="3" t="s">
        <v>659</v>
      </c>
      <c r="J409" s="3" t="s">
        <v>660</v>
      </c>
      <c r="K409" s="3" t="s">
        <v>27</v>
      </c>
      <c r="L409" s="3" t="s">
        <v>28</v>
      </c>
      <c r="M409" s="3" t="s">
        <v>28</v>
      </c>
      <c r="N409" s="3" t="s">
        <v>28</v>
      </c>
      <c r="O409" s="3" t="s">
        <v>27</v>
      </c>
      <c r="P409" s="3" t="s">
        <v>28</v>
      </c>
      <c r="Q409" s="3" t="s">
        <v>28</v>
      </c>
      <c r="R409" s="3" t="s">
        <v>28</v>
      </c>
      <c r="S409" s="3" t="s">
        <v>27</v>
      </c>
      <c r="T409" s="3" t="s">
        <v>28</v>
      </c>
    </row>
    <row r="410" spans="1:20" ht="351">
      <c r="A410" s="3">
        <v>2758186</v>
      </c>
      <c r="B410" s="3">
        <f>HYPERLINK("https://platform.v2.vetology.net/cases/2758186/screening-report/6?type=pdf&amp;v=v6&amp;scorecard=1&amp;secret_key=BX%25IJ%24%2F65ieZ%29f6", 2758186)</f>
        <v>2758186</v>
      </c>
      <c r="C410" s="3">
        <f>HYPERLINK("https://platform.v2.vetology.net/report/v/final/"&amp;2758186, 2758186)</f>
        <v>2758186</v>
      </c>
      <c r="D410" s="3" t="s">
        <v>1773</v>
      </c>
      <c r="E410" s="3" t="s">
        <v>1774</v>
      </c>
      <c r="F410" s="3" t="s">
        <v>1775</v>
      </c>
      <c r="G410" s="3" t="s">
        <v>57</v>
      </c>
      <c r="H410" s="3" t="s">
        <v>158</v>
      </c>
      <c r="I410" s="3" t="s">
        <v>32</v>
      </c>
      <c r="J410" s="3" t="s">
        <v>33</v>
      </c>
      <c r="K410" s="3" t="s">
        <v>28</v>
      </c>
      <c r="L410" s="3" t="s">
        <v>28</v>
      </c>
      <c r="M410" s="3" t="s">
        <v>28</v>
      </c>
      <c r="N410" s="3" t="s">
        <v>28</v>
      </c>
      <c r="O410" s="3" t="s">
        <v>28</v>
      </c>
      <c r="P410" s="3" t="s">
        <v>28</v>
      </c>
      <c r="Q410" s="3" t="s">
        <v>28</v>
      </c>
      <c r="R410" s="3" t="s">
        <v>28</v>
      </c>
      <c r="S410" s="3" t="s">
        <v>28</v>
      </c>
      <c r="T410" s="3" t="s">
        <v>28</v>
      </c>
    </row>
    <row r="411" spans="1:20" ht="409.6">
      <c r="A411" s="3">
        <v>2758106</v>
      </c>
      <c r="B411" s="3">
        <f>HYPERLINK("https://platform.v2.vetology.net/cases/2758106/screening-report/6?type=pdf&amp;v=v6&amp;scorecard=1&amp;secret_key=BX%25IJ%24%2F65ieZ%29f6", 2758106)</f>
        <v>2758106</v>
      </c>
      <c r="C411" s="3">
        <f>HYPERLINK("https://platform.v2.vetology.net/report/v/final/"&amp;2758106, 2758106)</f>
        <v>2758106</v>
      </c>
      <c r="D411" s="3" t="s">
        <v>1776</v>
      </c>
      <c r="E411" s="3" t="s">
        <v>1777</v>
      </c>
      <c r="F411" s="3" t="s">
        <v>1778</v>
      </c>
      <c r="G411" s="3" t="s">
        <v>186</v>
      </c>
      <c r="H411" s="3" t="s">
        <v>1779</v>
      </c>
      <c r="I411" s="3" t="s">
        <v>78</v>
      </c>
      <c r="J411" s="3" t="s">
        <v>1780</v>
      </c>
      <c r="K411" s="3" t="s">
        <v>28</v>
      </c>
      <c r="L411" s="3" t="s">
        <v>28</v>
      </c>
      <c r="M411" s="3" t="s">
        <v>28</v>
      </c>
      <c r="N411" s="3" t="s">
        <v>28</v>
      </c>
      <c r="O411" s="3" t="s">
        <v>27</v>
      </c>
      <c r="P411" s="3" t="s">
        <v>27</v>
      </c>
      <c r="Q411" s="3" t="s">
        <v>27</v>
      </c>
      <c r="R411" s="3" t="s">
        <v>28</v>
      </c>
      <c r="S411" s="3" t="s">
        <v>28</v>
      </c>
      <c r="T411" s="3" t="s">
        <v>28</v>
      </c>
    </row>
    <row r="412" spans="1:20" ht="305.25">
      <c r="A412" s="3">
        <v>2758099</v>
      </c>
      <c r="B412" s="3">
        <f>HYPERLINK("https://platform.v2.vetology.net/cases/2758099/screening-report/6?type=pdf&amp;v=v6&amp;scorecard=1&amp;secret_key=BX%25IJ%24%2F65ieZ%29f6", 2758099)</f>
        <v>2758099</v>
      </c>
      <c r="C412" s="3">
        <f>HYPERLINK("https://platform.v2.vetology.net/report/v/final/"&amp;2758099, 2758099)</f>
        <v>2758099</v>
      </c>
      <c r="D412" s="3" t="s">
        <v>1781</v>
      </c>
      <c r="E412" s="3" t="s">
        <v>1782</v>
      </c>
      <c r="F412" s="3" t="s">
        <v>1783</v>
      </c>
      <c r="G412" s="3" t="s">
        <v>186</v>
      </c>
      <c r="H412" s="3" t="s">
        <v>419</v>
      </c>
      <c r="I412" s="3" t="s">
        <v>316</v>
      </c>
      <c r="J412" s="3" t="s">
        <v>317</v>
      </c>
      <c r="K412" s="3" t="s">
        <v>28</v>
      </c>
      <c r="L412" s="3" t="s">
        <v>28</v>
      </c>
      <c r="M412" s="3" t="s">
        <v>28</v>
      </c>
      <c r="N412" s="3" t="s">
        <v>28</v>
      </c>
      <c r="O412" s="3" t="s">
        <v>27</v>
      </c>
      <c r="P412" s="3" t="s">
        <v>28</v>
      </c>
      <c r="Q412" s="3" t="s">
        <v>28</v>
      </c>
      <c r="R412" s="3" t="s">
        <v>28</v>
      </c>
      <c r="S412" s="3" t="s">
        <v>28</v>
      </c>
      <c r="T412" s="3" t="s">
        <v>28</v>
      </c>
    </row>
    <row r="413" spans="1:20" ht="275.25">
      <c r="A413" s="3">
        <v>2758075</v>
      </c>
      <c r="B413" s="3">
        <f>HYPERLINK("https://platform.v2.vetology.net/cases/2758075/screening-report/6?type=pdf&amp;v=v6&amp;scorecard=1&amp;secret_key=BX%25IJ%24%2F65ieZ%29f6", 2758075)</f>
        <v>2758075</v>
      </c>
      <c r="C413" s="3">
        <f>HYPERLINK("https://platform.v2.vetology.net/report/v/final/"&amp;2758075, 2758075)</f>
        <v>2758075</v>
      </c>
      <c r="D413" s="3" t="s">
        <v>1784</v>
      </c>
      <c r="E413" s="3" t="s">
        <v>1785</v>
      </c>
      <c r="F413" s="3" t="s">
        <v>1786</v>
      </c>
      <c r="G413" s="3" t="s">
        <v>186</v>
      </c>
      <c r="H413" s="3" t="s">
        <v>1787</v>
      </c>
      <c r="I413" s="3" t="s">
        <v>933</v>
      </c>
      <c r="J413" s="3" t="s">
        <v>934</v>
      </c>
      <c r="K413" s="3" t="s">
        <v>28</v>
      </c>
      <c r="L413" s="3" t="s">
        <v>28</v>
      </c>
      <c r="M413" s="3" t="s">
        <v>28</v>
      </c>
      <c r="N413" s="3" t="s">
        <v>28</v>
      </c>
      <c r="O413" s="3" t="s">
        <v>28</v>
      </c>
      <c r="P413" s="3" t="s">
        <v>28</v>
      </c>
      <c r="Q413" s="3" t="s">
        <v>28</v>
      </c>
      <c r="R413" s="3" t="s">
        <v>28</v>
      </c>
      <c r="S413" s="3" t="s">
        <v>28</v>
      </c>
      <c r="T413" s="3" t="s">
        <v>28</v>
      </c>
    </row>
    <row r="414" spans="1:20" ht="409.6">
      <c r="A414" s="3">
        <v>2758066</v>
      </c>
      <c r="B414" s="3">
        <f>HYPERLINK("https://platform.v2.vetology.net/cases/2758066/screening-report/6?type=pdf&amp;v=v6&amp;scorecard=1&amp;secret_key=BX%25IJ%24%2F65ieZ%29f6", 2758066)</f>
        <v>2758066</v>
      </c>
      <c r="C414" s="3">
        <f>HYPERLINK("https://platform.v2.vetology.net/report/v/final/"&amp;2758066, 2758066)</f>
        <v>2758066</v>
      </c>
      <c r="D414" s="3" t="s">
        <v>1788</v>
      </c>
      <c r="E414" s="3" t="s">
        <v>1789</v>
      </c>
      <c r="F414" s="3" t="s">
        <v>1790</v>
      </c>
      <c r="G414" s="3" t="s">
        <v>64</v>
      </c>
      <c r="H414" s="3" t="s">
        <v>344</v>
      </c>
      <c r="I414" s="3" t="s">
        <v>345</v>
      </c>
      <c r="J414" s="3" t="s">
        <v>346</v>
      </c>
      <c r="K414" s="3" t="s">
        <v>28</v>
      </c>
      <c r="L414" s="3" t="s">
        <v>28</v>
      </c>
      <c r="M414" s="3" t="s">
        <v>28</v>
      </c>
      <c r="N414" s="3" t="s">
        <v>27</v>
      </c>
      <c r="O414" s="3" t="s">
        <v>28</v>
      </c>
      <c r="P414" s="3" t="s">
        <v>28</v>
      </c>
      <c r="Q414" s="3" t="s">
        <v>28</v>
      </c>
      <c r="R414" s="3" t="s">
        <v>27</v>
      </c>
      <c r="S414" s="3" t="s">
        <v>27</v>
      </c>
      <c r="T414" s="3" t="s">
        <v>27</v>
      </c>
    </row>
    <row r="415" spans="1:20" ht="409.6">
      <c r="A415" s="3">
        <v>2758059</v>
      </c>
      <c r="B415" s="3">
        <f>HYPERLINK("https://platform.v2.vetology.net/cases/2758059/screening-report/6?type=pdf&amp;v=v6&amp;scorecard=1&amp;secret_key=BX%25IJ%24%2F65ieZ%29f6", 2758059)</f>
        <v>2758059</v>
      </c>
      <c r="C415" s="3">
        <f>HYPERLINK("https://platform.v2.vetology.net/report/v/final/"&amp;2758059, 2758059)</f>
        <v>2758059</v>
      </c>
      <c r="D415" s="3" t="s">
        <v>1791</v>
      </c>
      <c r="E415" s="3" t="s">
        <v>1792</v>
      </c>
      <c r="F415" s="3" t="s">
        <v>1793</v>
      </c>
      <c r="G415" s="3" t="s">
        <v>186</v>
      </c>
      <c r="H415" s="3" t="s">
        <v>1015</v>
      </c>
      <c r="I415" s="3" t="s">
        <v>32</v>
      </c>
      <c r="J415" s="3" t="s">
        <v>33</v>
      </c>
      <c r="K415" s="3" t="s">
        <v>28</v>
      </c>
      <c r="L415" s="3" t="s">
        <v>28</v>
      </c>
      <c r="M415" s="3" t="s">
        <v>28</v>
      </c>
      <c r="N415" s="3" t="s">
        <v>28</v>
      </c>
      <c r="O415" s="3" t="s">
        <v>27</v>
      </c>
      <c r="P415" s="3" t="s">
        <v>28</v>
      </c>
      <c r="Q415" s="3" t="s">
        <v>28</v>
      </c>
      <c r="R415" s="3" t="s">
        <v>28</v>
      </c>
      <c r="S415" s="3" t="s">
        <v>27</v>
      </c>
      <c r="T415" s="3" t="s">
        <v>28</v>
      </c>
    </row>
    <row r="416" spans="1:20" ht="409.6">
      <c r="A416" s="3">
        <v>2758057</v>
      </c>
      <c r="B416" s="3">
        <f>HYPERLINK("https://platform.v2.vetology.net/cases/2758057/screening-report/6?type=pdf&amp;v=v6&amp;scorecard=1&amp;secret_key=BX%25IJ%24%2F65ieZ%29f6", 2758057)</f>
        <v>2758057</v>
      </c>
      <c r="C416" s="3">
        <f>HYPERLINK("https://platform.v2.vetology.net/report/v/final/"&amp;2758057, 2758057)</f>
        <v>2758057</v>
      </c>
      <c r="D416" s="3" t="s">
        <v>1794</v>
      </c>
      <c r="E416" s="3" t="s">
        <v>1795</v>
      </c>
      <c r="F416" s="3" t="s">
        <v>1796</v>
      </c>
      <c r="G416" s="3" t="s">
        <v>100</v>
      </c>
      <c r="H416" s="3" t="s">
        <v>1797</v>
      </c>
      <c r="I416" s="3" t="s">
        <v>1798</v>
      </c>
      <c r="J416" s="3" t="s">
        <v>1799</v>
      </c>
      <c r="K416" s="3" t="s">
        <v>27</v>
      </c>
      <c r="L416" s="3" t="s">
        <v>28</v>
      </c>
      <c r="M416" s="3" t="s">
        <v>27</v>
      </c>
      <c r="N416" s="3" t="s">
        <v>28</v>
      </c>
      <c r="O416" s="3" t="s">
        <v>27</v>
      </c>
      <c r="P416" s="3" t="s">
        <v>27</v>
      </c>
      <c r="Q416" s="3" t="s">
        <v>27</v>
      </c>
      <c r="R416" s="3" t="s">
        <v>28</v>
      </c>
      <c r="S416" s="3" t="s">
        <v>28</v>
      </c>
      <c r="T416" s="3" t="s">
        <v>27</v>
      </c>
    </row>
    <row r="417" spans="1:20" ht="366">
      <c r="A417" s="3">
        <v>2758056</v>
      </c>
      <c r="B417" s="3">
        <f>HYPERLINK("https://platform.v2.vetology.net/cases/2758056/screening-report/6?type=pdf&amp;v=v6&amp;scorecard=1&amp;secret_key=BX%25IJ%24%2F65ieZ%29f6", 2758056)</f>
        <v>2758056</v>
      </c>
      <c r="C417" s="3">
        <f>HYPERLINK("https://platform.v2.vetology.net/report/v/final/"&amp;2758056, 2758056)</f>
        <v>2758056</v>
      </c>
      <c r="D417" s="3" t="s">
        <v>1800</v>
      </c>
      <c r="E417" s="3" t="s">
        <v>1801</v>
      </c>
      <c r="F417" s="3" t="s">
        <v>1377</v>
      </c>
      <c r="G417" s="3" t="s">
        <v>186</v>
      </c>
      <c r="H417" s="3" t="s">
        <v>1802</v>
      </c>
      <c r="I417" s="3" t="s">
        <v>1803</v>
      </c>
      <c r="J417" s="3" t="s">
        <v>1804</v>
      </c>
      <c r="K417" s="3" t="s">
        <v>28</v>
      </c>
      <c r="L417" s="3" t="s">
        <v>27</v>
      </c>
      <c r="M417" s="3" t="s">
        <v>28</v>
      </c>
      <c r="N417" s="3" t="s">
        <v>28</v>
      </c>
      <c r="O417" s="3" t="s">
        <v>27</v>
      </c>
      <c r="P417" s="3" t="s">
        <v>27</v>
      </c>
      <c r="Q417" s="3" t="s">
        <v>28</v>
      </c>
      <c r="R417" s="3" t="s">
        <v>27</v>
      </c>
      <c r="S417" s="3" t="s">
        <v>27</v>
      </c>
      <c r="T417" s="3" t="s">
        <v>27</v>
      </c>
    </row>
    <row r="418" spans="1:20" ht="366">
      <c r="A418" s="3">
        <v>2758015</v>
      </c>
      <c r="B418" s="3">
        <f>HYPERLINK("https://platform.v2.vetology.net/cases/2758015/screening-report/6?type=pdf&amp;v=v6&amp;scorecard=1&amp;secret_key=BX%25IJ%24%2F65ieZ%29f6", 2758015)</f>
        <v>2758015</v>
      </c>
      <c r="C418" s="3">
        <f>HYPERLINK("https://platform.v2.vetology.net/report/v/final/"&amp;2758015, 2758015)</f>
        <v>2758015</v>
      </c>
      <c r="D418" s="3" t="s">
        <v>1805</v>
      </c>
      <c r="E418" s="3" t="s">
        <v>1806</v>
      </c>
      <c r="F418" s="3" t="s">
        <v>1807</v>
      </c>
      <c r="G418" s="3" t="s">
        <v>186</v>
      </c>
      <c r="H418" s="3" t="s">
        <v>1808</v>
      </c>
      <c r="I418" s="3" t="s">
        <v>1809</v>
      </c>
      <c r="J418" s="3" t="s">
        <v>1810</v>
      </c>
      <c r="K418" s="3" t="s">
        <v>28</v>
      </c>
      <c r="L418" s="3" t="s">
        <v>28</v>
      </c>
      <c r="M418" s="3" t="s">
        <v>28</v>
      </c>
      <c r="N418" s="3" t="s">
        <v>28</v>
      </c>
      <c r="O418" s="3" t="s">
        <v>27</v>
      </c>
      <c r="P418" s="3" t="s">
        <v>28</v>
      </c>
      <c r="Q418" s="3" t="s">
        <v>27</v>
      </c>
      <c r="R418" s="3" t="s">
        <v>28</v>
      </c>
      <c r="S418" s="3" t="s">
        <v>28</v>
      </c>
      <c r="T418" s="3" t="s">
        <v>28</v>
      </c>
    </row>
    <row r="419" spans="1:20" ht="259.5">
      <c r="A419" s="3">
        <v>2757967</v>
      </c>
      <c r="B419" s="3">
        <f>HYPERLINK("https://platform.v2.vetology.net/cases/2757967/screening-report/6?type=pdf&amp;v=v6&amp;scorecard=1&amp;secret_key=BX%25IJ%24%2F65ieZ%29f6", 2757967)</f>
        <v>2757967</v>
      </c>
      <c r="C419" s="3">
        <f>HYPERLINK("https://platform.v2.vetology.net/report/v/final/"&amp;2757967, 2757967)</f>
        <v>2757967</v>
      </c>
      <c r="D419" s="3" t="s">
        <v>1811</v>
      </c>
      <c r="E419" s="3" t="s">
        <v>1812</v>
      </c>
      <c r="F419" s="3"/>
      <c r="G419" s="3" t="s">
        <v>100</v>
      </c>
      <c r="H419" s="3" t="s">
        <v>135</v>
      </c>
      <c r="I419" s="3" t="s">
        <v>136</v>
      </c>
      <c r="J419" s="3" t="s">
        <v>424</v>
      </c>
      <c r="K419" s="3" t="s">
        <v>27</v>
      </c>
      <c r="L419" s="3" t="s">
        <v>28</v>
      </c>
      <c r="M419" s="3" t="s">
        <v>28</v>
      </c>
      <c r="N419" s="3" t="s">
        <v>28</v>
      </c>
      <c r="O419" s="3" t="s">
        <v>27</v>
      </c>
      <c r="P419" s="3" t="s">
        <v>28</v>
      </c>
      <c r="Q419" s="3" t="s">
        <v>27</v>
      </c>
      <c r="R419" s="3" t="s">
        <v>28</v>
      </c>
      <c r="S419" s="3" t="s">
        <v>28</v>
      </c>
      <c r="T419" s="3" t="s">
        <v>27</v>
      </c>
    </row>
    <row r="420" spans="1:20" ht="409.6">
      <c r="A420" s="3">
        <v>2757888</v>
      </c>
      <c r="B420" s="3">
        <f>HYPERLINK("https://platform.v2.vetology.net/cases/2757888/screening-report/6?type=pdf&amp;v=v6&amp;scorecard=1&amp;secret_key=BX%25IJ%24%2F65ieZ%29f6", 2757888)</f>
        <v>2757888</v>
      </c>
      <c r="C420" s="3">
        <f>HYPERLINK("https://platform.v2.vetology.net/report/v/final/"&amp;2757888, 2757888)</f>
        <v>2757888</v>
      </c>
      <c r="D420" s="3" t="s">
        <v>1813</v>
      </c>
      <c r="E420" s="3" t="s">
        <v>1814</v>
      </c>
      <c r="F420" s="3" t="s">
        <v>1815</v>
      </c>
      <c r="G420" s="3" t="s">
        <v>64</v>
      </c>
      <c r="H420" s="3" t="s">
        <v>31</v>
      </c>
      <c r="I420" s="3" t="s">
        <v>32</v>
      </c>
      <c r="J420" s="3" t="s">
        <v>33</v>
      </c>
      <c r="K420" s="3" t="s">
        <v>28</v>
      </c>
      <c r="L420" s="3" t="s">
        <v>28</v>
      </c>
      <c r="M420" s="3" t="s">
        <v>28</v>
      </c>
      <c r="N420" s="3" t="s">
        <v>28</v>
      </c>
      <c r="O420" s="3" t="s">
        <v>27</v>
      </c>
      <c r="P420" s="3" t="s">
        <v>28</v>
      </c>
      <c r="Q420" s="3" t="s">
        <v>28</v>
      </c>
      <c r="R420" s="3" t="s">
        <v>28</v>
      </c>
      <c r="S420" s="3" t="s">
        <v>28</v>
      </c>
      <c r="T420" s="3" t="s">
        <v>28</v>
      </c>
    </row>
    <row r="421" spans="1:20" ht="409.6">
      <c r="A421" s="3">
        <v>2757777</v>
      </c>
      <c r="B421" s="3">
        <f>HYPERLINK("https://platform.v2.vetology.net/cases/2757777/screening-report/6?type=pdf&amp;v=v6&amp;scorecard=1&amp;secret_key=BX%25IJ%24%2F65ieZ%29f6", 2757777)</f>
        <v>2757777</v>
      </c>
      <c r="C421" s="3">
        <f>HYPERLINK("https://platform.v2.vetology.net/report/v/final/"&amp;2757777, 2757777)</f>
        <v>2757777</v>
      </c>
      <c r="D421" s="3" t="s">
        <v>1816</v>
      </c>
      <c r="E421" s="3" t="s">
        <v>1817</v>
      </c>
      <c r="F421" s="3" t="s">
        <v>1818</v>
      </c>
      <c r="G421" s="3" t="s">
        <v>64</v>
      </c>
      <c r="H421" s="3" t="s">
        <v>1097</v>
      </c>
      <c r="I421" s="3" t="s">
        <v>469</v>
      </c>
      <c r="J421" s="3" t="s">
        <v>470</v>
      </c>
      <c r="K421" s="3" t="s">
        <v>28</v>
      </c>
      <c r="L421" s="3" t="s">
        <v>28</v>
      </c>
      <c r="M421" s="3" t="s">
        <v>28</v>
      </c>
      <c r="N421" s="3" t="s">
        <v>28</v>
      </c>
      <c r="O421" s="3" t="s">
        <v>27</v>
      </c>
      <c r="P421" s="3" t="s">
        <v>27</v>
      </c>
      <c r="Q421" s="3" t="s">
        <v>28</v>
      </c>
      <c r="R421" s="3" t="s">
        <v>28</v>
      </c>
      <c r="S421" s="3" t="s">
        <v>28</v>
      </c>
      <c r="T421" s="3" t="s">
        <v>28</v>
      </c>
    </row>
    <row r="422" spans="1:20" ht="409.6">
      <c r="A422" s="3">
        <v>2757664</v>
      </c>
      <c r="B422" s="3">
        <f>HYPERLINK("https://platform.v2.vetology.net/cases/2757664/screening-report/6?type=pdf&amp;v=v6&amp;scorecard=1&amp;secret_key=BX%25IJ%24%2F65ieZ%29f6", 2757664)</f>
        <v>2757664</v>
      </c>
      <c r="C422" s="3">
        <f>HYPERLINK("https://platform.v2.vetology.net/report/v/final/"&amp;2757664, 2757664)</f>
        <v>2757664</v>
      </c>
      <c r="D422" s="3" t="s">
        <v>1819</v>
      </c>
      <c r="E422" s="3" t="s">
        <v>1820</v>
      </c>
      <c r="F422" s="3" t="s">
        <v>22</v>
      </c>
      <c r="G422" s="3" t="s">
        <v>23</v>
      </c>
      <c r="H422" s="3" t="s">
        <v>1821</v>
      </c>
      <c r="I422" s="3" t="s">
        <v>1822</v>
      </c>
      <c r="J422" s="3" t="s">
        <v>660</v>
      </c>
      <c r="K422" s="3" t="s">
        <v>27</v>
      </c>
      <c r="L422" s="3" t="s">
        <v>28</v>
      </c>
      <c r="M422" s="3" t="s">
        <v>28</v>
      </c>
      <c r="N422" s="3" t="s">
        <v>28</v>
      </c>
      <c r="O422" s="3" t="s">
        <v>27</v>
      </c>
      <c r="P422" s="3" t="s">
        <v>27</v>
      </c>
      <c r="Q422" s="3" t="s">
        <v>27</v>
      </c>
      <c r="R422" s="3" t="s">
        <v>28</v>
      </c>
      <c r="S422" s="3" t="s">
        <v>28</v>
      </c>
      <c r="T422" s="3" t="s">
        <v>28</v>
      </c>
    </row>
    <row r="423" spans="1:20" ht="396.75">
      <c r="A423" s="3">
        <v>2757662</v>
      </c>
      <c r="B423" s="3">
        <f>HYPERLINK("https://platform.v2.vetology.net/cases/2757662/screening-report/6?type=pdf&amp;v=v6&amp;scorecard=1&amp;secret_key=BX%25IJ%24%2F65ieZ%29f6", 2757662)</f>
        <v>2757662</v>
      </c>
      <c r="C423" s="3">
        <f>HYPERLINK("https://platform.v2.vetology.net/report/v/final/"&amp;2757662, 2757662)</f>
        <v>2757662</v>
      </c>
      <c r="D423" s="3" t="s">
        <v>1823</v>
      </c>
      <c r="E423" s="3" t="s">
        <v>1824</v>
      </c>
      <c r="F423" s="3" t="s">
        <v>1825</v>
      </c>
      <c r="G423" s="3" t="s">
        <v>23</v>
      </c>
      <c r="H423" s="3" t="s">
        <v>1826</v>
      </c>
      <c r="I423" s="3" t="s">
        <v>614</v>
      </c>
      <c r="J423" s="3" t="s">
        <v>615</v>
      </c>
      <c r="K423" s="3" t="s">
        <v>28</v>
      </c>
      <c r="L423" s="3" t="s">
        <v>27</v>
      </c>
      <c r="M423" s="3" t="s">
        <v>28</v>
      </c>
      <c r="N423" s="3" t="s">
        <v>27</v>
      </c>
      <c r="O423" s="3" t="s">
        <v>27</v>
      </c>
      <c r="P423" s="3" t="s">
        <v>28</v>
      </c>
      <c r="Q423" s="3" t="s">
        <v>28</v>
      </c>
      <c r="R423" s="3" t="s">
        <v>27</v>
      </c>
      <c r="S423" s="3" t="s">
        <v>28</v>
      </c>
      <c r="T423" s="3" t="s">
        <v>27</v>
      </c>
    </row>
    <row r="424" spans="1:20" ht="409.6">
      <c r="A424" s="3">
        <v>2757622</v>
      </c>
      <c r="B424" s="3">
        <f>HYPERLINK("https://platform.v2.vetology.net/cases/2757622/screening-report/6?type=pdf&amp;v=v6&amp;scorecard=1&amp;secret_key=BX%25IJ%24%2F65ieZ%29f6", 2757622)</f>
        <v>2757622</v>
      </c>
      <c r="C424" s="3">
        <f>HYPERLINK("https://platform.v2.vetology.net/report/v/final/"&amp;2757622, 2757622)</f>
        <v>2757622</v>
      </c>
      <c r="D424" s="3" t="s">
        <v>1827</v>
      </c>
      <c r="E424" s="3" t="s">
        <v>1828</v>
      </c>
      <c r="F424" s="3" t="s">
        <v>1829</v>
      </c>
      <c r="G424" s="3" t="s">
        <v>23</v>
      </c>
      <c r="H424" s="3" t="s">
        <v>118</v>
      </c>
      <c r="I424" s="3" t="s">
        <v>32</v>
      </c>
      <c r="J424" s="3" t="s">
        <v>33</v>
      </c>
      <c r="K424" s="3" t="s">
        <v>28</v>
      </c>
      <c r="L424" s="3" t="s">
        <v>28</v>
      </c>
      <c r="M424" s="3" t="s">
        <v>28</v>
      </c>
      <c r="N424" s="3" t="s">
        <v>28</v>
      </c>
      <c r="O424" s="3" t="s">
        <v>27</v>
      </c>
      <c r="P424" s="3" t="s">
        <v>28</v>
      </c>
      <c r="Q424" s="3" t="s">
        <v>28</v>
      </c>
      <c r="R424" s="3" t="s">
        <v>28</v>
      </c>
      <c r="S424" s="3" t="s">
        <v>28</v>
      </c>
      <c r="T424" s="3" t="s">
        <v>28</v>
      </c>
    </row>
    <row r="425" spans="1:20" ht="409.6">
      <c r="A425" s="3">
        <v>2757617</v>
      </c>
      <c r="B425" s="3">
        <f>HYPERLINK("https://platform.v2.vetology.net/cases/2757617/screening-report/6?type=pdf&amp;v=v6&amp;scorecard=1&amp;secret_key=BX%25IJ%24%2F65ieZ%29f6", 2757617)</f>
        <v>2757617</v>
      </c>
      <c r="C425" s="3">
        <f>HYPERLINK("https://platform.v2.vetology.net/report/v/final/"&amp;2757617, 2757617)</f>
        <v>2757617</v>
      </c>
      <c r="D425" s="3" t="s">
        <v>1830</v>
      </c>
      <c r="E425" s="3" t="s">
        <v>1831</v>
      </c>
      <c r="F425" s="3" t="s">
        <v>1832</v>
      </c>
      <c r="G425" s="3" t="s">
        <v>23</v>
      </c>
      <c r="H425" s="3" t="s">
        <v>1833</v>
      </c>
      <c r="I425" s="3" t="s">
        <v>667</v>
      </c>
      <c r="J425" s="3" t="s">
        <v>668</v>
      </c>
      <c r="K425" s="3" t="s">
        <v>28</v>
      </c>
      <c r="L425" s="3" t="s">
        <v>28</v>
      </c>
      <c r="M425" s="3" t="s">
        <v>28</v>
      </c>
      <c r="N425" s="3" t="s">
        <v>28</v>
      </c>
      <c r="O425" s="3" t="s">
        <v>27</v>
      </c>
      <c r="P425" s="3" t="s">
        <v>28</v>
      </c>
      <c r="Q425" s="3" t="s">
        <v>28</v>
      </c>
      <c r="R425" s="3" t="s">
        <v>28</v>
      </c>
      <c r="S425" s="3" t="s">
        <v>27</v>
      </c>
      <c r="T425" s="3" t="s">
        <v>27</v>
      </c>
    </row>
    <row r="426" spans="1:20" ht="409.6">
      <c r="A426" s="3">
        <v>2757616</v>
      </c>
      <c r="B426" s="3">
        <f>HYPERLINK("https://platform.v2.vetology.net/cases/2757616/screening-report/6?type=pdf&amp;v=v6&amp;scorecard=1&amp;secret_key=BX%25IJ%24%2F65ieZ%29f6", 2757616)</f>
        <v>2757616</v>
      </c>
      <c r="C426" s="3">
        <f>HYPERLINK("https://platform.v2.vetology.net/report/v/final/"&amp;2757616, 2757616)</f>
        <v>2757616</v>
      </c>
      <c r="D426" s="3" t="s">
        <v>1834</v>
      </c>
      <c r="E426" s="3" t="s">
        <v>1835</v>
      </c>
      <c r="F426" s="3" t="s">
        <v>22</v>
      </c>
      <c r="G426" s="3" t="s">
        <v>23</v>
      </c>
      <c r="H426" s="3" t="s">
        <v>344</v>
      </c>
      <c r="I426" s="3" t="s">
        <v>345</v>
      </c>
      <c r="J426" s="3" t="s">
        <v>346</v>
      </c>
      <c r="K426" s="3" t="s">
        <v>28</v>
      </c>
      <c r="L426" s="3" t="s">
        <v>28</v>
      </c>
      <c r="M426" s="3" t="s">
        <v>28</v>
      </c>
      <c r="N426" s="3" t="s">
        <v>27</v>
      </c>
      <c r="O426" s="3" t="s">
        <v>28</v>
      </c>
      <c r="P426" s="3" t="s">
        <v>28</v>
      </c>
      <c r="Q426" s="3" t="s">
        <v>28</v>
      </c>
      <c r="R426" s="3" t="s">
        <v>27</v>
      </c>
      <c r="S426" s="3" t="s">
        <v>27</v>
      </c>
      <c r="T426" s="3" t="s">
        <v>27</v>
      </c>
    </row>
    <row r="427" spans="1:20" ht="409.6">
      <c r="A427" s="3">
        <v>2757605</v>
      </c>
      <c r="B427" s="3">
        <f>HYPERLINK("https://platform.v2.vetology.net/cases/2757605/screening-report/6?type=pdf&amp;v=v6&amp;scorecard=1&amp;secret_key=BX%25IJ%24%2F65ieZ%29f6", 2757605)</f>
        <v>2757605</v>
      </c>
      <c r="C427" s="3">
        <f>HYPERLINK("https://platform.v2.vetology.net/report/v/final/"&amp;2757605, 2757605)</f>
        <v>2757605</v>
      </c>
      <c r="D427" s="3" t="s">
        <v>1836</v>
      </c>
      <c r="E427" s="3" t="s">
        <v>1837</v>
      </c>
      <c r="F427" s="3" t="s">
        <v>22</v>
      </c>
      <c r="G427" s="3" t="s">
        <v>23</v>
      </c>
      <c r="H427" s="3" t="s">
        <v>1838</v>
      </c>
      <c r="I427" s="3" t="s">
        <v>1497</v>
      </c>
      <c r="J427" s="3" t="s">
        <v>1340</v>
      </c>
      <c r="K427" s="3" t="s">
        <v>28</v>
      </c>
      <c r="L427" s="3" t="s">
        <v>28</v>
      </c>
      <c r="M427" s="3" t="s">
        <v>28</v>
      </c>
      <c r="N427" s="3" t="s">
        <v>28</v>
      </c>
      <c r="O427" s="3" t="s">
        <v>27</v>
      </c>
      <c r="P427" s="3" t="s">
        <v>28</v>
      </c>
      <c r="Q427" s="3" t="s">
        <v>27</v>
      </c>
      <c r="R427" s="3" t="s">
        <v>28</v>
      </c>
      <c r="S427" s="3" t="s">
        <v>27</v>
      </c>
      <c r="T427" s="3" t="s">
        <v>28</v>
      </c>
    </row>
    <row r="428" spans="1:20" ht="409.6">
      <c r="A428" s="3">
        <v>2757590</v>
      </c>
      <c r="B428" s="3">
        <f>HYPERLINK("https://platform.v2.vetology.net/cases/2757590/screening-report/6?type=pdf&amp;v=v6&amp;scorecard=1&amp;secret_key=BX%25IJ%24%2F65ieZ%29f6", 2757590)</f>
        <v>2757590</v>
      </c>
      <c r="C428" s="3">
        <f>HYPERLINK("https://platform.v2.vetology.net/report/v/final/"&amp;2757590, 2757590)</f>
        <v>2757590</v>
      </c>
      <c r="D428" s="3" t="s">
        <v>1839</v>
      </c>
      <c r="E428" s="3" t="s">
        <v>1840</v>
      </c>
      <c r="F428" s="3" t="s">
        <v>22</v>
      </c>
      <c r="G428" s="3" t="s">
        <v>23</v>
      </c>
      <c r="H428" s="3" t="s">
        <v>1285</v>
      </c>
      <c r="I428" s="3" t="s">
        <v>1201</v>
      </c>
      <c r="J428" s="3" t="s">
        <v>1202</v>
      </c>
      <c r="K428" s="3" t="s">
        <v>28</v>
      </c>
      <c r="L428" s="3" t="s">
        <v>28</v>
      </c>
      <c r="M428" s="3" t="s">
        <v>28</v>
      </c>
      <c r="N428" s="3" t="s">
        <v>28</v>
      </c>
      <c r="O428" s="3" t="s">
        <v>28</v>
      </c>
      <c r="P428" s="3" t="s">
        <v>28</v>
      </c>
      <c r="Q428" s="3" t="s">
        <v>28</v>
      </c>
      <c r="R428" s="3" t="s">
        <v>28</v>
      </c>
      <c r="S428" s="3" t="s">
        <v>28</v>
      </c>
      <c r="T428" s="3" t="s">
        <v>28</v>
      </c>
    </row>
    <row r="429" spans="1:20" ht="409.6">
      <c r="A429" s="3">
        <v>2757564</v>
      </c>
      <c r="B429" s="3">
        <f>HYPERLINK("https://platform.v2.vetology.net/cases/2757564/screening-report/6?type=pdf&amp;v=v6&amp;scorecard=1&amp;secret_key=BX%25IJ%24%2F65ieZ%29f6", 2757564)</f>
        <v>2757564</v>
      </c>
      <c r="C429" s="3">
        <f>HYPERLINK("https://platform.v2.vetology.net/report/v/final/"&amp;2757564, 2757564)</f>
        <v>2757564</v>
      </c>
      <c r="D429" s="3" t="s">
        <v>1841</v>
      </c>
      <c r="E429" s="3" t="s">
        <v>1842</v>
      </c>
      <c r="F429" s="3" t="s">
        <v>1843</v>
      </c>
      <c r="G429" s="3" t="s">
        <v>23</v>
      </c>
      <c r="H429" s="3" t="s">
        <v>1844</v>
      </c>
      <c r="I429" s="3" t="s">
        <v>1845</v>
      </c>
      <c r="J429" s="3" t="s">
        <v>1846</v>
      </c>
      <c r="K429" s="3" t="s">
        <v>28</v>
      </c>
      <c r="L429" s="3" t="s">
        <v>28</v>
      </c>
      <c r="M429" s="3" t="s">
        <v>28</v>
      </c>
      <c r="N429" s="3" t="s">
        <v>28</v>
      </c>
      <c r="O429" s="3" t="s">
        <v>27</v>
      </c>
      <c r="P429" s="3" t="s">
        <v>28</v>
      </c>
      <c r="Q429" s="3" t="s">
        <v>28</v>
      </c>
      <c r="R429" s="3" t="s">
        <v>27</v>
      </c>
      <c r="S429" s="3" t="s">
        <v>28</v>
      </c>
      <c r="T429" s="3" t="s">
        <v>28</v>
      </c>
    </row>
    <row r="430" spans="1:20" ht="409.6">
      <c r="A430" s="3">
        <v>2757560</v>
      </c>
      <c r="B430" s="3">
        <f>HYPERLINK("https://platform.v2.vetology.net/cases/2757560/screening-report/6?type=pdf&amp;v=v6&amp;scorecard=1&amp;secret_key=BX%25IJ%24%2F65ieZ%29f6", 2757560)</f>
        <v>2757560</v>
      </c>
      <c r="C430" s="3">
        <f>HYPERLINK("https://platform.v2.vetology.net/report/v/final/"&amp;2757560, 2757560)</f>
        <v>2757560</v>
      </c>
      <c r="D430" s="3" t="s">
        <v>1847</v>
      </c>
      <c r="E430" s="3" t="s">
        <v>1848</v>
      </c>
      <c r="F430" s="3" t="s">
        <v>1849</v>
      </c>
      <c r="G430" s="3" t="s">
        <v>496</v>
      </c>
      <c r="H430" s="3" t="s">
        <v>419</v>
      </c>
      <c r="I430" s="3" t="s">
        <v>316</v>
      </c>
      <c r="J430" s="3" t="s">
        <v>317</v>
      </c>
      <c r="K430" s="3" t="s">
        <v>27</v>
      </c>
      <c r="L430" s="3" t="s">
        <v>28</v>
      </c>
      <c r="M430" s="3" t="s">
        <v>28</v>
      </c>
      <c r="N430" s="3" t="s">
        <v>28</v>
      </c>
      <c r="O430" s="3" t="s">
        <v>27</v>
      </c>
      <c r="P430" s="3" t="s">
        <v>28</v>
      </c>
      <c r="Q430" s="3" t="s">
        <v>28</v>
      </c>
      <c r="R430" s="3" t="s">
        <v>28</v>
      </c>
      <c r="S430" s="3" t="s">
        <v>28</v>
      </c>
      <c r="T430" s="3" t="s">
        <v>28</v>
      </c>
    </row>
    <row r="431" spans="1:20" ht="381.75">
      <c r="A431" s="3">
        <v>2757559</v>
      </c>
      <c r="B431" s="3">
        <f>HYPERLINK("https://platform.v2.vetology.net/cases/2757559/screening-report/6?type=pdf&amp;v=v6&amp;scorecard=1&amp;secret_key=BX%25IJ%24%2F65ieZ%29f6", 2757559)</f>
        <v>2757559</v>
      </c>
      <c r="C431" s="3">
        <f>HYPERLINK("https://platform.v2.vetology.net/report/v/final/"&amp;2757559, 2757559)</f>
        <v>2757559</v>
      </c>
      <c r="D431" s="3" t="s">
        <v>1850</v>
      </c>
      <c r="E431" s="3" t="s">
        <v>1851</v>
      </c>
      <c r="F431" s="3" t="s">
        <v>22</v>
      </c>
      <c r="G431" s="3" t="s">
        <v>23</v>
      </c>
      <c r="H431" s="3" t="s">
        <v>1852</v>
      </c>
      <c r="I431" s="3" t="s">
        <v>539</v>
      </c>
      <c r="J431" s="3" t="s">
        <v>540</v>
      </c>
      <c r="K431" s="3" t="s">
        <v>28</v>
      </c>
      <c r="L431" s="3" t="s">
        <v>28</v>
      </c>
      <c r="M431" s="3" t="s">
        <v>28</v>
      </c>
      <c r="N431" s="3" t="s">
        <v>28</v>
      </c>
      <c r="O431" s="3" t="s">
        <v>28</v>
      </c>
      <c r="P431" s="3" t="s">
        <v>28</v>
      </c>
      <c r="Q431" s="3" t="s">
        <v>28</v>
      </c>
      <c r="R431" s="3" t="s">
        <v>28</v>
      </c>
      <c r="S431" s="3" t="s">
        <v>28</v>
      </c>
      <c r="T431" s="3" t="s">
        <v>28</v>
      </c>
    </row>
    <row r="432" spans="1:20" ht="396.75">
      <c r="A432" s="3">
        <v>2757558</v>
      </c>
      <c r="B432" s="3">
        <f>HYPERLINK("https://platform.v2.vetology.net/cases/2757558/screening-report/6?type=pdf&amp;v=v6&amp;scorecard=1&amp;secret_key=BX%25IJ%24%2F65ieZ%29f6", 2757558)</f>
        <v>2757558</v>
      </c>
      <c r="C432" s="3">
        <f>HYPERLINK("https://platform.v2.vetology.net/report/v/final/"&amp;2757558, 2757558)</f>
        <v>2757558</v>
      </c>
      <c r="D432" s="3" t="s">
        <v>1853</v>
      </c>
      <c r="E432" s="3" t="s">
        <v>1854</v>
      </c>
      <c r="F432" s="3" t="s">
        <v>1855</v>
      </c>
      <c r="G432" s="3" t="s">
        <v>496</v>
      </c>
      <c r="H432" s="3" t="s">
        <v>1856</v>
      </c>
      <c r="I432" s="3" t="s">
        <v>351</v>
      </c>
      <c r="J432" s="3" t="s">
        <v>352</v>
      </c>
      <c r="K432" s="3" t="s">
        <v>28</v>
      </c>
      <c r="L432" s="3" t="s">
        <v>28</v>
      </c>
      <c r="M432" s="3" t="s">
        <v>28</v>
      </c>
      <c r="N432" s="3" t="s">
        <v>28</v>
      </c>
      <c r="O432" s="3" t="s">
        <v>28</v>
      </c>
      <c r="P432" s="3" t="s">
        <v>28</v>
      </c>
      <c r="Q432" s="3" t="s">
        <v>28</v>
      </c>
      <c r="R432" s="3" t="s">
        <v>28</v>
      </c>
      <c r="S432" s="3" t="s">
        <v>28</v>
      </c>
      <c r="T432" s="3" t="s">
        <v>27</v>
      </c>
    </row>
    <row r="433" spans="1:20" ht="409.6">
      <c r="A433" s="3">
        <v>2757554</v>
      </c>
      <c r="B433" s="3">
        <f>HYPERLINK("https://platform.v2.vetology.net/cases/2757554/screening-report/6?type=pdf&amp;v=v6&amp;scorecard=1&amp;secret_key=BX%25IJ%24%2F65ieZ%29f6", 2757554)</f>
        <v>2757554</v>
      </c>
      <c r="C433" s="3">
        <f>HYPERLINK("https://platform.v2.vetology.net/report/v/final/"&amp;2757554, 2757554)</f>
        <v>2757554</v>
      </c>
      <c r="D433" s="3" t="s">
        <v>1857</v>
      </c>
      <c r="E433" s="3" t="s">
        <v>1858</v>
      </c>
      <c r="F433" s="3" t="s">
        <v>1859</v>
      </c>
      <c r="G433" s="3" t="s">
        <v>64</v>
      </c>
      <c r="H433" s="3" t="s">
        <v>601</v>
      </c>
      <c r="I433" s="3" t="s">
        <v>32</v>
      </c>
      <c r="J433" s="3" t="s">
        <v>33</v>
      </c>
      <c r="K433" s="3" t="s">
        <v>28</v>
      </c>
      <c r="L433" s="3" t="s">
        <v>28</v>
      </c>
      <c r="M433" s="3" t="s">
        <v>28</v>
      </c>
      <c r="N433" s="3" t="s">
        <v>28</v>
      </c>
      <c r="O433" s="3" t="s">
        <v>28</v>
      </c>
      <c r="P433" s="3" t="s">
        <v>28</v>
      </c>
      <c r="Q433" s="3" t="s">
        <v>28</v>
      </c>
      <c r="R433" s="3" t="s">
        <v>28</v>
      </c>
      <c r="S433" s="3" t="s">
        <v>28</v>
      </c>
      <c r="T433" s="3" t="s">
        <v>28</v>
      </c>
    </row>
    <row r="434" spans="1:20" ht="305.25">
      <c r="A434" s="3">
        <v>2757545</v>
      </c>
      <c r="B434" s="3">
        <f>HYPERLINK("https://platform.v2.vetology.net/cases/2757545/screening-report/6?type=pdf&amp;v=v6&amp;scorecard=1&amp;secret_key=BX%25IJ%24%2F65ieZ%29f6", 2757545)</f>
        <v>2757545</v>
      </c>
      <c r="C434" s="3">
        <f>HYPERLINK("https://platform.v2.vetology.net/report/v/final/"&amp;2757545, 2757545)</f>
        <v>2757545</v>
      </c>
      <c r="D434" s="3" t="s">
        <v>1860</v>
      </c>
      <c r="E434" s="3" t="s">
        <v>1861</v>
      </c>
      <c r="F434" s="3" t="s">
        <v>1862</v>
      </c>
      <c r="G434" s="3" t="s">
        <v>23</v>
      </c>
      <c r="H434" s="3" t="s">
        <v>1730</v>
      </c>
      <c r="I434" s="3" t="s">
        <v>1344</v>
      </c>
      <c r="J434" s="3" t="s">
        <v>33</v>
      </c>
      <c r="K434" s="3" t="s">
        <v>28</v>
      </c>
      <c r="L434" s="3" t="s">
        <v>28</v>
      </c>
      <c r="M434" s="3" t="s">
        <v>28</v>
      </c>
      <c r="N434" s="3" t="s">
        <v>28</v>
      </c>
      <c r="O434" s="3" t="s">
        <v>27</v>
      </c>
      <c r="P434" s="3" t="s">
        <v>28</v>
      </c>
      <c r="Q434" s="3" t="s">
        <v>27</v>
      </c>
      <c r="R434" s="3" t="s">
        <v>28</v>
      </c>
      <c r="S434" s="3" t="s">
        <v>28</v>
      </c>
      <c r="T434" s="3" t="s">
        <v>28</v>
      </c>
    </row>
    <row r="435" spans="1:20" ht="409.6">
      <c r="A435" s="3">
        <v>2757532</v>
      </c>
      <c r="B435" s="3">
        <f>HYPERLINK("https://platform.v2.vetology.net/cases/2757532/screening-report/6?type=pdf&amp;v=v6&amp;scorecard=1&amp;secret_key=BX%25IJ%24%2F65ieZ%29f6", 2757532)</f>
        <v>2757532</v>
      </c>
      <c r="C435" s="3">
        <f>HYPERLINK("https://platform.v2.vetology.net/report/v/final/"&amp;2757532, 2757532)</f>
        <v>2757532</v>
      </c>
      <c r="D435" s="3" t="s">
        <v>1863</v>
      </c>
      <c r="E435" s="3" t="s">
        <v>1864</v>
      </c>
      <c r="F435" s="3" t="s">
        <v>1865</v>
      </c>
      <c r="G435" s="3" t="s">
        <v>64</v>
      </c>
      <c r="H435" s="3" t="s">
        <v>350</v>
      </c>
      <c r="I435" s="3" t="s">
        <v>351</v>
      </c>
      <c r="J435" s="3" t="s">
        <v>352</v>
      </c>
      <c r="K435" s="3" t="s">
        <v>28</v>
      </c>
      <c r="L435" s="3" t="s">
        <v>28</v>
      </c>
      <c r="M435" s="3" t="s">
        <v>28</v>
      </c>
      <c r="N435" s="3" t="s">
        <v>28</v>
      </c>
      <c r="O435" s="3" t="s">
        <v>28</v>
      </c>
      <c r="P435" s="3" t="s">
        <v>28</v>
      </c>
      <c r="Q435" s="3" t="s">
        <v>28</v>
      </c>
      <c r="R435" s="3" t="s">
        <v>28</v>
      </c>
      <c r="S435" s="3" t="s">
        <v>28</v>
      </c>
      <c r="T435" s="3" t="s">
        <v>27</v>
      </c>
    </row>
    <row r="436" spans="1:20" ht="336">
      <c r="A436" s="3">
        <v>2757527</v>
      </c>
      <c r="B436" s="3">
        <f>HYPERLINK("https://platform.v2.vetology.net/cases/2757527/screening-report/6?type=pdf&amp;v=v6&amp;scorecard=1&amp;secret_key=BX%25IJ%24%2F65ieZ%29f6", 2757527)</f>
        <v>2757527</v>
      </c>
      <c r="C436" s="3">
        <f>HYPERLINK("https://platform.v2.vetology.net/report/v/final/"&amp;2757527, 2757527)</f>
        <v>2757527</v>
      </c>
      <c r="D436" s="3" t="s">
        <v>1866</v>
      </c>
      <c r="E436" s="3" t="s">
        <v>1867</v>
      </c>
      <c r="F436" s="3" t="s">
        <v>1868</v>
      </c>
      <c r="G436" s="3" t="s">
        <v>186</v>
      </c>
      <c r="H436" s="3" t="s">
        <v>1869</v>
      </c>
      <c r="I436" s="3" t="s">
        <v>626</v>
      </c>
      <c r="J436" s="3" t="s">
        <v>627</v>
      </c>
      <c r="K436" s="3" t="s">
        <v>28</v>
      </c>
      <c r="L436" s="3" t="s">
        <v>27</v>
      </c>
      <c r="M436" s="3" t="s">
        <v>28</v>
      </c>
      <c r="N436" s="3" t="s">
        <v>27</v>
      </c>
      <c r="O436" s="3" t="s">
        <v>28</v>
      </c>
      <c r="P436" s="3" t="s">
        <v>28</v>
      </c>
      <c r="Q436" s="3" t="s">
        <v>27</v>
      </c>
      <c r="R436" s="3" t="s">
        <v>28</v>
      </c>
      <c r="S436" s="3" t="s">
        <v>28</v>
      </c>
      <c r="T436" s="3" t="s">
        <v>27</v>
      </c>
    </row>
    <row r="437" spans="1:20" ht="244.5">
      <c r="A437" s="3">
        <v>2757409</v>
      </c>
      <c r="B437" s="3">
        <f>HYPERLINK("https://platform.v2.vetology.net/cases/2757409/screening-report/6?type=pdf&amp;v=v6&amp;scorecard=1&amp;secret_key=BX%25IJ%24%2F65ieZ%29f6", 2757409)</f>
        <v>2757409</v>
      </c>
      <c r="C437" s="3">
        <f>HYPERLINK("https://platform.v2.vetology.net/report/v/final/"&amp;2757409, 2757409)</f>
        <v>2757409</v>
      </c>
      <c r="D437" s="3" t="s">
        <v>1870</v>
      </c>
      <c r="E437" s="3" t="s">
        <v>1871</v>
      </c>
      <c r="F437" s="3" t="s">
        <v>22</v>
      </c>
      <c r="G437" s="3" t="s">
        <v>372</v>
      </c>
      <c r="H437" s="3" t="s">
        <v>788</v>
      </c>
      <c r="I437" s="3" t="s">
        <v>32</v>
      </c>
      <c r="J437" s="3" t="s">
        <v>847</v>
      </c>
      <c r="K437" s="3" t="s">
        <v>27</v>
      </c>
      <c r="L437" s="3" t="s">
        <v>28</v>
      </c>
      <c r="M437" s="3" t="s">
        <v>27</v>
      </c>
      <c r="N437" s="3" t="s">
        <v>28</v>
      </c>
      <c r="O437" s="3" t="s">
        <v>28</v>
      </c>
      <c r="P437" s="3" t="s">
        <v>27</v>
      </c>
      <c r="Q437" s="3" t="s">
        <v>27</v>
      </c>
      <c r="R437" s="3" t="s">
        <v>28</v>
      </c>
      <c r="S437" s="3" t="s">
        <v>28</v>
      </c>
      <c r="T437" s="3" t="s">
        <v>28</v>
      </c>
    </row>
    <row r="438" spans="1:20" ht="409.6">
      <c r="A438" s="3">
        <v>2757354</v>
      </c>
      <c r="B438" s="3">
        <f>HYPERLINK("https://platform.v2.vetology.net/cases/2757354/screening-report/6?type=pdf&amp;v=v6&amp;scorecard=1&amp;secret_key=BX%25IJ%24%2F65ieZ%29f6", 2757354)</f>
        <v>2757354</v>
      </c>
      <c r="C438" s="3">
        <f>HYPERLINK("https://platform.v2.vetology.net/report/v/final/"&amp;2757354, 2757354)</f>
        <v>2757354</v>
      </c>
      <c r="D438" s="3" t="s">
        <v>1872</v>
      </c>
      <c r="E438" s="3" t="s">
        <v>1873</v>
      </c>
      <c r="F438" s="3" t="s">
        <v>797</v>
      </c>
      <c r="G438" s="3" t="s">
        <v>122</v>
      </c>
      <c r="H438" s="3" t="s">
        <v>1874</v>
      </c>
      <c r="I438" s="3" t="s">
        <v>1875</v>
      </c>
      <c r="J438" s="3" t="s">
        <v>335</v>
      </c>
      <c r="K438" s="3" t="s">
        <v>28</v>
      </c>
      <c r="L438" s="3" t="s">
        <v>28</v>
      </c>
      <c r="M438" s="3" t="s">
        <v>27</v>
      </c>
      <c r="N438" s="3" t="s">
        <v>28</v>
      </c>
      <c r="O438" s="3" t="s">
        <v>27</v>
      </c>
      <c r="P438" s="3" t="s">
        <v>28</v>
      </c>
      <c r="Q438" s="3" t="s">
        <v>27</v>
      </c>
      <c r="R438" s="3" t="s">
        <v>28</v>
      </c>
      <c r="S438" s="3" t="s">
        <v>28</v>
      </c>
      <c r="T438" s="3" t="s">
        <v>28</v>
      </c>
    </row>
    <row r="439" spans="1:20" ht="409.6">
      <c r="A439" s="3">
        <v>2757325</v>
      </c>
      <c r="B439" s="3">
        <f>HYPERLINK("https://platform.v2.vetology.net/cases/2757325/screening-report/6?type=pdf&amp;v=v6&amp;scorecard=1&amp;secret_key=BX%25IJ%24%2F65ieZ%29f6", 2757325)</f>
        <v>2757325</v>
      </c>
      <c r="C439" s="3">
        <f>HYPERLINK("https://platform.v2.vetology.net/report/v/final/"&amp;2757325, 2757325)</f>
        <v>2757325</v>
      </c>
      <c r="D439" s="3" t="s">
        <v>1876</v>
      </c>
      <c r="E439" s="3" t="s">
        <v>1877</v>
      </c>
      <c r="F439" s="3" t="s">
        <v>1878</v>
      </c>
      <c r="G439" s="3" t="s">
        <v>64</v>
      </c>
      <c r="H439" s="3" t="s">
        <v>1879</v>
      </c>
      <c r="I439" s="3" t="s">
        <v>147</v>
      </c>
      <c r="J439" s="3" t="s">
        <v>148</v>
      </c>
      <c r="K439" s="3" t="s">
        <v>27</v>
      </c>
      <c r="L439" s="3" t="s">
        <v>28</v>
      </c>
      <c r="M439" s="3" t="s">
        <v>28</v>
      </c>
      <c r="N439" s="3" t="s">
        <v>28</v>
      </c>
      <c r="O439" s="3" t="s">
        <v>27</v>
      </c>
      <c r="P439" s="3" t="s">
        <v>28</v>
      </c>
      <c r="Q439" s="3" t="s">
        <v>28</v>
      </c>
      <c r="R439" s="3" t="s">
        <v>28</v>
      </c>
      <c r="S439" s="3" t="s">
        <v>28</v>
      </c>
      <c r="T439" s="3" t="s">
        <v>28</v>
      </c>
    </row>
    <row r="440" spans="1:20" ht="409.6">
      <c r="A440" s="3">
        <v>2757303</v>
      </c>
      <c r="B440" s="3">
        <f>HYPERLINK("https://platform.v2.vetology.net/cases/2757303/screening-report/6?type=pdf&amp;v=v6&amp;scorecard=1&amp;secret_key=BX%25IJ%24%2F65ieZ%29f6", 2757303)</f>
        <v>2757303</v>
      </c>
      <c r="C440" s="3">
        <f>HYPERLINK("https://platform.v2.vetology.net/report/v/final/"&amp;2757303, 2757303)</f>
        <v>2757303</v>
      </c>
      <c r="D440" s="3" t="s">
        <v>1880</v>
      </c>
      <c r="E440" s="3" t="s">
        <v>1881</v>
      </c>
      <c r="F440" s="3" t="s">
        <v>1882</v>
      </c>
      <c r="G440" s="3" t="s">
        <v>57</v>
      </c>
      <c r="H440" s="3" t="s">
        <v>300</v>
      </c>
      <c r="I440" s="3" t="s">
        <v>1497</v>
      </c>
      <c r="J440" s="3" t="s">
        <v>847</v>
      </c>
      <c r="K440" s="3" t="s">
        <v>28</v>
      </c>
      <c r="L440" s="3" t="s">
        <v>28</v>
      </c>
      <c r="M440" s="3" t="s">
        <v>28</v>
      </c>
      <c r="N440" s="3" t="s">
        <v>28</v>
      </c>
      <c r="O440" s="3" t="s">
        <v>28</v>
      </c>
      <c r="P440" s="3" t="s">
        <v>28</v>
      </c>
      <c r="Q440" s="3" t="s">
        <v>28</v>
      </c>
      <c r="R440" s="3" t="s">
        <v>28</v>
      </c>
      <c r="S440" s="3" t="s">
        <v>28</v>
      </c>
      <c r="T440" s="3" t="s">
        <v>28</v>
      </c>
    </row>
    <row r="441" spans="1:20" ht="409.6">
      <c r="A441" s="3">
        <v>2757242</v>
      </c>
      <c r="B441" s="3">
        <f>HYPERLINK("https://platform.v2.vetology.net/cases/2757242/screening-report/6?type=pdf&amp;v=v6&amp;scorecard=1&amp;secret_key=BX%25IJ%24%2F65ieZ%29f6", 2757242)</f>
        <v>2757242</v>
      </c>
      <c r="C441" s="3">
        <f>HYPERLINK("https://platform.v2.vetology.net/report/v/final/"&amp;2757242, 2757242)</f>
        <v>2757242</v>
      </c>
      <c r="D441" s="3" t="s">
        <v>1883</v>
      </c>
      <c r="E441" s="3" t="s">
        <v>1884</v>
      </c>
      <c r="F441" s="3" t="s">
        <v>1377</v>
      </c>
      <c r="G441" s="3" t="s">
        <v>186</v>
      </c>
      <c r="H441" s="3" t="s">
        <v>1885</v>
      </c>
      <c r="I441" s="3" t="s">
        <v>113</v>
      </c>
      <c r="J441" s="3" t="s">
        <v>114</v>
      </c>
      <c r="K441" s="3" t="s">
        <v>27</v>
      </c>
      <c r="L441" s="3" t="s">
        <v>27</v>
      </c>
      <c r="M441" s="3" t="s">
        <v>28</v>
      </c>
      <c r="N441" s="3" t="s">
        <v>28</v>
      </c>
      <c r="O441" s="3" t="s">
        <v>27</v>
      </c>
      <c r="P441" s="3" t="s">
        <v>27</v>
      </c>
      <c r="Q441" s="3" t="s">
        <v>27</v>
      </c>
      <c r="R441" s="3" t="s">
        <v>28</v>
      </c>
      <c r="S441" s="3" t="s">
        <v>28</v>
      </c>
      <c r="T441" s="3" t="s">
        <v>28</v>
      </c>
    </row>
    <row r="442" spans="1:20" ht="351">
      <c r="A442" s="3">
        <v>2757201</v>
      </c>
      <c r="B442" s="3">
        <f>HYPERLINK("https://platform.v2.vetology.net/cases/2757201/screening-report/6?type=pdf&amp;v=v6&amp;scorecard=1&amp;secret_key=BX%25IJ%24%2F65ieZ%29f6", 2757201)</f>
        <v>2757201</v>
      </c>
      <c r="C442" s="3">
        <f>HYPERLINK("https://platform.v2.vetology.net/report/v/final/"&amp;2757201, 2757201)</f>
        <v>2757201</v>
      </c>
      <c r="D442" s="3" t="s">
        <v>1886</v>
      </c>
      <c r="E442" s="3" t="s">
        <v>1887</v>
      </c>
      <c r="F442" s="3" t="s">
        <v>1888</v>
      </c>
      <c r="G442" s="3" t="s">
        <v>57</v>
      </c>
      <c r="H442" s="3" t="s">
        <v>1889</v>
      </c>
      <c r="I442" s="3" t="s">
        <v>918</v>
      </c>
      <c r="J442" s="3" t="s">
        <v>919</v>
      </c>
      <c r="K442" s="3" t="s">
        <v>27</v>
      </c>
      <c r="L442" s="3" t="s">
        <v>27</v>
      </c>
      <c r="M442" s="3" t="s">
        <v>28</v>
      </c>
      <c r="N442" s="3" t="s">
        <v>28</v>
      </c>
      <c r="O442" s="3" t="s">
        <v>27</v>
      </c>
      <c r="P442" s="3" t="s">
        <v>28</v>
      </c>
      <c r="Q442" s="3" t="s">
        <v>28</v>
      </c>
      <c r="R442" s="3" t="s">
        <v>27</v>
      </c>
      <c r="S442" s="3" t="s">
        <v>27</v>
      </c>
      <c r="T442" s="3" t="s">
        <v>28</v>
      </c>
    </row>
    <row r="443" spans="1:20" ht="409.6">
      <c r="A443" s="3">
        <v>2757134</v>
      </c>
      <c r="B443" s="3">
        <f>HYPERLINK("https://platform.v2.vetology.net/cases/2757134/screening-report/6?type=pdf&amp;v=v6&amp;scorecard=1&amp;secret_key=BX%25IJ%24%2F65ieZ%29f6", 2757134)</f>
        <v>2757134</v>
      </c>
      <c r="C443" s="3">
        <f>HYPERLINK("https://platform.v2.vetology.net/report/v/final/"&amp;2757134, 2757134)</f>
        <v>2757134</v>
      </c>
      <c r="D443" s="3" t="s">
        <v>1890</v>
      </c>
      <c r="E443" s="3" t="s">
        <v>1891</v>
      </c>
      <c r="F443" s="3" t="s">
        <v>22</v>
      </c>
      <c r="G443" s="3" t="s">
        <v>100</v>
      </c>
      <c r="H443" s="3" t="s">
        <v>1892</v>
      </c>
      <c r="I443" s="3" t="s">
        <v>310</v>
      </c>
      <c r="J443" s="3" t="s">
        <v>311</v>
      </c>
      <c r="K443" s="3" t="s">
        <v>28</v>
      </c>
      <c r="L443" s="3" t="s">
        <v>27</v>
      </c>
      <c r="M443" s="3" t="s">
        <v>28</v>
      </c>
      <c r="N443" s="3" t="s">
        <v>27</v>
      </c>
      <c r="O443" s="3" t="s">
        <v>27</v>
      </c>
      <c r="P443" s="3" t="s">
        <v>28</v>
      </c>
      <c r="Q443" s="3" t="s">
        <v>27</v>
      </c>
      <c r="R443" s="3" t="s">
        <v>27</v>
      </c>
      <c r="S443" s="3" t="s">
        <v>27</v>
      </c>
      <c r="T443" s="3" t="s">
        <v>27</v>
      </c>
    </row>
    <row r="444" spans="1:20" ht="409.6">
      <c r="A444" s="3">
        <v>2757118</v>
      </c>
      <c r="B444" s="3">
        <f>HYPERLINK("https://platform.v2.vetology.net/cases/2757118/screening-report/6?type=pdf&amp;v=v6&amp;scorecard=1&amp;secret_key=BX%25IJ%24%2F65ieZ%29f6", 2757118)</f>
        <v>2757118</v>
      </c>
      <c r="C444" s="3">
        <f>HYPERLINK("https://platform.v2.vetology.net/report/v/final/"&amp;2757118, 2757118)</f>
        <v>2757118</v>
      </c>
      <c r="D444" s="3" t="s">
        <v>1893</v>
      </c>
      <c r="E444" s="3" t="s">
        <v>1894</v>
      </c>
      <c r="F444" s="3" t="s">
        <v>1895</v>
      </c>
      <c r="G444" s="3" t="s">
        <v>64</v>
      </c>
      <c r="H444" s="3" t="s">
        <v>1896</v>
      </c>
      <c r="I444" s="3" t="s">
        <v>1897</v>
      </c>
      <c r="J444" s="3" t="s">
        <v>325</v>
      </c>
      <c r="K444" s="3" t="s">
        <v>28</v>
      </c>
      <c r="L444" s="3" t="s">
        <v>27</v>
      </c>
      <c r="M444" s="3" t="s">
        <v>28</v>
      </c>
      <c r="N444" s="3" t="s">
        <v>27</v>
      </c>
      <c r="O444" s="3" t="s">
        <v>27</v>
      </c>
      <c r="P444" s="3" t="s">
        <v>28</v>
      </c>
      <c r="Q444" s="3" t="s">
        <v>27</v>
      </c>
      <c r="R444" s="3" t="s">
        <v>28</v>
      </c>
      <c r="S444" s="3" t="s">
        <v>27</v>
      </c>
      <c r="T444" s="3" t="s">
        <v>28</v>
      </c>
    </row>
    <row r="445" spans="1:20" ht="409.6">
      <c r="A445" s="3">
        <v>2757116</v>
      </c>
      <c r="B445" s="3">
        <f>HYPERLINK("https://platform.v2.vetology.net/cases/2757116/screening-report/6?type=pdf&amp;v=v6&amp;scorecard=1&amp;secret_key=BX%25IJ%24%2F65ieZ%29f6", 2757116)</f>
        <v>2757116</v>
      </c>
      <c r="C445" s="3">
        <f>HYPERLINK("https://platform.v2.vetology.net/report/v/final/"&amp;2757116, 2757116)</f>
        <v>2757116</v>
      </c>
      <c r="D445" s="3" t="s">
        <v>1898</v>
      </c>
      <c r="E445" s="3" t="s">
        <v>1899</v>
      </c>
      <c r="F445" s="3" t="s">
        <v>22</v>
      </c>
      <c r="G445" s="3" t="s">
        <v>372</v>
      </c>
      <c r="H445" s="3" t="s">
        <v>1900</v>
      </c>
      <c r="I445" s="3" t="s">
        <v>1901</v>
      </c>
      <c r="J445" s="3" t="s">
        <v>1902</v>
      </c>
      <c r="K445" s="3" t="s">
        <v>27</v>
      </c>
      <c r="L445" s="3" t="s">
        <v>27</v>
      </c>
      <c r="M445" s="3" t="s">
        <v>27</v>
      </c>
      <c r="N445" s="3" t="s">
        <v>28</v>
      </c>
      <c r="O445" s="3" t="s">
        <v>27</v>
      </c>
      <c r="P445" s="3" t="s">
        <v>27</v>
      </c>
      <c r="Q445" s="3" t="s">
        <v>27</v>
      </c>
      <c r="R445" s="3" t="s">
        <v>28</v>
      </c>
      <c r="S445" s="3" t="s">
        <v>28</v>
      </c>
      <c r="T445" s="3" t="s">
        <v>28</v>
      </c>
    </row>
    <row r="446" spans="1:20" ht="381.75">
      <c r="A446" s="3">
        <v>2757094</v>
      </c>
      <c r="B446" s="3">
        <f>HYPERLINK("https://platform.v2.vetology.net/cases/2757094/screening-report/6?type=pdf&amp;v=v6&amp;scorecard=1&amp;secret_key=BX%25IJ%24%2F65ieZ%29f6", 2757094)</f>
        <v>2757094</v>
      </c>
      <c r="C446" s="3">
        <f>HYPERLINK("https://platform.v2.vetology.net/report/v/final/"&amp;2757094, 2757094)</f>
        <v>2757094</v>
      </c>
      <c r="D446" s="3" t="s">
        <v>1903</v>
      </c>
      <c r="E446" s="3" t="s">
        <v>1904</v>
      </c>
      <c r="F446" s="3" t="s">
        <v>22</v>
      </c>
      <c r="G446" s="3" t="s">
        <v>23</v>
      </c>
      <c r="H446" s="3" t="s">
        <v>1905</v>
      </c>
      <c r="I446" s="3" t="s">
        <v>37</v>
      </c>
      <c r="J446" s="3" t="s">
        <v>38</v>
      </c>
      <c r="K446" s="3" t="s">
        <v>28</v>
      </c>
      <c r="L446" s="3" t="s">
        <v>28</v>
      </c>
      <c r="M446" s="3" t="s">
        <v>28</v>
      </c>
      <c r="N446" s="3" t="s">
        <v>28</v>
      </c>
      <c r="O446" s="3" t="s">
        <v>27</v>
      </c>
      <c r="P446" s="3" t="s">
        <v>28</v>
      </c>
      <c r="Q446" s="3" t="s">
        <v>28</v>
      </c>
      <c r="R446" s="3" t="s">
        <v>28</v>
      </c>
      <c r="S446" s="3" t="s">
        <v>28</v>
      </c>
      <c r="T446" s="3" t="s">
        <v>28</v>
      </c>
    </row>
    <row r="447" spans="1:20" ht="275.25">
      <c r="A447" s="3">
        <v>2757077</v>
      </c>
      <c r="B447" s="3">
        <f>HYPERLINK("https://platform.v2.vetology.net/cases/2757077/screening-report/6?type=pdf&amp;v=v6&amp;scorecard=1&amp;secret_key=BX%25IJ%24%2F65ieZ%29f6", 2757077)</f>
        <v>2757077</v>
      </c>
      <c r="C447" s="3">
        <f>HYPERLINK("https://platform.v2.vetology.net/report/v/final/"&amp;2757077, 2757077)</f>
        <v>2757077</v>
      </c>
      <c r="D447" s="3" t="s">
        <v>1906</v>
      </c>
      <c r="E447" s="3" t="s">
        <v>1907</v>
      </c>
      <c r="F447" s="3" t="s">
        <v>1908</v>
      </c>
      <c r="G447" s="3" t="s">
        <v>496</v>
      </c>
      <c r="H447" s="3" t="s">
        <v>1909</v>
      </c>
      <c r="I447" s="3" t="s">
        <v>261</v>
      </c>
      <c r="J447" s="3" t="s">
        <v>262</v>
      </c>
      <c r="K447" s="3" t="s">
        <v>27</v>
      </c>
      <c r="L447" s="3" t="s">
        <v>28</v>
      </c>
      <c r="M447" s="3" t="s">
        <v>27</v>
      </c>
      <c r="N447" s="3" t="s">
        <v>28</v>
      </c>
      <c r="O447" s="3" t="s">
        <v>27</v>
      </c>
      <c r="P447" s="3" t="s">
        <v>28</v>
      </c>
      <c r="Q447" s="3" t="s">
        <v>27</v>
      </c>
      <c r="R447" s="3" t="s">
        <v>28</v>
      </c>
      <c r="S447" s="3" t="s">
        <v>28</v>
      </c>
      <c r="T447" s="3" t="s">
        <v>28</v>
      </c>
    </row>
    <row r="448" spans="1:20" ht="409.6">
      <c r="A448" s="3">
        <v>2757072</v>
      </c>
      <c r="B448" s="3">
        <f>HYPERLINK("https://platform.v2.vetology.net/cases/2757072/screening-report/6?type=pdf&amp;v=v6&amp;scorecard=1&amp;secret_key=BX%25IJ%24%2F65ieZ%29f6", 2757072)</f>
        <v>2757072</v>
      </c>
      <c r="C448" s="3">
        <f>HYPERLINK("https://platform.v2.vetology.net/report/v/final/"&amp;2757072, 2757072)</f>
        <v>2757072</v>
      </c>
      <c r="D448" s="3" t="s">
        <v>1910</v>
      </c>
      <c r="E448" s="3" t="s">
        <v>1911</v>
      </c>
      <c r="F448" s="3" t="s">
        <v>691</v>
      </c>
      <c r="G448" s="3" t="s">
        <v>57</v>
      </c>
      <c r="H448" s="3" t="s">
        <v>851</v>
      </c>
      <c r="I448" s="3" t="s">
        <v>32</v>
      </c>
      <c r="J448" s="3" t="s">
        <v>33</v>
      </c>
      <c r="K448" s="3" t="s">
        <v>28</v>
      </c>
      <c r="L448" s="3" t="s">
        <v>28</v>
      </c>
      <c r="M448" s="3" t="s">
        <v>28</v>
      </c>
      <c r="N448" s="3" t="s">
        <v>28</v>
      </c>
      <c r="O448" s="3" t="s">
        <v>28</v>
      </c>
      <c r="P448" s="3" t="s">
        <v>28</v>
      </c>
      <c r="Q448" s="3" t="s">
        <v>28</v>
      </c>
      <c r="R448" s="3" t="s">
        <v>28</v>
      </c>
      <c r="S448" s="3" t="s">
        <v>28</v>
      </c>
      <c r="T448" s="3" t="s">
        <v>28</v>
      </c>
    </row>
    <row r="449" spans="1:20" ht="409.6">
      <c r="A449" s="3">
        <v>2757057</v>
      </c>
      <c r="B449" s="3">
        <f>HYPERLINK("https://platform.v2.vetology.net/cases/2757057/screening-report/6?type=pdf&amp;v=v6&amp;scorecard=1&amp;secret_key=BX%25IJ%24%2F65ieZ%29f6", 2757057)</f>
        <v>2757057</v>
      </c>
      <c r="C449" s="3">
        <f>HYPERLINK("https://platform.v2.vetology.net/report/v/final/"&amp;2757057, 2757057)</f>
        <v>2757057</v>
      </c>
      <c r="D449" s="3" t="s">
        <v>1912</v>
      </c>
      <c r="E449" s="3" t="s">
        <v>1913</v>
      </c>
      <c r="F449" s="3" t="s">
        <v>1914</v>
      </c>
      <c r="G449" s="3" t="s">
        <v>566</v>
      </c>
      <c r="H449" s="3" t="s">
        <v>1915</v>
      </c>
      <c r="I449" s="3" t="s">
        <v>1916</v>
      </c>
      <c r="J449" s="3" t="s">
        <v>1917</v>
      </c>
      <c r="K449" s="3" t="s">
        <v>28</v>
      </c>
      <c r="L449" s="3" t="s">
        <v>28</v>
      </c>
      <c r="M449" s="3" t="s">
        <v>28</v>
      </c>
      <c r="N449" s="3" t="s">
        <v>28</v>
      </c>
      <c r="O449" s="3" t="s">
        <v>27</v>
      </c>
      <c r="P449" s="3" t="s">
        <v>28</v>
      </c>
      <c r="Q449" s="3" t="s">
        <v>28</v>
      </c>
      <c r="R449" s="3" t="s">
        <v>28</v>
      </c>
      <c r="S449" s="3" t="s">
        <v>28</v>
      </c>
      <c r="T449" s="3" t="s">
        <v>27</v>
      </c>
    </row>
    <row r="450" spans="1:20" ht="366">
      <c r="A450" s="3">
        <v>2757048</v>
      </c>
      <c r="B450" s="3">
        <f>HYPERLINK("https://platform.v2.vetology.net/cases/2757048/screening-report/6?type=pdf&amp;v=v6&amp;scorecard=1&amp;secret_key=BX%25IJ%24%2F65ieZ%29f6", 2757048)</f>
        <v>2757048</v>
      </c>
      <c r="C450" s="3">
        <f>HYPERLINK("https://platform.v2.vetology.net/report/v/final/"&amp;2757048, 2757048)</f>
        <v>2757048</v>
      </c>
      <c r="D450" s="3" t="s">
        <v>1918</v>
      </c>
      <c r="E450" s="3" t="s">
        <v>1919</v>
      </c>
      <c r="F450" s="3" t="s">
        <v>1762</v>
      </c>
      <c r="G450" s="3" t="s">
        <v>100</v>
      </c>
      <c r="H450" s="3" t="s">
        <v>1920</v>
      </c>
      <c r="I450" s="3" t="s">
        <v>883</v>
      </c>
      <c r="J450" s="3" t="s">
        <v>884</v>
      </c>
      <c r="K450" s="3" t="s">
        <v>28</v>
      </c>
      <c r="L450" s="3" t="s">
        <v>28</v>
      </c>
      <c r="M450" s="3" t="s">
        <v>28</v>
      </c>
      <c r="N450" s="3" t="s">
        <v>28</v>
      </c>
      <c r="O450" s="3" t="s">
        <v>28</v>
      </c>
      <c r="P450" s="3" t="s">
        <v>28</v>
      </c>
      <c r="Q450" s="3" t="s">
        <v>28</v>
      </c>
      <c r="R450" s="3" t="s">
        <v>28</v>
      </c>
      <c r="S450" s="3" t="s">
        <v>28</v>
      </c>
      <c r="T450" s="3" t="s">
        <v>28</v>
      </c>
    </row>
    <row r="451" spans="1:20" ht="409.6">
      <c r="A451" s="3">
        <v>2757022</v>
      </c>
      <c r="B451" s="3">
        <f>HYPERLINK("https://platform.v2.vetology.net/cases/2757022/screening-report/6?type=pdf&amp;v=v6&amp;scorecard=1&amp;secret_key=BX%25IJ%24%2F65ieZ%29f6", 2757022)</f>
        <v>2757022</v>
      </c>
      <c r="C451" s="3">
        <f>HYPERLINK("https://platform.v2.vetology.net/report/v/final/"&amp;2757022, 2757022)</f>
        <v>2757022</v>
      </c>
      <c r="D451" s="3" t="s">
        <v>1921</v>
      </c>
      <c r="E451" s="3" t="s">
        <v>1922</v>
      </c>
      <c r="F451" s="3" t="s">
        <v>1923</v>
      </c>
      <c r="G451" s="3" t="s">
        <v>64</v>
      </c>
      <c r="H451" s="3" t="s">
        <v>1924</v>
      </c>
      <c r="I451" s="3" t="s">
        <v>83</v>
      </c>
      <c r="J451" s="3" t="s">
        <v>84</v>
      </c>
      <c r="K451" s="3" t="s">
        <v>28</v>
      </c>
      <c r="L451" s="3" t="s">
        <v>27</v>
      </c>
      <c r="M451" s="3" t="s">
        <v>28</v>
      </c>
      <c r="N451" s="3" t="s">
        <v>28</v>
      </c>
      <c r="O451" s="3" t="s">
        <v>27</v>
      </c>
      <c r="P451" s="3" t="s">
        <v>28</v>
      </c>
      <c r="Q451" s="3" t="s">
        <v>28</v>
      </c>
      <c r="R451" s="3" t="s">
        <v>28</v>
      </c>
      <c r="S451" s="3" t="s">
        <v>28</v>
      </c>
      <c r="T451" s="3" t="s">
        <v>27</v>
      </c>
    </row>
    <row r="452" spans="1:20" ht="259.5">
      <c r="A452" s="3">
        <v>2757020</v>
      </c>
      <c r="B452" s="3">
        <f>HYPERLINK("https://platform.v2.vetology.net/cases/2757020/screening-report/6?type=pdf&amp;v=v6&amp;scorecard=1&amp;secret_key=BX%25IJ%24%2F65ieZ%29f6", 2757020)</f>
        <v>2757020</v>
      </c>
      <c r="C452" s="3">
        <f>HYPERLINK("https://platform.v2.vetology.net/report/v/final/"&amp;2757020, 2757020)</f>
        <v>2757020</v>
      </c>
      <c r="D452" s="3" t="s">
        <v>1925</v>
      </c>
      <c r="E452" s="3" t="s">
        <v>1926</v>
      </c>
      <c r="F452" s="3" t="s">
        <v>1927</v>
      </c>
      <c r="G452" s="3" t="s">
        <v>186</v>
      </c>
      <c r="H452" s="3" t="s">
        <v>1928</v>
      </c>
      <c r="I452" s="3" t="s">
        <v>1373</v>
      </c>
      <c r="J452" s="3" t="s">
        <v>1374</v>
      </c>
      <c r="K452" s="3" t="s">
        <v>27</v>
      </c>
      <c r="L452" s="3" t="s">
        <v>28</v>
      </c>
      <c r="M452" s="3" t="s">
        <v>27</v>
      </c>
      <c r="N452" s="3" t="s">
        <v>27</v>
      </c>
      <c r="O452" s="3" t="s">
        <v>27</v>
      </c>
      <c r="P452" s="3" t="s">
        <v>28</v>
      </c>
      <c r="Q452" s="3" t="s">
        <v>27</v>
      </c>
      <c r="R452" s="3" t="s">
        <v>28</v>
      </c>
      <c r="S452" s="3" t="s">
        <v>28</v>
      </c>
      <c r="T452" s="3" t="s">
        <v>27</v>
      </c>
    </row>
    <row r="453" spans="1:20" ht="321">
      <c r="A453" s="3">
        <v>2757009</v>
      </c>
      <c r="B453" s="3">
        <f>HYPERLINK("https://platform.v2.vetology.net/cases/2757009/screening-report/6?type=pdf&amp;v=v6&amp;scorecard=1&amp;secret_key=BX%25IJ%24%2F65ieZ%29f6", 2757009)</f>
        <v>2757009</v>
      </c>
      <c r="C453" s="3">
        <f>HYPERLINK("https://platform.v2.vetology.net/report/v/final/"&amp;2757009, 2757009)</f>
        <v>2757009</v>
      </c>
      <c r="D453" s="3" t="s">
        <v>1929</v>
      </c>
      <c r="E453" s="3" t="s">
        <v>1930</v>
      </c>
      <c r="F453" s="3" t="s">
        <v>1931</v>
      </c>
      <c r="G453" s="3" t="s">
        <v>64</v>
      </c>
      <c r="H453" s="3" t="s">
        <v>1932</v>
      </c>
      <c r="I453" s="3" t="s">
        <v>136</v>
      </c>
      <c r="J453" s="3" t="s">
        <v>137</v>
      </c>
      <c r="K453" s="3" t="s">
        <v>28</v>
      </c>
      <c r="L453" s="3" t="s">
        <v>28</v>
      </c>
      <c r="M453" s="3" t="s">
        <v>28</v>
      </c>
      <c r="N453" s="3" t="s">
        <v>28</v>
      </c>
      <c r="O453" s="3" t="s">
        <v>27</v>
      </c>
      <c r="P453" s="3" t="s">
        <v>28</v>
      </c>
      <c r="Q453" s="3" t="s">
        <v>27</v>
      </c>
      <c r="R453" s="3" t="s">
        <v>28</v>
      </c>
      <c r="S453" s="3" t="s">
        <v>28</v>
      </c>
      <c r="T453" s="3" t="s">
        <v>27</v>
      </c>
    </row>
    <row r="454" spans="1:20" ht="305.25">
      <c r="A454" s="3">
        <v>2756989</v>
      </c>
      <c r="B454" s="3">
        <f>HYPERLINK("https://platform.v2.vetology.net/cases/2756989/screening-report/6?type=pdf&amp;v=v6&amp;scorecard=1&amp;secret_key=BX%25IJ%24%2F65ieZ%29f6", 2756989)</f>
        <v>2756989</v>
      </c>
      <c r="C454" s="3">
        <f>HYPERLINK("https://platform.v2.vetology.net/report/v/final/"&amp;2756989, 2756989)</f>
        <v>2756989</v>
      </c>
      <c r="D454" s="3" t="s">
        <v>1933</v>
      </c>
      <c r="E454" s="3" t="s">
        <v>1934</v>
      </c>
      <c r="F454" s="3" t="s">
        <v>1935</v>
      </c>
      <c r="G454" s="3" t="s">
        <v>1772</v>
      </c>
      <c r="H454" s="3" t="s">
        <v>1936</v>
      </c>
      <c r="I454" s="3" t="s">
        <v>1937</v>
      </c>
      <c r="J454" s="3" t="s">
        <v>33</v>
      </c>
      <c r="K454" s="3" t="s">
        <v>28</v>
      </c>
      <c r="L454" s="3" t="s">
        <v>28</v>
      </c>
      <c r="M454" s="3" t="s">
        <v>28</v>
      </c>
      <c r="N454" s="3" t="s">
        <v>28</v>
      </c>
      <c r="O454" s="3" t="s">
        <v>27</v>
      </c>
      <c r="P454" s="3" t="s">
        <v>28</v>
      </c>
      <c r="Q454" s="3" t="s">
        <v>28</v>
      </c>
      <c r="R454" s="3" t="s">
        <v>28</v>
      </c>
      <c r="S454" s="3" t="s">
        <v>28</v>
      </c>
      <c r="T454" s="3" t="s">
        <v>28</v>
      </c>
    </row>
    <row r="455" spans="1:20" ht="381.75">
      <c r="A455" s="3">
        <v>2756971</v>
      </c>
      <c r="B455" s="3">
        <f>HYPERLINK("https://platform.v2.vetology.net/cases/2756971/screening-report/6?type=pdf&amp;v=v6&amp;scorecard=1&amp;secret_key=BX%25IJ%24%2F65ieZ%29f6", 2756971)</f>
        <v>2756971</v>
      </c>
      <c r="C455" s="3">
        <f>HYPERLINK("https://platform.v2.vetology.net/report/v/final/"&amp;2756971, 2756971)</f>
        <v>2756971</v>
      </c>
      <c r="D455" s="3" t="s">
        <v>1938</v>
      </c>
      <c r="E455" s="3" t="s">
        <v>1939</v>
      </c>
      <c r="F455" s="3"/>
      <c r="G455" s="3" t="s">
        <v>100</v>
      </c>
      <c r="H455" s="3" t="s">
        <v>1478</v>
      </c>
      <c r="I455" s="3" t="s">
        <v>279</v>
      </c>
      <c r="J455" s="3" t="s">
        <v>280</v>
      </c>
      <c r="K455" s="3" t="s">
        <v>28</v>
      </c>
      <c r="L455" s="3" t="s">
        <v>28</v>
      </c>
      <c r="M455" s="3" t="s">
        <v>28</v>
      </c>
      <c r="N455" s="3" t="s">
        <v>28</v>
      </c>
      <c r="O455" s="3" t="s">
        <v>27</v>
      </c>
      <c r="P455" s="3" t="s">
        <v>28</v>
      </c>
      <c r="Q455" s="3" t="s">
        <v>28</v>
      </c>
      <c r="R455" s="3" t="s">
        <v>28</v>
      </c>
      <c r="S455" s="3" t="s">
        <v>28</v>
      </c>
      <c r="T455" s="3" t="s">
        <v>27</v>
      </c>
    </row>
    <row r="456" spans="1:20" ht="366">
      <c r="A456" s="3">
        <v>2756938</v>
      </c>
      <c r="B456" s="3">
        <f>HYPERLINK("https://platform.v2.vetology.net/cases/2756938/screening-report/6?type=pdf&amp;v=v6&amp;scorecard=1&amp;secret_key=BX%25IJ%24%2F65ieZ%29f6", 2756938)</f>
        <v>2756938</v>
      </c>
      <c r="C456" s="3">
        <f>HYPERLINK("https://platform.v2.vetology.net/report/v/final/"&amp;2756938, 2756938)</f>
        <v>2756938</v>
      </c>
      <c r="D456" s="3" t="s">
        <v>1940</v>
      </c>
      <c r="E456" s="3" t="s">
        <v>1941</v>
      </c>
      <c r="F456" s="3" t="s">
        <v>1942</v>
      </c>
      <c r="G456" s="3" t="s">
        <v>1772</v>
      </c>
      <c r="H456" s="3" t="s">
        <v>1943</v>
      </c>
      <c r="I456" s="3" t="s">
        <v>993</v>
      </c>
      <c r="J456" s="3" t="s">
        <v>994</v>
      </c>
      <c r="K456" s="3" t="s">
        <v>28</v>
      </c>
      <c r="L456" s="3" t="s">
        <v>28</v>
      </c>
      <c r="M456" s="3" t="s">
        <v>28</v>
      </c>
      <c r="N456" s="3" t="s">
        <v>28</v>
      </c>
      <c r="O456" s="3" t="s">
        <v>27</v>
      </c>
      <c r="P456" s="3" t="s">
        <v>28</v>
      </c>
      <c r="Q456" s="3" t="s">
        <v>28</v>
      </c>
      <c r="R456" s="3" t="s">
        <v>28</v>
      </c>
      <c r="S456" s="3" t="s">
        <v>28</v>
      </c>
      <c r="T456" s="3" t="s">
        <v>28</v>
      </c>
    </row>
    <row r="457" spans="1:20" ht="396.75">
      <c r="A457" s="3">
        <v>2756935</v>
      </c>
      <c r="B457" s="3">
        <f>HYPERLINK("https://platform.v2.vetology.net/cases/2756935/screening-report/6?type=pdf&amp;v=v6&amp;scorecard=1&amp;secret_key=BX%25IJ%24%2F65ieZ%29f6", 2756935)</f>
        <v>2756935</v>
      </c>
      <c r="C457" s="3">
        <f>HYPERLINK("https://platform.v2.vetology.net/report/v/final/"&amp;2756935, 2756935)</f>
        <v>2756935</v>
      </c>
      <c r="D457" s="3" t="s">
        <v>1944</v>
      </c>
      <c r="E457" s="3" t="s">
        <v>1945</v>
      </c>
      <c r="F457" s="3" t="s">
        <v>1946</v>
      </c>
      <c r="G457" s="3" t="s">
        <v>186</v>
      </c>
      <c r="H457" s="3" t="s">
        <v>1947</v>
      </c>
      <c r="I457" s="3" t="s">
        <v>572</v>
      </c>
      <c r="J457" s="3" t="s">
        <v>573</v>
      </c>
      <c r="K457" s="3" t="s">
        <v>28</v>
      </c>
      <c r="L457" s="3" t="s">
        <v>28</v>
      </c>
      <c r="M457" s="3" t="s">
        <v>28</v>
      </c>
      <c r="N457" s="3" t="s">
        <v>28</v>
      </c>
      <c r="O457" s="3" t="s">
        <v>27</v>
      </c>
      <c r="P457" s="3" t="s">
        <v>28</v>
      </c>
      <c r="Q457" s="3" t="s">
        <v>28</v>
      </c>
      <c r="R457" s="3" t="s">
        <v>28</v>
      </c>
      <c r="S457" s="3" t="s">
        <v>28</v>
      </c>
      <c r="T457" s="3" t="s">
        <v>28</v>
      </c>
    </row>
    <row r="458" spans="1:20" ht="381.75">
      <c r="A458" s="3">
        <v>2756913</v>
      </c>
      <c r="B458" s="3">
        <f>HYPERLINK("https://platform.v2.vetology.net/cases/2756913/screening-report/6?type=pdf&amp;v=v6&amp;scorecard=1&amp;secret_key=BX%25IJ%24%2F65ieZ%29f6", 2756913)</f>
        <v>2756913</v>
      </c>
      <c r="C458" s="3">
        <f>HYPERLINK("https://platform.v2.vetology.net/report/v/final/"&amp;2756913, 2756913)</f>
        <v>2756913</v>
      </c>
      <c r="D458" s="3" t="s">
        <v>1948</v>
      </c>
      <c r="E458" s="3" t="s">
        <v>1949</v>
      </c>
      <c r="F458" s="3" t="s">
        <v>1950</v>
      </c>
      <c r="G458" s="3" t="s">
        <v>1772</v>
      </c>
      <c r="H458" s="3" t="s">
        <v>1951</v>
      </c>
      <c r="I458" s="3" t="s">
        <v>1952</v>
      </c>
      <c r="J458" s="3" t="s">
        <v>1953</v>
      </c>
      <c r="K458" s="3" t="s">
        <v>27</v>
      </c>
      <c r="L458" s="3" t="s">
        <v>27</v>
      </c>
      <c r="M458" s="3" t="s">
        <v>27</v>
      </c>
      <c r="N458" s="3" t="s">
        <v>28</v>
      </c>
      <c r="O458" s="3" t="s">
        <v>27</v>
      </c>
      <c r="P458" s="3" t="s">
        <v>28</v>
      </c>
      <c r="Q458" s="3" t="s">
        <v>27</v>
      </c>
      <c r="R458" s="3" t="s">
        <v>28</v>
      </c>
      <c r="S458" s="3" t="s">
        <v>28</v>
      </c>
      <c r="T458" s="3" t="s">
        <v>27</v>
      </c>
    </row>
    <row r="459" spans="1:20" ht="409.6">
      <c r="A459" s="3">
        <v>2756825</v>
      </c>
      <c r="B459" s="3">
        <f>HYPERLINK("https://platform.v2.vetology.net/cases/2756825/screening-report/6?type=pdf&amp;v=v6&amp;scorecard=1&amp;secret_key=BX%25IJ%24%2F65ieZ%29f6", 2756825)</f>
        <v>2756825</v>
      </c>
      <c r="C459" s="3">
        <f>HYPERLINK("https://platform.v2.vetology.net/report/v/final/"&amp;2756825, 2756825)</f>
        <v>2756825</v>
      </c>
      <c r="D459" s="3" t="s">
        <v>1954</v>
      </c>
      <c r="E459" s="3" t="s">
        <v>1955</v>
      </c>
      <c r="F459" s="3" t="s">
        <v>1956</v>
      </c>
      <c r="G459" s="3" t="s">
        <v>1772</v>
      </c>
      <c r="H459" s="3" t="s">
        <v>658</v>
      </c>
      <c r="I459" s="3" t="s">
        <v>659</v>
      </c>
      <c r="J459" s="3" t="s">
        <v>660</v>
      </c>
      <c r="K459" s="3" t="s">
        <v>27</v>
      </c>
      <c r="L459" s="3" t="s">
        <v>28</v>
      </c>
      <c r="M459" s="3" t="s">
        <v>27</v>
      </c>
      <c r="N459" s="3" t="s">
        <v>28</v>
      </c>
      <c r="O459" s="3" t="s">
        <v>27</v>
      </c>
      <c r="P459" s="3" t="s">
        <v>28</v>
      </c>
      <c r="Q459" s="3" t="s">
        <v>28</v>
      </c>
      <c r="R459" s="3" t="s">
        <v>28</v>
      </c>
      <c r="S459" s="3" t="s">
        <v>27</v>
      </c>
      <c r="T459" s="3" t="s">
        <v>28</v>
      </c>
    </row>
    <row r="460" spans="1:20" ht="290.25">
      <c r="A460" s="3">
        <v>2756775</v>
      </c>
      <c r="B460" s="3">
        <f>HYPERLINK("https://platform.v2.vetology.net/cases/2756775/screening-report/6?type=pdf&amp;v=v6&amp;scorecard=1&amp;secret_key=BX%25IJ%24%2F65ieZ%29f6", 2756775)</f>
        <v>2756775</v>
      </c>
      <c r="C460" s="3">
        <f>HYPERLINK("https://platform.v2.vetology.net/report/v/final/"&amp;2756775, 2756775)</f>
        <v>2756775</v>
      </c>
      <c r="D460" s="3" t="s">
        <v>1957</v>
      </c>
      <c r="E460" s="3" t="s">
        <v>1958</v>
      </c>
      <c r="F460" s="3" t="s">
        <v>1959</v>
      </c>
      <c r="G460" s="3" t="s">
        <v>186</v>
      </c>
      <c r="H460" s="3" t="s">
        <v>1960</v>
      </c>
      <c r="I460" s="3" t="s">
        <v>305</v>
      </c>
      <c r="J460" s="3" t="s">
        <v>119</v>
      </c>
      <c r="K460" s="3" t="s">
        <v>28</v>
      </c>
      <c r="L460" s="3" t="s">
        <v>28</v>
      </c>
      <c r="M460" s="3" t="s">
        <v>28</v>
      </c>
      <c r="N460" s="3" t="s">
        <v>28</v>
      </c>
      <c r="O460" s="3" t="s">
        <v>28</v>
      </c>
      <c r="P460" s="3" t="s">
        <v>28</v>
      </c>
      <c r="Q460" s="3" t="s">
        <v>28</v>
      </c>
      <c r="R460" s="3" t="s">
        <v>28</v>
      </c>
      <c r="S460" s="3" t="s">
        <v>28</v>
      </c>
      <c r="T460" s="3" t="s">
        <v>28</v>
      </c>
    </row>
    <row r="461" spans="1:20" ht="290.25">
      <c r="A461" s="3">
        <v>2756769</v>
      </c>
      <c r="B461" s="3">
        <f>HYPERLINK("https://platform.v2.vetology.net/cases/2756769/screening-report/6?type=pdf&amp;v=v6&amp;scorecard=1&amp;secret_key=BX%25IJ%24%2F65ieZ%29f6", 2756769)</f>
        <v>2756769</v>
      </c>
      <c r="C461" s="3">
        <f>HYPERLINK("https://platform.v2.vetology.net/report/v/final/"&amp;2756769, 2756769)</f>
        <v>2756769</v>
      </c>
      <c r="D461" s="3" t="s">
        <v>1961</v>
      </c>
      <c r="E461" s="3" t="s">
        <v>1962</v>
      </c>
      <c r="F461" s="3" t="s">
        <v>1963</v>
      </c>
      <c r="G461" s="3" t="s">
        <v>186</v>
      </c>
      <c r="H461" s="3" t="s">
        <v>403</v>
      </c>
      <c r="I461" s="3" t="s">
        <v>1964</v>
      </c>
      <c r="J461" s="3" t="s">
        <v>1965</v>
      </c>
      <c r="K461" s="3" t="s">
        <v>28</v>
      </c>
      <c r="L461" s="3" t="s">
        <v>28</v>
      </c>
      <c r="M461" s="3" t="s">
        <v>28</v>
      </c>
      <c r="N461" s="3" t="s">
        <v>28</v>
      </c>
      <c r="O461" s="3" t="s">
        <v>27</v>
      </c>
      <c r="P461" s="3" t="s">
        <v>28</v>
      </c>
      <c r="Q461" s="3" t="s">
        <v>28</v>
      </c>
      <c r="R461" s="3" t="s">
        <v>28</v>
      </c>
      <c r="S461" s="3" t="s">
        <v>28</v>
      </c>
      <c r="T461" s="3" t="s">
        <v>27</v>
      </c>
    </row>
    <row r="462" spans="1:20" ht="167.25">
      <c r="A462" s="3">
        <v>2756709</v>
      </c>
      <c r="B462" s="3">
        <f>HYPERLINK("https://platform.v2.vetology.net/cases/2756709/screening-report/6?type=pdf&amp;v=v6&amp;scorecard=1&amp;secret_key=BX%25IJ%24%2F65ieZ%29f6", 2756709)</f>
        <v>2756709</v>
      </c>
      <c r="C462" s="3">
        <f>HYPERLINK("https://platform.v2.vetology.net/report/v/final/"&amp;2756709, 2756709)</f>
        <v>2756709</v>
      </c>
      <c r="D462" s="3" t="s">
        <v>1966</v>
      </c>
      <c r="E462" s="3" t="s">
        <v>1967</v>
      </c>
      <c r="F462" s="3"/>
      <c r="G462" s="3" t="s">
        <v>100</v>
      </c>
      <c r="H462" s="3" t="s">
        <v>1968</v>
      </c>
      <c r="I462" s="3" t="s">
        <v>305</v>
      </c>
      <c r="J462" s="3" t="s">
        <v>799</v>
      </c>
      <c r="K462" s="3" t="s">
        <v>28</v>
      </c>
      <c r="L462" s="3" t="s">
        <v>28</v>
      </c>
      <c r="M462" s="3" t="s">
        <v>28</v>
      </c>
      <c r="N462" s="3" t="s">
        <v>28</v>
      </c>
      <c r="O462" s="3" t="s">
        <v>28</v>
      </c>
      <c r="P462" s="3" t="s">
        <v>28</v>
      </c>
      <c r="Q462" s="3" t="s">
        <v>28</v>
      </c>
      <c r="R462" s="3" t="s">
        <v>28</v>
      </c>
      <c r="S462" s="3" t="s">
        <v>28</v>
      </c>
      <c r="T462" s="3" t="s">
        <v>28</v>
      </c>
    </row>
    <row r="463" spans="1:20" ht="381.75">
      <c r="A463" s="3">
        <v>2756707</v>
      </c>
      <c r="B463" s="3">
        <f>HYPERLINK("https://platform.v2.vetology.net/cases/2756707/screening-report/6?type=pdf&amp;v=v6&amp;scorecard=1&amp;secret_key=BX%25IJ%24%2F65ieZ%29f6", 2756707)</f>
        <v>2756707</v>
      </c>
      <c r="C463" s="3">
        <f>HYPERLINK("https://platform.v2.vetology.net/report/v/final/"&amp;2756707, 2756707)</f>
        <v>2756707</v>
      </c>
      <c r="D463" s="3" t="s">
        <v>1969</v>
      </c>
      <c r="E463" s="3" t="s">
        <v>1970</v>
      </c>
      <c r="F463" s="3" t="s">
        <v>1971</v>
      </c>
      <c r="G463" s="3" t="s">
        <v>186</v>
      </c>
      <c r="H463" s="3" t="s">
        <v>1972</v>
      </c>
      <c r="I463" s="3"/>
      <c r="J463" s="3" t="s">
        <v>225</v>
      </c>
      <c r="K463" s="3" t="s">
        <v>28</v>
      </c>
      <c r="L463" s="3" t="s">
        <v>28</v>
      </c>
      <c r="M463" s="3" t="s">
        <v>27</v>
      </c>
      <c r="N463" s="3" t="s">
        <v>27</v>
      </c>
      <c r="O463" s="3" t="s">
        <v>27</v>
      </c>
      <c r="P463" s="3" t="s">
        <v>27</v>
      </c>
      <c r="Q463" s="3" t="s">
        <v>27</v>
      </c>
      <c r="R463" s="3" t="s">
        <v>28</v>
      </c>
      <c r="S463" s="3" t="s">
        <v>27</v>
      </c>
      <c r="T463" s="3" t="s">
        <v>27</v>
      </c>
    </row>
    <row r="464" spans="1:20" ht="409.6">
      <c r="A464" s="3">
        <v>2756621</v>
      </c>
      <c r="B464" s="3">
        <f>HYPERLINK("https://platform.v2.vetology.net/cases/2756621/screening-report/6?type=pdf&amp;v=v6&amp;scorecard=1&amp;secret_key=BX%25IJ%24%2F65ieZ%29f6", 2756621)</f>
        <v>2756621</v>
      </c>
      <c r="C464" s="3">
        <f>HYPERLINK("https://platform.v2.vetology.net/report/v/final/"&amp;2756621, 2756621)</f>
        <v>2756621</v>
      </c>
      <c r="D464" s="3" t="s">
        <v>1973</v>
      </c>
      <c r="E464" s="3" t="s">
        <v>21</v>
      </c>
      <c r="F464" s="3" t="s">
        <v>22</v>
      </c>
      <c r="G464" s="3" t="s">
        <v>23</v>
      </c>
      <c r="H464" s="3" t="s">
        <v>938</v>
      </c>
      <c r="I464" s="3" t="s">
        <v>939</v>
      </c>
      <c r="J464" s="3" t="s">
        <v>940</v>
      </c>
      <c r="K464" s="3" t="s">
        <v>27</v>
      </c>
      <c r="L464" s="3" t="s">
        <v>28</v>
      </c>
      <c r="M464" s="3" t="s">
        <v>27</v>
      </c>
      <c r="N464" s="3" t="s">
        <v>28</v>
      </c>
      <c r="O464" s="3" t="s">
        <v>27</v>
      </c>
      <c r="P464" s="3" t="s">
        <v>27</v>
      </c>
      <c r="Q464" s="3" t="s">
        <v>27</v>
      </c>
      <c r="R464" s="3" t="s">
        <v>28</v>
      </c>
      <c r="S464" s="3" t="s">
        <v>28</v>
      </c>
      <c r="T464" s="3" t="s">
        <v>28</v>
      </c>
    </row>
    <row r="465" spans="1:20" ht="409.6">
      <c r="A465" s="3">
        <v>2756566</v>
      </c>
      <c r="B465" s="3">
        <f>HYPERLINK("https://platform.v2.vetology.net/cases/2756566/screening-report/6?type=pdf&amp;v=v6&amp;scorecard=1&amp;secret_key=BX%25IJ%24%2F65ieZ%29f6", 2756566)</f>
        <v>2756566</v>
      </c>
      <c r="C465" s="3">
        <f>HYPERLINK("https://platform.v2.vetology.net/report/v/final/"&amp;2756566, 2756566)</f>
        <v>2756566</v>
      </c>
      <c r="D465" s="3" t="s">
        <v>1974</v>
      </c>
      <c r="E465" s="3" t="s">
        <v>1975</v>
      </c>
      <c r="F465" s="3" t="s">
        <v>1976</v>
      </c>
      <c r="G465" s="3" t="s">
        <v>1772</v>
      </c>
      <c r="H465" s="3" t="s">
        <v>1977</v>
      </c>
      <c r="I465" s="3" t="s">
        <v>1978</v>
      </c>
      <c r="J465" s="3" t="s">
        <v>1979</v>
      </c>
      <c r="K465" s="3" t="s">
        <v>27</v>
      </c>
      <c r="L465" s="3" t="s">
        <v>27</v>
      </c>
      <c r="M465" s="3" t="s">
        <v>28</v>
      </c>
      <c r="N465" s="3" t="s">
        <v>27</v>
      </c>
      <c r="O465" s="3" t="s">
        <v>27</v>
      </c>
      <c r="P465" s="3" t="s">
        <v>28</v>
      </c>
      <c r="Q465" s="3" t="s">
        <v>28</v>
      </c>
      <c r="R465" s="3" t="s">
        <v>28</v>
      </c>
      <c r="S465" s="3" t="s">
        <v>28</v>
      </c>
      <c r="T465" s="3" t="s">
        <v>27</v>
      </c>
    </row>
    <row r="466" spans="1:20" ht="275.25">
      <c r="A466" s="3">
        <v>2756545</v>
      </c>
      <c r="B466" s="3">
        <f>HYPERLINK("https://platform.v2.vetology.net/cases/2756545/screening-report/6?type=pdf&amp;v=v6&amp;scorecard=1&amp;secret_key=BX%25IJ%24%2F65ieZ%29f6", 2756545)</f>
        <v>2756545</v>
      </c>
      <c r="C466" s="3">
        <f>HYPERLINK("https://platform.v2.vetology.net/report/v/final/"&amp;2756545, 2756545)</f>
        <v>2756545</v>
      </c>
      <c r="D466" s="3" t="s">
        <v>1980</v>
      </c>
      <c r="E466" s="3" t="s">
        <v>1981</v>
      </c>
      <c r="F466" s="3" t="s">
        <v>1291</v>
      </c>
      <c r="G466" s="3" t="s">
        <v>100</v>
      </c>
      <c r="H466" s="3" t="s">
        <v>590</v>
      </c>
      <c r="I466" s="3" t="s">
        <v>291</v>
      </c>
      <c r="J466" s="3" t="s">
        <v>225</v>
      </c>
      <c r="K466" s="3" t="s">
        <v>28</v>
      </c>
      <c r="L466" s="3" t="s">
        <v>28</v>
      </c>
      <c r="M466" s="3" t="s">
        <v>28</v>
      </c>
      <c r="N466" s="3" t="s">
        <v>28</v>
      </c>
      <c r="O466" s="3" t="s">
        <v>27</v>
      </c>
      <c r="P466" s="3" t="s">
        <v>28</v>
      </c>
      <c r="Q466" s="3" t="s">
        <v>27</v>
      </c>
      <c r="R466" s="3" t="s">
        <v>28</v>
      </c>
      <c r="S466" s="3" t="s">
        <v>27</v>
      </c>
      <c r="T466" s="3" t="s">
        <v>27</v>
      </c>
    </row>
    <row r="467" spans="1:20" ht="290.25">
      <c r="A467" s="3">
        <v>2756535</v>
      </c>
      <c r="B467" s="3">
        <f>HYPERLINK("https://platform.v2.vetology.net/cases/2756535/screening-report/6?type=pdf&amp;v=v6&amp;scorecard=1&amp;secret_key=BX%25IJ%24%2F65ieZ%29f6", 2756535)</f>
        <v>2756535</v>
      </c>
      <c r="C467" s="3">
        <f>HYPERLINK("https://platform.v2.vetology.net/report/v/final/"&amp;2756535, 2756535)</f>
        <v>2756535</v>
      </c>
      <c r="D467" s="3" t="s">
        <v>1982</v>
      </c>
      <c r="E467" s="3" t="s">
        <v>1983</v>
      </c>
      <c r="F467" s="3" t="s">
        <v>1942</v>
      </c>
      <c r="G467" s="3" t="s">
        <v>1772</v>
      </c>
      <c r="H467" s="3" t="s">
        <v>31</v>
      </c>
      <c r="I467" s="3" t="s">
        <v>32</v>
      </c>
      <c r="J467" s="3" t="s">
        <v>119</v>
      </c>
      <c r="K467" s="3" t="s">
        <v>28</v>
      </c>
      <c r="L467" s="3" t="s">
        <v>28</v>
      </c>
      <c r="M467" s="3" t="s">
        <v>28</v>
      </c>
      <c r="N467" s="3" t="s">
        <v>28</v>
      </c>
      <c r="O467" s="3" t="s">
        <v>27</v>
      </c>
      <c r="P467" s="3" t="s">
        <v>28</v>
      </c>
      <c r="Q467" s="3" t="s">
        <v>28</v>
      </c>
      <c r="R467" s="3" t="s">
        <v>28</v>
      </c>
      <c r="S467" s="3" t="s">
        <v>28</v>
      </c>
      <c r="T467" s="3" t="s">
        <v>28</v>
      </c>
    </row>
    <row r="468" spans="1:20" ht="409.6">
      <c r="A468" s="3">
        <v>2756302</v>
      </c>
      <c r="B468" s="3">
        <f>HYPERLINK("https://platform.v2.vetology.net/cases/2756302/screening-report/6?type=pdf&amp;v=v6&amp;scorecard=1&amp;secret_key=BX%25IJ%24%2F65ieZ%29f6", 2756302)</f>
        <v>2756302</v>
      </c>
      <c r="C468" s="3">
        <f>HYPERLINK("https://platform.v2.vetology.net/report/v/final/"&amp;2756302, 2756302)</f>
        <v>2756302</v>
      </c>
      <c r="D468" s="3" t="s">
        <v>1984</v>
      </c>
      <c r="E468" s="3" t="s">
        <v>1985</v>
      </c>
      <c r="F468" s="3" t="s">
        <v>22</v>
      </c>
      <c r="G468" s="3" t="s">
        <v>100</v>
      </c>
      <c r="H468" s="3" t="s">
        <v>1986</v>
      </c>
      <c r="I468" s="3" t="s">
        <v>1987</v>
      </c>
      <c r="J468" s="3" t="s">
        <v>1988</v>
      </c>
      <c r="K468" s="3" t="s">
        <v>28</v>
      </c>
      <c r="L468" s="3" t="s">
        <v>27</v>
      </c>
      <c r="M468" s="3" t="s">
        <v>28</v>
      </c>
      <c r="N468" s="3" t="s">
        <v>28</v>
      </c>
      <c r="O468" s="3" t="s">
        <v>27</v>
      </c>
      <c r="P468" s="3" t="s">
        <v>28</v>
      </c>
      <c r="Q468" s="3" t="s">
        <v>27</v>
      </c>
      <c r="R468" s="3" t="s">
        <v>28</v>
      </c>
      <c r="S468" s="3" t="s">
        <v>27</v>
      </c>
      <c r="T468" s="3" t="s">
        <v>27</v>
      </c>
    </row>
    <row r="469" spans="1:20" ht="409.6">
      <c r="A469" s="3">
        <v>2756296</v>
      </c>
      <c r="B469" s="3">
        <f>HYPERLINK("https://platform.v2.vetology.net/cases/2756296/screening-report/6?type=pdf&amp;v=v6&amp;scorecard=1&amp;secret_key=BX%25IJ%24%2F65ieZ%29f6", 2756296)</f>
        <v>2756296</v>
      </c>
      <c r="C469" s="3">
        <f>HYPERLINK("https://platform.v2.vetology.net/report/v/final/"&amp;2756296, 2756296)</f>
        <v>2756296</v>
      </c>
      <c r="D469" s="3" t="s">
        <v>1989</v>
      </c>
      <c r="E469" s="3" t="s">
        <v>1990</v>
      </c>
      <c r="F469" s="3" t="s">
        <v>1991</v>
      </c>
      <c r="G469" s="3" t="s">
        <v>64</v>
      </c>
      <c r="H469" s="3" t="s">
        <v>31</v>
      </c>
      <c r="I469" s="3" t="s">
        <v>32</v>
      </c>
      <c r="J469" s="3" t="s">
        <v>119</v>
      </c>
      <c r="K469" s="3" t="s">
        <v>28</v>
      </c>
      <c r="L469" s="3" t="s">
        <v>28</v>
      </c>
      <c r="M469" s="3" t="s">
        <v>28</v>
      </c>
      <c r="N469" s="3" t="s">
        <v>28</v>
      </c>
      <c r="O469" s="3" t="s">
        <v>28</v>
      </c>
      <c r="P469" s="3" t="s">
        <v>28</v>
      </c>
      <c r="Q469" s="3" t="s">
        <v>28</v>
      </c>
      <c r="R469" s="3" t="s">
        <v>28</v>
      </c>
      <c r="S469" s="3" t="s">
        <v>28</v>
      </c>
      <c r="T469" s="3" t="s">
        <v>28</v>
      </c>
    </row>
    <row r="470" spans="1:20" ht="290.25">
      <c r="A470" s="3">
        <v>2756282</v>
      </c>
      <c r="B470" s="3">
        <f>HYPERLINK("https://platform.v2.vetology.net/cases/2756282/screening-report/6?type=pdf&amp;v=v6&amp;scorecard=1&amp;secret_key=BX%25IJ%24%2F65ieZ%29f6", 2756282)</f>
        <v>2756282</v>
      </c>
      <c r="C470" s="3">
        <f>HYPERLINK("https://platform.v2.vetology.net/report/v/final/"&amp;2756282, 2756282)</f>
        <v>2756282</v>
      </c>
      <c r="D470" s="3" t="s">
        <v>1992</v>
      </c>
      <c r="E470" s="3" t="s">
        <v>1993</v>
      </c>
      <c r="F470" s="3" t="s">
        <v>22</v>
      </c>
      <c r="G470" s="3" t="s">
        <v>23</v>
      </c>
      <c r="H470" s="3" t="s">
        <v>1994</v>
      </c>
      <c r="I470" s="3" t="s">
        <v>316</v>
      </c>
      <c r="J470" s="3" t="s">
        <v>317</v>
      </c>
      <c r="K470" s="3" t="s">
        <v>28</v>
      </c>
      <c r="L470" s="3" t="s">
        <v>28</v>
      </c>
      <c r="M470" s="3" t="s">
        <v>28</v>
      </c>
      <c r="N470" s="3" t="s">
        <v>28</v>
      </c>
      <c r="O470" s="3" t="s">
        <v>27</v>
      </c>
      <c r="P470" s="3" t="s">
        <v>28</v>
      </c>
      <c r="Q470" s="3" t="s">
        <v>28</v>
      </c>
      <c r="R470" s="3" t="s">
        <v>28</v>
      </c>
      <c r="S470" s="3" t="s">
        <v>28</v>
      </c>
      <c r="T470" s="3" t="s">
        <v>28</v>
      </c>
    </row>
    <row r="471" spans="1:20" ht="409.6">
      <c r="A471" s="3">
        <v>2756272</v>
      </c>
      <c r="B471" s="3">
        <f>HYPERLINK("https://platform.v2.vetology.net/cases/2756272/screening-report/6?type=pdf&amp;v=v6&amp;scorecard=1&amp;secret_key=BX%25IJ%24%2F65ieZ%29f6", 2756272)</f>
        <v>2756272</v>
      </c>
      <c r="C471" s="3">
        <f>HYPERLINK("https://platform.v2.vetology.net/report/v/final/"&amp;2756272, 2756272)</f>
        <v>2756272</v>
      </c>
      <c r="D471" s="3" t="s">
        <v>1995</v>
      </c>
      <c r="E471" s="3" t="s">
        <v>1996</v>
      </c>
      <c r="F471" s="3"/>
      <c r="G471" s="3" t="s">
        <v>372</v>
      </c>
      <c r="H471" s="3" t="s">
        <v>1997</v>
      </c>
      <c r="I471" s="3" t="s">
        <v>1688</v>
      </c>
      <c r="J471" s="3" t="s">
        <v>207</v>
      </c>
      <c r="K471" s="3" t="s">
        <v>27</v>
      </c>
      <c r="L471" s="3" t="s">
        <v>27</v>
      </c>
      <c r="M471" s="3" t="s">
        <v>27</v>
      </c>
      <c r="N471" s="3" t="s">
        <v>28</v>
      </c>
      <c r="O471" s="3" t="s">
        <v>27</v>
      </c>
      <c r="P471" s="3" t="s">
        <v>28</v>
      </c>
      <c r="Q471" s="3" t="s">
        <v>27</v>
      </c>
      <c r="R471" s="3" t="s">
        <v>28</v>
      </c>
      <c r="S471" s="3" t="s">
        <v>28</v>
      </c>
      <c r="T471" s="3" t="s">
        <v>27</v>
      </c>
    </row>
    <row r="472" spans="1:20" ht="366">
      <c r="A472" s="3">
        <v>2756233</v>
      </c>
      <c r="B472" s="3">
        <f>HYPERLINK("https://platform.v2.vetology.net/cases/2756233/screening-report/6?type=pdf&amp;v=v6&amp;scorecard=1&amp;secret_key=BX%25IJ%24%2F65ieZ%29f6", 2756233)</f>
        <v>2756233</v>
      </c>
      <c r="C472" s="3">
        <f>HYPERLINK("https://platform.v2.vetology.net/report/v/final/"&amp;2756233, 2756233)</f>
        <v>2756233</v>
      </c>
      <c r="D472" s="3" t="s">
        <v>1998</v>
      </c>
      <c r="E472" s="3" t="s">
        <v>1999</v>
      </c>
      <c r="F472" s="3" t="s">
        <v>22</v>
      </c>
      <c r="G472" s="3" t="s">
        <v>372</v>
      </c>
      <c r="H472" s="3" t="s">
        <v>362</v>
      </c>
      <c r="I472" s="3" t="s">
        <v>72</v>
      </c>
      <c r="J472" s="3" t="s">
        <v>363</v>
      </c>
      <c r="K472" s="3" t="s">
        <v>28</v>
      </c>
      <c r="L472" s="3" t="s">
        <v>28</v>
      </c>
      <c r="M472" s="3" t="s">
        <v>28</v>
      </c>
      <c r="N472" s="3" t="s">
        <v>27</v>
      </c>
      <c r="O472" s="3" t="s">
        <v>27</v>
      </c>
      <c r="P472" s="3" t="s">
        <v>28</v>
      </c>
      <c r="Q472" s="3" t="s">
        <v>28</v>
      </c>
      <c r="R472" s="3" t="s">
        <v>28</v>
      </c>
      <c r="S472" s="3" t="s">
        <v>28</v>
      </c>
      <c r="T472" s="3" t="s">
        <v>27</v>
      </c>
    </row>
    <row r="473" spans="1:20" ht="305.25">
      <c r="A473" s="3">
        <v>2756209</v>
      </c>
      <c r="B473" s="3">
        <f>HYPERLINK("https://platform.v2.vetology.net/cases/2756209/screening-report/6?type=pdf&amp;v=v6&amp;scorecard=1&amp;secret_key=BX%25IJ%24%2F65ieZ%29f6", 2756209)</f>
        <v>2756209</v>
      </c>
      <c r="C473" s="3">
        <f>HYPERLINK("https://platform.v2.vetology.net/report/v/final/"&amp;2756209, 2756209)</f>
        <v>2756209</v>
      </c>
      <c r="D473" s="3" t="s">
        <v>2000</v>
      </c>
      <c r="E473" s="3" t="s">
        <v>2001</v>
      </c>
      <c r="F473" s="3" t="s">
        <v>1413</v>
      </c>
      <c r="G473" s="3" t="s">
        <v>100</v>
      </c>
      <c r="H473" s="3" t="s">
        <v>601</v>
      </c>
      <c r="I473" s="3" t="s">
        <v>32</v>
      </c>
      <c r="J473" s="3" t="s">
        <v>33</v>
      </c>
      <c r="K473" s="3" t="s">
        <v>28</v>
      </c>
      <c r="L473" s="3" t="s">
        <v>28</v>
      </c>
      <c r="M473" s="3" t="s">
        <v>28</v>
      </c>
      <c r="N473" s="3" t="s">
        <v>28</v>
      </c>
      <c r="O473" s="3" t="s">
        <v>27</v>
      </c>
      <c r="P473" s="3" t="s">
        <v>28</v>
      </c>
      <c r="Q473" s="3" t="s">
        <v>28</v>
      </c>
      <c r="R473" s="3" t="s">
        <v>28</v>
      </c>
      <c r="S473" s="3" t="s">
        <v>28</v>
      </c>
      <c r="T473" s="3" t="s">
        <v>28</v>
      </c>
    </row>
    <row r="474" spans="1:20" ht="409.6">
      <c r="A474" s="3">
        <v>2756200</v>
      </c>
      <c r="B474" s="3">
        <f>HYPERLINK("https://platform.v2.vetology.net/cases/2756200/screening-report/6?type=pdf&amp;v=v6&amp;scorecard=1&amp;secret_key=BX%25IJ%24%2F65ieZ%29f6", 2756200)</f>
        <v>2756200</v>
      </c>
      <c r="C474" s="3">
        <f>HYPERLINK("https://platform.v2.vetology.net/report/v/final/"&amp;2756200, 2756200)</f>
        <v>2756200</v>
      </c>
      <c r="D474" s="3" t="s">
        <v>2002</v>
      </c>
      <c r="E474" s="3" t="s">
        <v>2003</v>
      </c>
      <c r="F474" s="3" t="s">
        <v>2004</v>
      </c>
      <c r="G474" s="3" t="s">
        <v>64</v>
      </c>
      <c r="H474" s="3" t="s">
        <v>887</v>
      </c>
      <c r="I474" s="3" t="s">
        <v>888</v>
      </c>
      <c r="J474" s="3" t="s">
        <v>889</v>
      </c>
      <c r="K474" s="3" t="s">
        <v>27</v>
      </c>
      <c r="L474" s="3" t="s">
        <v>28</v>
      </c>
      <c r="M474" s="3" t="s">
        <v>27</v>
      </c>
      <c r="N474" s="3" t="s">
        <v>28</v>
      </c>
      <c r="O474" s="3" t="s">
        <v>27</v>
      </c>
      <c r="P474" s="3" t="s">
        <v>28</v>
      </c>
      <c r="Q474" s="3" t="s">
        <v>27</v>
      </c>
      <c r="R474" s="3" t="s">
        <v>28</v>
      </c>
      <c r="S474" s="3" t="s">
        <v>28</v>
      </c>
      <c r="T474" s="3" t="s">
        <v>27</v>
      </c>
    </row>
    <row r="475" spans="1:20" ht="305.25">
      <c r="A475" s="3">
        <v>2756062</v>
      </c>
      <c r="B475" s="3">
        <f>HYPERLINK("https://platform.v2.vetology.net/cases/2756062/screening-report/6?type=pdf&amp;v=v6&amp;scorecard=1&amp;secret_key=BX%25IJ%24%2F65ieZ%29f6", 2756062)</f>
        <v>2756062</v>
      </c>
      <c r="C475" s="3">
        <f>HYPERLINK("https://platform.v2.vetology.net/report/v/final/"&amp;2756062, 2756062)</f>
        <v>2756062</v>
      </c>
      <c r="D475" s="3" t="s">
        <v>2005</v>
      </c>
      <c r="E475" s="3" t="s">
        <v>294</v>
      </c>
      <c r="F475" s="3" t="s">
        <v>22</v>
      </c>
      <c r="G475" s="3" t="s">
        <v>23</v>
      </c>
      <c r="H475" s="3" t="s">
        <v>2006</v>
      </c>
      <c r="I475" s="3" t="s">
        <v>1070</v>
      </c>
      <c r="J475" s="3" t="s">
        <v>207</v>
      </c>
      <c r="K475" s="3" t="s">
        <v>28</v>
      </c>
      <c r="L475" s="3" t="s">
        <v>28</v>
      </c>
      <c r="M475" s="3" t="s">
        <v>28</v>
      </c>
      <c r="N475" s="3" t="s">
        <v>28</v>
      </c>
      <c r="O475" s="3" t="s">
        <v>27</v>
      </c>
      <c r="P475" s="3" t="s">
        <v>28</v>
      </c>
      <c r="Q475" s="3" t="s">
        <v>27</v>
      </c>
      <c r="R475" s="3" t="s">
        <v>28</v>
      </c>
      <c r="S475" s="3" t="s">
        <v>28</v>
      </c>
      <c r="T475" s="3" t="s">
        <v>28</v>
      </c>
    </row>
    <row r="476" spans="1:20" ht="409.6">
      <c r="A476" s="3">
        <v>2756061</v>
      </c>
      <c r="B476" s="3">
        <f>HYPERLINK("https://platform.v2.vetology.net/cases/2756061/screening-report/6?type=pdf&amp;v=v6&amp;scorecard=1&amp;secret_key=BX%25IJ%24%2F65ieZ%29f6", 2756061)</f>
        <v>2756061</v>
      </c>
      <c r="C476" s="3">
        <f>HYPERLINK("https://platform.v2.vetology.net/report/v/final/"&amp;2756061, 2756061)</f>
        <v>2756061</v>
      </c>
      <c r="D476" s="3" t="s">
        <v>2007</v>
      </c>
      <c r="E476" s="3" t="s">
        <v>2008</v>
      </c>
      <c r="F476" s="3" t="s">
        <v>2009</v>
      </c>
      <c r="G476" s="3" t="s">
        <v>372</v>
      </c>
      <c r="H476" s="3" t="s">
        <v>2010</v>
      </c>
      <c r="I476" s="3" t="s">
        <v>2011</v>
      </c>
      <c r="J476" s="3" t="s">
        <v>225</v>
      </c>
      <c r="K476" s="3" t="s">
        <v>28</v>
      </c>
      <c r="L476" s="3" t="s">
        <v>27</v>
      </c>
      <c r="M476" s="3" t="s">
        <v>28</v>
      </c>
      <c r="N476" s="3" t="s">
        <v>27</v>
      </c>
      <c r="O476" s="3" t="s">
        <v>27</v>
      </c>
      <c r="P476" s="3" t="s">
        <v>28</v>
      </c>
      <c r="Q476" s="3" t="s">
        <v>27</v>
      </c>
      <c r="R476" s="3" t="s">
        <v>27</v>
      </c>
      <c r="S476" s="3" t="s">
        <v>27</v>
      </c>
      <c r="T476" s="3" t="s">
        <v>27</v>
      </c>
    </row>
    <row r="477" spans="1:20" ht="229.5">
      <c r="A477" s="3">
        <v>2755997</v>
      </c>
      <c r="B477" s="3">
        <f>HYPERLINK("https://platform.v2.vetology.net/cases/2755997/screening-report/6?type=pdf&amp;v=v6&amp;scorecard=1&amp;secret_key=BX%25IJ%24%2F65ieZ%29f6", 2755997)</f>
        <v>2755997</v>
      </c>
      <c r="C477" s="3">
        <f>HYPERLINK("https://platform.v2.vetology.net/report/v/final/"&amp;2755997, 2755997)</f>
        <v>2755997</v>
      </c>
      <c r="D477" s="3" t="s">
        <v>2012</v>
      </c>
      <c r="E477" s="3" t="s">
        <v>1690</v>
      </c>
      <c r="F477" s="3"/>
      <c r="G477" s="3" t="s">
        <v>100</v>
      </c>
      <c r="H477" s="3" t="s">
        <v>2013</v>
      </c>
      <c r="I477" s="3" t="s">
        <v>32</v>
      </c>
      <c r="J477" s="3" t="s">
        <v>119</v>
      </c>
      <c r="K477" s="3" t="s">
        <v>28</v>
      </c>
      <c r="L477" s="3" t="s">
        <v>28</v>
      </c>
      <c r="M477" s="3" t="s">
        <v>28</v>
      </c>
      <c r="N477" s="3" t="s">
        <v>28</v>
      </c>
      <c r="O477" s="3" t="s">
        <v>28</v>
      </c>
      <c r="P477" s="3" t="s">
        <v>28</v>
      </c>
      <c r="Q477" s="3" t="s">
        <v>28</v>
      </c>
      <c r="R477" s="3" t="s">
        <v>28</v>
      </c>
      <c r="S477" s="3" t="s">
        <v>28</v>
      </c>
      <c r="T477" s="3" t="s">
        <v>28</v>
      </c>
    </row>
    <row r="478" spans="1:20" ht="305.25">
      <c r="A478" s="3">
        <v>2755918</v>
      </c>
      <c r="B478" s="3">
        <f>HYPERLINK("https://platform.v2.vetology.net/cases/2755918/screening-report/6?type=pdf&amp;v=v6&amp;scorecard=1&amp;secret_key=BX%25IJ%24%2F65ieZ%29f6", 2755918)</f>
        <v>2755918</v>
      </c>
      <c r="C478" s="3">
        <f>HYPERLINK("https://platform.v2.vetology.net/report/v/final/"&amp;2755918, 2755918)</f>
        <v>2755918</v>
      </c>
      <c r="D478" s="3" t="s">
        <v>2014</v>
      </c>
      <c r="E478" s="3" t="s">
        <v>2015</v>
      </c>
      <c r="F478" s="3" t="s">
        <v>1391</v>
      </c>
      <c r="G478" s="3" t="s">
        <v>496</v>
      </c>
      <c r="H478" s="3" t="s">
        <v>118</v>
      </c>
      <c r="I478" s="3" t="s">
        <v>32</v>
      </c>
      <c r="J478" s="3" t="s">
        <v>33</v>
      </c>
      <c r="K478" s="3" t="s">
        <v>28</v>
      </c>
      <c r="L478" s="3" t="s">
        <v>28</v>
      </c>
      <c r="M478" s="3" t="s">
        <v>28</v>
      </c>
      <c r="N478" s="3" t="s">
        <v>28</v>
      </c>
      <c r="O478" s="3" t="s">
        <v>27</v>
      </c>
      <c r="P478" s="3" t="s">
        <v>28</v>
      </c>
      <c r="Q478" s="3" t="s">
        <v>28</v>
      </c>
      <c r="R478" s="3" t="s">
        <v>28</v>
      </c>
      <c r="S478" s="3" t="s">
        <v>28</v>
      </c>
      <c r="T478" s="3" t="s">
        <v>28</v>
      </c>
    </row>
    <row r="479" spans="1:20" ht="290.25">
      <c r="A479" s="3">
        <v>2755915</v>
      </c>
      <c r="B479" s="3">
        <f>HYPERLINK("https://platform.v2.vetology.net/cases/2755915/screening-report/6?type=pdf&amp;v=v6&amp;scorecard=1&amp;secret_key=BX%25IJ%24%2F65ieZ%29f6", 2755915)</f>
        <v>2755915</v>
      </c>
      <c r="C479" s="3">
        <f>HYPERLINK("https://platform.v2.vetology.net/report/v/final/"&amp;2755915, 2755915)</f>
        <v>2755915</v>
      </c>
      <c r="D479" s="3" t="s">
        <v>2016</v>
      </c>
      <c r="E479" s="3" t="s">
        <v>2017</v>
      </c>
      <c r="F479" s="3" t="s">
        <v>2018</v>
      </c>
      <c r="G479" s="3" t="s">
        <v>186</v>
      </c>
      <c r="H479" s="3" t="s">
        <v>2019</v>
      </c>
      <c r="I479" s="3" t="s">
        <v>2011</v>
      </c>
      <c r="J479" s="3" t="s">
        <v>225</v>
      </c>
      <c r="K479" s="3" t="s">
        <v>28</v>
      </c>
      <c r="L479" s="3" t="s">
        <v>27</v>
      </c>
      <c r="M479" s="3" t="s">
        <v>28</v>
      </c>
      <c r="N479" s="3" t="s">
        <v>27</v>
      </c>
      <c r="O479" s="3" t="s">
        <v>28</v>
      </c>
      <c r="P479" s="3" t="s">
        <v>28</v>
      </c>
      <c r="Q479" s="3" t="s">
        <v>27</v>
      </c>
      <c r="R479" s="3" t="s">
        <v>27</v>
      </c>
      <c r="S479" s="3" t="s">
        <v>27</v>
      </c>
      <c r="T479" s="3" t="s">
        <v>27</v>
      </c>
    </row>
    <row r="480" spans="1:20" ht="244.5">
      <c r="A480" s="3">
        <v>2755910</v>
      </c>
      <c r="B480" s="3">
        <f>HYPERLINK("https://platform.v2.vetology.net/cases/2755910/screening-report/6?type=pdf&amp;v=v6&amp;scorecard=1&amp;secret_key=BX%25IJ%24%2F65ieZ%29f6", 2755910)</f>
        <v>2755910</v>
      </c>
      <c r="C480" s="3">
        <f>HYPERLINK("https://platform.v2.vetology.net/report/v/final/"&amp;2755910, 2755910)</f>
        <v>2755910</v>
      </c>
      <c r="D480" s="3" t="s">
        <v>2020</v>
      </c>
      <c r="E480" s="3" t="s">
        <v>2021</v>
      </c>
      <c r="F480" s="3" t="s">
        <v>2022</v>
      </c>
      <c r="G480" s="3" t="s">
        <v>186</v>
      </c>
      <c r="H480" s="3" t="s">
        <v>2023</v>
      </c>
      <c r="I480" s="3" t="s">
        <v>2024</v>
      </c>
      <c r="J480" s="3" t="s">
        <v>207</v>
      </c>
      <c r="K480" s="3" t="s">
        <v>28</v>
      </c>
      <c r="L480" s="3" t="s">
        <v>28</v>
      </c>
      <c r="M480" s="3" t="s">
        <v>28</v>
      </c>
      <c r="N480" s="3" t="s">
        <v>28</v>
      </c>
      <c r="O480" s="3" t="s">
        <v>27</v>
      </c>
      <c r="P480" s="3" t="s">
        <v>27</v>
      </c>
      <c r="Q480" s="3" t="s">
        <v>28</v>
      </c>
      <c r="R480" s="3" t="s">
        <v>28</v>
      </c>
      <c r="S480" s="3" t="s">
        <v>28</v>
      </c>
      <c r="T480" s="3" t="s">
        <v>27</v>
      </c>
    </row>
    <row r="481" spans="1:20" ht="409.6">
      <c r="A481" s="3">
        <v>2755889</v>
      </c>
      <c r="B481" s="3">
        <f>HYPERLINK("https://platform.v2.vetology.net/cases/2755889/screening-report/6?type=pdf&amp;v=v6&amp;scorecard=1&amp;secret_key=BX%25IJ%24%2F65ieZ%29f6", 2755889)</f>
        <v>2755889</v>
      </c>
      <c r="C481" s="3">
        <f>HYPERLINK("https://platform.v2.vetology.net/report/v/final/"&amp;2755889, 2755889)</f>
        <v>2755889</v>
      </c>
      <c r="D481" s="3" t="s">
        <v>2025</v>
      </c>
      <c r="E481" s="3" t="s">
        <v>2026</v>
      </c>
      <c r="F481" s="3" t="s">
        <v>2027</v>
      </c>
      <c r="G481" s="3" t="s">
        <v>1772</v>
      </c>
      <c r="H481" s="3" t="s">
        <v>2028</v>
      </c>
      <c r="I481" s="3" t="s">
        <v>2029</v>
      </c>
      <c r="J481" s="3" t="s">
        <v>2030</v>
      </c>
      <c r="K481" s="3" t="s">
        <v>28</v>
      </c>
      <c r="L481" s="3" t="s">
        <v>28</v>
      </c>
      <c r="M481" s="3" t="s">
        <v>28</v>
      </c>
      <c r="N481" s="3" t="s">
        <v>28</v>
      </c>
      <c r="O481" s="3" t="s">
        <v>27</v>
      </c>
      <c r="P481" s="3" t="s">
        <v>28</v>
      </c>
      <c r="Q481" s="3" t="s">
        <v>28</v>
      </c>
      <c r="R481" s="3" t="s">
        <v>28</v>
      </c>
      <c r="S481" s="3" t="s">
        <v>28</v>
      </c>
      <c r="T481" s="3" t="s">
        <v>28</v>
      </c>
    </row>
    <row r="482" spans="1:20" ht="409.6">
      <c r="A482" s="3">
        <v>2755883</v>
      </c>
      <c r="B482" s="3">
        <f>HYPERLINK("https://platform.v2.vetology.net/cases/2755883/screening-report/6?type=pdf&amp;v=v6&amp;scorecard=1&amp;secret_key=BX%25IJ%24%2F65ieZ%29f6", 2755883)</f>
        <v>2755883</v>
      </c>
      <c r="C482" s="3">
        <f>HYPERLINK("https://platform.v2.vetology.net/report/v/final/"&amp;2755883, 2755883)</f>
        <v>2755883</v>
      </c>
      <c r="D482" s="3" t="s">
        <v>2031</v>
      </c>
      <c r="E482" s="3" t="s">
        <v>2032</v>
      </c>
      <c r="F482" s="3" t="s">
        <v>22</v>
      </c>
      <c r="G482" s="3" t="s">
        <v>23</v>
      </c>
      <c r="H482" s="3" t="s">
        <v>31</v>
      </c>
      <c r="I482" s="3" t="s">
        <v>32</v>
      </c>
      <c r="J482" s="3" t="s">
        <v>847</v>
      </c>
      <c r="K482" s="3" t="s">
        <v>28</v>
      </c>
      <c r="L482" s="3" t="s">
        <v>28</v>
      </c>
      <c r="M482" s="3" t="s">
        <v>28</v>
      </c>
      <c r="N482" s="3" t="s">
        <v>28</v>
      </c>
      <c r="O482" s="3" t="s">
        <v>27</v>
      </c>
      <c r="P482" s="3" t="s">
        <v>28</v>
      </c>
      <c r="Q482" s="3" t="s">
        <v>28</v>
      </c>
      <c r="R482" s="3" t="s">
        <v>28</v>
      </c>
      <c r="S482" s="3" t="s">
        <v>28</v>
      </c>
      <c r="T482" s="3" t="s">
        <v>28</v>
      </c>
    </row>
    <row r="483" spans="1:20" ht="305.25">
      <c r="A483" s="3">
        <v>2755861</v>
      </c>
      <c r="B483" s="3">
        <f>HYPERLINK("https://platform.v2.vetology.net/cases/2755861/screening-report/6?type=pdf&amp;v=v6&amp;scorecard=1&amp;secret_key=BX%25IJ%24%2F65ieZ%29f6", 2755861)</f>
        <v>2755861</v>
      </c>
      <c r="C483" s="3">
        <f>HYPERLINK("https://platform.v2.vetology.net/report/v/final/"&amp;2755861, 2755861)</f>
        <v>2755861</v>
      </c>
      <c r="D483" s="3" t="s">
        <v>2033</v>
      </c>
      <c r="E483" s="3" t="s">
        <v>1690</v>
      </c>
      <c r="F483" s="3"/>
      <c r="G483" s="3" t="s">
        <v>100</v>
      </c>
      <c r="H483" s="3" t="s">
        <v>2034</v>
      </c>
      <c r="I483" s="3" t="s">
        <v>32</v>
      </c>
      <c r="J483" s="3" t="s">
        <v>33</v>
      </c>
      <c r="K483" s="3" t="s">
        <v>28</v>
      </c>
      <c r="L483" s="3" t="s">
        <v>28</v>
      </c>
      <c r="M483" s="3" t="s">
        <v>28</v>
      </c>
      <c r="N483" s="3" t="s">
        <v>28</v>
      </c>
      <c r="O483" s="3" t="s">
        <v>27</v>
      </c>
      <c r="P483" s="3" t="s">
        <v>28</v>
      </c>
      <c r="Q483" s="3" t="s">
        <v>28</v>
      </c>
      <c r="R483" s="3" t="s">
        <v>28</v>
      </c>
      <c r="S483" s="3" t="s">
        <v>28</v>
      </c>
      <c r="T483" s="3" t="s">
        <v>28</v>
      </c>
    </row>
    <row r="484" spans="1:20" ht="396.75">
      <c r="A484" s="3">
        <v>2755858</v>
      </c>
      <c r="B484" s="3">
        <f>HYPERLINK("https://platform.v2.vetology.net/cases/2755858/screening-report/6?type=pdf&amp;v=v6&amp;scorecard=1&amp;secret_key=BX%25IJ%24%2F65ieZ%29f6", 2755858)</f>
        <v>2755858</v>
      </c>
      <c r="C484" s="3">
        <f>HYPERLINK("https://platform.v2.vetology.net/report/v/final/"&amp;2755858, 2755858)</f>
        <v>2755858</v>
      </c>
      <c r="D484" s="3" t="s">
        <v>2035</v>
      </c>
      <c r="E484" s="3" t="s">
        <v>2036</v>
      </c>
      <c r="F484" s="3" t="s">
        <v>2037</v>
      </c>
      <c r="G484" s="3" t="s">
        <v>186</v>
      </c>
      <c r="H484" s="3" t="s">
        <v>2038</v>
      </c>
      <c r="I484" s="3" t="s">
        <v>351</v>
      </c>
      <c r="J484" s="3" t="s">
        <v>352</v>
      </c>
      <c r="K484" s="3" t="s">
        <v>28</v>
      </c>
      <c r="L484" s="3" t="s">
        <v>28</v>
      </c>
      <c r="M484" s="3" t="s">
        <v>28</v>
      </c>
      <c r="N484" s="3" t="s">
        <v>28</v>
      </c>
      <c r="O484" s="3" t="s">
        <v>28</v>
      </c>
      <c r="P484" s="3" t="s">
        <v>28</v>
      </c>
      <c r="Q484" s="3" t="s">
        <v>28</v>
      </c>
      <c r="R484" s="3" t="s">
        <v>28</v>
      </c>
      <c r="S484" s="3" t="s">
        <v>28</v>
      </c>
      <c r="T484" s="3" t="s">
        <v>27</v>
      </c>
    </row>
    <row r="485" spans="1:20" ht="229.5">
      <c r="A485" s="3">
        <v>2755855</v>
      </c>
      <c r="B485" s="3">
        <f>HYPERLINK("https://platform.v2.vetology.net/cases/2755855/screening-report/6?type=pdf&amp;v=v6&amp;scorecard=1&amp;secret_key=BX%25IJ%24%2F65ieZ%29f6", 2755855)</f>
        <v>2755855</v>
      </c>
      <c r="C485" s="3">
        <f>HYPERLINK("https://platform.v2.vetology.net/report/v/final/"&amp;2755855, 2755855)</f>
        <v>2755855</v>
      </c>
      <c r="D485" s="3" t="s">
        <v>2039</v>
      </c>
      <c r="E485" s="3" t="s">
        <v>760</v>
      </c>
      <c r="F485" s="3" t="s">
        <v>2040</v>
      </c>
      <c r="G485" s="3" t="s">
        <v>186</v>
      </c>
      <c r="H485" s="3" t="s">
        <v>702</v>
      </c>
      <c r="I485" s="3" t="s">
        <v>2041</v>
      </c>
      <c r="J485" s="3" t="s">
        <v>2042</v>
      </c>
      <c r="K485" s="3" t="s">
        <v>27</v>
      </c>
      <c r="L485" s="3" t="s">
        <v>28</v>
      </c>
      <c r="M485" s="3" t="s">
        <v>28</v>
      </c>
      <c r="N485" s="3" t="s">
        <v>28</v>
      </c>
      <c r="O485" s="3" t="s">
        <v>27</v>
      </c>
      <c r="P485" s="3" t="s">
        <v>28</v>
      </c>
      <c r="Q485" s="3" t="s">
        <v>28</v>
      </c>
      <c r="R485" s="3" t="s">
        <v>28</v>
      </c>
      <c r="S485" s="3" t="s">
        <v>28</v>
      </c>
      <c r="T485" s="3" t="s">
        <v>27</v>
      </c>
    </row>
    <row r="486" spans="1:20" ht="409.6">
      <c r="A486" s="3">
        <v>2755841</v>
      </c>
      <c r="B486" s="3">
        <f>HYPERLINK("https://platform.v2.vetology.net/cases/2755841/screening-report/6?type=pdf&amp;v=v6&amp;scorecard=1&amp;secret_key=BX%25IJ%24%2F65ieZ%29f6", 2755841)</f>
        <v>2755841</v>
      </c>
      <c r="C486" s="3">
        <f>HYPERLINK("https://platform.v2.vetology.net/report/v/final/"&amp;2755841, 2755841)</f>
        <v>2755841</v>
      </c>
      <c r="D486" s="3" t="s">
        <v>2043</v>
      </c>
      <c r="E486" s="3" t="s">
        <v>294</v>
      </c>
      <c r="F486" s="3" t="s">
        <v>22</v>
      </c>
      <c r="G486" s="3" t="s">
        <v>23</v>
      </c>
      <c r="H486" s="3" t="s">
        <v>2044</v>
      </c>
      <c r="I486" s="3" t="s">
        <v>2045</v>
      </c>
      <c r="J486" s="3" t="s">
        <v>2046</v>
      </c>
      <c r="K486" s="3" t="s">
        <v>27</v>
      </c>
      <c r="L486" s="3" t="s">
        <v>28</v>
      </c>
      <c r="M486" s="3" t="s">
        <v>28</v>
      </c>
      <c r="N486" s="3" t="s">
        <v>28</v>
      </c>
      <c r="O486" s="3" t="s">
        <v>27</v>
      </c>
      <c r="P486" s="3" t="s">
        <v>28</v>
      </c>
      <c r="Q486" s="3" t="s">
        <v>27</v>
      </c>
      <c r="R486" s="3" t="s">
        <v>28</v>
      </c>
      <c r="S486" s="3" t="s">
        <v>27</v>
      </c>
      <c r="T486" s="3" t="s">
        <v>28</v>
      </c>
    </row>
    <row r="487" spans="1:20" ht="396.75">
      <c r="A487" s="3">
        <v>2755828</v>
      </c>
      <c r="B487" s="3">
        <f>HYPERLINK("https://platform.v2.vetology.net/cases/2755828/screening-report/6?type=pdf&amp;v=v6&amp;scorecard=1&amp;secret_key=BX%25IJ%24%2F65ieZ%29f6", 2755828)</f>
        <v>2755828</v>
      </c>
      <c r="C487" s="3">
        <f>HYPERLINK("https://platform.v2.vetology.net/report/v/final/"&amp;2755828, 2755828)</f>
        <v>2755828</v>
      </c>
      <c r="D487" s="3" t="s">
        <v>2047</v>
      </c>
      <c r="E487" s="3" t="s">
        <v>2048</v>
      </c>
      <c r="F487" s="3" t="s">
        <v>2049</v>
      </c>
      <c r="G487" s="3" t="s">
        <v>100</v>
      </c>
      <c r="H487" s="3" t="s">
        <v>2050</v>
      </c>
      <c r="I487" s="3" t="s">
        <v>724</v>
      </c>
      <c r="J487" s="3" t="s">
        <v>725</v>
      </c>
      <c r="K487" s="3" t="s">
        <v>28</v>
      </c>
      <c r="L487" s="3" t="s">
        <v>28</v>
      </c>
      <c r="M487" s="3" t="s">
        <v>28</v>
      </c>
      <c r="N487" s="3" t="s">
        <v>28</v>
      </c>
      <c r="O487" s="3" t="s">
        <v>27</v>
      </c>
      <c r="P487" s="3" t="s">
        <v>27</v>
      </c>
      <c r="Q487" s="3" t="s">
        <v>28</v>
      </c>
      <c r="R487" s="3" t="s">
        <v>28</v>
      </c>
      <c r="S487" s="3" t="s">
        <v>28</v>
      </c>
      <c r="T487" s="3" t="s">
        <v>28</v>
      </c>
    </row>
    <row r="488" spans="1:20" ht="366">
      <c r="A488" s="3">
        <v>2755710</v>
      </c>
      <c r="B488" s="3">
        <f>HYPERLINK("https://platform.v2.vetology.net/cases/2755710/screening-report/6?type=pdf&amp;v=v6&amp;scorecard=1&amp;secret_key=BX%25IJ%24%2F65ieZ%29f6", 2755710)</f>
        <v>2755710</v>
      </c>
      <c r="C488" s="3">
        <f>HYPERLINK("https://platform.v2.vetology.net/report/v/final/"&amp;2755710, 2755710)</f>
        <v>2755710</v>
      </c>
      <c r="D488" s="3" t="s">
        <v>2051</v>
      </c>
      <c r="E488" s="3" t="s">
        <v>2052</v>
      </c>
      <c r="F488" s="3" t="s">
        <v>2053</v>
      </c>
      <c r="G488" s="3" t="s">
        <v>186</v>
      </c>
      <c r="H488" s="3" t="s">
        <v>2054</v>
      </c>
      <c r="I488" s="3" t="s">
        <v>768</v>
      </c>
      <c r="J488" s="3" t="s">
        <v>769</v>
      </c>
      <c r="K488" s="3" t="s">
        <v>28</v>
      </c>
      <c r="L488" s="3" t="s">
        <v>28</v>
      </c>
      <c r="M488" s="3" t="s">
        <v>27</v>
      </c>
      <c r="N488" s="3" t="s">
        <v>28</v>
      </c>
      <c r="O488" s="3" t="s">
        <v>27</v>
      </c>
      <c r="P488" s="3" t="s">
        <v>27</v>
      </c>
      <c r="Q488" s="3" t="s">
        <v>28</v>
      </c>
      <c r="R488" s="3" t="s">
        <v>28</v>
      </c>
      <c r="S488" s="3" t="s">
        <v>28</v>
      </c>
      <c r="T488" s="3" t="s">
        <v>27</v>
      </c>
    </row>
    <row r="489" spans="1:20" ht="409.6">
      <c r="A489" s="3">
        <v>2755687</v>
      </c>
      <c r="B489" s="3">
        <f>HYPERLINK("https://platform.v2.vetology.net/cases/2755687/screening-report/6?type=pdf&amp;v=v6&amp;scorecard=1&amp;secret_key=BX%25IJ%24%2F65ieZ%29f6", 2755687)</f>
        <v>2755687</v>
      </c>
      <c r="C489" s="3">
        <f>HYPERLINK("https://platform.v2.vetology.net/report/v/final/"&amp;2755687, 2755687)</f>
        <v>2755687</v>
      </c>
      <c r="D489" s="3" t="s">
        <v>2055</v>
      </c>
      <c r="E489" s="3" t="s">
        <v>2056</v>
      </c>
      <c r="F489" s="3" t="s">
        <v>2057</v>
      </c>
      <c r="G489" s="3" t="s">
        <v>211</v>
      </c>
      <c r="H489" s="3" t="s">
        <v>2058</v>
      </c>
      <c r="I489" s="3" t="s">
        <v>357</v>
      </c>
      <c r="J489" s="3" t="s">
        <v>358</v>
      </c>
      <c r="K489" s="3" t="s">
        <v>28</v>
      </c>
      <c r="L489" s="3" t="s">
        <v>28</v>
      </c>
      <c r="M489" s="3" t="s">
        <v>28</v>
      </c>
      <c r="N489" s="3" t="s">
        <v>28</v>
      </c>
      <c r="O489" s="3" t="s">
        <v>28</v>
      </c>
      <c r="P489" s="3" t="s">
        <v>28</v>
      </c>
      <c r="Q489" s="3" t="s">
        <v>28</v>
      </c>
      <c r="R489" s="3" t="s">
        <v>28</v>
      </c>
      <c r="S489" s="3" t="s">
        <v>28</v>
      </c>
      <c r="T489" s="3" t="s">
        <v>27</v>
      </c>
    </row>
    <row r="490" spans="1:20" ht="305.25">
      <c r="A490" s="3">
        <v>2755653</v>
      </c>
      <c r="B490" s="3">
        <f>HYPERLINK("https://platform.v2.vetology.net/cases/2755653/screening-report/6?type=pdf&amp;v=v6&amp;scorecard=1&amp;secret_key=BX%25IJ%24%2F65ieZ%29f6", 2755653)</f>
        <v>2755653</v>
      </c>
      <c r="C490" s="3">
        <f>HYPERLINK("https://platform.v2.vetology.net/report/v/final/"&amp;2755653, 2755653)</f>
        <v>2755653</v>
      </c>
      <c r="D490" s="3" t="s">
        <v>2059</v>
      </c>
      <c r="E490" s="3" t="s">
        <v>2060</v>
      </c>
      <c r="F490" s="3" t="s">
        <v>2061</v>
      </c>
      <c r="G490" s="3" t="s">
        <v>496</v>
      </c>
      <c r="H490" s="3" t="s">
        <v>590</v>
      </c>
      <c r="I490" s="3" t="s">
        <v>291</v>
      </c>
      <c r="J490" s="3" t="s">
        <v>225</v>
      </c>
      <c r="K490" s="3" t="s">
        <v>28</v>
      </c>
      <c r="L490" s="3" t="s">
        <v>28</v>
      </c>
      <c r="M490" s="3" t="s">
        <v>28</v>
      </c>
      <c r="N490" s="3" t="s">
        <v>27</v>
      </c>
      <c r="O490" s="3" t="s">
        <v>28</v>
      </c>
      <c r="P490" s="3" t="s">
        <v>28</v>
      </c>
      <c r="Q490" s="3" t="s">
        <v>28</v>
      </c>
      <c r="R490" s="3" t="s">
        <v>27</v>
      </c>
      <c r="S490" s="3" t="s">
        <v>27</v>
      </c>
      <c r="T490" s="3" t="s">
        <v>27</v>
      </c>
    </row>
    <row r="491" spans="1:20" ht="351">
      <c r="A491" s="3">
        <v>2755537</v>
      </c>
      <c r="B491" s="3">
        <f>HYPERLINK("https://platform.v2.vetology.net/cases/2755537/screening-report/6?type=pdf&amp;v=v6&amp;scorecard=1&amp;secret_key=BX%25IJ%24%2F65ieZ%29f6", 2755537)</f>
        <v>2755537</v>
      </c>
      <c r="C491" s="3">
        <f>HYPERLINK("https://platform.v2.vetology.net/report/v/final/"&amp;2755537, 2755537)</f>
        <v>2755537</v>
      </c>
      <c r="D491" s="3" t="s">
        <v>2062</v>
      </c>
      <c r="E491" s="3" t="s">
        <v>2063</v>
      </c>
      <c r="F491" s="3" t="s">
        <v>22</v>
      </c>
      <c r="G491" s="3" t="s">
        <v>23</v>
      </c>
      <c r="H491" s="3" t="s">
        <v>2064</v>
      </c>
      <c r="I491" s="3" t="s">
        <v>1472</v>
      </c>
      <c r="J491" s="3" t="s">
        <v>1374</v>
      </c>
      <c r="K491" s="3" t="s">
        <v>28</v>
      </c>
      <c r="L491" s="3" t="s">
        <v>28</v>
      </c>
      <c r="M491" s="3" t="s">
        <v>27</v>
      </c>
      <c r="N491" s="3" t="s">
        <v>28</v>
      </c>
      <c r="O491" s="3" t="s">
        <v>27</v>
      </c>
      <c r="P491" s="3" t="s">
        <v>28</v>
      </c>
      <c r="Q491" s="3" t="s">
        <v>28</v>
      </c>
      <c r="R491" s="3" t="s">
        <v>28</v>
      </c>
      <c r="S491" s="3" t="s">
        <v>28</v>
      </c>
      <c r="T491" s="3" t="s">
        <v>28</v>
      </c>
    </row>
    <row r="492" spans="1:20" ht="366">
      <c r="A492" s="3">
        <v>2755530</v>
      </c>
      <c r="B492" s="3">
        <f>HYPERLINK("https://platform.v2.vetology.net/cases/2755530/screening-report/6?type=pdf&amp;v=v6&amp;scorecard=1&amp;secret_key=BX%25IJ%24%2F65ieZ%29f6", 2755530)</f>
        <v>2755530</v>
      </c>
      <c r="C492" s="3">
        <f>HYPERLINK("https://platform.v2.vetology.net/report/v/final/"&amp;2755530, 2755530)</f>
        <v>2755530</v>
      </c>
      <c r="D492" s="3" t="s">
        <v>2065</v>
      </c>
      <c r="E492" s="3" t="s">
        <v>2066</v>
      </c>
      <c r="F492" s="3" t="s">
        <v>22</v>
      </c>
      <c r="G492" s="3" t="s">
        <v>23</v>
      </c>
      <c r="H492" s="3" t="s">
        <v>2067</v>
      </c>
      <c r="I492" s="3" t="s">
        <v>2068</v>
      </c>
      <c r="J492" s="3" t="s">
        <v>2069</v>
      </c>
      <c r="K492" s="3" t="s">
        <v>28</v>
      </c>
      <c r="L492" s="3" t="s">
        <v>27</v>
      </c>
      <c r="M492" s="3" t="s">
        <v>28</v>
      </c>
      <c r="N492" s="3" t="s">
        <v>27</v>
      </c>
      <c r="O492" s="3" t="s">
        <v>27</v>
      </c>
      <c r="P492" s="3" t="s">
        <v>27</v>
      </c>
      <c r="Q492" s="3" t="s">
        <v>27</v>
      </c>
      <c r="R492" s="3" t="s">
        <v>27</v>
      </c>
      <c r="S492" s="3" t="s">
        <v>27</v>
      </c>
      <c r="T492" s="3" t="s">
        <v>27</v>
      </c>
    </row>
    <row r="493" spans="1:20" ht="321">
      <c r="A493" s="3">
        <v>2755529</v>
      </c>
      <c r="B493" s="3">
        <f>HYPERLINK("https://platform.v2.vetology.net/cases/2755529/screening-report/6?type=pdf&amp;v=v6&amp;scorecard=1&amp;secret_key=BX%25IJ%24%2F65ieZ%29f6", 2755529)</f>
        <v>2755529</v>
      </c>
      <c r="C493" s="3">
        <f>HYPERLINK("https://platform.v2.vetology.net/report/v/final/"&amp;2755529, 2755529)</f>
        <v>2755529</v>
      </c>
      <c r="D493" s="3" t="s">
        <v>2070</v>
      </c>
      <c r="E493" s="3" t="s">
        <v>2071</v>
      </c>
      <c r="F493" s="3" t="s">
        <v>22</v>
      </c>
      <c r="G493" s="3" t="s">
        <v>23</v>
      </c>
      <c r="H493" s="3" t="s">
        <v>2072</v>
      </c>
      <c r="I493" s="3" t="s">
        <v>233</v>
      </c>
      <c r="J493" s="3" t="s">
        <v>234</v>
      </c>
      <c r="K493" s="3" t="s">
        <v>28</v>
      </c>
      <c r="L493" s="3" t="s">
        <v>28</v>
      </c>
      <c r="M493" s="3" t="s">
        <v>27</v>
      </c>
      <c r="N493" s="3" t="s">
        <v>28</v>
      </c>
      <c r="O493" s="3" t="s">
        <v>27</v>
      </c>
      <c r="P493" s="3" t="s">
        <v>28</v>
      </c>
      <c r="Q493" s="3" t="s">
        <v>28</v>
      </c>
      <c r="R493" s="3" t="s">
        <v>28</v>
      </c>
      <c r="S493" s="3" t="s">
        <v>28</v>
      </c>
      <c r="T493" s="3" t="s">
        <v>28</v>
      </c>
    </row>
    <row r="494" spans="1:20" ht="396.75">
      <c r="A494" s="3">
        <v>2755475</v>
      </c>
      <c r="B494" s="3">
        <f>HYPERLINK("https://platform.v2.vetology.net/cases/2755475/screening-report/6?type=pdf&amp;v=v6&amp;scorecard=1&amp;secret_key=BX%25IJ%24%2F65ieZ%29f6", 2755475)</f>
        <v>2755475</v>
      </c>
      <c r="C494" s="3">
        <f>HYPERLINK("https://platform.v2.vetology.net/report/v/final/"&amp;2755475, 2755475)</f>
        <v>2755475</v>
      </c>
      <c r="D494" s="3" t="s">
        <v>2073</v>
      </c>
      <c r="E494" s="3" t="s">
        <v>2074</v>
      </c>
      <c r="F494" s="3" t="s">
        <v>22</v>
      </c>
      <c r="G494" s="3" t="s">
        <v>23</v>
      </c>
      <c r="H494" s="3" t="s">
        <v>1326</v>
      </c>
      <c r="I494" s="3" t="s">
        <v>351</v>
      </c>
      <c r="J494" s="3" t="s">
        <v>352</v>
      </c>
      <c r="K494" s="3" t="s">
        <v>28</v>
      </c>
      <c r="L494" s="3" t="s">
        <v>28</v>
      </c>
      <c r="M494" s="3" t="s">
        <v>28</v>
      </c>
      <c r="N494" s="3" t="s">
        <v>27</v>
      </c>
      <c r="O494" s="3" t="s">
        <v>28</v>
      </c>
      <c r="P494" s="3" t="s">
        <v>28</v>
      </c>
      <c r="Q494" s="3" t="s">
        <v>28</v>
      </c>
      <c r="R494" s="3" t="s">
        <v>28</v>
      </c>
      <c r="S494" s="3" t="s">
        <v>28</v>
      </c>
      <c r="T494" s="3" t="s">
        <v>27</v>
      </c>
    </row>
    <row r="495" spans="1:20" ht="351">
      <c r="A495" s="3">
        <v>2755346</v>
      </c>
      <c r="B495" s="3">
        <f>HYPERLINK("https://platform.v2.vetology.net/cases/2755346/screening-report/6?type=pdf&amp;v=v6&amp;scorecard=1&amp;secret_key=BX%25IJ%24%2F65ieZ%29f6", 2755346)</f>
        <v>2755346</v>
      </c>
      <c r="C495" s="3">
        <f>HYPERLINK("https://platform.v2.vetology.net/report/v/final/"&amp;2755346, 2755346)</f>
        <v>2755346</v>
      </c>
      <c r="D495" s="3" t="s">
        <v>2075</v>
      </c>
      <c r="E495" s="3" t="s">
        <v>2076</v>
      </c>
      <c r="F495" s="3" t="s">
        <v>22</v>
      </c>
      <c r="G495" s="3" t="s">
        <v>23</v>
      </c>
      <c r="H495" s="3" t="s">
        <v>2077</v>
      </c>
      <c r="I495" s="3" t="s">
        <v>2078</v>
      </c>
      <c r="J495" s="3" t="s">
        <v>2079</v>
      </c>
      <c r="K495" s="3" t="s">
        <v>28</v>
      </c>
      <c r="L495" s="3" t="s">
        <v>28</v>
      </c>
      <c r="M495" s="3" t="s">
        <v>28</v>
      </c>
      <c r="N495" s="3" t="s">
        <v>28</v>
      </c>
      <c r="O495" s="3" t="s">
        <v>27</v>
      </c>
      <c r="P495" s="3" t="s">
        <v>28</v>
      </c>
      <c r="Q495" s="3" t="s">
        <v>28</v>
      </c>
      <c r="R495" s="3" t="s">
        <v>28</v>
      </c>
      <c r="S495" s="3" t="s">
        <v>28</v>
      </c>
      <c r="T495" s="3" t="s">
        <v>27</v>
      </c>
    </row>
    <row r="496" spans="1:20" ht="396.75">
      <c r="A496" s="3">
        <v>2755320</v>
      </c>
      <c r="B496" s="3">
        <f>HYPERLINK("https://platform.v2.vetology.net/cases/2755320/screening-report/6?type=pdf&amp;v=v6&amp;scorecard=1&amp;secret_key=BX%25IJ%24%2F65ieZ%29f6", 2755320)</f>
        <v>2755320</v>
      </c>
      <c r="C496" s="3">
        <f>HYPERLINK("https://platform.v2.vetology.net/report/v/final/"&amp;2755320, 2755320)</f>
        <v>2755320</v>
      </c>
      <c r="D496" s="3" t="s">
        <v>2080</v>
      </c>
      <c r="E496" s="3" t="s">
        <v>2081</v>
      </c>
      <c r="F496" s="3" t="s">
        <v>2082</v>
      </c>
      <c r="G496" s="3" t="s">
        <v>186</v>
      </c>
      <c r="H496" s="3" t="s">
        <v>350</v>
      </c>
      <c r="I496" s="3" t="s">
        <v>351</v>
      </c>
      <c r="J496" s="3" t="s">
        <v>352</v>
      </c>
      <c r="K496" s="3" t="s">
        <v>28</v>
      </c>
      <c r="L496" s="3" t="s">
        <v>28</v>
      </c>
      <c r="M496" s="3" t="s">
        <v>28</v>
      </c>
      <c r="N496" s="3" t="s">
        <v>28</v>
      </c>
      <c r="O496" s="3" t="s">
        <v>28</v>
      </c>
      <c r="P496" s="3" t="s">
        <v>28</v>
      </c>
      <c r="Q496" s="3" t="s">
        <v>28</v>
      </c>
      <c r="R496" s="3" t="s">
        <v>28</v>
      </c>
      <c r="S496" s="3" t="s">
        <v>28</v>
      </c>
      <c r="T496" s="3" t="s">
        <v>27</v>
      </c>
    </row>
    <row r="497" spans="1:20" ht="396.75">
      <c r="A497" s="3">
        <v>2755303</v>
      </c>
      <c r="B497" s="3">
        <f>HYPERLINK("https://platform.v2.vetology.net/cases/2755303/screening-report/6?type=pdf&amp;v=v6&amp;scorecard=1&amp;secret_key=BX%25IJ%24%2F65ieZ%29f6", 2755303)</f>
        <v>2755303</v>
      </c>
      <c r="C497" s="3">
        <f>HYPERLINK("https://platform.v2.vetology.net/report/v/final/"&amp;2755303, 2755303)</f>
        <v>2755303</v>
      </c>
      <c r="D497" s="3" t="s">
        <v>2083</v>
      </c>
      <c r="E497" s="3" t="s">
        <v>2084</v>
      </c>
      <c r="F497" s="3" t="s">
        <v>2085</v>
      </c>
      <c r="G497" s="3" t="s">
        <v>23</v>
      </c>
      <c r="H497" s="3" t="s">
        <v>2023</v>
      </c>
      <c r="I497" s="3" t="s">
        <v>2024</v>
      </c>
      <c r="J497" s="3" t="s">
        <v>207</v>
      </c>
      <c r="K497" s="3" t="s">
        <v>27</v>
      </c>
      <c r="L497" s="3" t="s">
        <v>28</v>
      </c>
      <c r="M497" s="3" t="s">
        <v>28</v>
      </c>
      <c r="N497" s="3" t="s">
        <v>28</v>
      </c>
      <c r="O497" s="3" t="s">
        <v>27</v>
      </c>
      <c r="P497" s="3" t="s">
        <v>28</v>
      </c>
      <c r="Q497" s="3" t="s">
        <v>27</v>
      </c>
      <c r="R497" s="3" t="s">
        <v>28</v>
      </c>
      <c r="S497" s="3" t="s">
        <v>28</v>
      </c>
      <c r="T497" s="3" t="s">
        <v>28</v>
      </c>
    </row>
    <row r="498" spans="1:20" ht="290.25">
      <c r="A498" s="3">
        <v>2755283</v>
      </c>
      <c r="B498" s="3">
        <f>HYPERLINK("https://platform.v2.vetology.net/cases/2755283/screening-report/6?type=pdf&amp;v=v6&amp;scorecard=1&amp;secret_key=BX%25IJ%24%2F65ieZ%29f6", 2755283)</f>
        <v>2755283</v>
      </c>
      <c r="C498" s="3">
        <f>HYPERLINK("https://platform.v2.vetology.net/report/v/final/"&amp;2755283, 2755283)</f>
        <v>2755283</v>
      </c>
      <c r="D498" s="3" t="s">
        <v>2086</v>
      </c>
      <c r="E498" s="3" t="s">
        <v>2087</v>
      </c>
      <c r="F498" s="3" t="s">
        <v>2088</v>
      </c>
      <c r="G498" s="3" t="s">
        <v>23</v>
      </c>
      <c r="H498" s="3" t="s">
        <v>944</v>
      </c>
      <c r="I498" s="3" t="s">
        <v>1497</v>
      </c>
      <c r="J498" s="3" t="s">
        <v>847</v>
      </c>
      <c r="K498" s="3" t="s">
        <v>28</v>
      </c>
      <c r="L498" s="3" t="s">
        <v>28</v>
      </c>
      <c r="M498" s="3" t="s">
        <v>28</v>
      </c>
      <c r="N498" s="3" t="s">
        <v>28</v>
      </c>
      <c r="O498" s="3" t="s">
        <v>28</v>
      </c>
      <c r="P498" s="3" t="s">
        <v>28</v>
      </c>
      <c r="Q498" s="3" t="s">
        <v>28</v>
      </c>
      <c r="R498" s="3" t="s">
        <v>28</v>
      </c>
      <c r="S498" s="3" t="s">
        <v>28</v>
      </c>
      <c r="T498" s="3" t="s">
        <v>28</v>
      </c>
    </row>
    <row r="499" spans="1:20" ht="381.75">
      <c r="A499" s="3">
        <v>2755270</v>
      </c>
      <c r="B499" s="3">
        <f>HYPERLINK("https://platform.v2.vetology.net/cases/2755270/screening-report/6?type=pdf&amp;v=v6&amp;scorecard=1&amp;secret_key=BX%25IJ%24%2F65ieZ%29f6", 2755270)</f>
        <v>2755270</v>
      </c>
      <c r="C499" s="3">
        <f>HYPERLINK("https://platform.v2.vetology.net/report/v/final/"&amp;2755270, 2755270)</f>
        <v>2755270</v>
      </c>
      <c r="D499" s="3" t="s">
        <v>2089</v>
      </c>
      <c r="E499" s="3" t="s">
        <v>2090</v>
      </c>
      <c r="F499" s="3" t="s">
        <v>22</v>
      </c>
      <c r="G499" s="3" t="s">
        <v>372</v>
      </c>
      <c r="H499" s="3" t="s">
        <v>855</v>
      </c>
      <c r="I499" s="3" t="s">
        <v>856</v>
      </c>
      <c r="J499" s="3" t="s">
        <v>857</v>
      </c>
      <c r="K499" s="3" t="s">
        <v>28</v>
      </c>
      <c r="L499" s="3" t="s">
        <v>28</v>
      </c>
      <c r="M499" s="3" t="s">
        <v>28</v>
      </c>
      <c r="N499" s="3" t="s">
        <v>28</v>
      </c>
      <c r="O499" s="3" t="s">
        <v>27</v>
      </c>
      <c r="P499" s="3" t="s">
        <v>28</v>
      </c>
      <c r="Q499" s="3" t="s">
        <v>28</v>
      </c>
      <c r="R499" s="3" t="s">
        <v>28</v>
      </c>
      <c r="S499" s="3" t="s">
        <v>28</v>
      </c>
      <c r="T499" s="3" t="s">
        <v>28</v>
      </c>
    </row>
    <row r="500" spans="1:20" ht="305.25">
      <c r="A500" s="3">
        <v>2755254</v>
      </c>
      <c r="B500" s="3">
        <f>HYPERLINK("https://platform.v2.vetology.net/cases/2755254/screening-report/6?type=pdf&amp;v=v6&amp;scorecard=1&amp;secret_key=BX%25IJ%24%2F65ieZ%29f6", 2755254)</f>
        <v>2755254</v>
      </c>
      <c r="C500" s="3">
        <f>HYPERLINK("https://platform.v2.vetology.net/report/v/final/"&amp;2755254, 2755254)</f>
        <v>2755254</v>
      </c>
      <c r="D500" s="3" t="s">
        <v>2091</v>
      </c>
      <c r="E500" s="3" t="s">
        <v>531</v>
      </c>
      <c r="F500" s="3" t="s">
        <v>2092</v>
      </c>
      <c r="G500" s="3" t="s">
        <v>211</v>
      </c>
      <c r="H500" s="3" t="s">
        <v>31</v>
      </c>
      <c r="I500" s="3" t="s">
        <v>32</v>
      </c>
      <c r="J500" s="3" t="s">
        <v>33</v>
      </c>
      <c r="K500" s="3" t="s">
        <v>28</v>
      </c>
      <c r="L500" s="3" t="s">
        <v>28</v>
      </c>
      <c r="M500" s="3" t="s">
        <v>28</v>
      </c>
      <c r="N500" s="3" t="s">
        <v>28</v>
      </c>
      <c r="O500" s="3" t="s">
        <v>28</v>
      </c>
      <c r="P500" s="3" t="s">
        <v>28</v>
      </c>
      <c r="Q500" s="3" t="s">
        <v>28</v>
      </c>
      <c r="R500" s="3" t="s">
        <v>27</v>
      </c>
      <c r="S500" s="3" t="s">
        <v>27</v>
      </c>
      <c r="T500" s="3" t="s">
        <v>28</v>
      </c>
    </row>
    <row r="501" spans="1:20" ht="381.75">
      <c r="A501" s="3">
        <v>2755251</v>
      </c>
      <c r="B501" s="3">
        <f>HYPERLINK("https://platform.v2.vetology.net/cases/2755251/screening-report/6?type=pdf&amp;v=v6&amp;scorecard=1&amp;secret_key=BX%25IJ%24%2F65ieZ%29f6", 2755251)</f>
        <v>2755251</v>
      </c>
      <c r="C501" s="3">
        <f>HYPERLINK("https://platform.v2.vetology.net/report/v/final/"&amp;2755251, 2755251)</f>
        <v>2755251</v>
      </c>
      <c r="D501" s="3" t="s">
        <v>2093</v>
      </c>
      <c r="E501" s="3" t="s">
        <v>2094</v>
      </c>
      <c r="F501" s="3" t="s">
        <v>2095</v>
      </c>
      <c r="G501" s="3" t="s">
        <v>211</v>
      </c>
      <c r="H501" s="3" t="s">
        <v>2096</v>
      </c>
      <c r="I501" s="3" t="s">
        <v>856</v>
      </c>
      <c r="J501" s="3" t="s">
        <v>857</v>
      </c>
      <c r="K501" s="3" t="s">
        <v>27</v>
      </c>
      <c r="L501" s="3" t="s">
        <v>28</v>
      </c>
      <c r="M501" s="3" t="s">
        <v>28</v>
      </c>
      <c r="N501" s="3" t="s">
        <v>28</v>
      </c>
      <c r="O501" s="3" t="s">
        <v>27</v>
      </c>
      <c r="P501" s="3" t="s">
        <v>28</v>
      </c>
      <c r="Q501" s="3" t="s">
        <v>28</v>
      </c>
      <c r="R501" s="3" t="s">
        <v>28</v>
      </c>
      <c r="S501" s="3" t="s">
        <v>28</v>
      </c>
      <c r="T501" s="3" t="s">
        <v>28</v>
      </c>
    </row>
    <row r="502" spans="1:20" ht="381.75">
      <c r="A502" s="3">
        <v>2755245</v>
      </c>
      <c r="B502" s="3">
        <f>HYPERLINK("https://platform.v2.vetology.net/cases/2755245/screening-report/6?type=pdf&amp;v=v6&amp;scorecard=1&amp;secret_key=BX%25IJ%24%2F65ieZ%29f6", 2755245)</f>
        <v>2755245</v>
      </c>
      <c r="C502" s="3">
        <f>HYPERLINK("https://platform.v2.vetology.net/report/v/final/"&amp;2755245, 2755245)</f>
        <v>2755245</v>
      </c>
      <c r="D502" s="3" t="s">
        <v>2097</v>
      </c>
      <c r="E502" s="3" t="s">
        <v>2098</v>
      </c>
      <c r="F502" s="3" t="s">
        <v>2099</v>
      </c>
      <c r="G502" s="3" t="s">
        <v>186</v>
      </c>
      <c r="H502" s="3" t="s">
        <v>2100</v>
      </c>
      <c r="I502" s="3" t="s">
        <v>539</v>
      </c>
      <c r="J502" s="3" t="s">
        <v>540</v>
      </c>
      <c r="K502" s="3" t="s">
        <v>28</v>
      </c>
      <c r="L502" s="3" t="s">
        <v>28</v>
      </c>
      <c r="M502" s="3" t="s">
        <v>28</v>
      </c>
      <c r="N502" s="3" t="s">
        <v>28</v>
      </c>
      <c r="O502" s="3" t="s">
        <v>28</v>
      </c>
      <c r="P502" s="3" t="s">
        <v>28</v>
      </c>
      <c r="Q502" s="3" t="s">
        <v>28</v>
      </c>
      <c r="R502" s="3" t="s">
        <v>28</v>
      </c>
      <c r="S502" s="3" t="s">
        <v>28</v>
      </c>
      <c r="T502" s="3" t="s">
        <v>28</v>
      </c>
    </row>
    <row r="503" spans="1:20" ht="409.6">
      <c r="A503" s="3">
        <v>2755236</v>
      </c>
      <c r="B503" s="3">
        <f>HYPERLINK("https://platform.v2.vetology.net/cases/2755236/screening-report/6?type=pdf&amp;v=v6&amp;scorecard=1&amp;secret_key=BX%25IJ%24%2F65ieZ%29f6", 2755236)</f>
        <v>2755236</v>
      </c>
      <c r="C503" s="3">
        <f>HYPERLINK("https://platform.v2.vetology.net/report/v/final/"&amp;2755236, 2755236)</f>
        <v>2755236</v>
      </c>
      <c r="D503" s="3" t="s">
        <v>2101</v>
      </c>
      <c r="E503" s="3" t="s">
        <v>2102</v>
      </c>
      <c r="F503" s="3" t="s">
        <v>22</v>
      </c>
      <c r="G503" s="3" t="s">
        <v>23</v>
      </c>
      <c r="H503" s="3" t="s">
        <v>2103</v>
      </c>
      <c r="I503" s="3" t="s">
        <v>643</v>
      </c>
      <c r="J503" s="3" t="s">
        <v>143</v>
      </c>
      <c r="K503" s="3" t="s">
        <v>28</v>
      </c>
      <c r="L503" s="3" t="s">
        <v>28</v>
      </c>
      <c r="M503" s="3" t="s">
        <v>28</v>
      </c>
      <c r="N503" s="3" t="s">
        <v>28</v>
      </c>
      <c r="O503" s="3" t="s">
        <v>27</v>
      </c>
      <c r="P503" s="3" t="s">
        <v>28</v>
      </c>
      <c r="Q503" s="3" t="s">
        <v>28</v>
      </c>
      <c r="R503" s="3" t="s">
        <v>28</v>
      </c>
      <c r="S503" s="3" t="s">
        <v>28</v>
      </c>
      <c r="T503" s="3" t="s">
        <v>28</v>
      </c>
    </row>
    <row r="504" spans="1:20" ht="396.75">
      <c r="A504" s="3">
        <v>2755076</v>
      </c>
      <c r="B504" s="3">
        <f>HYPERLINK("https://platform.v2.vetology.net/cases/2755076/screening-report/6?type=pdf&amp;v=v6&amp;scorecard=1&amp;secret_key=BX%25IJ%24%2F65ieZ%29f6", 2755076)</f>
        <v>2755076</v>
      </c>
      <c r="C504" s="3">
        <f>HYPERLINK("https://platform.v2.vetology.net/report/v/final/"&amp;2755076, 2755076)</f>
        <v>2755076</v>
      </c>
      <c r="D504" s="3" t="s">
        <v>2104</v>
      </c>
      <c r="E504" s="3" t="s">
        <v>2105</v>
      </c>
      <c r="F504" s="3" t="s">
        <v>2106</v>
      </c>
      <c r="G504" s="3" t="s">
        <v>186</v>
      </c>
      <c r="H504" s="3" t="s">
        <v>2107</v>
      </c>
      <c r="I504" s="3" t="s">
        <v>2108</v>
      </c>
      <c r="J504" s="3" t="s">
        <v>679</v>
      </c>
      <c r="K504" s="3" t="s">
        <v>28</v>
      </c>
      <c r="L504" s="3" t="s">
        <v>27</v>
      </c>
      <c r="M504" s="3" t="s">
        <v>28</v>
      </c>
      <c r="N504" s="3" t="s">
        <v>27</v>
      </c>
      <c r="O504" s="3" t="s">
        <v>27</v>
      </c>
      <c r="P504" s="3" t="s">
        <v>27</v>
      </c>
      <c r="Q504" s="3" t="s">
        <v>27</v>
      </c>
      <c r="R504" s="3" t="s">
        <v>27</v>
      </c>
      <c r="S504" s="3" t="s">
        <v>27</v>
      </c>
      <c r="T504" s="3" t="s">
        <v>27</v>
      </c>
    </row>
    <row r="505" spans="1:20" ht="409.6">
      <c r="A505" s="3">
        <v>2755072</v>
      </c>
      <c r="B505" s="3">
        <f>HYPERLINK("https://platform.v2.vetology.net/cases/2755072/screening-report/6?type=pdf&amp;v=v6&amp;scorecard=1&amp;secret_key=BX%25IJ%24%2F65ieZ%29f6", 2755072)</f>
        <v>2755072</v>
      </c>
      <c r="C505" s="3">
        <f>HYPERLINK("https://platform.v2.vetology.net/report/v/final/"&amp;2755072, 2755072)</f>
        <v>2755072</v>
      </c>
      <c r="D505" s="3" t="s">
        <v>2109</v>
      </c>
      <c r="E505" s="3" t="s">
        <v>2110</v>
      </c>
      <c r="F505" s="3" t="s">
        <v>2111</v>
      </c>
      <c r="G505" s="3" t="s">
        <v>186</v>
      </c>
      <c r="H505" s="3" t="s">
        <v>146</v>
      </c>
      <c r="I505" s="3" t="s">
        <v>147</v>
      </c>
      <c r="J505" s="3" t="s">
        <v>148</v>
      </c>
      <c r="K505" s="3" t="s">
        <v>28</v>
      </c>
      <c r="L505" s="3" t="s">
        <v>28</v>
      </c>
      <c r="M505" s="3" t="s">
        <v>28</v>
      </c>
      <c r="N505" s="3" t="s">
        <v>28</v>
      </c>
      <c r="O505" s="3" t="s">
        <v>27</v>
      </c>
      <c r="P505" s="3" t="s">
        <v>27</v>
      </c>
      <c r="Q505" s="3" t="s">
        <v>28</v>
      </c>
      <c r="R505" s="3" t="s">
        <v>28</v>
      </c>
      <c r="S505" s="3" t="s">
        <v>28</v>
      </c>
      <c r="T505" s="3" t="s">
        <v>28</v>
      </c>
    </row>
    <row r="506" spans="1:20" ht="275.25">
      <c r="A506" s="3">
        <v>2755059</v>
      </c>
      <c r="B506" s="3">
        <f>HYPERLINK("https://platform.v2.vetology.net/cases/2755059/screening-report/6?type=pdf&amp;v=v6&amp;scorecard=1&amp;secret_key=BX%25IJ%24%2F65ieZ%29f6", 2755059)</f>
        <v>2755059</v>
      </c>
      <c r="C506" s="3">
        <f>HYPERLINK("https://platform.v2.vetology.net/report/v/final/"&amp;2755059, 2755059)</f>
        <v>2755059</v>
      </c>
      <c r="D506" s="3" t="s">
        <v>2112</v>
      </c>
      <c r="E506" s="3" t="s">
        <v>2113</v>
      </c>
      <c r="F506" s="3" t="s">
        <v>2114</v>
      </c>
      <c r="G506" s="3" t="s">
        <v>186</v>
      </c>
      <c r="H506" s="3" t="s">
        <v>2115</v>
      </c>
      <c r="I506" s="3" t="s">
        <v>464</v>
      </c>
      <c r="J506" s="3" t="s">
        <v>297</v>
      </c>
      <c r="K506" s="3" t="s">
        <v>28</v>
      </c>
      <c r="L506" s="3" t="s">
        <v>28</v>
      </c>
      <c r="M506" s="3" t="s">
        <v>28</v>
      </c>
      <c r="N506" s="3" t="s">
        <v>28</v>
      </c>
      <c r="O506" s="3" t="s">
        <v>27</v>
      </c>
      <c r="P506" s="3" t="s">
        <v>28</v>
      </c>
      <c r="Q506" s="3" t="s">
        <v>27</v>
      </c>
      <c r="R506" s="3" t="s">
        <v>28</v>
      </c>
      <c r="S506" s="3" t="s">
        <v>28</v>
      </c>
      <c r="T506" s="3" t="s">
        <v>27</v>
      </c>
    </row>
    <row r="507" spans="1:20" ht="366">
      <c r="A507" s="3">
        <v>2755055</v>
      </c>
      <c r="B507" s="3">
        <f>HYPERLINK("https://platform.v2.vetology.net/cases/2755055/screening-report/6?type=pdf&amp;v=v6&amp;scorecard=1&amp;secret_key=BX%25IJ%24%2F65ieZ%29f6", 2755055)</f>
        <v>2755055</v>
      </c>
      <c r="C507" s="3">
        <f>HYPERLINK("https://platform.v2.vetology.net/report/v/final/"&amp;2755055, 2755055)</f>
        <v>2755055</v>
      </c>
      <c r="D507" s="3" t="s">
        <v>2116</v>
      </c>
      <c r="E507" s="3" t="s">
        <v>2117</v>
      </c>
      <c r="F507" s="3" t="s">
        <v>2118</v>
      </c>
      <c r="G507" s="3" t="s">
        <v>64</v>
      </c>
      <c r="H507" s="3" t="s">
        <v>2119</v>
      </c>
      <c r="I507" s="3" t="s">
        <v>1430</v>
      </c>
      <c r="J507" s="3" t="s">
        <v>1431</v>
      </c>
      <c r="K507" s="3" t="s">
        <v>28</v>
      </c>
      <c r="L507" s="3" t="s">
        <v>28</v>
      </c>
      <c r="M507" s="3" t="s">
        <v>28</v>
      </c>
      <c r="N507" s="3" t="s">
        <v>27</v>
      </c>
      <c r="O507" s="3" t="s">
        <v>27</v>
      </c>
      <c r="P507" s="3" t="s">
        <v>28</v>
      </c>
      <c r="Q507" s="3" t="s">
        <v>27</v>
      </c>
      <c r="R507" s="3" t="s">
        <v>28</v>
      </c>
      <c r="S507" s="3" t="s">
        <v>28</v>
      </c>
      <c r="T507" s="3" t="s">
        <v>27</v>
      </c>
    </row>
    <row r="508" spans="1:20" ht="396.75">
      <c r="A508" s="3">
        <v>2754920</v>
      </c>
      <c r="B508" s="3">
        <f>HYPERLINK("https://platform.v2.vetology.net/cases/2754920/screening-report/6?type=pdf&amp;v=v6&amp;scorecard=1&amp;secret_key=BX%25IJ%24%2F65ieZ%29f6", 2754920)</f>
        <v>2754920</v>
      </c>
      <c r="C508" s="3">
        <f>HYPERLINK("https://platform.v2.vetology.net/report/v/final/"&amp;2754920, 2754920)</f>
        <v>2754920</v>
      </c>
      <c r="D508" s="3" t="s">
        <v>2120</v>
      </c>
      <c r="E508" s="3" t="s">
        <v>2121</v>
      </c>
      <c r="F508" s="3" t="s">
        <v>797</v>
      </c>
      <c r="G508" s="3" t="s">
        <v>122</v>
      </c>
      <c r="H508" s="3" t="s">
        <v>1097</v>
      </c>
      <c r="I508" s="3" t="s">
        <v>469</v>
      </c>
      <c r="J508" s="3" t="s">
        <v>470</v>
      </c>
      <c r="K508" s="3" t="s">
        <v>28</v>
      </c>
      <c r="L508" s="3" t="s">
        <v>28</v>
      </c>
      <c r="M508" s="3" t="s">
        <v>28</v>
      </c>
      <c r="N508" s="3" t="s">
        <v>28</v>
      </c>
      <c r="O508" s="3" t="s">
        <v>27</v>
      </c>
      <c r="P508" s="3" t="s">
        <v>28</v>
      </c>
      <c r="Q508" s="3" t="s">
        <v>28</v>
      </c>
      <c r="R508" s="3" t="s">
        <v>28</v>
      </c>
      <c r="S508" s="3" t="s">
        <v>28</v>
      </c>
      <c r="T508" s="3" t="s">
        <v>28</v>
      </c>
    </row>
    <row r="509" spans="1:20" ht="409.6">
      <c r="A509" s="3">
        <v>2754879</v>
      </c>
      <c r="B509" s="3">
        <f>HYPERLINK("https://platform.v2.vetology.net/cases/2754879/screening-report/6?type=pdf&amp;v=v6&amp;scorecard=1&amp;secret_key=BX%25IJ%24%2F65ieZ%29f6", 2754879)</f>
        <v>2754879</v>
      </c>
      <c r="C509" s="3">
        <f>HYPERLINK("https://platform.v2.vetology.net/report/v/final/"&amp;2754879, 2754879)</f>
        <v>2754879</v>
      </c>
      <c r="D509" s="3" t="s">
        <v>2122</v>
      </c>
      <c r="E509" s="3" t="s">
        <v>2123</v>
      </c>
      <c r="F509" s="3" t="s">
        <v>2124</v>
      </c>
      <c r="G509" s="3" t="s">
        <v>64</v>
      </c>
      <c r="H509" s="3" t="s">
        <v>2125</v>
      </c>
      <c r="I509" s="3" t="s">
        <v>1373</v>
      </c>
      <c r="J509" s="3" t="s">
        <v>1374</v>
      </c>
      <c r="K509" s="3" t="s">
        <v>27</v>
      </c>
      <c r="L509" s="3" t="s">
        <v>27</v>
      </c>
      <c r="M509" s="3" t="s">
        <v>27</v>
      </c>
      <c r="N509" s="3" t="s">
        <v>27</v>
      </c>
      <c r="O509" s="3" t="s">
        <v>27</v>
      </c>
      <c r="P509" s="3" t="s">
        <v>28</v>
      </c>
      <c r="Q509" s="3" t="s">
        <v>28</v>
      </c>
      <c r="R509" s="3" t="s">
        <v>28</v>
      </c>
      <c r="S509" s="3" t="s">
        <v>28</v>
      </c>
      <c r="T509" s="3" t="s">
        <v>27</v>
      </c>
    </row>
    <row r="510" spans="1:20" ht="409.6">
      <c r="A510" s="3">
        <v>2754839</v>
      </c>
      <c r="B510" s="3">
        <f>HYPERLINK("https://platform.v2.vetology.net/cases/2754839/screening-report/6?type=pdf&amp;v=v6&amp;scorecard=1&amp;secret_key=BX%25IJ%24%2F65ieZ%29f6", 2754839)</f>
        <v>2754839</v>
      </c>
      <c r="C510" s="3">
        <f>HYPERLINK("https://platform.v2.vetology.net/report/v/final/"&amp;2754839, 2754839)</f>
        <v>2754839</v>
      </c>
      <c r="D510" s="3" t="s">
        <v>2126</v>
      </c>
      <c r="E510" s="3" t="s">
        <v>2127</v>
      </c>
      <c r="F510" s="3" t="s">
        <v>2128</v>
      </c>
      <c r="G510" s="3" t="s">
        <v>23</v>
      </c>
      <c r="H510" s="3" t="s">
        <v>1443</v>
      </c>
      <c r="I510" s="3" t="s">
        <v>1444</v>
      </c>
      <c r="J510" s="3" t="s">
        <v>1445</v>
      </c>
      <c r="K510" s="3" t="s">
        <v>28</v>
      </c>
      <c r="L510" s="3" t="s">
        <v>28</v>
      </c>
      <c r="M510" s="3" t="s">
        <v>28</v>
      </c>
      <c r="N510" s="3" t="s">
        <v>28</v>
      </c>
      <c r="O510" s="3" t="s">
        <v>27</v>
      </c>
      <c r="P510" s="3" t="s">
        <v>28</v>
      </c>
      <c r="Q510" s="3" t="s">
        <v>28</v>
      </c>
      <c r="R510" s="3" t="s">
        <v>28</v>
      </c>
      <c r="S510" s="3" t="s">
        <v>28</v>
      </c>
      <c r="T510" s="3" t="s">
        <v>28</v>
      </c>
    </row>
    <row r="511" spans="1:20" ht="409.6">
      <c r="A511" s="3">
        <v>2754715</v>
      </c>
      <c r="B511" s="3">
        <f>HYPERLINK("https://platform.v2.vetology.net/cases/2754715/screening-report/6?type=pdf&amp;v=v6&amp;scorecard=1&amp;secret_key=BX%25IJ%24%2F65ieZ%29f6", 2754715)</f>
        <v>2754715</v>
      </c>
      <c r="C511" s="3">
        <f>HYPERLINK("https://platform.v2.vetology.net/report/v/final/"&amp;2754715, 2754715)</f>
        <v>2754715</v>
      </c>
      <c r="D511" s="3" t="s">
        <v>2129</v>
      </c>
      <c r="E511" s="3" t="s">
        <v>2130</v>
      </c>
      <c r="F511" s="3" t="s">
        <v>2131</v>
      </c>
      <c r="G511" s="3" t="s">
        <v>64</v>
      </c>
      <c r="H511" s="3" t="s">
        <v>2132</v>
      </c>
      <c r="I511" s="3" t="s">
        <v>464</v>
      </c>
      <c r="J511" s="3" t="s">
        <v>297</v>
      </c>
      <c r="K511" s="3" t="s">
        <v>27</v>
      </c>
      <c r="L511" s="3" t="s">
        <v>28</v>
      </c>
      <c r="M511" s="3" t="s">
        <v>28</v>
      </c>
      <c r="N511" s="3" t="s">
        <v>28</v>
      </c>
      <c r="O511" s="3" t="s">
        <v>27</v>
      </c>
      <c r="P511" s="3" t="s">
        <v>28</v>
      </c>
      <c r="Q511" s="3" t="s">
        <v>28</v>
      </c>
      <c r="R511" s="3" t="s">
        <v>28</v>
      </c>
      <c r="S511" s="3" t="s">
        <v>27</v>
      </c>
      <c r="T511" s="3" t="s">
        <v>28</v>
      </c>
    </row>
    <row r="512" spans="1:20" ht="409.6">
      <c r="A512" s="3">
        <v>2754666</v>
      </c>
      <c r="B512" s="3">
        <f>HYPERLINK("https://platform.v2.vetology.net/cases/2754666/screening-report/6?type=pdf&amp;v=v6&amp;scorecard=1&amp;secret_key=BX%25IJ%24%2F65ieZ%29f6", 2754666)</f>
        <v>2754666</v>
      </c>
      <c r="C512" s="3">
        <f>HYPERLINK("https://platform.v2.vetology.net/report/v/final/"&amp;2754666, 2754666)</f>
        <v>2754666</v>
      </c>
      <c r="D512" s="3" t="s">
        <v>2133</v>
      </c>
      <c r="E512" s="3" t="s">
        <v>2134</v>
      </c>
      <c r="F512" s="3" t="s">
        <v>22</v>
      </c>
      <c r="G512" s="3" t="s">
        <v>372</v>
      </c>
      <c r="H512" s="3" t="s">
        <v>2135</v>
      </c>
      <c r="I512" s="3" t="s">
        <v>2136</v>
      </c>
      <c r="J512" s="3" t="s">
        <v>2137</v>
      </c>
      <c r="K512" s="3" t="s">
        <v>27</v>
      </c>
      <c r="L512" s="3" t="s">
        <v>28</v>
      </c>
      <c r="M512" s="3" t="s">
        <v>27</v>
      </c>
      <c r="N512" s="3" t="s">
        <v>28</v>
      </c>
      <c r="O512" s="3" t="s">
        <v>27</v>
      </c>
      <c r="P512" s="3" t="s">
        <v>27</v>
      </c>
      <c r="Q512" s="3" t="s">
        <v>27</v>
      </c>
      <c r="R512" s="3" t="s">
        <v>28</v>
      </c>
      <c r="S512" s="3" t="s">
        <v>28</v>
      </c>
      <c r="T512" s="3" t="s">
        <v>28</v>
      </c>
    </row>
    <row r="513" spans="1:20" ht="409.6">
      <c r="A513" s="3">
        <v>2754623</v>
      </c>
      <c r="B513" s="3">
        <f>HYPERLINK("https://platform.v2.vetology.net/cases/2754623/screening-report/6?type=pdf&amp;v=v6&amp;scorecard=1&amp;secret_key=BX%25IJ%24%2F65ieZ%29f6", 2754623)</f>
        <v>2754623</v>
      </c>
      <c r="C513" s="3">
        <f>HYPERLINK("https://platform.v2.vetology.net/report/v/final/"&amp;2754623, 2754623)</f>
        <v>2754623</v>
      </c>
      <c r="D513" s="3" t="s">
        <v>2138</v>
      </c>
      <c r="E513" s="3" t="s">
        <v>2139</v>
      </c>
      <c r="F513" s="3" t="s">
        <v>2140</v>
      </c>
      <c r="G513" s="3" t="s">
        <v>64</v>
      </c>
      <c r="H513" s="3" t="s">
        <v>1259</v>
      </c>
      <c r="I513" s="3"/>
      <c r="J513" s="3" t="s">
        <v>207</v>
      </c>
      <c r="K513" s="3" t="s">
        <v>28</v>
      </c>
      <c r="L513" s="3" t="s">
        <v>28</v>
      </c>
      <c r="M513" s="3" t="s">
        <v>28</v>
      </c>
      <c r="N513" s="3" t="s">
        <v>28</v>
      </c>
      <c r="O513" s="3" t="s">
        <v>27</v>
      </c>
      <c r="P513" s="3" t="s">
        <v>28</v>
      </c>
      <c r="Q513" s="3" t="s">
        <v>28</v>
      </c>
      <c r="R513" s="3" t="s">
        <v>28</v>
      </c>
      <c r="S513" s="3" t="s">
        <v>28</v>
      </c>
      <c r="T513" s="3" t="s">
        <v>28</v>
      </c>
    </row>
    <row r="514" spans="1:20" ht="396.75">
      <c r="A514" s="3">
        <v>2754621</v>
      </c>
      <c r="B514" s="3">
        <f>HYPERLINK("https://platform.v2.vetology.net/cases/2754621/screening-report/6?type=pdf&amp;v=v6&amp;scorecard=1&amp;secret_key=BX%25IJ%24%2F65ieZ%29f6", 2754621)</f>
        <v>2754621</v>
      </c>
      <c r="C514" s="3">
        <f>HYPERLINK("https://platform.v2.vetology.net/report/v/final/"&amp;2754621, 2754621)</f>
        <v>2754621</v>
      </c>
      <c r="D514" s="3" t="s">
        <v>2141</v>
      </c>
      <c r="E514" s="3" t="s">
        <v>2142</v>
      </c>
      <c r="F514" s="3"/>
      <c r="G514" s="3" t="s">
        <v>122</v>
      </c>
      <c r="H514" s="3" t="s">
        <v>2143</v>
      </c>
      <c r="I514" s="3" t="s">
        <v>572</v>
      </c>
      <c r="J514" s="3" t="s">
        <v>573</v>
      </c>
      <c r="K514" s="3" t="s">
        <v>28</v>
      </c>
      <c r="L514" s="3" t="s">
        <v>28</v>
      </c>
      <c r="M514" s="3" t="s">
        <v>27</v>
      </c>
      <c r="N514" s="3" t="s">
        <v>28</v>
      </c>
      <c r="O514" s="3" t="s">
        <v>27</v>
      </c>
      <c r="P514" s="3" t="s">
        <v>28</v>
      </c>
      <c r="Q514" s="3" t="s">
        <v>27</v>
      </c>
      <c r="R514" s="3" t="s">
        <v>28</v>
      </c>
      <c r="S514" s="3" t="s">
        <v>28</v>
      </c>
      <c r="T514" s="3" t="s">
        <v>28</v>
      </c>
    </row>
    <row r="515" spans="1:20" ht="409.6">
      <c r="A515" s="3">
        <v>2754520</v>
      </c>
      <c r="B515" s="3">
        <f>HYPERLINK("https://platform.v2.vetology.net/cases/2754520/screening-report/6?type=pdf&amp;v=v6&amp;scorecard=1&amp;secret_key=BX%25IJ%24%2F65ieZ%29f6", 2754520)</f>
        <v>2754520</v>
      </c>
      <c r="C515" s="3">
        <f>HYPERLINK("https://platform.v2.vetology.net/report/v/final/"&amp;2754520, 2754520)</f>
        <v>2754520</v>
      </c>
      <c r="D515" s="3" t="s">
        <v>2144</v>
      </c>
      <c r="E515" s="3" t="s">
        <v>2145</v>
      </c>
      <c r="F515" s="3" t="s">
        <v>2146</v>
      </c>
      <c r="G515" s="3" t="s">
        <v>64</v>
      </c>
      <c r="H515" s="3" t="s">
        <v>1033</v>
      </c>
      <c r="I515" s="3" t="s">
        <v>1034</v>
      </c>
      <c r="J515" s="3" t="s">
        <v>1035</v>
      </c>
      <c r="K515" s="3" t="s">
        <v>28</v>
      </c>
      <c r="L515" s="3" t="s">
        <v>28</v>
      </c>
      <c r="M515" s="3" t="s">
        <v>28</v>
      </c>
      <c r="N515" s="3" t="s">
        <v>27</v>
      </c>
      <c r="O515" s="3" t="s">
        <v>28</v>
      </c>
      <c r="P515" s="3" t="s">
        <v>28</v>
      </c>
      <c r="Q515" s="3" t="s">
        <v>28</v>
      </c>
      <c r="R515" s="3" t="s">
        <v>27</v>
      </c>
      <c r="S515" s="3" t="s">
        <v>28</v>
      </c>
      <c r="T515" s="3" t="s">
        <v>27</v>
      </c>
    </row>
    <row r="516" spans="1:20" ht="381.75">
      <c r="A516" s="3">
        <v>2754510</v>
      </c>
      <c r="B516" s="3">
        <f>HYPERLINK("https://platform.v2.vetology.net/cases/2754510/screening-report/6?type=pdf&amp;v=v6&amp;scorecard=1&amp;secret_key=BX%25IJ%24%2F65ieZ%29f6", 2754510)</f>
        <v>2754510</v>
      </c>
      <c r="C516" s="3">
        <f>HYPERLINK("https://platform.v2.vetology.net/report/v/final/"&amp;2754510, 2754510)</f>
        <v>2754510</v>
      </c>
      <c r="D516" s="3" t="s">
        <v>2147</v>
      </c>
      <c r="E516" s="3" t="s">
        <v>2148</v>
      </c>
      <c r="F516" s="3" t="s">
        <v>22</v>
      </c>
      <c r="G516" s="3" t="s">
        <v>23</v>
      </c>
      <c r="H516" s="3" t="s">
        <v>419</v>
      </c>
      <c r="I516" s="3" t="s">
        <v>316</v>
      </c>
      <c r="J516" s="3" t="s">
        <v>317</v>
      </c>
      <c r="K516" s="3" t="s">
        <v>28</v>
      </c>
      <c r="L516" s="3" t="s">
        <v>28</v>
      </c>
      <c r="M516" s="3" t="s">
        <v>28</v>
      </c>
      <c r="N516" s="3" t="s">
        <v>28</v>
      </c>
      <c r="O516" s="3" t="s">
        <v>27</v>
      </c>
      <c r="P516" s="3" t="s">
        <v>28</v>
      </c>
      <c r="Q516" s="3" t="s">
        <v>28</v>
      </c>
      <c r="R516" s="3" t="s">
        <v>28</v>
      </c>
      <c r="S516" s="3" t="s">
        <v>28</v>
      </c>
      <c r="T516" s="3" t="s">
        <v>28</v>
      </c>
    </row>
    <row r="517" spans="1:20" ht="409.6">
      <c r="A517" s="3">
        <v>2754456</v>
      </c>
      <c r="B517" s="3">
        <f>HYPERLINK("https://platform.v2.vetology.net/cases/2754456/screening-report/6?type=pdf&amp;v=v6&amp;scorecard=1&amp;secret_key=BX%25IJ%24%2F65ieZ%29f6", 2754456)</f>
        <v>2754456</v>
      </c>
      <c r="C517" s="3">
        <f>HYPERLINK("https://platform.v2.vetology.net/report/v/final/"&amp;2754456, 2754456)</f>
        <v>2754456</v>
      </c>
      <c r="D517" s="3" t="s">
        <v>2149</v>
      </c>
      <c r="E517" s="3" t="s">
        <v>2150</v>
      </c>
      <c r="F517" s="3" t="s">
        <v>22</v>
      </c>
      <c r="G517" s="3" t="s">
        <v>372</v>
      </c>
      <c r="H517" s="3" t="s">
        <v>1467</v>
      </c>
      <c r="I517" s="3" t="s">
        <v>194</v>
      </c>
      <c r="J517" s="3" t="s">
        <v>195</v>
      </c>
      <c r="K517" s="3" t="s">
        <v>28</v>
      </c>
      <c r="L517" s="3" t="s">
        <v>28</v>
      </c>
      <c r="M517" s="3" t="s">
        <v>28</v>
      </c>
      <c r="N517" s="3" t="s">
        <v>27</v>
      </c>
      <c r="O517" s="3" t="s">
        <v>27</v>
      </c>
      <c r="P517" s="3" t="s">
        <v>28</v>
      </c>
      <c r="Q517" s="3" t="s">
        <v>28</v>
      </c>
      <c r="R517" s="3" t="s">
        <v>27</v>
      </c>
      <c r="S517" s="3" t="s">
        <v>27</v>
      </c>
      <c r="T517" s="3" t="s">
        <v>27</v>
      </c>
    </row>
    <row r="518" spans="1:20" ht="409.6">
      <c r="A518" s="3">
        <v>2754398</v>
      </c>
      <c r="B518" s="3">
        <f>HYPERLINK("https://platform.v2.vetology.net/cases/2754398/screening-report/6?type=pdf&amp;v=v6&amp;scorecard=1&amp;secret_key=BX%25IJ%24%2F65ieZ%29f6", 2754398)</f>
        <v>2754398</v>
      </c>
      <c r="C518" s="3">
        <f>HYPERLINK("https://platform.v2.vetology.net/report/v/final/"&amp;2754398, 2754398)</f>
        <v>2754398</v>
      </c>
      <c r="D518" s="3" t="s">
        <v>2151</v>
      </c>
      <c r="E518" s="3" t="s">
        <v>2152</v>
      </c>
      <c r="F518" s="3" t="s">
        <v>2153</v>
      </c>
      <c r="G518" s="3" t="s">
        <v>64</v>
      </c>
      <c r="H518" s="3" t="s">
        <v>2154</v>
      </c>
      <c r="I518" s="3" t="s">
        <v>1020</v>
      </c>
      <c r="J518" s="3" t="s">
        <v>1021</v>
      </c>
      <c r="K518" s="3" t="s">
        <v>27</v>
      </c>
      <c r="L518" s="3" t="s">
        <v>28</v>
      </c>
      <c r="M518" s="3" t="s">
        <v>27</v>
      </c>
      <c r="N518" s="3" t="s">
        <v>28</v>
      </c>
      <c r="O518" s="3" t="s">
        <v>27</v>
      </c>
      <c r="P518" s="3" t="s">
        <v>28</v>
      </c>
      <c r="Q518" s="3" t="s">
        <v>27</v>
      </c>
      <c r="R518" s="3" t="s">
        <v>28</v>
      </c>
      <c r="S518" s="3" t="s">
        <v>28</v>
      </c>
      <c r="T518" s="3" t="s">
        <v>28</v>
      </c>
    </row>
    <row r="519" spans="1:20" ht="381.75">
      <c r="A519" s="3">
        <v>2754365</v>
      </c>
      <c r="B519" s="3">
        <f>HYPERLINK("https://platform.v2.vetology.net/cases/2754365/screening-report/6?type=pdf&amp;v=v6&amp;scorecard=1&amp;secret_key=BX%25IJ%24%2F65ieZ%29f6", 2754365)</f>
        <v>2754365</v>
      </c>
      <c r="C519" s="3">
        <f>HYPERLINK("https://platform.v2.vetology.net/report/v/final/"&amp;2754365, 2754365)</f>
        <v>2754365</v>
      </c>
      <c r="D519" s="3" t="s">
        <v>2155</v>
      </c>
      <c r="E519" s="3" t="s">
        <v>2156</v>
      </c>
      <c r="F519" s="3" t="s">
        <v>2157</v>
      </c>
      <c r="G519" s="3" t="s">
        <v>122</v>
      </c>
      <c r="H519" s="3" t="s">
        <v>2096</v>
      </c>
      <c r="I519" s="3" t="s">
        <v>856</v>
      </c>
      <c r="J519" s="3" t="s">
        <v>857</v>
      </c>
      <c r="K519" s="3" t="s">
        <v>27</v>
      </c>
      <c r="L519" s="3" t="s">
        <v>28</v>
      </c>
      <c r="M519" s="3" t="s">
        <v>28</v>
      </c>
      <c r="N519" s="3" t="s">
        <v>28</v>
      </c>
      <c r="O519" s="3" t="s">
        <v>27</v>
      </c>
      <c r="P519" s="3" t="s">
        <v>28</v>
      </c>
      <c r="Q519" s="3" t="s">
        <v>28</v>
      </c>
      <c r="R519" s="3" t="s">
        <v>28</v>
      </c>
      <c r="S519" s="3" t="s">
        <v>28</v>
      </c>
      <c r="T519" s="3" t="s">
        <v>28</v>
      </c>
    </row>
    <row r="520" spans="1:20" ht="381.75">
      <c r="A520" s="3">
        <v>2754351</v>
      </c>
      <c r="B520" s="3">
        <f>HYPERLINK("https://platform.v2.vetology.net/cases/2754351/screening-report/6?type=pdf&amp;v=v6&amp;scorecard=1&amp;secret_key=BX%25IJ%24%2F65ieZ%29f6", 2754351)</f>
        <v>2754351</v>
      </c>
      <c r="C520" s="3">
        <f>HYPERLINK("https://platform.v2.vetology.net/report/v/final/"&amp;2754351, 2754351)</f>
        <v>2754351</v>
      </c>
      <c r="D520" s="3" t="s">
        <v>2158</v>
      </c>
      <c r="E520" s="3" t="s">
        <v>1230</v>
      </c>
      <c r="F520" s="3" t="s">
        <v>2159</v>
      </c>
      <c r="G520" s="3" t="s">
        <v>100</v>
      </c>
      <c r="H520" s="3" t="s">
        <v>2160</v>
      </c>
      <c r="I520" s="3" t="s">
        <v>1897</v>
      </c>
      <c r="J520" s="3" t="s">
        <v>325</v>
      </c>
      <c r="K520" s="3" t="s">
        <v>28</v>
      </c>
      <c r="L520" s="3" t="s">
        <v>28</v>
      </c>
      <c r="M520" s="3" t="s">
        <v>27</v>
      </c>
      <c r="N520" s="3" t="s">
        <v>28</v>
      </c>
      <c r="O520" s="3" t="s">
        <v>27</v>
      </c>
      <c r="P520" s="3" t="s">
        <v>27</v>
      </c>
      <c r="Q520" s="3" t="s">
        <v>28</v>
      </c>
      <c r="R520" s="3" t="s">
        <v>28</v>
      </c>
      <c r="S520" s="3" t="s">
        <v>28</v>
      </c>
      <c r="T520" s="3" t="s">
        <v>28</v>
      </c>
    </row>
    <row r="521" spans="1:20" ht="366">
      <c r="A521" s="3">
        <v>2754344</v>
      </c>
      <c r="B521" s="3">
        <f>HYPERLINK("https://platform.v2.vetology.net/cases/2754344/screening-report/6?type=pdf&amp;v=v6&amp;scorecard=1&amp;secret_key=BX%25IJ%24%2F65ieZ%29f6", 2754344)</f>
        <v>2754344</v>
      </c>
      <c r="C521" s="3">
        <f>HYPERLINK("https://platform.v2.vetology.net/report/v/final/"&amp;2754344, 2754344)</f>
        <v>2754344</v>
      </c>
      <c r="D521" s="3" t="s">
        <v>2161</v>
      </c>
      <c r="E521" s="3" t="s">
        <v>2162</v>
      </c>
      <c r="F521" s="3" t="s">
        <v>2163</v>
      </c>
      <c r="G521" s="3" t="s">
        <v>64</v>
      </c>
      <c r="H521" s="3" t="s">
        <v>2164</v>
      </c>
      <c r="I521" s="3" t="s">
        <v>2165</v>
      </c>
      <c r="J521" s="3" t="s">
        <v>207</v>
      </c>
      <c r="K521" s="3" t="s">
        <v>28</v>
      </c>
      <c r="L521" s="3" t="s">
        <v>28</v>
      </c>
      <c r="M521" s="3" t="s">
        <v>28</v>
      </c>
      <c r="N521" s="3" t="s">
        <v>28</v>
      </c>
      <c r="O521" s="3" t="s">
        <v>27</v>
      </c>
      <c r="P521" s="3" t="s">
        <v>28</v>
      </c>
      <c r="Q521" s="3" t="s">
        <v>28</v>
      </c>
      <c r="R521" s="3" t="s">
        <v>28</v>
      </c>
      <c r="S521" s="3" t="s">
        <v>28</v>
      </c>
      <c r="T521" s="3" t="s">
        <v>28</v>
      </c>
    </row>
    <row r="522" spans="1:20" ht="351">
      <c r="A522" s="3">
        <v>2754328</v>
      </c>
      <c r="B522" s="3">
        <f>HYPERLINK("https://platform.v2.vetology.net/cases/2754328/screening-report/6?type=pdf&amp;v=v6&amp;scorecard=1&amp;secret_key=BX%25IJ%24%2F65ieZ%29f6", 2754328)</f>
        <v>2754328</v>
      </c>
      <c r="C522" s="3">
        <f>HYPERLINK("https://platform.v2.vetology.net/report/v/final/"&amp;2754328, 2754328)</f>
        <v>2754328</v>
      </c>
      <c r="D522" s="3" t="s">
        <v>2166</v>
      </c>
      <c r="E522" s="3" t="s">
        <v>2167</v>
      </c>
      <c r="F522" s="3" t="s">
        <v>2168</v>
      </c>
      <c r="G522" s="3" t="s">
        <v>211</v>
      </c>
      <c r="H522" s="3" t="s">
        <v>2169</v>
      </c>
      <c r="I522" s="3" t="s">
        <v>2170</v>
      </c>
      <c r="J522" s="3" t="s">
        <v>2171</v>
      </c>
      <c r="K522" s="3" t="s">
        <v>28</v>
      </c>
      <c r="L522" s="3" t="s">
        <v>28</v>
      </c>
      <c r="M522" s="3" t="s">
        <v>28</v>
      </c>
      <c r="N522" s="3" t="s">
        <v>27</v>
      </c>
      <c r="O522" s="3" t="s">
        <v>27</v>
      </c>
      <c r="P522" s="3" t="s">
        <v>28</v>
      </c>
      <c r="Q522" s="3" t="s">
        <v>28</v>
      </c>
      <c r="R522" s="3" t="s">
        <v>28</v>
      </c>
      <c r="S522" s="3" t="s">
        <v>28</v>
      </c>
      <c r="T522" s="3" t="s">
        <v>27</v>
      </c>
    </row>
    <row r="523" spans="1:20" ht="409.6">
      <c r="A523" s="3">
        <v>2754326</v>
      </c>
      <c r="B523" s="3">
        <f>HYPERLINK("https://platform.v2.vetology.net/cases/2754326/screening-report/6?type=pdf&amp;v=v6&amp;scorecard=1&amp;secret_key=BX%25IJ%24%2F65ieZ%29f6", 2754326)</f>
        <v>2754326</v>
      </c>
      <c r="C523" s="3">
        <f>HYPERLINK("https://platform.v2.vetology.net/report/v/final/"&amp;2754326, 2754326)</f>
        <v>2754326</v>
      </c>
      <c r="D523" s="3" t="s">
        <v>2172</v>
      </c>
      <c r="E523" s="3" t="s">
        <v>2173</v>
      </c>
      <c r="F523" s="3" t="s">
        <v>2174</v>
      </c>
      <c r="G523" s="3" t="s">
        <v>64</v>
      </c>
      <c r="H523" s="3" t="s">
        <v>824</v>
      </c>
      <c r="I523" s="3" t="s">
        <v>200</v>
      </c>
      <c r="J523" s="3" t="s">
        <v>219</v>
      </c>
      <c r="K523" s="3" t="s">
        <v>27</v>
      </c>
      <c r="L523" s="3" t="s">
        <v>28</v>
      </c>
      <c r="M523" s="3" t="s">
        <v>28</v>
      </c>
      <c r="N523" s="3" t="s">
        <v>28</v>
      </c>
      <c r="O523" s="3" t="s">
        <v>27</v>
      </c>
      <c r="P523" s="3" t="s">
        <v>28</v>
      </c>
      <c r="Q523" s="3" t="s">
        <v>28</v>
      </c>
      <c r="R523" s="3" t="s">
        <v>28</v>
      </c>
      <c r="S523" s="3" t="s">
        <v>28</v>
      </c>
      <c r="T523" s="3" t="s">
        <v>28</v>
      </c>
    </row>
    <row r="524" spans="1:20" ht="366">
      <c r="A524" s="3">
        <v>2754302</v>
      </c>
      <c r="B524" s="3">
        <f>HYPERLINK("https://platform.v2.vetology.net/cases/2754302/screening-report/6?type=pdf&amp;v=v6&amp;scorecard=1&amp;secret_key=BX%25IJ%24%2F65ieZ%29f6", 2754302)</f>
        <v>2754302</v>
      </c>
      <c r="C524" s="3">
        <f>HYPERLINK("https://platform.v2.vetology.net/report/v/final/"&amp;2754302, 2754302)</f>
        <v>2754302</v>
      </c>
      <c r="D524" s="3" t="s">
        <v>2175</v>
      </c>
      <c r="E524" s="3" t="s">
        <v>2176</v>
      </c>
      <c r="F524" s="3" t="s">
        <v>2177</v>
      </c>
      <c r="G524" s="3" t="s">
        <v>64</v>
      </c>
      <c r="H524" s="3" t="s">
        <v>882</v>
      </c>
      <c r="I524" s="3" t="s">
        <v>883</v>
      </c>
      <c r="J524" s="3" t="s">
        <v>884</v>
      </c>
      <c r="K524" s="3" t="s">
        <v>28</v>
      </c>
      <c r="L524" s="3" t="s">
        <v>28</v>
      </c>
      <c r="M524" s="3" t="s">
        <v>28</v>
      </c>
      <c r="N524" s="3" t="s">
        <v>28</v>
      </c>
      <c r="O524" s="3" t="s">
        <v>28</v>
      </c>
      <c r="P524" s="3" t="s">
        <v>28</v>
      </c>
      <c r="Q524" s="3" t="s">
        <v>28</v>
      </c>
      <c r="R524" s="3" t="s">
        <v>28</v>
      </c>
      <c r="S524" s="3" t="s">
        <v>28</v>
      </c>
      <c r="T524" s="3" t="s">
        <v>28</v>
      </c>
    </row>
    <row r="525" spans="1:20" ht="381.75">
      <c r="A525" s="3">
        <v>2754297</v>
      </c>
      <c r="B525" s="3">
        <f>HYPERLINK("https://platform.v2.vetology.net/cases/2754297/screening-report/6?type=pdf&amp;v=v6&amp;scorecard=1&amp;secret_key=BX%25IJ%24%2F65ieZ%29f6", 2754297)</f>
        <v>2754297</v>
      </c>
      <c r="C525" s="3">
        <f>HYPERLINK("https://platform.v2.vetology.net/report/v/final/"&amp;2754297, 2754297)</f>
        <v>2754297</v>
      </c>
      <c r="D525" s="3" t="s">
        <v>2178</v>
      </c>
      <c r="E525" s="3" t="s">
        <v>2179</v>
      </c>
      <c r="F525" s="3" t="s">
        <v>22</v>
      </c>
      <c r="G525" s="3" t="s">
        <v>372</v>
      </c>
      <c r="H525" s="3" t="s">
        <v>2180</v>
      </c>
      <c r="I525" s="3" t="s">
        <v>539</v>
      </c>
      <c r="J525" s="3" t="s">
        <v>540</v>
      </c>
      <c r="K525" s="3" t="s">
        <v>27</v>
      </c>
      <c r="L525" s="3" t="s">
        <v>28</v>
      </c>
      <c r="M525" s="3" t="s">
        <v>28</v>
      </c>
      <c r="N525" s="3" t="s">
        <v>28</v>
      </c>
      <c r="O525" s="3" t="s">
        <v>27</v>
      </c>
      <c r="P525" s="3" t="s">
        <v>28</v>
      </c>
      <c r="Q525" s="3" t="s">
        <v>28</v>
      </c>
      <c r="R525" s="3" t="s">
        <v>28</v>
      </c>
      <c r="S525" s="3" t="s">
        <v>28</v>
      </c>
      <c r="T525" s="3" t="s">
        <v>28</v>
      </c>
    </row>
    <row r="526" spans="1:20" ht="409.6">
      <c r="A526" s="3">
        <v>2754296</v>
      </c>
      <c r="B526" s="3">
        <f>HYPERLINK("https://platform.v2.vetology.net/cases/2754296/screening-report/6?type=pdf&amp;v=v6&amp;scorecard=1&amp;secret_key=BX%25IJ%24%2F65ieZ%29f6", 2754296)</f>
        <v>2754296</v>
      </c>
      <c r="C526" s="3">
        <f>HYPERLINK("https://platform.v2.vetology.net/report/v/final/"&amp;2754296, 2754296)</f>
        <v>2754296</v>
      </c>
      <c r="D526" s="3" t="s">
        <v>2181</v>
      </c>
      <c r="E526" s="3" t="s">
        <v>2182</v>
      </c>
      <c r="F526" s="3" t="s">
        <v>22</v>
      </c>
      <c r="G526" s="3" t="s">
        <v>372</v>
      </c>
      <c r="H526" s="3" t="s">
        <v>2183</v>
      </c>
      <c r="I526" s="3"/>
      <c r="J526" s="3" t="s">
        <v>225</v>
      </c>
      <c r="K526" s="3" t="s">
        <v>28</v>
      </c>
      <c r="L526" s="3" t="s">
        <v>28</v>
      </c>
      <c r="M526" s="3" t="s">
        <v>27</v>
      </c>
      <c r="N526" s="3" t="s">
        <v>28</v>
      </c>
      <c r="O526" s="3" t="s">
        <v>27</v>
      </c>
      <c r="P526" s="3" t="s">
        <v>27</v>
      </c>
      <c r="Q526" s="3" t="s">
        <v>27</v>
      </c>
      <c r="R526" s="3" t="s">
        <v>28</v>
      </c>
      <c r="S526" s="3" t="s">
        <v>27</v>
      </c>
      <c r="T526" s="3" t="s">
        <v>28</v>
      </c>
    </row>
    <row r="527" spans="1:20" ht="259.5">
      <c r="A527" s="3">
        <v>2754289</v>
      </c>
      <c r="B527" s="3">
        <f>HYPERLINK("https://platform.v2.vetology.net/cases/2754289/screening-report/6?type=pdf&amp;v=v6&amp;scorecard=1&amp;secret_key=BX%25IJ%24%2F65ieZ%29f6", 2754289)</f>
        <v>2754289</v>
      </c>
      <c r="C527" s="3">
        <f>HYPERLINK("https://platform.v2.vetology.net/report/v/final/"&amp;2754289, 2754289)</f>
        <v>2754289</v>
      </c>
      <c r="D527" s="3" t="s">
        <v>2184</v>
      </c>
      <c r="E527" s="3" t="s">
        <v>531</v>
      </c>
      <c r="F527" s="3" t="s">
        <v>2185</v>
      </c>
      <c r="G527" s="3" t="s">
        <v>211</v>
      </c>
      <c r="H527" s="3" t="s">
        <v>135</v>
      </c>
      <c r="I527" s="3" t="s">
        <v>136</v>
      </c>
      <c r="J527" s="3" t="s">
        <v>424</v>
      </c>
      <c r="K527" s="3" t="s">
        <v>28</v>
      </c>
      <c r="L527" s="3" t="s">
        <v>28</v>
      </c>
      <c r="M527" s="3" t="s">
        <v>28</v>
      </c>
      <c r="N527" s="3" t="s">
        <v>28</v>
      </c>
      <c r="O527" s="3" t="s">
        <v>27</v>
      </c>
      <c r="P527" s="3" t="s">
        <v>28</v>
      </c>
      <c r="Q527" s="3" t="s">
        <v>28</v>
      </c>
      <c r="R527" s="3" t="s">
        <v>28</v>
      </c>
      <c r="S527" s="3" t="s">
        <v>28</v>
      </c>
      <c r="T527" s="3" t="s">
        <v>27</v>
      </c>
    </row>
    <row r="528" spans="1:20" ht="409.6">
      <c r="A528" s="3">
        <v>2754258</v>
      </c>
      <c r="B528" s="3">
        <f>HYPERLINK("https://platform.v2.vetology.net/cases/2754258/screening-report/6?type=pdf&amp;v=v6&amp;scorecard=1&amp;secret_key=BX%25IJ%24%2F65ieZ%29f6", 2754258)</f>
        <v>2754258</v>
      </c>
      <c r="C528" s="3">
        <f>HYPERLINK("https://platform.v2.vetology.net/report/v/final/"&amp;2754258, 2754258)</f>
        <v>2754258</v>
      </c>
      <c r="D528" s="3" t="s">
        <v>2186</v>
      </c>
      <c r="E528" s="3" t="s">
        <v>2187</v>
      </c>
      <c r="F528" s="3" t="s">
        <v>2188</v>
      </c>
      <c r="G528" s="3" t="s">
        <v>186</v>
      </c>
      <c r="H528" s="3" t="s">
        <v>2189</v>
      </c>
      <c r="I528" s="3" t="s">
        <v>2190</v>
      </c>
      <c r="J528" s="3" t="s">
        <v>148</v>
      </c>
      <c r="K528" s="3" t="s">
        <v>28</v>
      </c>
      <c r="L528" s="3" t="s">
        <v>28</v>
      </c>
      <c r="M528" s="3" t="s">
        <v>27</v>
      </c>
      <c r="N528" s="3" t="s">
        <v>28</v>
      </c>
      <c r="O528" s="3" t="s">
        <v>27</v>
      </c>
      <c r="P528" s="3" t="s">
        <v>28</v>
      </c>
      <c r="Q528" s="3" t="s">
        <v>28</v>
      </c>
      <c r="R528" s="3" t="s">
        <v>28</v>
      </c>
      <c r="S528" s="3" t="s">
        <v>27</v>
      </c>
      <c r="T528" s="3" t="s">
        <v>28</v>
      </c>
    </row>
    <row r="529" spans="1:20" ht="409.6">
      <c r="A529" s="3">
        <v>2754213</v>
      </c>
      <c r="B529" s="3">
        <f>HYPERLINK("https://platform.v2.vetology.net/cases/2754213/screening-report/6?type=pdf&amp;v=v6&amp;scorecard=1&amp;secret_key=BX%25IJ%24%2F65ieZ%29f6", 2754213)</f>
        <v>2754213</v>
      </c>
      <c r="C529" s="3">
        <f>HYPERLINK("https://platform.v2.vetology.net/report/v/final/"&amp;2754213, 2754213)</f>
        <v>2754213</v>
      </c>
      <c r="D529" s="3" t="s">
        <v>2191</v>
      </c>
      <c r="E529" s="3" t="s">
        <v>2192</v>
      </c>
      <c r="F529" s="3" t="s">
        <v>1061</v>
      </c>
      <c r="G529" s="3" t="s">
        <v>100</v>
      </c>
      <c r="H529" s="3" t="s">
        <v>2193</v>
      </c>
      <c r="I529" s="3" t="s">
        <v>78</v>
      </c>
      <c r="J529" s="3" t="s">
        <v>79</v>
      </c>
      <c r="K529" s="3" t="s">
        <v>28</v>
      </c>
      <c r="L529" s="3" t="s">
        <v>28</v>
      </c>
      <c r="M529" s="3" t="s">
        <v>28</v>
      </c>
      <c r="N529" s="3" t="s">
        <v>28</v>
      </c>
      <c r="O529" s="3" t="s">
        <v>27</v>
      </c>
      <c r="P529" s="3" t="s">
        <v>27</v>
      </c>
      <c r="Q529" s="3" t="s">
        <v>28</v>
      </c>
      <c r="R529" s="3" t="s">
        <v>28</v>
      </c>
      <c r="S529" s="3" t="s">
        <v>28</v>
      </c>
      <c r="T529" s="3" t="s">
        <v>28</v>
      </c>
    </row>
    <row r="530" spans="1:20" ht="409.6">
      <c r="A530" s="3">
        <v>2754209</v>
      </c>
      <c r="B530" s="3">
        <f>HYPERLINK("https://platform.v2.vetology.net/cases/2754209/screening-report/6?type=pdf&amp;v=v6&amp;scorecard=1&amp;secret_key=BX%25IJ%24%2F65ieZ%29f6", 2754209)</f>
        <v>2754209</v>
      </c>
      <c r="C530" s="3">
        <f>HYPERLINK("https://platform.v2.vetology.net/report/v/final/"&amp;2754209, 2754209)</f>
        <v>2754209</v>
      </c>
      <c r="D530" s="3" t="s">
        <v>2194</v>
      </c>
      <c r="E530" s="3" t="s">
        <v>2195</v>
      </c>
      <c r="F530" s="3" t="s">
        <v>2196</v>
      </c>
      <c r="G530" s="3" t="s">
        <v>64</v>
      </c>
      <c r="H530" s="3" t="s">
        <v>158</v>
      </c>
      <c r="I530" s="3" t="s">
        <v>32</v>
      </c>
      <c r="J530" s="3" t="s">
        <v>33</v>
      </c>
      <c r="K530" s="3" t="s">
        <v>28</v>
      </c>
      <c r="L530" s="3" t="s">
        <v>28</v>
      </c>
      <c r="M530" s="3" t="s">
        <v>28</v>
      </c>
      <c r="N530" s="3" t="s">
        <v>27</v>
      </c>
      <c r="O530" s="3" t="s">
        <v>27</v>
      </c>
      <c r="P530" s="3" t="s">
        <v>28</v>
      </c>
      <c r="Q530" s="3" t="s">
        <v>28</v>
      </c>
      <c r="R530" s="3" t="s">
        <v>28</v>
      </c>
      <c r="S530" s="3" t="s">
        <v>28</v>
      </c>
      <c r="T530" s="3" t="s">
        <v>28</v>
      </c>
    </row>
    <row r="531" spans="1:20" ht="290.25">
      <c r="A531" s="3">
        <v>2754178</v>
      </c>
      <c r="B531" s="3">
        <f>HYPERLINK("https://platform.v2.vetology.net/cases/2754178/screening-report/6?type=pdf&amp;v=v6&amp;scorecard=1&amp;secret_key=BX%25IJ%24%2F65ieZ%29f6", 2754178)</f>
        <v>2754178</v>
      </c>
      <c r="C531" s="3">
        <f>HYPERLINK("https://platform.v2.vetology.net/report/v/final/"&amp;2754178, 2754178)</f>
        <v>2754178</v>
      </c>
      <c r="D531" s="3" t="s">
        <v>2197</v>
      </c>
      <c r="E531" s="3" t="s">
        <v>2198</v>
      </c>
      <c r="F531" s="3" t="s">
        <v>2199</v>
      </c>
      <c r="G531" s="3" t="s">
        <v>186</v>
      </c>
      <c r="H531" s="3" t="s">
        <v>141</v>
      </c>
      <c r="I531" s="3" t="s">
        <v>2200</v>
      </c>
      <c r="J531" s="3" t="s">
        <v>2201</v>
      </c>
      <c r="K531" s="3" t="s">
        <v>28</v>
      </c>
      <c r="L531" s="3" t="s">
        <v>28</v>
      </c>
      <c r="M531" s="3" t="s">
        <v>28</v>
      </c>
      <c r="N531" s="3" t="s">
        <v>27</v>
      </c>
      <c r="O531" s="3" t="s">
        <v>27</v>
      </c>
      <c r="P531" s="3" t="s">
        <v>28</v>
      </c>
      <c r="Q531" s="3" t="s">
        <v>28</v>
      </c>
      <c r="R531" s="3" t="s">
        <v>28</v>
      </c>
      <c r="S531" s="3" t="s">
        <v>28</v>
      </c>
      <c r="T531" s="3" t="s">
        <v>27</v>
      </c>
    </row>
    <row r="532" spans="1:20" ht="396.75">
      <c r="A532" s="3">
        <v>2754143</v>
      </c>
      <c r="B532" s="3">
        <f>HYPERLINK("https://platform.v2.vetology.net/cases/2754143/screening-report/6?type=pdf&amp;v=v6&amp;scorecard=1&amp;secret_key=BX%25IJ%24%2F65ieZ%29f6", 2754143)</f>
        <v>2754143</v>
      </c>
      <c r="C532" s="3">
        <f>HYPERLINK("https://platform.v2.vetology.net/report/v/final/"&amp;2754143, 2754143)</f>
        <v>2754143</v>
      </c>
      <c r="D532" s="3" t="s">
        <v>2202</v>
      </c>
      <c r="E532" s="3" t="s">
        <v>2203</v>
      </c>
      <c r="F532" s="3" t="s">
        <v>22</v>
      </c>
      <c r="G532" s="3" t="s">
        <v>100</v>
      </c>
      <c r="H532" s="3" t="s">
        <v>595</v>
      </c>
      <c r="I532" s="3" t="s">
        <v>596</v>
      </c>
      <c r="J532" s="3" t="s">
        <v>597</v>
      </c>
      <c r="K532" s="3" t="s">
        <v>28</v>
      </c>
      <c r="L532" s="3" t="s">
        <v>27</v>
      </c>
      <c r="M532" s="3" t="s">
        <v>28</v>
      </c>
      <c r="N532" s="3" t="s">
        <v>27</v>
      </c>
      <c r="O532" s="3" t="s">
        <v>28</v>
      </c>
      <c r="P532" s="3" t="s">
        <v>28</v>
      </c>
      <c r="Q532" s="3" t="s">
        <v>28</v>
      </c>
      <c r="R532" s="3" t="s">
        <v>27</v>
      </c>
      <c r="S532" s="3" t="s">
        <v>27</v>
      </c>
      <c r="T532" s="3" t="s">
        <v>27</v>
      </c>
    </row>
    <row r="533" spans="1:20" ht="409.6">
      <c r="A533" s="3">
        <v>2754115</v>
      </c>
      <c r="B533" s="3">
        <f>HYPERLINK("https://platform.v2.vetology.net/cases/2754115/screening-report/6?type=pdf&amp;v=v6&amp;scorecard=1&amp;secret_key=BX%25IJ%24%2F65ieZ%29f6", 2754115)</f>
        <v>2754115</v>
      </c>
      <c r="C533" s="3">
        <f>HYPERLINK("https://platform.v2.vetology.net/report/v/final/"&amp;2754115, 2754115)</f>
        <v>2754115</v>
      </c>
      <c r="D533" s="3" t="s">
        <v>2204</v>
      </c>
      <c r="E533" s="3" t="s">
        <v>1362</v>
      </c>
      <c r="F533" s="3" t="s">
        <v>2205</v>
      </c>
      <c r="G533" s="3" t="s">
        <v>211</v>
      </c>
      <c r="H533" s="3" t="s">
        <v>2206</v>
      </c>
      <c r="I533" s="3" t="s">
        <v>1368</v>
      </c>
      <c r="J533" s="3" t="s">
        <v>1369</v>
      </c>
      <c r="K533" s="3" t="s">
        <v>28</v>
      </c>
      <c r="L533" s="3" t="s">
        <v>28</v>
      </c>
      <c r="M533" s="3" t="s">
        <v>28</v>
      </c>
      <c r="N533" s="3" t="s">
        <v>28</v>
      </c>
      <c r="O533" s="3" t="s">
        <v>27</v>
      </c>
      <c r="P533" s="3" t="s">
        <v>27</v>
      </c>
      <c r="Q533" s="3" t="s">
        <v>28</v>
      </c>
      <c r="R533" s="3" t="s">
        <v>28</v>
      </c>
      <c r="S533" s="3" t="s">
        <v>28</v>
      </c>
      <c r="T533" s="3" t="s">
        <v>28</v>
      </c>
    </row>
    <row r="534" spans="1:20" ht="366">
      <c r="A534" s="3">
        <v>2754069</v>
      </c>
      <c r="B534" s="3">
        <f>HYPERLINK("https://platform.v2.vetology.net/cases/2754069/screening-report/6?type=pdf&amp;v=v6&amp;scorecard=1&amp;secret_key=BX%25IJ%24%2F65ieZ%29f6", 2754069)</f>
        <v>2754069</v>
      </c>
      <c r="C534" s="3">
        <f>HYPERLINK("https://platform.v2.vetology.net/report/v/final/"&amp;2754069, 2754069)</f>
        <v>2754069</v>
      </c>
      <c r="D534" s="3" t="s">
        <v>2207</v>
      </c>
      <c r="E534" s="3" t="s">
        <v>2208</v>
      </c>
      <c r="F534" s="3" t="s">
        <v>956</v>
      </c>
      <c r="G534" s="3" t="s">
        <v>100</v>
      </c>
      <c r="H534" s="3" t="s">
        <v>2209</v>
      </c>
      <c r="I534" s="3" t="s">
        <v>1409</v>
      </c>
      <c r="J534" s="3" t="s">
        <v>1410</v>
      </c>
      <c r="K534" s="3" t="s">
        <v>27</v>
      </c>
      <c r="L534" s="3" t="s">
        <v>27</v>
      </c>
      <c r="M534" s="3" t="s">
        <v>28</v>
      </c>
      <c r="N534" s="3" t="s">
        <v>28</v>
      </c>
      <c r="O534" s="3" t="s">
        <v>27</v>
      </c>
      <c r="P534" s="3" t="s">
        <v>28</v>
      </c>
      <c r="Q534" s="3" t="s">
        <v>28</v>
      </c>
      <c r="R534" s="3" t="s">
        <v>28</v>
      </c>
      <c r="S534" s="3" t="s">
        <v>28</v>
      </c>
      <c r="T534" s="3" t="s">
        <v>28</v>
      </c>
    </row>
    <row r="535" spans="1:20" ht="409.6">
      <c r="A535" s="3">
        <v>2754055</v>
      </c>
      <c r="B535" s="3">
        <f>HYPERLINK("https://platform.v2.vetology.net/cases/2754055/screening-report/6?type=pdf&amp;v=v6&amp;scorecard=1&amp;secret_key=BX%25IJ%24%2F65ieZ%29f6", 2754055)</f>
        <v>2754055</v>
      </c>
      <c r="C535" s="3">
        <f>HYPERLINK("https://platform.v2.vetology.net/report/v/final/"&amp;2754055, 2754055)</f>
        <v>2754055</v>
      </c>
      <c r="D535" s="3" t="s">
        <v>2210</v>
      </c>
      <c r="E535" s="3" t="s">
        <v>2211</v>
      </c>
      <c r="F535" s="3" t="s">
        <v>2212</v>
      </c>
      <c r="G535" s="3" t="s">
        <v>64</v>
      </c>
      <c r="H535" s="3" t="s">
        <v>2213</v>
      </c>
      <c r="I535" s="3" t="s">
        <v>32</v>
      </c>
      <c r="J535" s="3" t="s">
        <v>33</v>
      </c>
      <c r="K535" s="3" t="s">
        <v>28</v>
      </c>
      <c r="L535" s="3" t="s">
        <v>28</v>
      </c>
      <c r="M535" s="3" t="s">
        <v>28</v>
      </c>
      <c r="N535" s="3" t="s">
        <v>28</v>
      </c>
      <c r="O535" s="3" t="s">
        <v>27</v>
      </c>
      <c r="P535" s="3" t="s">
        <v>28</v>
      </c>
      <c r="Q535" s="3" t="s">
        <v>28</v>
      </c>
      <c r="R535" s="3" t="s">
        <v>28</v>
      </c>
      <c r="S535" s="3" t="s">
        <v>28</v>
      </c>
      <c r="T535" s="3" t="s">
        <v>27</v>
      </c>
    </row>
    <row r="536" spans="1:20" ht="396.75">
      <c r="A536" s="3">
        <v>2754054</v>
      </c>
      <c r="B536" s="3">
        <f>HYPERLINK("https://platform.v2.vetology.net/cases/2754054/screening-report/6?type=pdf&amp;v=v6&amp;scorecard=1&amp;secret_key=BX%25IJ%24%2F65ieZ%29f6", 2754054)</f>
        <v>2754054</v>
      </c>
      <c r="C536" s="3">
        <f>HYPERLINK("https://platform.v2.vetology.net/report/v/final/"&amp;2754054, 2754054)</f>
        <v>2754054</v>
      </c>
      <c r="D536" s="3" t="s">
        <v>2214</v>
      </c>
      <c r="E536" s="3" t="s">
        <v>2215</v>
      </c>
      <c r="F536" s="3" t="s">
        <v>2216</v>
      </c>
      <c r="G536" s="3" t="s">
        <v>64</v>
      </c>
      <c r="H536" s="3" t="s">
        <v>2217</v>
      </c>
      <c r="I536" s="3" t="s">
        <v>398</v>
      </c>
      <c r="J536" s="3" t="s">
        <v>399</v>
      </c>
      <c r="K536" s="3" t="s">
        <v>28</v>
      </c>
      <c r="L536" s="3" t="s">
        <v>28</v>
      </c>
      <c r="M536" s="3" t="s">
        <v>28</v>
      </c>
      <c r="N536" s="3" t="s">
        <v>28</v>
      </c>
      <c r="O536" s="3" t="s">
        <v>27</v>
      </c>
      <c r="P536" s="3" t="s">
        <v>28</v>
      </c>
      <c r="Q536" s="3" t="s">
        <v>28</v>
      </c>
      <c r="R536" s="3" t="s">
        <v>28</v>
      </c>
      <c r="S536" s="3" t="s">
        <v>28</v>
      </c>
      <c r="T536" s="3" t="s">
        <v>28</v>
      </c>
    </row>
    <row r="537" spans="1:20" ht="229.5">
      <c r="A537" s="3">
        <v>2753971</v>
      </c>
      <c r="B537" s="3">
        <f>HYPERLINK("https://platform.v2.vetology.net/cases/2753971/screening-report/6?type=pdf&amp;v=v6&amp;scorecard=1&amp;secret_key=BX%25IJ%24%2F65ieZ%29f6", 2753971)</f>
        <v>2753971</v>
      </c>
      <c r="C537" s="3">
        <f>HYPERLINK("https://platform.v2.vetology.net/report/v/final/"&amp;2753971, 2753971)</f>
        <v>2753971</v>
      </c>
      <c r="D537" s="3" t="s">
        <v>2218</v>
      </c>
      <c r="E537" s="3" t="s">
        <v>2219</v>
      </c>
      <c r="F537" s="3"/>
      <c r="G537" s="3" t="s">
        <v>122</v>
      </c>
      <c r="H537" s="3" t="s">
        <v>1421</v>
      </c>
      <c r="I537" s="3" t="s">
        <v>32</v>
      </c>
      <c r="J537" s="3" t="s">
        <v>847</v>
      </c>
      <c r="K537" s="3" t="s">
        <v>28</v>
      </c>
      <c r="L537" s="3" t="s">
        <v>28</v>
      </c>
      <c r="M537" s="3" t="s">
        <v>28</v>
      </c>
      <c r="N537" s="3" t="s">
        <v>27</v>
      </c>
      <c r="O537" s="3" t="s">
        <v>27</v>
      </c>
      <c r="P537" s="3" t="s">
        <v>28</v>
      </c>
      <c r="Q537" s="3" t="s">
        <v>27</v>
      </c>
      <c r="R537" s="3" t="s">
        <v>28</v>
      </c>
      <c r="S537" s="3" t="s">
        <v>28</v>
      </c>
      <c r="T537" s="3" t="s">
        <v>28</v>
      </c>
    </row>
    <row r="538" spans="1:20" ht="305.25">
      <c r="A538" s="3">
        <v>2753888</v>
      </c>
      <c r="B538" s="3">
        <f>HYPERLINK("https://platform.v2.vetology.net/cases/2753888/screening-report/6?type=pdf&amp;v=v6&amp;scorecard=1&amp;secret_key=BX%25IJ%24%2F65ieZ%29f6", 2753888)</f>
        <v>2753888</v>
      </c>
      <c r="C538" s="3">
        <f>HYPERLINK("https://platform.v2.vetology.net/report/v/final/"&amp;2753888, 2753888)</f>
        <v>2753888</v>
      </c>
      <c r="D538" s="3" t="s">
        <v>2220</v>
      </c>
      <c r="E538" s="3" t="s">
        <v>2221</v>
      </c>
      <c r="F538" s="3"/>
      <c r="G538" s="3" t="s">
        <v>122</v>
      </c>
      <c r="H538" s="3" t="s">
        <v>2222</v>
      </c>
      <c r="I538" s="3" t="s">
        <v>380</v>
      </c>
      <c r="J538" s="3" t="s">
        <v>297</v>
      </c>
      <c r="K538" s="3" t="s">
        <v>28</v>
      </c>
      <c r="L538" s="3" t="s">
        <v>28</v>
      </c>
      <c r="M538" s="3" t="s">
        <v>28</v>
      </c>
      <c r="N538" s="3" t="s">
        <v>27</v>
      </c>
      <c r="O538" s="3" t="s">
        <v>27</v>
      </c>
      <c r="P538" s="3" t="s">
        <v>28</v>
      </c>
      <c r="Q538" s="3" t="s">
        <v>28</v>
      </c>
      <c r="R538" s="3" t="s">
        <v>28</v>
      </c>
      <c r="S538" s="3" t="s">
        <v>28</v>
      </c>
      <c r="T538" s="3" t="s">
        <v>27</v>
      </c>
    </row>
    <row r="539" spans="1:20" ht="336">
      <c r="A539" s="3">
        <v>2753886</v>
      </c>
      <c r="B539" s="3">
        <f>HYPERLINK("https://platform.v2.vetology.net/cases/2753886/screening-report/6?type=pdf&amp;v=v6&amp;scorecard=1&amp;secret_key=BX%25IJ%24%2F65ieZ%29f6", 2753886)</f>
        <v>2753886</v>
      </c>
      <c r="C539" s="3">
        <f>HYPERLINK("https://platform.v2.vetology.net/report/v/final/"&amp;2753886, 2753886)</f>
        <v>2753886</v>
      </c>
      <c r="D539" s="3" t="s">
        <v>2223</v>
      </c>
      <c r="E539" s="3" t="s">
        <v>2224</v>
      </c>
      <c r="F539" s="3"/>
      <c r="G539" s="3" t="s">
        <v>122</v>
      </c>
      <c r="H539" s="3" t="s">
        <v>2225</v>
      </c>
      <c r="I539" s="3" t="s">
        <v>2226</v>
      </c>
      <c r="J539" s="3" t="s">
        <v>2227</v>
      </c>
      <c r="K539" s="3" t="s">
        <v>28</v>
      </c>
      <c r="L539" s="3" t="s">
        <v>28</v>
      </c>
      <c r="M539" s="3" t="s">
        <v>27</v>
      </c>
      <c r="N539" s="3" t="s">
        <v>28</v>
      </c>
      <c r="O539" s="3" t="s">
        <v>27</v>
      </c>
      <c r="P539" s="3" t="s">
        <v>28</v>
      </c>
      <c r="Q539" s="3" t="s">
        <v>27</v>
      </c>
      <c r="R539" s="3" t="s">
        <v>28</v>
      </c>
      <c r="S539" s="3" t="s">
        <v>28</v>
      </c>
      <c r="T539" s="3" t="s">
        <v>27</v>
      </c>
    </row>
    <row r="540" spans="1:20" ht="259.5">
      <c r="A540" s="3">
        <v>2753867</v>
      </c>
      <c r="B540" s="3">
        <f>HYPERLINK("https://platform.v2.vetology.net/cases/2753867/screening-report/6?type=pdf&amp;v=v6&amp;scorecard=1&amp;secret_key=BX%25IJ%24%2F65ieZ%29f6", 2753867)</f>
        <v>2753867</v>
      </c>
      <c r="C540" s="3">
        <f>HYPERLINK("https://platform.v2.vetology.net/report/v/final/"&amp;2753867, 2753867)</f>
        <v>2753867</v>
      </c>
      <c r="D540" s="3" t="s">
        <v>2228</v>
      </c>
      <c r="E540" s="3" t="s">
        <v>2229</v>
      </c>
      <c r="F540" s="3" t="s">
        <v>2230</v>
      </c>
      <c r="G540" s="3" t="s">
        <v>211</v>
      </c>
      <c r="H540" s="3" t="s">
        <v>135</v>
      </c>
      <c r="I540" s="3" t="s">
        <v>136</v>
      </c>
      <c r="J540" s="3" t="s">
        <v>137</v>
      </c>
      <c r="K540" s="3" t="s">
        <v>28</v>
      </c>
      <c r="L540" s="3" t="s">
        <v>27</v>
      </c>
      <c r="M540" s="3" t="s">
        <v>28</v>
      </c>
      <c r="N540" s="3" t="s">
        <v>27</v>
      </c>
      <c r="O540" s="3" t="s">
        <v>27</v>
      </c>
      <c r="P540" s="3" t="s">
        <v>28</v>
      </c>
      <c r="Q540" s="3" t="s">
        <v>28</v>
      </c>
      <c r="R540" s="3" t="s">
        <v>27</v>
      </c>
      <c r="S540" s="3" t="s">
        <v>27</v>
      </c>
      <c r="T540" s="3" t="s">
        <v>27</v>
      </c>
    </row>
    <row r="541" spans="1:20" ht="336">
      <c r="A541" s="3">
        <v>2753862</v>
      </c>
      <c r="B541" s="3">
        <f>HYPERLINK("https://platform.v2.vetology.net/cases/2753862/screening-report/6?type=pdf&amp;v=v6&amp;scorecard=1&amp;secret_key=BX%25IJ%24%2F65ieZ%29f6", 2753862)</f>
        <v>2753862</v>
      </c>
      <c r="C541" s="3">
        <f>HYPERLINK("https://platform.v2.vetology.net/report/v/final/"&amp;2753862, 2753862)</f>
        <v>2753862</v>
      </c>
      <c r="D541" s="3" t="s">
        <v>2231</v>
      </c>
      <c r="E541" s="3" t="s">
        <v>2232</v>
      </c>
      <c r="F541" s="3" t="s">
        <v>2233</v>
      </c>
      <c r="G541" s="3" t="s">
        <v>372</v>
      </c>
      <c r="H541" s="3" t="s">
        <v>362</v>
      </c>
      <c r="I541" s="3" t="s">
        <v>72</v>
      </c>
      <c r="J541" s="3" t="s">
        <v>363</v>
      </c>
      <c r="K541" s="3" t="s">
        <v>28</v>
      </c>
      <c r="L541" s="3" t="s">
        <v>27</v>
      </c>
      <c r="M541" s="3" t="s">
        <v>28</v>
      </c>
      <c r="N541" s="3" t="s">
        <v>28</v>
      </c>
      <c r="O541" s="3" t="s">
        <v>27</v>
      </c>
      <c r="P541" s="3" t="s">
        <v>28</v>
      </c>
      <c r="Q541" s="3" t="s">
        <v>28</v>
      </c>
      <c r="R541" s="3" t="s">
        <v>28</v>
      </c>
      <c r="S541" s="3" t="s">
        <v>28</v>
      </c>
      <c r="T541" s="3" t="s">
        <v>27</v>
      </c>
    </row>
    <row r="542" spans="1:20" ht="409.6">
      <c r="A542" s="3">
        <v>2753856</v>
      </c>
      <c r="B542" s="3">
        <f>HYPERLINK("https://platform.v2.vetology.net/cases/2753856/screening-report/6?type=pdf&amp;v=v6&amp;scorecard=1&amp;secret_key=BX%25IJ%24%2F65ieZ%29f6", 2753856)</f>
        <v>2753856</v>
      </c>
      <c r="C542" s="3">
        <f>HYPERLINK("https://platform.v2.vetology.net/report/v/final/"&amp;2753856, 2753856)</f>
        <v>2753856</v>
      </c>
      <c r="D542" s="3" t="s">
        <v>2234</v>
      </c>
      <c r="E542" s="3" t="s">
        <v>2235</v>
      </c>
      <c r="F542" s="3" t="s">
        <v>1762</v>
      </c>
      <c r="G542" s="3" t="s">
        <v>100</v>
      </c>
      <c r="H542" s="3" t="s">
        <v>2236</v>
      </c>
      <c r="I542" s="3" t="s">
        <v>1368</v>
      </c>
      <c r="J542" s="3" t="s">
        <v>1369</v>
      </c>
      <c r="K542" s="3" t="s">
        <v>28</v>
      </c>
      <c r="L542" s="3" t="s">
        <v>28</v>
      </c>
      <c r="M542" s="3" t="s">
        <v>28</v>
      </c>
      <c r="N542" s="3" t="s">
        <v>28</v>
      </c>
      <c r="O542" s="3" t="s">
        <v>27</v>
      </c>
      <c r="P542" s="3" t="s">
        <v>27</v>
      </c>
      <c r="Q542" s="3" t="s">
        <v>28</v>
      </c>
      <c r="R542" s="3" t="s">
        <v>28</v>
      </c>
      <c r="S542" s="3" t="s">
        <v>28</v>
      </c>
      <c r="T542" s="3" t="s">
        <v>27</v>
      </c>
    </row>
    <row r="543" spans="1:20" ht="381.75">
      <c r="A543" s="3">
        <v>2753838</v>
      </c>
      <c r="B543" s="3">
        <f>HYPERLINK("https://platform.v2.vetology.net/cases/2753838/screening-report/6?type=pdf&amp;v=v6&amp;scorecard=1&amp;secret_key=BX%25IJ%24%2F65ieZ%29f6", 2753838)</f>
        <v>2753838</v>
      </c>
      <c r="C543" s="3">
        <f>HYPERLINK("https://platform.v2.vetology.net/report/v/final/"&amp;2753838, 2753838)</f>
        <v>2753838</v>
      </c>
      <c r="D543" s="3" t="s">
        <v>2237</v>
      </c>
      <c r="E543" s="3" t="s">
        <v>2238</v>
      </c>
      <c r="F543" s="3" t="s">
        <v>2239</v>
      </c>
      <c r="G543" s="3" t="s">
        <v>23</v>
      </c>
      <c r="H543" s="3" t="s">
        <v>855</v>
      </c>
      <c r="I543" s="3" t="s">
        <v>856</v>
      </c>
      <c r="J543" s="3" t="s">
        <v>857</v>
      </c>
      <c r="K543" s="3" t="s">
        <v>27</v>
      </c>
      <c r="L543" s="3" t="s">
        <v>28</v>
      </c>
      <c r="M543" s="3" t="s">
        <v>28</v>
      </c>
      <c r="N543" s="3" t="s">
        <v>28</v>
      </c>
      <c r="O543" s="3" t="s">
        <v>27</v>
      </c>
      <c r="P543" s="3" t="s">
        <v>28</v>
      </c>
      <c r="Q543" s="3" t="s">
        <v>28</v>
      </c>
      <c r="R543" s="3" t="s">
        <v>28</v>
      </c>
      <c r="S543" s="3" t="s">
        <v>28</v>
      </c>
      <c r="T543" s="3" t="s">
        <v>28</v>
      </c>
    </row>
    <row r="544" spans="1:20" ht="381.75">
      <c r="A544" s="3">
        <v>2753836</v>
      </c>
      <c r="B544" s="3">
        <f>HYPERLINK("https://platform.v2.vetology.net/cases/2753836/screening-report/6?type=pdf&amp;v=v6&amp;scorecard=1&amp;secret_key=BX%25IJ%24%2F65ieZ%29f6", 2753836)</f>
        <v>2753836</v>
      </c>
      <c r="C544" s="3">
        <f>HYPERLINK("https://platform.v2.vetology.net/report/v/final/"&amp;2753836, 2753836)</f>
        <v>2753836</v>
      </c>
      <c r="D544" s="3" t="s">
        <v>2240</v>
      </c>
      <c r="E544" s="3" t="s">
        <v>2241</v>
      </c>
      <c r="F544" s="3" t="s">
        <v>2242</v>
      </c>
      <c r="G544" s="3" t="s">
        <v>211</v>
      </c>
      <c r="H544" s="3" t="s">
        <v>2243</v>
      </c>
      <c r="I544" s="3" t="s">
        <v>981</v>
      </c>
      <c r="J544" s="3" t="s">
        <v>982</v>
      </c>
      <c r="K544" s="3" t="s">
        <v>27</v>
      </c>
      <c r="L544" s="3" t="s">
        <v>28</v>
      </c>
      <c r="M544" s="3" t="s">
        <v>27</v>
      </c>
      <c r="N544" s="3" t="s">
        <v>28</v>
      </c>
      <c r="O544" s="3" t="s">
        <v>27</v>
      </c>
      <c r="P544" s="3" t="s">
        <v>28</v>
      </c>
      <c r="Q544" s="3" t="s">
        <v>27</v>
      </c>
      <c r="R544" s="3" t="s">
        <v>28</v>
      </c>
      <c r="S544" s="3" t="s">
        <v>28</v>
      </c>
      <c r="T544" s="3" t="s">
        <v>28</v>
      </c>
    </row>
    <row r="545" spans="1:20" ht="305.25">
      <c r="A545" s="3">
        <v>2753808</v>
      </c>
      <c r="B545" s="3">
        <f>HYPERLINK("https://platform.v2.vetology.net/cases/2753808/screening-report/6?type=pdf&amp;v=v6&amp;scorecard=1&amp;secret_key=BX%25IJ%24%2F65ieZ%29f6", 2753808)</f>
        <v>2753808</v>
      </c>
      <c r="C545" s="3">
        <f>HYPERLINK("https://platform.v2.vetology.net/report/v/final/"&amp;2753808, 2753808)</f>
        <v>2753808</v>
      </c>
      <c r="D545" s="3" t="s">
        <v>2244</v>
      </c>
      <c r="E545" s="3" t="s">
        <v>294</v>
      </c>
      <c r="F545" s="3" t="s">
        <v>22</v>
      </c>
      <c r="G545" s="3" t="s">
        <v>23</v>
      </c>
      <c r="H545" s="3" t="s">
        <v>2245</v>
      </c>
      <c r="I545" s="3" t="s">
        <v>464</v>
      </c>
      <c r="J545" s="3" t="s">
        <v>688</v>
      </c>
      <c r="K545" s="3" t="s">
        <v>27</v>
      </c>
      <c r="L545" s="3" t="s">
        <v>28</v>
      </c>
      <c r="M545" s="3" t="s">
        <v>28</v>
      </c>
      <c r="N545" s="3" t="s">
        <v>28</v>
      </c>
      <c r="O545" s="3" t="s">
        <v>28</v>
      </c>
      <c r="P545" s="3" t="s">
        <v>28</v>
      </c>
      <c r="Q545" s="3" t="s">
        <v>28</v>
      </c>
      <c r="R545" s="3" t="s">
        <v>28</v>
      </c>
      <c r="S545" s="3" t="s">
        <v>28</v>
      </c>
      <c r="T545" s="3" t="s">
        <v>28</v>
      </c>
    </row>
    <row r="546" spans="1:20" ht="381.75">
      <c r="A546" s="3">
        <v>2753791</v>
      </c>
      <c r="B546" s="3">
        <f>HYPERLINK("https://platform.v2.vetology.net/cases/2753791/screening-report/6?type=pdf&amp;v=v6&amp;scorecard=1&amp;secret_key=BX%25IJ%24%2F65ieZ%29f6", 2753791)</f>
        <v>2753791</v>
      </c>
      <c r="C546" s="3">
        <f>HYPERLINK("https://platform.v2.vetology.net/report/v/final/"&amp;2753791, 2753791)</f>
        <v>2753791</v>
      </c>
      <c r="D546" s="3" t="s">
        <v>2246</v>
      </c>
      <c r="E546" s="3" t="s">
        <v>2247</v>
      </c>
      <c r="F546" s="3" t="s">
        <v>1061</v>
      </c>
      <c r="G546" s="3" t="s">
        <v>100</v>
      </c>
      <c r="H546" s="3" t="s">
        <v>2248</v>
      </c>
      <c r="I546" s="3" t="s">
        <v>2249</v>
      </c>
      <c r="J546" s="3" t="s">
        <v>2250</v>
      </c>
      <c r="K546" s="3" t="s">
        <v>28</v>
      </c>
      <c r="L546" s="3" t="s">
        <v>27</v>
      </c>
      <c r="M546" s="3" t="s">
        <v>28</v>
      </c>
      <c r="N546" s="3" t="s">
        <v>28</v>
      </c>
      <c r="O546" s="3" t="s">
        <v>27</v>
      </c>
      <c r="P546" s="3" t="s">
        <v>28</v>
      </c>
      <c r="Q546" s="3" t="s">
        <v>28</v>
      </c>
      <c r="R546" s="3" t="s">
        <v>28</v>
      </c>
      <c r="S546" s="3" t="s">
        <v>27</v>
      </c>
      <c r="T546" s="3" t="s">
        <v>28</v>
      </c>
    </row>
    <row r="547" spans="1:20" ht="290.25">
      <c r="A547" s="3">
        <v>2753756</v>
      </c>
      <c r="B547" s="3">
        <f>HYPERLINK("https://platform.v2.vetology.net/cases/2753756/screening-report/6?type=pdf&amp;v=v6&amp;scorecard=1&amp;secret_key=BX%25IJ%24%2F65ieZ%29f6", 2753756)</f>
        <v>2753756</v>
      </c>
      <c r="C547" s="3">
        <f>HYPERLINK("https://platform.v2.vetology.net/report/v/final/"&amp;2753756, 2753756)</f>
        <v>2753756</v>
      </c>
      <c r="D547" s="3" t="s">
        <v>2251</v>
      </c>
      <c r="E547" s="3" t="s">
        <v>2252</v>
      </c>
      <c r="F547" s="3" t="s">
        <v>22</v>
      </c>
      <c r="G547" s="3" t="s">
        <v>23</v>
      </c>
      <c r="H547" s="3" t="s">
        <v>2253</v>
      </c>
      <c r="I547" s="3" t="s">
        <v>72</v>
      </c>
      <c r="J547" s="3" t="s">
        <v>363</v>
      </c>
      <c r="K547" s="3" t="s">
        <v>28</v>
      </c>
      <c r="L547" s="3" t="s">
        <v>28</v>
      </c>
      <c r="M547" s="3" t="s">
        <v>28</v>
      </c>
      <c r="N547" s="3" t="s">
        <v>27</v>
      </c>
      <c r="O547" s="3" t="s">
        <v>28</v>
      </c>
      <c r="P547" s="3" t="s">
        <v>28</v>
      </c>
      <c r="Q547" s="3" t="s">
        <v>28</v>
      </c>
      <c r="R547" s="3" t="s">
        <v>27</v>
      </c>
      <c r="S547" s="3" t="s">
        <v>27</v>
      </c>
      <c r="T547" s="3" t="s">
        <v>27</v>
      </c>
    </row>
    <row r="548" spans="1:20" ht="409.6">
      <c r="A548" s="3">
        <v>2753743</v>
      </c>
      <c r="B548" s="3">
        <f>HYPERLINK("https://platform.v2.vetology.net/cases/2753743/screening-report/6?type=pdf&amp;v=v6&amp;scorecard=1&amp;secret_key=BX%25IJ%24%2F65ieZ%29f6", 2753743)</f>
        <v>2753743</v>
      </c>
      <c r="C548" s="3">
        <f>HYPERLINK("https://platform.v2.vetology.net/report/v/final/"&amp;2753743, 2753743)</f>
        <v>2753743</v>
      </c>
      <c r="D548" s="3" t="s">
        <v>2254</v>
      </c>
      <c r="E548" s="3" t="s">
        <v>2255</v>
      </c>
      <c r="F548" s="3" t="s">
        <v>22</v>
      </c>
      <c r="G548" s="3" t="s">
        <v>372</v>
      </c>
      <c r="H548" s="3" t="s">
        <v>31</v>
      </c>
      <c r="I548" s="3" t="s">
        <v>32</v>
      </c>
      <c r="J548" s="3" t="s">
        <v>33</v>
      </c>
      <c r="K548" s="3" t="s">
        <v>28</v>
      </c>
      <c r="L548" s="3" t="s">
        <v>28</v>
      </c>
      <c r="M548" s="3" t="s">
        <v>28</v>
      </c>
      <c r="N548" s="3" t="s">
        <v>28</v>
      </c>
      <c r="O548" s="3" t="s">
        <v>27</v>
      </c>
      <c r="P548" s="3" t="s">
        <v>28</v>
      </c>
      <c r="Q548" s="3" t="s">
        <v>28</v>
      </c>
      <c r="R548" s="3" t="s">
        <v>28</v>
      </c>
      <c r="S548" s="3" t="s">
        <v>28</v>
      </c>
      <c r="T548" s="3" t="s">
        <v>28</v>
      </c>
    </row>
    <row r="549" spans="1:20" ht="259.5">
      <c r="A549" s="3">
        <v>2753548</v>
      </c>
      <c r="B549" s="3">
        <f>HYPERLINK("https://platform.v2.vetology.net/cases/2753548/screening-report/6?type=pdf&amp;v=v6&amp;scorecard=1&amp;secret_key=BX%25IJ%24%2F65ieZ%29f6", 2753548)</f>
        <v>2753548</v>
      </c>
      <c r="C549" s="3">
        <f>HYPERLINK("https://platform.v2.vetology.net/report/v/final/"&amp;2753548, 2753548)</f>
        <v>2753548</v>
      </c>
      <c r="D549" s="3" t="s">
        <v>2256</v>
      </c>
      <c r="E549" s="3" t="s">
        <v>2257</v>
      </c>
      <c r="F549" s="3" t="s">
        <v>22</v>
      </c>
      <c r="G549" s="3" t="s">
        <v>23</v>
      </c>
      <c r="H549" s="3" t="s">
        <v>2258</v>
      </c>
      <c r="I549" s="3" t="s">
        <v>2259</v>
      </c>
      <c r="J549" s="3" t="s">
        <v>2260</v>
      </c>
      <c r="K549" s="3" t="s">
        <v>28</v>
      </c>
      <c r="L549" s="3" t="s">
        <v>28</v>
      </c>
      <c r="M549" s="3" t="s">
        <v>28</v>
      </c>
      <c r="N549" s="3" t="s">
        <v>28</v>
      </c>
      <c r="O549" s="3" t="s">
        <v>27</v>
      </c>
      <c r="P549" s="3" t="s">
        <v>28</v>
      </c>
      <c r="Q549" s="3" t="s">
        <v>28</v>
      </c>
      <c r="R549" s="3" t="s">
        <v>28</v>
      </c>
      <c r="S549" s="3" t="s">
        <v>28</v>
      </c>
      <c r="T549" s="3" t="s">
        <v>28</v>
      </c>
    </row>
    <row r="550" spans="1:20" ht="409.6">
      <c r="A550" s="3">
        <v>2753310</v>
      </c>
      <c r="B550" s="3">
        <f>HYPERLINK("https://platform.v2.vetology.net/cases/2753310/screening-report/6?type=pdf&amp;v=v6&amp;scorecard=1&amp;secret_key=BX%25IJ%24%2F65ieZ%29f6", 2753310)</f>
        <v>2753310</v>
      </c>
      <c r="C550" s="3">
        <f>HYPERLINK("https://platform.v2.vetology.net/report/v/final/"&amp;2753310, 2753310)</f>
        <v>2753310</v>
      </c>
      <c r="D550" s="3" t="s">
        <v>2261</v>
      </c>
      <c r="E550" s="3" t="s">
        <v>2262</v>
      </c>
      <c r="F550" s="3" t="s">
        <v>2263</v>
      </c>
      <c r="G550" s="3" t="s">
        <v>186</v>
      </c>
      <c r="H550" s="3" t="s">
        <v>284</v>
      </c>
      <c r="I550" s="3" t="s">
        <v>285</v>
      </c>
      <c r="J550" s="3" t="s">
        <v>2264</v>
      </c>
      <c r="K550" s="3" t="s">
        <v>28</v>
      </c>
      <c r="L550" s="3" t="s">
        <v>28</v>
      </c>
      <c r="M550" s="3" t="s">
        <v>28</v>
      </c>
      <c r="N550" s="3" t="s">
        <v>28</v>
      </c>
      <c r="O550" s="3" t="s">
        <v>27</v>
      </c>
      <c r="P550" s="3" t="s">
        <v>28</v>
      </c>
      <c r="Q550" s="3" t="s">
        <v>28</v>
      </c>
      <c r="R550" s="3" t="s">
        <v>28</v>
      </c>
      <c r="S550" s="3" t="s">
        <v>27</v>
      </c>
      <c r="T550" s="3" t="s">
        <v>28</v>
      </c>
    </row>
    <row r="551" spans="1:20" ht="366">
      <c r="A551" s="3">
        <v>2753086</v>
      </c>
      <c r="B551" s="3">
        <f>HYPERLINK("https://platform.v2.vetology.net/cases/2753086/screening-report/6?type=pdf&amp;v=v6&amp;scorecard=1&amp;secret_key=BX%25IJ%24%2F65ieZ%29f6", 2753086)</f>
        <v>2753086</v>
      </c>
      <c r="C551" s="3">
        <f>HYPERLINK("https://platform.v2.vetology.net/report/v/final/"&amp;2753086, 2753086)</f>
        <v>2753086</v>
      </c>
      <c r="D551" s="3" t="s">
        <v>2265</v>
      </c>
      <c r="E551" s="3" t="s">
        <v>2266</v>
      </c>
      <c r="F551" s="3" t="s">
        <v>22</v>
      </c>
      <c r="G551" s="3" t="s">
        <v>23</v>
      </c>
      <c r="H551" s="3" t="s">
        <v>2267</v>
      </c>
      <c r="I551" s="3" t="s">
        <v>305</v>
      </c>
      <c r="J551" s="3" t="s">
        <v>119</v>
      </c>
      <c r="K551" s="3" t="s">
        <v>28</v>
      </c>
      <c r="L551" s="3" t="s">
        <v>28</v>
      </c>
      <c r="M551" s="3" t="s">
        <v>28</v>
      </c>
      <c r="N551" s="3" t="s">
        <v>28</v>
      </c>
      <c r="O551" s="3" t="s">
        <v>28</v>
      </c>
      <c r="P551" s="3" t="s">
        <v>28</v>
      </c>
      <c r="Q551" s="3" t="s">
        <v>28</v>
      </c>
      <c r="R551" s="3" t="s">
        <v>28</v>
      </c>
      <c r="S551" s="3" t="s">
        <v>28</v>
      </c>
      <c r="T551" s="3" t="s">
        <v>28</v>
      </c>
    </row>
    <row r="552" spans="1:20" ht="321">
      <c r="A552" s="3">
        <v>2753081</v>
      </c>
      <c r="B552" s="3">
        <f>HYPERLINK("https://platform.v2.vetology.net/cases/2753081/screening-report/6?type=pdf&amp;v=v6&amp;scorecard=1&amp;secret_key=BX%25IJ%24%2F65ieZ%29f6", 2753081)</f>
        <v>2753081</v>
      </c>
      <c r="C552" s="3">
        <f>HYPERLINK("https://platform.v2.vetology.net/report/v/final/"&amp;2753081, 2753081)</f>
        <v>2753081</v>
      </c>
      <c r="D552" s="3" t="s">
        <v>2268</v>
      </c>
      <c r="E552" s="3" t="s">
        <v>2269</v>
      </c>
      <c r="F552" s="3" t="s">
        <v>22</v>
      </c>
      <c r="G552" s="3" t="s">
        <v>23</v>
      </c>
      <c r="H552" s="3" t="s">
        <v>2270</v>
      </c>
      <c r="I552" s="3" t="s">
        <v>2271</v>
      </c>
      <c r="J552" s="3" t="s">
        <v>2272</v>
      </c>
      <c r="K552" s="3" t="s">
        <v>27</v>
      </c>
      <c r="L552" s="3" t="s">
        <v>28</v>
      </c>
      <c r="M552" s="3" t="s">
        <v>28</v>
      </c>
      <c r="N552" s="3" t="s">
        <v>28</v>
      </c>
      <c r="O552" s="3" t="s">
        <v>27</v>
      </c>
      <c r="P552" s="3" t="s">
        <v>27</v>
      </c>
      <c r="Q552" s="3" t="s">
        <v>28</v>
      </c>
      <c r="R552" s="3" t="s">
        <v>28</v>
      </c>
      <c r="S552" s="3" t="s">
        <v>28</v>
      </c>
      <c r="T552" s="3" t="s">
        <v>28</v>
      </c>
    </row>
    <row r="553" spans="1:20" ht="409.6">
      <c r="A553" s="3">
        <v>2753015</v>
      </c>
      <c r="B553" s="3">
        <f>HYPERLINK("https://platform.v2.vetology.net/cases/2753015/screening-report/6?type=pdf&amp;v=v6&amp;scorecard=1&amp;secret_key=BX%25IJ%24%2F65ieZ%29f6", 2753015)</f>
        <v>2753015</v>
      </c>
      <c r="C553" s="3">
        <f>HYPERLINK("https://platform.v2.vetology.net/report/v/final/"&amp;2753015, 2753015)</f>
        <v>2753015</v>
      </c>
      <c r="D553" s="3" t="s">
        <v>2273</v>
      </c>
      <c r="E553" s="3" t="s">
        <v>2274</v>
      </c>
      <c r="F553" s="3" t="s">
        <v>2275</v>
      </c>
      <c r="G553" s="3" t="s">
        <v>372</v>
      </c>
      <c r="H553" s="3" t="s">
        <v>31</v>
      </c>
      <c r="I553" s="3" t="s">
        <v>32</v>
      </c>
      <c r="J553" s="3" t="s">
        <v>1566</v>
      </c>
      <c r="K553" s="3" t="s">
        <v>28</v>
      </c>
      <c r="L553" s="3" t="s">
        <v>28</v>
      </c>
      <c r="M553" s="3" t="s">
        <v>28</v>
      </c>
      <c r="N553" s="3" t="s">
        <v>28</v>
      </c>
      <c r="O553" s="3" t="s">
        <v>28</v>
      </c>
      <c r="P553" s="3" t="s">
        <v>27</v>
      </c>
      <c r="Q553" s="3" t="s">
        <v>28</v>
      </c>
      <c r="R553" s="3" t="s">
        <v>28</v>
      </c>
      <c r="S553" s="3" t="s">
        <v>28</v>
      </c>
      <c r="T553" s="3" t="s">
        <v>28</v>
      </c>
    </row>
    <row r="554" spans="1:20" ht="396.75">
      <c r="A554" s="3">
        <v>2753012</v>
      </c>
      <c r="B554" s="3">
        <f>HYPERLINK("https://platform.v2.vetology.net/cases/2753012/screening-report/6?type=pdf&amp;v=v6&amp;scorecard=1&amp;secret_key=BX%25IJ%24%2F65ieZ%29f6", 2753012)</f>
        <v>2753012</v>
      </c>
      <c r="C554" s="3">
        <f>HYPERLINK("https://platform.v2.vetology.net/report/v/final/"&amp;2753012, 2753012)</f>
        <v>2753012</v>
      </c>
      <c r="D554" s="3" t="s">
        <v>2276</v>
      </c>
      <c r="E554" s="3" t="s">
        <v>2277</v>
      </c>
      <c r="F554" s="3" t="s">
        <v>2278</v>
      </c>
      <c r="G554" s="3" t="s">
        <v>23</v>
      </c>
      <c r="H554" s="3" t="s">
        <v>2279</v>
      </c>
      <c r="I554" s="3" t="s">
        <v>2280</v>
      </c>
      <c r="J554" s="3" t="s">
        <v>562</v>
      </c>
      <c r="K554" s="3" t="s">
        <v>27</v>
      </c>
      <c r="L554" s="3" t="s">
        <v>28</v>
      </c>
      <c r="M554" s="3" t="s">
        <v>28</v>
      </c>
      <c r="N554" s="3" t="s">
        <v>27</v>
      </c>
      <c r="O554" s="3" t="s">
        <v>28</v>
      </c>
      <c r="P554" s="3" t="s">
        <v>28</v>
      </c>
      <c r="Q554" s="3" t="s">
        <v>28</v>
      </c>
      <c r="R554" s="3" t="s">
        <v>28</v>
      </c>
      <c r="S554" s="3" t="s">
        <v>28</v>
      </c>
      <c r="T554" s="3" t="s">
        <v>27</v>
      </c>
    </row>
    <row r="555" spans="1:20" ht="409.6">
      <c r="A555" s="3">
        <v>2753003</v>
      </c>
      <c r="B555" s="3">
        <f>HYPERLINK("https://platform.v2.vetology.net/cases/2753003/screening-report/6?type=pdf&amp;v=v6&amp;scorecard=1&amp;secret_key=BX%25IJ%24%2F65ieZ%29f6", 2753003)</f>
        <v>2753003</v>
      </c>
      <c r="C555" s="3">
        <f>HYPERLINK("https://platform.v2.vetology.net/report/v/final/"&amp;2753003, 2753003)</f>
        <v>2753003</v>
      </c>
      <c r="D555" s="3" t="s">
        <v>2281</v>
      </c>
      <c r="E555" s="3" t="s">
        <v>2282</v>
      </c>
      <c r="F555" s="3" t="s">
        <v>2283</v>
      </c>
      <c r="G555" s="3" t="s">
        <v>372</v>
      </c>
      <c r="H555" s="3" t="s">
        <v>2284</v>
      </c>
      <c r="I555" s="3" t="s">
        <v>345</v>
      </c>
      <c r="J555" s="3" t="s">
        <v>346</v>
      </c>
      <c r="K555" s="3" t="s">
        <v>28</v>
      </c>
      <c r="L555" s="3" t="s">
        <v>28</v>
      </c>
      <c r="M555" s="3" t="s">
        <v>28</v>
      </c>
      <c r="N555" s="3" t="s">
        <v>27</v>
      </c>
      <c r="O555" s="3" t="s">
        <v>28</v>
      </c>
      <c r="P555" s="3" t="s">
        <v>28</v>
      </c>
      <c r="Q555" s="3" t="s">
        <v>28</v>
      </c>
      <c r="R555" s="3" t="s">
        <v>27</v>
      </c>
      <c r="S555" s="3" t="s">
        <v>27</v>
      </c>
      <c r="T555" s="3" t="s">
        <v>27</v>
      </c>
    </row>
    <row r="556" spans="1:20" ht="381.75">
      <c r="A556" s="3">
        <v>2752991</v>
      </c>
      <c r="B556" s="3">
        <f>HYPERLINK("https://platform.v2.vetology.net/cases/2752991/screening-report/6?type=pdf&amp;v=v6&amp;scorecard=1&amp;secret_key=BX%25IJ%24%2F65ieZ%29f6", 2752991)</f>
        <v>2752991</v>
      </c>
      <c r="C556" s="3">
        <f>HYPERLINK("https://platform.v2.vetology.net/report/v/final/"&amp;2752991, 2752991)</f>
        <v>2752991</v>
      </c>
      <c r="D556" s="3" t="s">
        <v>2285</v>
      </c>
      <c r="E556" s="3" t="s">
        <v>2286</v>
      </c>
      <c r="F556" s="3" t="s">
        <v>22</v>
      </c>
      <c r="G556" s="3" t="s">
        <v>23</v>
      </c>
      <c r="H556" s="3" t="s">
        <v>855</v>
      </c>
      <c r="I556" s="3" t="s">
        <v>856</v>
      </c>
      <c r="J556" s="3" t="s">
        <v>857</v>
      </c>
      <c r="K556" s="3" t="s">
        <v>28</v>
      </c>
      <c r="L556" s="3" t="s">
        <v>28</v>
      </c>
      <c r="M556" s="3" t="s">
        <v>28</v>
      </c>
      <c r="N556" s="3" t="s">
        <v>28</v>
      </c>
      <c r="O556" s="3" t="s">
        <v>27</v>
      </c>
      <c r="P556" s="3" t="s">
        <v>28</v>
      </c>
      <c r="Q556" s="3" t="s">
        <v>28</v>
      </c>
      <c r="R556" s="3" t="s">
        <v>28</v>
      </c>
      <c r="S556" s="3" t="s">
        <v>28</v>
      </c>
      <c r="T556" s="3" t="s">
        <v>28</v>
      </c>
    </row>
    <row r="557" spans="1:20" ht="259.5">
      <c r="A557" s="3">
        <v>2752981</v>
      </c>
      <c r="B557" s="3">
        <f>HYPERLINK("https://platform.v2.vetology.net/cases/2752981/screening-report/6?type=pdf&amp;v=v6&amp;scorecard=1&amp;secret_key=BX%25IJ%24%2F65ieZ%29f6", 2752981)</f>
        <v>2752981</v>
      </c>
      <c r="C557" s="3">
        <f>HYPERLINK("https://platform.v2.vetology.net/report/v/final/"&amp;2752981, 2752981)</f>
        <v>2752981</v>
      </c>
      <c r="D557" s="3" t="s">
        <v>2287</v>
      </c>
      <c r="E557" s="3" t="s">
        <v>2288</v>
      </c>
      <c r="F557" s="3" t="s">
        <v>22</v>
      </c>
      <c r="G557" s="3" t="s">
        <v>23</v>
      </c>
      <c r="H557" s="3" t="s">
        <v>1932</v>
      </c>
      <c r="I557" s="3" t="s">
        <v>136</v>
      </c>
      <c r="J557" s="3" t="s">
        <v>424</v>
      </c>
      <c r="K557" s="3" t="s">
        <v>27</v>
      </c>
      <c r="L557" s="3" t="s">
        <v>28</v>
      </c>
      <c r="M557" s="3" t="s">
        <v>28</v>
      </c>
      <c r="N557" s="3" t="s">
        <v>28</v>
      </c>
      <c r="O557" s="3" t="s">
        <v>27</v>
      </c>
      <c r="P557" s="3" t="s">
        <v>28</v>
      </c>
      <c r="Q557" s="3" t="s">
        <v>28</v>
      </c>
      <c r="R557" s="3" t="s">
        <v>28</v>
      </c>
      <c r="S557" s="3" t="s">
        <v>28</v>
      </c>
      <c r="T557" s="3" t="s">
        <v>27</v>
      </c>
    </row>
    <row r="558" spans="1:20" ht="409.6">
      <c r="A558" s="3">
        <v>2752883</v>
      </c>
      <c r="B558" s="3">
        <f>HYPERLINK("https://platform.v2.vetology.net/cases/2752883/screening-report/6?type=pdf&amp;v=v6&amp;scorecard=1&amp;secret_key=BX%25IJ%24%2F65ieZ%29f6", 2752883)</f>
        <v>2752883</v>
      </c>
      <c r="C558" s="3">
        <f>HYPERLINK("https://platform.v2.vetology.net/report/v/final/"&amp;2752883, 2752883)</f>
        <v>2752883</v>
      </c>
      <c r="D558" s="3" t="s">
        <v>2289</v>
      </c>
      <c r="E558" s="3" t="s">
        <v>2290</v>
      </c>
      <c r="F558" s="3" t="s">
        <v>2291</v>
      </c>
      <c r="G558" s="3" t="s">
        <v>179</v>
      </c>
      <c r="H558" s="3" t="s">
        <v>1478</v>
      </c>
      <c r="I558" s="3" t="s">
        <v>279</v>
      </c>
      <c r="J558" s="3" t="s">
        <v>280</v>
      </c>
      <c r="K558" s="3" t="s">
        <v>28</v>
      </c>
      <c r="L558" s="3" t="s">
        <v>28</v>
      </c>
      <c r="M558" s="3" t="s">
        <v>28</v>
      </c>
      <c r="N558" s="3" t="s">
        <v>28</v>
      </c>
      <c r="O558" s="3" t="s">
        <v>27</v>
      </c>
      <c r="P558" s="3" t="s">
        <v>28</v>
      </c>
      <c r="Q558" s="3" t="s">
        <v>28</v>
      </c>
      <c r="R558" s="3" t="s">
        <v>28</v>
      </c>
      <c r="S558" s="3" t="s">
        <v>28</v>
      </c>
      <c r="T558" s="3" t="s">
        <v>27</v>
      </c>
    </row>
    <row r="559" spans="1:20" ht="409.6">
      <c r="A559" s="3">
        <v>2752878</v>
      </c>
      <c r="B559" s="3">
        <f>HYPERLINK("https://platform.v2.vetology.net/cases/2752878/screening-report/6?type=pdf&amp;v=v6&amp;scorecard=1&amp;secret_key=BX%25IJ%24%2F65ieZ%29f6", 2752878)</f>
        <v>2752878</v>
      </c>
      <c r="C559" s="3">
        <f>HYPERLINK("https://platform.v2.vetology.net/report/v/final/"&amp;2752878, 2752878)</f>
        <v>2752878</v>
      </c>
      <c r="D559" s="3" t="s">
        <v>2292</v>
      </c>
      <c r="E559" s="3" t="s">
        <v>2293</v>
      </c>
      <c r="F559" s="3" t="s">
        <v>2294</v>
      </c>
      <c r="G559" s="3" t="s">
        <v>64</v>
      </c>
      <c r="H559" s="3" t="s">
        <v>123</v>
      </c>
      <c r="I559" s="3" t="s">
        <v>124</v>
      </c>
      <c r="J559" s="3" t="s">
        <v>125</v>
      </c>
      <c r="K559" s="3" t="s">
        <v>28</v>
      </c>
      <c r="L559" s="3" t="s">
        <v>28</v>
      </c>
      <c r="M559" s="3" t="s">
        <v>28</v>
      </c>
      <c r="N559" s="3" t="s">
        <v>28</v>
      </c>
      <c r="O559" s="3" t="s">
        <v>27</v>
      </c>
      <c r="P559" s="3" t="s">
        <v>28</v>
      </c>
      <c r="Q559" s="3" t="s">
        <v>28</v>
      </c>
      <c r="R559" s="3" t="s">
        <v>28</v>
      </c>
      <c r="S559" s="3" t="s">
        <v>28</v>
      </c>
      <c r="T559" s="3" t="s">
        <v>28</v>
      </c>
    </row>
    <row r="560" spans="1:20" ht="409.6">
      <c r="A560" s="3">
        <v>2752862</v>
      </c>
      <c r="B560" s="3">
        <f>HYPERLINK("https://platform.v2.vetology.net/cases/2752862/screening-report/6?type=pdf&amp;v=v6&amp;scorecard=1&amp;secret_key=BX%25IJ%24%2F65ieZ%29f6", 2752862)</f>
        <v>2752862</v>
      </c>
      <c r="C560" s="3">
        <f>HYPERLINK("https://platform.v2.vetology.net/report/v/final/"&amp;2752862, 2752862)</f>
        <v>2752862</v>
      </c>
      <c r="D560" s="3" t="s">
        <v>2295</v>
      </c>
      <c r="E560" s="3" t="s">
        <v>2296</v>
      </c>
      <c r="F560" s="3" t="s">
        <v>22</v>
      </c>
      <c r="G560" s="3" t="s">
        <v>23</v>
      </c>
      <c r="H560" s="3" t="s">
        <v>2297</v>
      </c>
      <c r="I560" s="3" t="s">
        <v>1169</v>
      </c>
      <c r="J560" s="3" t="s">
        <v>1170</v>
      </c>
      <c r="K560" s="3" t="s">
        <v>27</v>
      </c>
      <c r="L560" s="3" t="s">
        <v>28</v>
      </c>
      <c r="M560" s="3" t="s">
        <v>27</v>
      </c>
      <c r="N560" s="3" t="s">
        <v>28</v>
      </c>
      <c r="O560" s="3" t="s">
        <v>27</v>
      </c>
      <c r="P560" s="3" t="s">
        <v>28</v>
      </c>
      <c r="Q560" s="3" t="s">
        <v>27</v>
      </c>
      <c r="R560" s="3" t="s">
        <v>28</v>
      </c>
      <c r="S560" s="3" t="s">
        <v>28</v>
      </c>
      <c r="T560" s="3" t="s">
        <v>27</v>
      </c>
    </row>
    <row r="561" spans="1:20" ht="409.6">
      <c r="A561" s="3">
        <v>2752842</v>
      </c>
      <c r="B561" s="3">
        <f>HYPERLINK("https://platform.v2.vetology.net/cases/2752842/screening-report/6?type=pdf&amp;v=v6&amp;scorecard=1&amp;secret_key=BX%25IJ%24%2F65ieZ%29f6", 2752842)</f>
        <v>2752842</v>
      </c>
      <c r="C561" s="3">
        <f>HYPERLINK("https://platform.v2.vetology.net/report/v/final/"&amp;2752842, 2752842)</f>
        <v>2752842</v>
      </c>
      <c r="D561" s="3" t="s">
        <v>2298</v>
      </c>
      <c r="E561" s="3" t="s">
        <v>2299</v>
      </c>
      <c r="F561" s="3" t="s">
        <v>2300</v>
      </c>
      <c r="G561" s="3" t="s">
        <v>186</v>
      </c>
      <c r="H561" s="3" t="s">
        <v>2301</v>
      </c>
      <c r="I561" s="3" t="s">
        <v>2302</v>
      </c>
      <c r="J561" s="3" t="s">
        <v>1058</v>
      </c>
      <c r="K561" s="3" t="s">
        <v>28</v>
      </c>
      <c r="L561" s="3" t="s">
        <v>28</v>
      </c>
      <c r="M561" s="3" t="s">
        <v>28</v>
      </c>
      <c r="N561" s="3" t="s">
        <v>27</v>
      </c>
      <c r="O561" s="3" t="s">
        <v>28</v>
      </c>
      <c r="P561" s="3" t="s">
        <v>28</v>
      </c>
      <c r="Q561" s="3" t="s">
        <v>28</v>
      </c>
      <c r="R561" s="3" t="s">
        <v>28</v>
      </c>
      <c r="S561" s="3" t="s">
        <v>28</v>
      </c>
      <c r="T561" s="3" t="s">
        <v>27</v>
      </c>
    </row>
    <row r="562" spans="1:20" ht="409.6">
      <c r="A562" s="3">
        <v>2752828</v>
      </c>
      <c r="B562" s="3">
        <f>HYPERLINK("https://platform.v2.vetology.net/cases/2752828/screening-report/6?type=pdf&amp;v=v6&amp;scorecard=1&amp;secret_key=BX%25IJ%24%2F65ieZ%29f6", 2752828)</f>
        <v>2752828</v>
      </c>
      <c r="C562" s="3">
        <f>HYPERLINK("https://platform.v2.vetology.net/report/v/final/"&amp;2752828, 2752828)</f>
        <v>2752828</v>
      </c>
      <c r="D562" s="3" t="s">
        <v>2303</v>
      </c>
      <c r="E562" s="3" t="s">
        <v>2304</v>
      </c>
      <c r="F562" s="3" t="s">
        <v>2305</v>
      </c>
      <c r="G562" s="3" t="s">
        <v>64</v>
      </c>
      <c r="H562" s="3" t="s">
        <v>2306</v>
      </c>
      <c r="I562" s="3" t="s">
        <v>784</v>
      </c>
      <c r="J562" s="3" t="s">
        <v>785</v>
      </c>
      <c r="K562" s="3" t="s">
        <v>27</v>
      </c>
      <c r="L562" s="3" t="s">
        <v>27</v>
      </c>
      <c r="M562" s="3" t="s">
        <v>27</v>
      </c>
      <c r="N562" s="3" t="s">
        <v>27</v>
      </c>
      <c r="O562" s="3" t="s">
        <v>27</v>
      </c>
      <c r="P562" s="3" t="s">
        <v>28</v>
      </c>
      <c r="Q562" s="3" t="s">
        <v>27</v>
      </c>
      <c r="R562" s="3" t="s">
        <v>27</v>
      </c>
      <c r="S562" s="3" t="s">
        <v>27</v>
      </c>
      <c r="T562" s="3" t="s">
        <v>27</v>
      </c>
    </row>
    <row r="563" spans="1:20" ht="305.25">
      <c r="A563" s="3">
        <v>2752827</v>
      </c>
      <c r="B563" s="3">
        <f>HYPERLINK("https://platform.v2.vetology.net/cases/2752827/screening-report/6?type=pdf&amp;v=v6&amp;scorecard=1&amp;secret_key=BX%25IJ%24%2F65ieZ%29f6", 2752827)</f>
        <v>2752827</v>
      </c>
      <c r="C563" s="3">
        <f>HYPERLINK("https://platform.v2.vetology.net/report/v/final/"&amp;2752827, 2752827)</f>
        <v>2752827</v>
      </c>
      <c r="D563" s="3" t="s">
        <v>2307</v>
      </c>
      <c r="E563" s="3" t="s">
        <v>2308</v>
      </c>
      <c r="F563" s="3" t="s">
        <v>2309</v>
      </c>
      <c r="G563" s="3" t="s">
        <v>23</v>
      </c>
      <c r="H563" s="3" t="s">
        <v>2310</v>
      </c>
      <c r="I563" s="3" t="s">
        <v>606</v>
      </c>
      <c r="J563" s="3" t="s">
        <v>207</v>
      </c>
      <c r="K563" s="3" t="s">
        <v>28</v>
      </c>
      <c r="L563" s="3" t="s">
        <v>27</v>
      </c>
      <c r="M563" s="3" t="s">
        <v>28</v>
      </c>
      <c r="N563" s="3" t="s">
        <v>27</v>
      </c>
      <c r="O563" s="3" t="s">
        <v>27</v>
      </c>
      <c r="P563" s="3" t="s">
        <v>28</v>
      </c>
      <c r="Q563" s="3" t="s">
        <v>28</v>
      </c>
      <c r="R563" s="3" t="s">
        <v>27</v>
      </c>
      <c r="S563" s="3" t="s">
        <v>28</v>
      </c>
      <c r="T563" s="3" t="s">
        <v>27</v>
      </c>
    </row>
    <row r="564" spans="1:20" ht="409.6">
      <c r="A564" s="3">
        <v>2752825</v>
      </c>
      <c r="B564" s="3">
        <f>HYPERLINK("https://platform.v2.vetology.net/cases/2752825/screening-report/6?type=pdf&amp;v=v6&amp;scorecard=1&amp;secret_key=BX%25IJ%24%2F65ieZ%29f6", 2752825)</f>
        <v>2752825</v>
      </c>
      <c r="C564" s="3">
        <f>HYPERLINK("https://platform.v2.vetology.net/report/v/final/"&amp;2752825, 2752825)</f>
        <v>2752825</v>
      </c>
      <c r="D564" s="3" t="s">
        <v>2311</v>
      </c>
      <c r="E564" s="3" t="s">
        <v>2312</v>
      </c>
      <c r="F564" s="3" t="s">
        <v>2313</v>
      </c>
      <c r="G564" s="3" t="s">
        <v>64</v>
      </c>
      <c r="H564" s="3" t="s">
        <v>2314</v>
      </c>
      <c r="I564" s="3" t="s">
        <v>25</v>
      </c>
      <c r="J564" s="3" t="s">
        <v>26</v>
      </c>
      <c r="K564" s="3" t="s">
        <v>27</v>
      </c>
      <c r="L564" s="3" t="s">
        <v>28</v>
      </c>
      <c r="M564" s="3" t="s">
        <v>28</v>
      </c>
      <c r="N564" s="3" t="s">
        <v>28</v>
      </c>
      <c r="O564" s="3" t="s">
        <v>27</v>
      </c>
      <c r="P564" s="3" t="s">
        <v>28</v>
      </c>
      <c r="Q564" s="3" t="s">
        <v>28</v>
      </c>
      <c r="R564" s="3" t="s">
        <v>28</v>
      </c>
      <c r="S564" s="3" t="s">
        <v>28</v>
      </c>
      <c r="T564" s="3" t="s">
        <v>28</v>
      </c>
    </row>
    <row r="565" spans="1:20" ht="259.5">
      <c r="A565" s="3">
        <v>2752786</v>
      </c>
      <c r="B565" s="3">
        <f>HYPERLINK("https://platform.v2.vetology.net/cases/2752786/screening-report/6?type=pdf&amp;v=v6&amp;scorecard=1&amp;secret_key=BX%25IJ%24%2F65ieZ%29f6", 2752786)</f>
        <v>2752786</v>
      </c>
      <c r="C565" s="3">
        <f>HYPERLINK("https://platform.v2.vetology.net/report/v/final/"&amp;2752786, 2752786)</f>
        <v>2752786</v>
      </c>
      <c r="D565" s="3" t="s">
        <v>2315</v>
      </c>
      <c r="E565" s="3" t="s">
        <v>2316</v>
      </c>
      <c r="F565" s="3" t="s">
        <v>2317</v>
      </c>
      <c r="G565" s="3" t="s">
        <v>186</v>
      </c>
      <c r="H565" s="3" t="s">
        <v>135</v>
      </c>
      <c r="I565" s="3" t="s">
        <v>136</v>
      </c>
      <c r="J565" s="3" t="s">
        <v>424</v>
      </c>
      <c r="K565" s="3" t="s">
        <v>27</v>
      </c>
      <c r="L565" s="3" t="s">
        <v>27</v>
      </c>
      <c r="M565" s="3" t="s">
        <v>28</v>
      </c>
      <c r="N565" s="3" t="s">
        <v>28</v>
      </c>
      <c r="O565" s="3" t="s">
        <v>27</v>
      </c>
      <c r="P565" s="3" t="s">
        <v>28</v>
      </c>
      <c r="Q565" s="3" t="s">
        <v>28</v>
      </c>
      <c r="R565" s="3" t="s">
        <v>28</v>
      </c>
      <c r="S565" s="3" t="s">
        <v>28</v>
      </c>
      <c r="T565" s="3" t="s">
        <v>27</v>
      </c>
    </row>
    <row r="566" spans="1:20" ht="396.75">
      <c r="A566" s="3">
        <v>2752773</v>
      </c>
      <c r="B566" s="3">
        <f>HYPERLINK("https://platform.v2.vetology.net/cases/2752773/screening-report/6?type=pdf&amp;v=v6&amp;scorecard=1&amp;secret_key=BX%25IJ%24%2F65ieZ%29f6", 2752773)</f>
        <v>2752773</v>
      </c>
      <c r="C566" s="3">
        <f>HYPERLINK("https://platform.v2.vetology.net/report/v/final/"&amp;2752773, 2752773)</f>
        <v>2752773</v>
      </c>
      <c r="D566" s="3" t="s">
        <v>2318</v>
      </c>
      <c r="E566" s="3" t="s">
        <v>2319</v>
      </c>
      <c r="F566" s="3" t="s">
        <v>22</v>
      </c>
      <c r="G566" s="3" t="s">
        <v>23</v>
      </c>
      <c r="H566" s="3" t="s">
        <v>2320</v>
      </c>
      <c r="I566" s="3" t="s">
        <v>816</v>
      </c>
      <c r="J566" s="3" t="s">
        <v>817</v>
      </c>
      <c r="K566" s="3" t="s">
        <v>28</v>
      </c>
      <c r="L566" s="3" t="s">
        <v>28</v>
      </c>
      <c r="M566" s="3" t="s">
        <v>28</v>
      </c>
      <c r="N566" s="3" t="s">
        <v>27</v>
      </c>
      <c r="O566" s="3" t="s">
        <v>27</v>
      </c>
      <c r="P566" s="3" t="s">
        <v>28</v>
      </c>
      <c r="Q566" s="3" t="s">
        <v>28</v>
      </c>
      <c r="R566" s="3" t="s">
        <v>27</v>
      </c>
      <c r="S566" s="3" t="s">
        <v>27</v>
      </c>
      <c r="T566" s="3" t="s">
        <v>28</v>
      </c>
    </row>
    <row r="567" spans="1:20" ht="305.25">
      <c r="A567" s="3">
        <v>2752755</v>
      </c>
      <c r="B567" s="3">
        <f>HYPERLINK("https://platform.v2.vetology.net/cases/2752755/screening-report/6?type=pdf&amp;v=v6&amp;scorecard=1&amp;secret_key=BX%25IJ%24%2F65ieZ%29f6", 2752755)</f>
        <v>2752755</v>
      </c>
      <c r="C567" s="3">
        <f>HYPERLINK("https://platform.v2.vetology.net/report/v/final/"&amp;2752755, 2752755)</f>
        <v>2752755</v>
      </c>
      <c r="D567" s="3" t="s">
        <v>2321</v>
      </c>
      <c r="E567" s="3" t="s">
        <v>2322</v>
      </c>
      <c r="F567" s="3" t="s">
        <v>22</v>
      </c>
      <c r="G567" s="3" t="s">
        <v>23</v>
      </c>
      <c r="H567" s="3" t="s">
        <v>2323</v>
      </c>
      <c r="I567" s="3" t="s">
        <v>1344</v>
      </c>
      <c r="J567" s="3" t="s">
        <v>33</v>
      </c>
      <c r="K567" s="3" t="s">
        <v>28</v>
      </c>
      <c r="L567" s="3" t="s">
        <v>28</v>
      </c>
      <c r="M567" s="3" t="s">
        <v>28</v>
      </c>
      <c r="N567" s="3" t="s">
        <v>28</v>
      </c>
      <c r="O567" s="3" t="s">
        <v>27</v>
      </c>
      <c r="P567" s="3" t="s">
        <v>28</v>
      </c>
      <c r="Q567" s="3" t="s">
        <v>28</v>
      </c>
      <c r="R567" s="3" t="s">
        <v>28</v>
      </c>
      <c r="S567" s="3" t="s">
        <v>28</v>
      </c>
      <c r="T567" s="3" t="s">
        <v>28</v>
      </c>
    </row>
    <row r="568" spans="1:20" ht="409.6">
      <c r="A568" s="3">
        <v>2752616</v>
      </c>
      <c r="B568" s="3">
        <f>HYPERLINK("https://platform.v2.vetology.net/cases/2752616/screening-report/6?type=pdf&amp;v=v6&amp;scorecard=1&amp;secret_key=BX%25IJ%24%2F65ieZ%29f6", 2752616)</f>
        <v>2752616</v>
      </c>
      <c r="C568" s="3">
        <f>HYPERLINK("https://platform.v2.vetology.net/report/v/final/"&amp;2752616, 2752616)</f>
        <v>2752616</v>
      </c>
      <c r="D568" s="3" t="s">
        <v>2324</v>
      </c>
      <c r="E568" s="3" t="s">
        <v>2325</v>
      </c>
      <c r="F568" s="3" t="s">
        <v>2326</v>
      </c>
      <c r="G568" s="3" t="s">
        <v>1772</v>
      </c>
      <c r="H568" s="3" t="s">
        <v>2253</v>
      </c>
      <c r="I568" s="3" t="s">
        <v>72</v>
      </c>
      <c r="J568" s="3" t="s">
        <v>363</v>
      </c>
      <c r="K568" s="3" t="s">
        <v>28</v>
      </c>
      <c r="L568" s="3" t="s">
        <v>27</v>
      </c>
      <c r="M568" s="3" t="s">
        <v>28</v>
      </c>
      <c r="N568" s="3" t="s">
        <v>27</v>
      </c>
      <c r="O568" s="3" t="s">
        <v>27</v>
      </c>
      <c r="P568" s="3" t="s">
        <v>28</v>
      </c>
      <c r="Q568" s="3" t="s">
        <v>28</v>
      </c>
      <c r="R568" s="3" t="s">
        <v>27</v>
      </c>
      <c r="S568" s="3" t="s">
        <v>27</v>
      </c>
      <c r="T568" s="3" t="s">
        <v>27</v>
      </c>
    </row>
    <row r="569" spans="1:20" ht="396.75">
      <c r="A569" s="3">
        <v>2752526</v>
      </c>
      <c r="B569" s="3">
        <f>HYPERLINK("https://platform.v2.vetology.net/cases/2752526/screening-report/6?type=pdf&amp;v=v6&amp;scorecard=1&amp;secret_key=BX%25IJ%24%2F65ieZ%29f6", 2752526)</f>
        <v>2752526</v>
      </c>
      <c r="C569" s="3">
        <f>HYPERLINK("https://platform.v2.vetology.net/report/v/final/"&amp;2752526, 2752526)</f>
        <v>2752526</v>
      </c>
      <c r="D569" s="3" t="s">
        <v>2327</v>
      </c>
      <c r="E569" s="3" t="s">
        <v>2328</v>
      </c>
      <c r="F569" s="3" t="s">
        <v>22</v>
      </c>
      <c r="G569" s="3" t="s">
        <v>23</v>
      </c>
      <c r="H569" s="3" t="s">
        <v>519</v>
      </c>
      <c r="I569" s="3" t="s">
        <v>1344</v>
      </c>
      <c r="J569" s="3" t="s">
        <v>33</v>
      </c>
      <c r="K569" s="3" t="s">
        <v>28</v>
      </c>
      <c r="L569" s="3" t="s">
        <v>28</v>
      </c>
      <c r="M569" s="3" t="s">
        <v>28</v>
      </c>
      <c r="N569" s="3" t="s">
        <v>28</v>
      </c>
      <c r="O569" s="3" t="s">
        <v>27</v>
      </c>
      <c r="P569" s="3" t="s">
        <v>28</v>
      </c>
      <c r="Q569" s="3" t="s">
        <v>28</v>
      </c>
      <c r="R569" s="3" t="s">
        <v>28</v>
      </c>
      <c r="S569" s="3" t="s">
        <v>28</v>
      </c>
      <c r="T569" s="3" t="s">
        <v>28</v>
      </c>
    </row>
    <row r="570" spans="1:20" ht="275.25">
      <c r="A570" s="3">
        <v>2752480</v>
      </c>
      <c r="B570" s="3">
        <f>HYPERLINK("https://platform.v2.vetology.net/cases/2752480/screening-report/6?type=pdf&amp;v=v6&amp;scorecard=1&amp;secret_key=BX%25IJ%24%2F65ieZ%29f6", 2752480)</f>
        <v>2752480</v>
      </c>
      <c r="C570" s="3">
        <f>HYPERLINK("https://platform.v2.vetology.net/report/v/final/"&amp;2752480, 2752480)</f>
        <v>2752480</v>
      </c>
      <c r="D570" s="3" t="s">
        <v>2329</v>
      </c>
      <c r="E570" s="3" t="s">
        <v>2330</v>
      </c>
      <c r="F570" s="3" t="s">
        <v>22</v>
      </c>
      <c r="G570" s="3" t="s">
        <v>23</v>
      </c>
      <c r="H570" s="3" t="s">
        <v>2331</v>
      </c>
      <c r="I570" s="3" t="s">
        <v>305</v>
      </c>
      <c r="J570" s="3" t="s">
        <v>799</v>
      </c>
      <c r="K570" s="3" t="s">
        <v>27</v>
      </c>
      <c r="L570" s="3" t="s">
        <v>28</v>
      </c>
      <c r="M570" s="3" t="s">
        <v>28</v>
      </c>
      <c r="N570" s="3" t="s">
        <v>28</v>
      </c>
      <c r="O570" s="3" t="s">
        <v>28</v>
      </c>
      <c r="P570" s="3" t="s">
        <v>28</v>
      </c>
      <c r="Q570" s="3" t="s">
        <v>28</v>
      </c>
      <c r="R570" s="3" t="s">
        <v>28</v>
      </c>
      <c r="S570" s="3" t="s">
        <v>27</v>
      </c>
      <c r="T570" s="3" t="s">
        <v>28</v>
      </c>
    </row>
    <row r="571" spans="1:20" ht="321">
      <c r="A571" s="3">
        <v>2752390</v>
      </c>
      <c r="B571" s="3">
        <f>HYPERLINK("https://platform.v2.vetology.net/cases/2752390/screening-report/6?type=pdf&amp;v=v6&amp;scorecard=1&amp;secret_key=BX%25IJ%24%2F65ieZ%29f6", 2752390)</f>
        <v>2752390</v>
      </c>
      <c r="C571" s="3">
        <f>HYPERLINK("https://platform.v2.vetology.net/report/v/final/"&amp;2752390, 2752390)</f>
        <v>2752390</v>
      </c>
      <c r="D571" s="3" t="s">
        <v>1635</v>
      </c>
      <c r="E571" s="3" t="s">
        <v>2332</v>
      </c>
      <c r="F571" s="3" t="s">
        <v>2333</v>
      </c>
      <c r="G571" s="3" t="s">
        <v>211</v>
      </c>
      <c r="H571" s="3" t="s">
        <v>2334</v>
      </c>
      <c r="I571" s="3" t="s">
        <v>181</v>
      </c>
      <c r="J571" s="3" t="s">
        <v>182</v>
      </c>
      <c r="K571" s="3" t="s">
        <v>28</v>
      </c>
      <c r="L571" s="3" t="s">
        <v>27</v>
      </c>
      <c r="M571" s="3" t="s">
        <v>27</v>
      </c>
      <c r="N571" s="3" t="s">
        <v>27</v>
      </c>
      <c r="O571" s="3" t="s">
        <v>27</v>
      </c>
      <c r="P571" s="3" t="s">
        <v>28</v>
      </c>
      <c r="Q571" s="3" t="s">
        <v>28</v>
      </c>
      <c r="R571" s="3" t="s">
        <v>27</v>
      </c>
      <c r="S571" s="3" t="s">
        <v>27</v>
      </c>
      <c r="T571" s="3" t="s">
        <v>27</v>
      </c>
    </row>
    <row r="572" spans="1:20" ht="409.6">
      <c r="A572" s="3">
        <v>2752344</v>
      </c>
      <c r="B572" s="3">
        <f>HYPERLINK("https://platform.v2.vetology.net/cases/2752344/screening-report/6?type=pdf&amp;v=v6&amp;scorecard=1&amp;secret_key=BX%25IJ%24%2F65ieZ%29f6", 2752344)</f>
        <v>2752344</v>
      </c>
      <c r="C572" s="3">
        <f>HYPERLINK("https://platform.v2.vetology.net/report/v/final/"&amp;2752344, 2752344)</f>
        <v>2752344</v>
      </c>
      <c r="D572" s="3" t="s">
        <v>2335</v>
      </c>
      <c r="E572" s="3" t="s">
        <v>2336</v>
      </c>
      <c r="F572" s="3" t="s">
        <v>2337</v>
      </c>
      <c r="G572" s="3" t="s">
        <v>211</v>
      </c>
      <c r="H572" s="3" t="s">
        <v>658</v>
      </c>
      <c r="I572" s="3" t="s">
        <v>659</v>
      </c>
      <c r="J572" s="3" t="s">
        <v>660</v>
      </c>
      <c r="K572" s="3" t="s">
        <v>28</v>
      </c>
      <c r="L572" s="3" t="s">
        <v>28</v>
      </c>
      <c r="M572" s="3" t="s">
        <v>28</v>
      </c>
      <c r="N572" s="3" t="s">
        <v>28</v>
      </c>
      <c r="O572" s="3" t="s">
        <v>27</v>
      </c>
      <c r="P572" s="3" t="s">
        <v>28</v>
      </c>
      <c r="Q572" s="3" t="s">
        <v>28</v>
      </c>
      <c r="R572" s="3" t="s">
        <v>28</v>
      </c>
      <c r="S572" s="3" t="s">
        <v>28</v>
      </c>
      <c r="T572" s="3" t="s">
        <v>28</v>
      </c>
    </row>
    <row r="573" spans="1:20" ht="275.25">
      <c r="A573" s="3">
        <v>2752309</v>
      </c>
      <c r="B573" s="3">
        <f>HYPERLINK("https://platform.v2.vetology.net/cases/2752309/screening-report/6?type=pdf&amp;v=v6&amp;scorecard=1&amp;secret_key=BX%25IJ%24%2F65ieZ%29f6", 2752309)</f>
        <v>2752309</v>
      </c>
      <c r="C573" s="3">
        <f>HYPERLINK("https://platform.v2.vetology.net/report/v/final/"&amp;2752309, 2752309)</f>
        <v>2752309</v>
      </c>
      <c r="D573" s="3" t="s">
        <v>2338</v>
      </c>
      <c r="E573" s="3" t="s">
        <v>2339</v>
      </c>
      <c r="F573" s="3" t="s">
        <v>2340</v>
      </c>
      <c r="G573" s="3" t="s">
        <v>186</v>
      </c>
      <c r="H573" s="3" t="s">
        <v>2341</v>
      </c>
      <c r="I573" s="3" t="s">
        <v>2342</v>
      </c>
      <c r="J573" s="3" t="s">
        <v>2343</v>
      </c>
      <c r="K573" s="3" t="s">
        <v>28</v>
      </c>
      <c r="L573" s="3" t="s">
        <v>27</v>
      </c>
      <c r="M573" s="3" t="s">
        <v>28</v>
      </c>
      <c r="N573" s="3" t="s">
        <v>28</v>
      </c>
      <c r="O573" s="3" t="s">
        <v>27</v>
      </c>
      <c r="P573" s="3" t="s">
        <v>28</v>
      </c>
      <c r="Q573" s="3" t="s">
        <v>27</v>
      </c>
      <c r="R573" s="3" t="s">
        <v>28</v>
      </c>
      <c r="S573" s="3" t="s">
        <v>28</v>
      </c>
      <c r="T573" s="3" t="s">
        <v>27</v>
      </c>
    </row>
    <row r="574" spans="1:20" ht="396.75">
      <c r="A574" s="3">
        <v>2752292</v>
      </c>
      <c r="B574" s="3">
        <f>HYPERLINK("https://platform.v2.vetology.net/cases/2752292/screening-report/6?type=pdf&amp;v=v6&amp;scorecard=1&amp;secret_key=BX%25IJ%24%2F65ieZ%29f6", 2752292)</f>
        <v>2752292</v>
      </c>
      <c r="C574" s="3">
        <f>HYPERLINK("https://platform.v2.vetology.net/report/v/final/"&amp;2752292, 2752292)</f>
        <v>2752292</v>
      </c>
      <c r="D574" s="3" t="s">
        <v>2344</v>
      </c>
      <c r="E574" s="3" t="s">
        <v>2345</v>
      </c>
      <c r="F574" s="3" t="s">
        <v>22</v>
      </c>
      <c r="G574" s="3" t="s">
        <v>372</v>
      </c>
      <c r="H574" s="3" t="s">
        <v>571</v>
      </c>
      <c r="I574" s="3" t="s">
        <v>572</v>
      </c>
      <c r="J574" s="3" t="s">
        <v>573</v>
      </c>
      <c r="K574" s="3" t="s">
        <v>28</v>
      </c>
      <c r="L574" s="3" t="s">
        <v>28</v>
      </c>
      <c r="M574" s="3" t="s">
        <v>28</v>
      </c>
      <c r="N574" s="3" t="s">
        <v>28</v>
      </c>
      <c r="O574" s="3" t="s">
        <v>27</v>
      </c>
      <c r="P574" s="3" t="s">
        <v>28</v>
      </c>
      <c r="Q574" s="3" t="s">
        <v>27</v>
      </c>
      <c r="R574" s="3" t="s">
        <v>28</v>
      </c>
      <c r="S574" s="3" t="s">
        <v>28</v>
      </c>
      <c r="T574" s="3" t="s">
        <v>28</v>
      </c>
    </row>
    <row r="575" spans="1:20" ht="321">
      <c r="A575" s="3">
        <v>2752278</v>
      </c>
      <c r="B575" s="3">
        <f>HYPERLINK("https://platform.v2.vetology.net/cases/2752278/screening-report/6?type=pdf&amp;v=v6&amp;scorecard=1&amp;secret_key=BX%25IJ%24%2F65ieZ%29f6", 2752278)</f>
        <v>2752278</v>
      </c>
      <c r="C575" s="3">
        <f>HYPERLINK("https://platform.v2.vetology.net/report/v/final/"&amp;2752278, 2752278)</f>
        <v>2752278</v>
      </c>
      <c r="D575" s="3" t="s">
        <v>2346</v>
      </c>
      <c r="E575" s="3" t="s">
        <v>2347</v>
      </c>
      <c r="F575" s="3" t="s">
        <v>2317</v>
      </c>
      <c r="G575" s="3" t="s">
        <v>186</v>
      </c>
      <c r="H575" s="3" t="s">
        <v>135</v>
      </c>
      <c r="I575" s="3" t="s">
        <v>136</v>
      </c>
      <c r="J575" s="3" t="s">
        <v>424</v>
      </c>
      <c r="K575" s="3" t="s">
        <v>28</v>
      </c>
      <c r="L575" s="3" t="s">
        <v>28</v>
      </c>
      <c r="M575" s="3" t="s">
        <v>28</v>
      </c>
      <c r="N575" s="3" t="s">
        <v>28</v>
      </c>
      <c r="O575" s="3" t="s">
        <v>27</v>
      </c>
      <c r="P575" s="3" t="s">
        <v>28</v>
      </c>
      <c r="Q575" s="3" t="s">
        <v>28</v>
      </c>
      <c r="R575" s="3" t="s">
        <v>28</v>
      </c>
      <c r="S575" s="3" t="s">
        <v>28</v>
      </c>
      <c r="T575" s="3" t="s">
        <v>27</v>
      </c>
    </row>
    <row r="576" spans="1:20" ht="409.6">
      <c r="A576" s="3">
        <v>2752272</v>
      </c>
      <c r="B576" s="3">
        <f>HYPERLINK("https://platform.v2.vetology.net/cases/2752272/screening-report/6?type=pdf&amp;v=v6&amp;scorecard=1&amp;secret_key=BX%25IJ%24%2F65ieZ%29f6", 2752272)</f>
        <v>2752272</v>
      </c>
      <c r="C576" s="3">
        <f>HYPERLINK("https://platform.v2.vetology.net/report/v/final/"&amp;2752272, 2752272)</f>
        <v>2752272</v>
      </c>
      <c r="D576" s="3" t="s">
        <v>2348</v>
      </c>
      <c r="E576" s="3" t="s">
        <v>294</v>
      </c>
      <c r="F576" s="3" t="s">
        <v>22</v>
      </c>
      <c r="G576" s="3" t="s">
        <v>23</v>
      </c>
      <c r="H576" s="3" t="s">
        <v>903</v>
      </c>
      <c r="I576" s="3" t="s">
        <v>904</v>
      </c>
      <c r="J576" s="3" t="s">
        <v>905</v>
      </c>
      <c r="K576" s="3" t="s">
        <v>27</v>
      </c>
      <c r="L576" s="3" t="s">
        <v>28</v>
      </c>
      <c r="M576" s="3" t="s">
        <v>28</v>
      </c>
      <c r="N576" s="3" t="s">
        <v>28</v>
      </c>
      <c r="O576" s="3" t="s">
        <v>27</v>
      </c>
      <c r="P576" s="3" t="s">
        <v>28</v>
      </c>
      <c r="Q576" s="3" t="s">
        <v>28</v>
      </c>
      <c r="R576" s="3" t="s">
        <v>28</v>
      </c>
      <c r="S576" s="3" t="s">
        <v>28</v>
      </c>
      <c r="T576" s="3" t="s">
        <v>28</v>
      </c>
    </row>
    <row r="577" spans="1:20" ht="321">
      <c r="A577" s="3">
        <v>2752259</v>
      </c>
      <c r="B577" s="3">
        <f>HYPERLINK("https://platform.v2.vetology.net/cases/2752259/screening-report/6?type=pdf&amp;v=v6&amp;scorecard=1&amp;secret_key=BX%25IJ%24%2F65ieZ%29f6", 2752259)</f>
        <v>2752259</v>
      </c>
      <c r="C577" s="3">
        <f>HYPERLINK("https://platform.v2.vetology.net/report/v/final/"&amp;2752259, 2752259)</f>
        <v>2752259</v>
      </c>
      <c r="D577" s="3" t="s">
        <v>2349</v>
      </c>
      <c r="E577" s="3" t="s">
        <v>2350</v>
      </c>
      <c r="F577" s="3" t="s">
        <v>2351</v>
      </c>
      <c r="G577" s="3" t="s">
        <v>100</v>
      </c>
      <c r="H577" s="3" t="s">
        <v>2352</v>
      </c>
      <c r="I577" s="3" t="s">
        <v>2353</v>
      </c>
      <c r="J577" s="3" t="s">
        <v>207</v>
      </c>
      <c r="K577" s="3" t="s">
        <v>28</v>
      </c>
      <c r="L577" s="3" t="s">
        <v>27</v>
      </c>
      <c r="M577" s="3" t="s">
        <v>28</v>
      </c>
      <c r="N577" s="3" t="s">
        <v>27</v>
      </c>
      <c r="O577" s="3" t="s">
        <v>27</v>
      </c>
      <c r="P577" s="3" t="s">
        <v>28</v>
      </c>
      <c r="Q577" s="3" t="s">
        <v>27</v>
      </c>
      <c r="R577" s="3" t="s">
        <v>27</v>
      </c>
      <c r="S577" s="3" t="s">
        <v>27</v>
      </c>
      <c r="T577" s="3" t="s">
        <v>27</v>
      </c>
    </row>
    <row r="578" spans="1:20" ht="409.6">
      <c r="A578" s="3">
        <v>2751976</v>
      </c>
      <c r="B578" s="3">
        <f>HYPERLINK("https://platform.v2.vetology.net/cases/2751976/screening-report/6?type=pdf&amp;v=v6&amp;scorecard=1&amp;secret_key=BX%25IJ%24%2F65ieZ%29f6", 2751976)</f>
        <v>2751976</v>
      </c>
      <c r="C578" s="3">
        <f>HYPERLINK("https://platform.v2.vetology.net/report/v/final/"&amp;2751976, 2751976)</f>
        <v>2751976</v>
      </c>
      <c r="D578" s="3" t="s">
        <v>2354</v>
      </c>
      <c r="E578" s="3" t="s">
        <v>2355</v>
      </c>
      <c r="F578" s="3" t="s">
        <v>2356</v>
      </c>
      <c r="G578" s="3" t="s">
        <v>64</v>
      </c>
      <c r="H578" s="3" t="s">
        <v>2357</v>
      </c>
      <c r="I578" s="3" t="s">
        <v>1396</v>
      </c>
      <c r="J578" s="3" t="s">
        <v>1397</v>
      </c>
      <c r="K578" s="3" t="s">
        <v>28</v>
      </c>
      <c r="L578" s="3" t="s">
        <v>27</v>
      </c>
      <c r="M578" s="3" t="s">
        <v>27</v>
      </c>
      <c r="N578" s="3" t="s">
        <v>27</v>
      </c>
      <c r="O578" s="3" t="s">
        <v>27</v>
      </c>
      <c r="P578" s="3" t="s">
        <v>27</v>
      </c>
      <c r="Q578" s="3" t="s">
        <v>27</v>
      </c>
      <c r="R578" s="3" t="s">
        <v>28</v>
      </c>
      <c r="S578" s="3" t="s">
        <v>27</v>
      </c>
      <c r="T578" s="3" t="s">
        <v>27</v>
      </c>
    </row>
    <row r="579" spans="1:20" ht="305.25">
      <c r="A579" s="3">
        <v>2751914</v>
      </c>
      <c r="B579" s="3">
        <f>HYPERLINK("https://platform.v2.vetology.net/cases/2751914/screening-report/6?type=pdf&amp;v=v6&amp;scorecard=1&amp;secret_key=BX%25IJ%24%2F65ieZ%29f6", 2751914)</f>
        <v>2751914</v>
      </c>
      <c r="C579" s="3">
        <f>HYPERLINK("https://platform.v2.vetology.net/report/v/final/"&amp;2751914, 2751914)</f>
        <v>2751914</v>
      </c>
      <c r="D579" s="3" t="s">
        <v>2358</v>
      </c>
      <c r="E579" s="3" t="s">
        <v>2359</v>
      </c>
      <c r="F579" s="3" t="s">
        <v>22</v>
      </c>
      <c r="G579" s="3" t="s">
        <v>100</v>
      </c>
      <c r="H579" s="3" t="s">
        <v>31</v>
      </c>
      <c r="I579" s="3" t="s">
        <v>32</v>
      </c>
      <c r="J579" s="3" t="s">
        <v>33</v>
      </c>
      <c r="K579" s="3" t="s">
        <v>28</v>
      </c>
      <c r="L579" s="3" t="s">
        <v>28</v>
      </c>
      <c r="M579" s="3" t="s">
        <v>28</v>
      </c>
      <c r="N579" s="3" t="s">
        <v>28</v>
      </c>
      <c r="O579" s="3" t="s">
        <v>27</v>
      </c>
      <c r="P579" s="3" t="s">
        <v>28</v>
      </c>
      <c r="Q579" s="3" t="s">
        <v>28</v>
      </c>
      <c r="R579" s="3" t="s">
        <v>28</v>
      </c>
      <c r="S579" s="3" t="s">
        <v>28</v>
      </c>
      <c r="T579" s="3" t="s">
        <v>28</v>
      </c>
    </row>
    <row r="580" spans="1:20" ht="396.75">
      <c r="A580" s="3">
        <v>2751904</v>
      </c>
      <c r="B580" s="3">
        <f>HYPERLINK("https://platform.v2.vetology.net/cases/2751904/screening-report/6?type=pdf&amp;v=v6&amp;scorecard=1&amp;secret_key=BX%25IJ%24%2F65ieZ%29f6", 2751904)</f>
        <v>2751904</v>
      </c>
      <c r="C580" s="3">
        <f>HYPERLINK("https://platform.v2.vetology.net/report/v/final/"&amp;2751904, 2751904)</f>
        <v>2751904</v>
      </c>
      <c r="D580" s="3" t="s">
        <v>2360</v>
      </c>
      <c r="E580" s="3" t="s">
        <v>2361</v>
      </c>
      <c r="F580" s="3" t="s">
        <v>2362</v>
      </c>
      <c r="G580" s="3" t="s">
        <v>23</v>
      </c>
      <c r="H580" s="3" t="s">
        <v>1097</v>
      </c>
      <c r="I580" s="3" t="s">
        <v>469</v>
      </c>
      <c r="J580" s="3" t="s">
        <v>470</v>
      </c>
      <c r="K580" s="3" t="s">
        <v>28</v>
      </c>
      <c r="L580" s="3" t="s">
        <v>28</v>
      </c>
      <c r="M580" s="3" t="s">
        <v>28</v>
      </c>
      <c r="N580" s="3" t="s">
        <v>28</v>
      </c>
      <c r="O580" s="3" t="s">
        <v>27</v>
      </c>
      <c r="P580" s="3" t="s">
        <v>28</v>
      </c>
      <c r="Q580" s="3" t="s">
        <v>28</v>
      </c>
      <c r="R580" s="3" t="s">
        <v>28</v>
      </c>
      <c r="S580" s="3" t="s">
        <v>28</v>
      </c>
      <c r="T580" s="3" t="s">
        <v>28</v>
      </c>
    </row>
    <row r="581" spans="1:20" ht="409.6">
      <c r="A581" s="3">
        <v>2751862</v>
      </c>
      <c r="B581" s="3">
        <f>HYPERLINK("https://platform.v2.vetology.net/cases/2751862/screening-report/6?type=pdf&amp;v=v6&amp;scorecard=1&amp;secret_key=BX%25IJ%24%2F65ieZ%29f6", 2751862)</f>
        <v>2751862</v>
      </c>
      <c r="C581" s="3">
        <f>HYPERLINK("https://platform.v2.vetology.net/report/v/final/"&amp;2751862, 2751862)</f>
        <v>2751862</v>
      </c>
      <c r="D581" s="3" t="s">
        <v>2363</v>
      </c>
      <c r="E581" s="3" t="s">
        <v>2364</v>
      </c>
      <c r="F581" s="3" t="s">
        <v>2365</v>
      </c>
      <c r="G581" s="3" t="s">
        <v>179</v>
      </c>
      <c r="H581" s="3" t="s">
        <v>2366</v>
      </c>
      <c r="I581" s="3" t="s">
        <v>878</v>
      </c>
      <c r="J581" s="3" t="s">
        <v>879</v>
      </c>
      <c r="K581" s="3" t="s">
        <v>28</v>
      </c>
      <c r="L581" s="3" t="s">
        <v>27</v>
      </c>
      <c r="M581" s="3" t="s">
        <v>28</v>
      </c>
      <c r="N581" s="3" t="s">
        <v>27</v>
      </c>
      <c r="O581" s="3" t="s">
        <v>27</v>
      </c>
      <c r="P581" s="3" t="s">
        <v>28</v>
      </c>
      <c r="Q581" s="3" t="s">
        <v>28</v>
      </c>
      <c r="R581" s="3" t="s">
        <v>27</v>
      </c>
      <c r="S581" s="3" t="s">
        <v>27</v>
      </c>
      <c r="T581" s="3" t="s">
        <v>27</v>
      </c>
    </row>
    <row r="582" spans="1:20" ht="366">
      <c r="A582" s="3">
        <v>2751851</v>
      </c>
      <c r="B582" s="3">
        <f>HYPERLINK("https://platform.v2.vetology.net/cases/2751851/screening-report/6?type=pdf&amp;v=v6&amp;scorecard=1&amp;secret_key=BX%25IJ%24%2F65ieZ%29f6", 2751851)</f>
        <v>2751851</v>
      </c>
      <c r="C582" s="3">
        <f>HYPERLINK("https://platform.v2.vetology.net/report/v/final/"&amp;2751851, 2751851)</f>
        <v>2751851</v>
      </c>
      <c r="D582" s="3" t="s">
        <v>2367</v>
      </c>
      <c r="E582" s="3" t="s">
        <v>2368</v>
      </c>
      <c r="F582" s="3" t="s">
        <v>2369</v>
      </c>
      <c r="G582" s="3" t="s">
        <v>179</v>
      </c>
      <c r="H582" s="3" t="s">
        <v>2370</v>
      </c>
      <c r="I582" s="3" t="s">
        <v>1809</v>
      </c>
      <c r="J582" s="3" t="s">
        <v>1810</v>
      </c>
      <c r="K582" s="3" t="s">
        <v>28</v>
      </c>
      <c r="L582" s="3" t="s">
        <v>28</v>
      </c>
      <c r="M582" s="3" t="s">
        <v>28</v>
      </c>
      <c r="N582" s="3" t="s">
        <v>28</v>
      </c>
      <c r="O582" s="3" t="s">
        <v>27</v>
      </c>
      <c r="P582" s="3" t="s">
        <v>28</v>
      </c>
      <c r="Q582" s="3" t="s">
        <v>27</v>
      </c>
      <c r="R582" s="3" t="s">
        <v>28</v>
      </c>
      <c r="S582" s="3" t="s">
        <v>28</v>
      </c>
      <c r="T582" s="3" t="s">
        <v>28</v>
      </c>
    </row>
    <row r="583" spans="1:20" ht="409.6">
      <c r="A583" s="3">
        <v>2751850</v>
      </c>
      <c r="B583" s="3">
        <f>HYPERLINK("https://platform.v2.vetology.net/cases/2751850/screening-report/6?type=pdf&amp;v=v6&amp;scorecard=1&amp;secret_key=BX%25IJ%24%2F65ieZ%29f6", 2751850)</f>
        <v>2751850</v>
      </c>
      <c r="C583" s="3">
        <f>HYPERLINK("https://platform.v2.vetology.net/report/v/final/"&amp;2751850, 2751850)</f>
        <v>2751850</v>
      </c>
      <c r="D583" s="3" t="s">
        <v>2371</v>
      </c>
      <c r="E583" s="3" t="s">
        <v>2372</v>
      </c>
      <c r="F583" s="3" t="s">
        <v>2373</v>
      </c>
      <c r="G583" s="3" t="s">
        <v>100</v>
      </c>
      <c r="H583" s="3" t="s">
        <v>2374</v>
      </c>
      <c r="I583" s="3" t="s">
        <v>2375</v>
      </c>
      <c r="J583" s="3" t="s">
        <v>154</v>
      </c>
      <c r="K583" s="3" t="s">
        <v>27</v>
      </c>
      <c r="L583" s="3" t="s">
        <v>28</v>
      </c>
      <c r="M583" s="3" t="s">
        <v>27</v>
      </c>
      <c r="N583" s="3" t="s">
        <v>28</v>
      </c>
      <c r="O583" s="3" t="s">
        <v>27</v>
      </c>
      <c r="P583" s="3" t="s">
        <v>27</v>
      </c>
      <c r="Q583" s="3" t="s">
        <v>27</v>
      </c>
      <c r="R583" s="3" t="s">
        <v>28</v>
      </c>
      <c r="S583" s="3" t="s">
        <v>27</v>
      </c>
      <c r="T583" s="3" t="s">
        <v>28</v>
      </c>
    </row>
    <row r="584" spans="1:20" ht="409.6">
      <c r="A584" s="3">
        <v>2751782</v>
      </c>
      <c r="B584" s="3">
        <f>HYPERLINK("https://platform.v2.vetology.net/cases/2751782/screening-report/6?type=pdf&amp;v=v6&amp;scorecard=1&amp;secret_key=BX%25IJ%24%2F65ieZ%29f6", 2751782)</f>
        <v>2751782</v>
      </c>
      <c r="C584" s="3">
        <f>HYPERLINK("https://platform.v2.vetology.net/report/v/final/"&amp;2751782, 2751782)</f>
        <v>2751782</v>
      </c>
      <c r="D584" s="3" t="s">
        <v>2376</v>
      </c>
      <c r="E584" s="3" t="s">
        <v>2377</v>
      </c>
      <c r="F584" s="3" t="s">
        <v>22</v>
      </c>
      <c r="G584" s="3" t="s">
        <v>100</v>
      </c>
      <c r="H584" s="3" t="s">
        <v>2378</v>
      </c>
      <c r="I584" s="3" t="s">
        <v>2379</v>
      </c>
      <c r="J584" s="3" t="s">
        <v>1058</v>
      </c>
      <c r="K584" s="3" t="s">
        <v>28</v>
      </c>
      <c r="L584" s="3" t="s">
        <v>27</v>
      </c>
      <c r="M584" s="3" t="s">
        <v>28</v>
      </c>
      <c r="N584" s="3" t="s">
        <v>27</v>
      </c>
      <c r="O584" s="3" t="s">
        <v>28</v>
      </c>
      <c r="P584" s="3" t="s">
        <v>28</v>
      </c>
      <c r="Q584" s="3" t="s">
        <v>28</v>
      </c>
      <c r="R584" s="3" t="s">
        <v>27</v>
      </c>
      <c r="S584" s="3" t="s">
        <v>27</v>
      </c>
      <c r="T584" s="3" t="s">
        <v>27</v>
      </c>
    </row>
    <row r="585" spans="1:20" ht="290.25">
      <c r="A585" s="3">
        <v>2751741</v>
      </c>
      <c r="B585" s="3">
        <f>HYPERLINK("https://platform.v2.vetology.net/cases/2751741/screening-report/6?type=pdf&amp;v=v6&amp;scorecard=1&amp;secret_key=BX%25IJ%24%2F65ieZ%29f6", 2751741)</f>
        <v>2751741</v>
      </c>
      <c r="C585" s="3">
        <f>HYPERLINK("https://platform.v2.vetology.net/report/v/final/"&amp;2751741, 2751741)</f>
        <v>2751741</v>
      </c>
      <c r="D585" s="3" t="s">
        <v>2380</v>
      </c>
      <c r="E585" s="3" t="s">
        <v>2381</v>
      </c>
      <c r="F585" s="3" t="s">
        <v>2382</v>
      </c>
      <c r="G585" s="3" t="s">
        <v>566</v>
      </c>
      <c r="H585" s="3" t="s">
        <v>2383</v>
      </c>
      <c r="I585" s="3" t="s">
        <v>316</v>
      </c>
      <c r="J585" s="3" t="s">
        <v>317</v>
      </c>
      <c r="K585" s="3" t="s">
        <v>28</v>
      </c>
      <c r="L585" s="3" t="s">
        <v>28</v>
      </c>
      <c r="M585" s="3" t="s">
        <v>28</v>
      </c>
      <c r="N585" s="3" t="s">
        <v>28</v>
      </c>
      <c r="O585" s="3" t="s">
        <v>27</v>
      </c>
      <c r="P585" s="3" t="s">
        <v>28</v>
      </c>
      <c r="Q585" s="3" t="s">
        <v>28</v>
      </c>
      <c r="R585" s="3" t="s">
        <v>28</v>
      </c>
      <c r="S585" s="3" t="s">
        <v>27</v>
      </c>
      <c r="T585" s="3" t="s">
        <v>28</v>
      </c>
    </row>
    <row r="586" spans="1:20" ht="336">
      <c r="A586" s="3">
        <v>2751731</v>
      </c>
      <c r="B586" s="3">
        <f>HYPERLINK("https://platform.v2.vetology.net/cases/2751731/screening-report/6?type=pdf&amp;v=v6&amp;scorecard=1&amp;secret_key=BX%25IJ%24%2F65ieZ%29f6", 2751731)</f>
        <v>2751731</v>
      </c>
      <c r="C586" s="3">
        <f>HYPERLINK("https://platform.v2.vetology.net/report/v/final/"&amp;2751731, 2751731)</f>
        <v>2751731</v>
      </c>
      <c r="D586" s="3" t="s">
        <v>2384</v>
      </c>
      <c r="E586" s="3" t="s">
        <v>2385</v>
      </c>
      <c r="F586" s="3" t="s">
        <v>2386</v>
      </c>
      <c r="G586" s="3" t="s">
        <v>186</v>
      </c>
      <c r="H586" s="3" t="s">
        <v>2387</v>
      </c>
      <c r="I586" s="3" t="s">
        <v>2388</v>
      </c>
      <c r="J586" s="3" t="s">
        <v>2389</v>
      </c>
      <c r="K586" s="3" t="s">
        <v>28</v>
      </c>
      <c r="L586" s="3" t="s">
        <v>28</v>
      </c>
      <c r="M586" s="3" t="s">
        <v>28</v>
      </c>
      <c r="N586" s="3" t="s">
        <v>27</v>
      </c>
      <c r="O586" s="3" t="s">
        <v>27</v>
      </c>
      <c r="P586" s="3" t="s">
        <v>28</v>
      </c>
      <c r="Q586" s="3" t="s">
        <v>27</v>
      </c>
      <c r="R586" s="3" t="s">
        <v>28</v>
      </c>
      <c r="S586" s="3" t="s">
        <v>28</v>
      </c>
      <c r="T586" s="3" t="s">
        <v>27</v>
      </c>
    </row>
    <row r="587" spans="1:20" ht="396.75">
      <c r="A587" s="3">
        <v>2751727</v>
      </c>
      <c r="B587" s="3">
        <f>HYPERLINK("https://platform.v2.vetology.net/cases/2751727/screening-report/6?type=pdf&amp;v=v6&amp;scorecard=1&amp;secret_key=BX%25IJ%24%2F65ieZ%29f6", 2751727)</f>
        <v>2751727</v>
      </c>
      <c r="C587" s="3">
        <f>HYPERLINK("https://platform.v2.vetology.net/report/v/final/"&amp;2751727, 2751727)</f>
        <v>2751727</v>
      </c>
      <c r="D587" s="3" t="s">
        <v>2390</v>
      </c>
      <c r="E587" s="3" t="s">
        <v>2391</v>
      </c>
      <c r="F587" s="3" t="s">
        <v>2278</v>
      </c>
      <c r="G587" s="3" t="s">
        <v>23</v>
      </c>
      <c r="H587" s="3" t="s">
        <v>571</v>
      </c>
      <c r="I587" s="3" t="s">
        <v>572</v>
      </c>
      <c r="J587" s="3" t="s">
        <v>2392</v>
      </c>
      <c r="K587" s="3" t="s">
        <v>27</v>
      </c>
      <c r="L587" s="3" t="s">
        <v>28</v>
      </c>
      <c r="M587" s="3" t="s">
        <v>27</v>
      </c>
      <c r="N587" s="3" t="s">
        <v>28</v>
      </c>
      <c r="O587" s="3" t="s">
        <v>27</v>
      </c>
      <c r="P587" s="3" t="s">
        <v>28</v>
      </c>
      <c r="Q587" s="3" t="s">
        <v>27</v>
      </c>
      <c r="R587" s="3" t="s">
        <v>28</v>
      </c>
      <c r="S587" s="3" t="s">
        <v>28</v>
      </c>
      <c r="T587" s="3" t="s">
        <v>28</v>
      </c>
    </row>
    <row r="588" spans="1:20" ht="409.6">
      <c r="A588" s="3">
        <v>2751637</v>
      </c>
      <c r="B588" s="3">
        <f>HYPERLINK("https://platform.v2.vetology.net/cases/2751637/screening-report/6?type=pdf&amp;v=v6&amp;scorecard=1&amp;secret_key=BX%25IJ%24%2F65ieZ%29f6", 2751637)</f>
        <v>2751637</v>
      </c>
      <c r="C588" s="3">
        <f>HYPERLINK("https://platform.v2.vetology.net/report/v/final/"&amp;2751637, 2751637)</f>
        <v>2751637</v>
      </c>
      <c r="D588" s="3" t="s">
        <v>2393</v>
      </c>
      <c r="E588" s="3" t="s">
        <v>2394</v>
      </c>
      <c r="F588" s="3" t="s">
        <v>2395</v>
      </c>
      <c r="G588" s="3" t="s">
        <v>100</v>
      </c>
      <c r="H588" s="3" t="s">
        <v>2396</v>
      </c>
      <c r="I588" s="3" t="s">
        <v>2397</v>
      </c>
      <c r="J588" s="3" t="s">
        <v>2398</v>
      </c>
      <c r="K588" s="3" t="s">
        <v>28</v>
      </c>
      <c r="L588" s="3" t="s">
        <v>27</v>
      </c>
      <c r="M588" s="3" t="s">
        <v>27</v>
      </c>
      <c r="N588" s="3" t="s">
        <v>27</v>
      </c>
      <c r="O588" s="3" t="s">
        <v>27</v>
      </c>
      <c r="P588" s="3" t="s">
        <v>28</v>
      </c>
      <c r="Q588" s="3" t="s">
        <v>27</v>
      </c>
      <c r="R588" s="3" t="s">
        <v>27</v>
      </c>
      <c r="S588" s="3" t="s">
        <v>27</v>
      </c>
      <c r="T588" s="3" t="s">
        <v>27</v>
      </c>
    </row>
    <row r="589" spans="1:20" ht="409.6">
      <c r="A589" s="3">
        <v>2751564</v>
      </c>
      <c r="B589" s="3">
        <f>HYPERLINK("https://platform.v2.vetology.net/cases/2751564/screening-report/6?type=pdf&amp;v=v6&amp;scorecard=1&amp;secret_key=BX%25IJ%24%2F65ieZ%29f6", 2751564)</f>
        <v>2751564</v>
      </c>
      <c r="C589" s="3">
        <f>HYPERLINK("https://platform.v2.vetology.net/report/v/final/"&amp;2751564, 2751564)</f>
        <v>2751564</v>
      </c>
      <c r="D589" s="3" t="s">
        <v>2399</v>
      </c>
      <c r="E589" s="3" t="s">
        <v>2400</v>
      </c>
      <c r="F589" s="3" t="s">
        <v>22</v>
      </c>
      <c r="G589" s="3" t="s">
        <v>23</v>
      </c>
      <c r="H589" s="3" t="s">
        <v>31</v>
      </c>
      <c r="I589" s="3" t="s">
        <v>32</v>
      </c>
      <c r="J589" s="3" t="s">
        <v>119</v>
      </c>
      <c r="K589" s="3" t="s">
        <v>28</v>
      </c>
      <c r="L589" s="3" t="s">
        <v>28</v>
      </c>
      <c r="M589" s="3" t="s">
        <v>28</v>
      </c>
      <c r="N589" s="3" t="s">
        <v>28</v>
      </c>
      <c r="O589" s="3" t="s">
        <v>28</v>
      </c>
      <c r="P589" s="3" t="s">
        <v>28</v>
      </c>
      <c r="Q589" s="3" t="s">
        <v>28</v>
      </c>
      <c r="R589" s="3" t="s">
        <v>28</v>
      </c>
      <c r="S589" s="3" t="s">
        <v>28</v>
      </c>
      <c r="T589" s="3" t="s">
        <v>28</v>
      </c>
    </row>
    <row r="590" spans="1:20" ht="409.6">
      <c r="A590" s="3">
        <v>2751541</v>
      </c>
      <c r="B590" s="3">
        <f>HYPERLINK("https://platform.v2.vetology.net/cases/2751541/screening-report/6?type=pdf&amp;v=v6&amp;scorecard=1&amp;secret_key=BX%25IJ%24%2F65ieZ%29f6", 2751541)</f>
        <v>2751541</v>
      </c>
      <c r="C590" s="3">
        <f>HYPERLINK("https://platform.v2.vetology.net/report/v/final/"&amp;2751541, 2751541)</f>
        <v>2751541</v>
      </c>
      <c r="D590" s="3" t="s">
        <v>2401</v>
      </c>
      <c r="E590" s="3" t="s">
        <v>2402</v>
      </c>
      <c r="F590" s="3" t="s">
        <v>22</v>
      </c>
      <c r="G590" s="3" t="s">
        <v>372</v>
      </c>
      <c r="H590" s="3" t="s">
        <v>2403</v>
      </c>
      <c r="I590" s="3" t="s">
        <v>1497</v>
      </c>
      <c r="J590" s="3" t="s">
        <v>1340</v>
      </c>
      <c r="K590" s="3" t="s">
        <v>28</v>
      </c>
      <c r="L590" s="3" t="s">
        <v>28</v>
      </c>
      <c r="M590" s="3" t="s">
        <v>28</v>
      </c>
      <c r="N590" s="3" t="s">
        <v>28</v>
      </c>
      <c r="O590" s="3" t="s">
        <v>27</v>
      </c>
      <c r="P590" s="3" t="s">
        <v>28</v>
      </c>
      <c r="Q590" s="3" t="s">
        <v>27</v>
      </c>
      <c r="R590" s="3" t="s">
        <v>28</v>
      </c>
      <c r="S590" s="3" t="s">
        <v>27</v>
      </c>
      <c r="T590" s="3" t="s">
        <v>28</v>
      </c>
    </row>
    <row r="591" spans="1:20" ht="381.75">
      <c r="A591" s="3">
        <v>2751540</v>
      </c>
      <c r="B591" s="3">
        <f>HYPERLINK("https://platform.v2.vetology.net/cases/2751540/screening-report/6?type=pdf&amp;v=v6&amp;scorecard=1&amp;secret_key=BX%25IJ%24%2F65ieZ%29f6", 2751540)</f>
        <v>2751540</v>
      </c>
      <c r="C591" s="3">
        <f>HYPERLINK("https://platform.v2.vetology.net/report/v/final/"&amp;2751540, 2751540)</f>
        <v>2751540</v>
      </c>
      <c r="D591" s="3" t="s">
        <v>2404</v>
      </c>
      <c r="E591" s="3" t="s">
        <v>2405</v>
      </c>
      <c r="F591" s="3" t="s">
        <v>2406</v>
      </c>
      <c r="G591" s="3" t="s">
        <v>211</v>
      </c>
      <c r="H591" s="3" t="s">
        <v>1158</v>
      </c>
      <c r="I591" s="3" t="s">
        <v>32</v>
      </c>
      <c r="J591" s="3" t="s">
        <v>847</v>
      </c>
      <c r="K591" s="3" t="s">
        <v>28</v>
      </c>
      <c r="L591" s="3" t="s">
        <v>28</v>
      </c>
      <c r="M591" s="3" t="s">
        <v>28</v>
      </c>
      <c r="N591" s="3" t="s">
        <v>27</v>
      </c>
      <c r="O591" s="3" t="s">
        <v>27</v>
      </c>
      <c r="P591" s="3" t="s">
        <v>28</v>
      </c>
      <c r="Q591" s="3" t="s">
        <v>28</v>
      </c>
      <c r="R591" s="3" t="s">
        <v>28</v>
      </c>
      <c r="S591" s="3" t="s">
        <v>28</v>
      </c>
      <c r="T591" s="3" t="s">
        <v>28</v>
      </c>
    </row>
    <row r="592" spans="1:20" ht="409.6">
      <c r="A592" s="3">
        <v>2751487</v>
      </c>
      <c r="B592" s="3">
        <f>HYPERLINK("https://platform.v2.vetology.net/cases/2751487/screening-report/6?type=pdf&amp;v=v6&amp;scorecard=1&amp;secret_key=BX%25IJ%24%2F65ieZ%29f6", 2751487)</f>
        <v>2751487</v>
      </c>
      <c r="C592" s="3">
        <f>HYPERLINK("https://platform.v2.vetology.net/report/v/final/"&amp;2751487, 2751487)</f>
        <v>2751487</v>
      </c>
      <c r="D592" s="3" t="s">
        <v>2407</v>
      </c>
      <c r="E592" s="3" t="s">
        <v>2408</v>
      </c>
      <c r="F592" s="3" t="s">
        <v>22</v>
      </c>
      <c r="G592" s="3" t="s">
        <v>23</v>
      </c>
      <c r="H592" s="3" t="s">
        <v>2409</v>
      </c>
      <c r="I592" s="3" t="s">
        <v>871</v>
      </c>
      <c r="J592" s="3" t="s">
        <v>872</v>
      </c>
      <c r="K592" s="3" t="s">
        <v>28</v>
      </c>
      <c r="L592" s="3" t="s">
        <v>28</v>
      </c>
      <c r="M592" s="3" t="s">
        <v>28</v>
      </c>
      <c r="N592" s="3" t="s">
        <v>27</v>
      </c>
      <c r="O592" s="3" t="s">
        <v>27</v>
      </c>
      <c r="P592" s="3" t="s">
        <v>28</v>
      </c>
      <c r="Q592" s="3" t="s">
        <v>28</v>
      </c>
      <c r="R592" s="3" t="s">
        <v>27</v>
      </c>
      <c r="S592" s="3" t="s">
        <v>27</v>
      </c>
      <c r="T592" s="3" t="s">
        <v>27</v>
      </c>
    </row>
    <row r="593" spans="1:20" ht="409.6">
      <c r="A593" s="3">
        <v>2751477</v>
      </c>
      <c r="B593" s="3">
        <f>HYPERLINK("https://platform.v2.vetology.net/cases/2751477/screening-report/6?type=pdf&amp;v=v6&amp;scorecard=1&amp;secret_key=BX%25IJ%24%2F65ieZ%29f6", 2751477)</f>
        <v>2751477</v>
      </c>
      <c r="C593" s="3">
        <f>HYPERLINK("https://platform.v2.vetology.net/report/v/final/"&amp;2751477, 2751477)</f>
        <v>2751477</v>
      </c>
      <c r="D593" s="3" t="s">
        <v>2410</v>
      </c>
      <c r="E593" s="3" t="s">
        <v>2411</v>
      </c>
      <c r="F593" s="3" t="s">
        <v>22</v>
      </c>
      <c r="G593" s="3" t="s">
        <v>23</v>
      </c>
      <c r="H593" s="3" t="s">
        <v>2412</v>
      </c>
      <c r="I593" s="3" t="s">
        <v>2413</v>
      </c>
      <c r="J593" s="3" t="s">
        <v>2414</v>
      </c>
      <c r="K593" s="3" t="s">
        <v>28</v>
      </c>
      <c r="L593" s="3" t="s">
        <v>28</v>
      </c>
      <c r="M593" s="3" t="s">
        <v>27</v>
      </c>
      <c r="N593" s="3" t="s">
        <v>28</v>
      </c>
      <c r="O593" s="3" t="s">
        <v>27</v>
      </c>
      <c r="P593" s="3" t="s">
        <v>28</v>
      </c>
      <c r="Q593" s="3" t="s">
        <v>28</v>
      </c>
      <c r="R593" s="3" t="s">
        <v>28</v>
      </c>
      <c r="S593" s="3" t="s">
        <v>28</v>
      </c>
      <c r="T593" s="3" t="s">
        <v>28</v>
      </c>
    </row>
    <row r="594" spans="1:20" ht="409.6">
      <c r="A594" s="3">
        <v>2751459</v>
      </c>
      <c r="B594" s="3">
        <f>HYPERLINK("https://platform.v2.vetology.net/cases/2751459/screening-report/6?type=pdf&amp;v=v6&amp;scorecard=1&amp;secret_key=BX%25IJ%24%2F65ieZ%29f6", 2751459)</f>
        <v>2751459</v>
      </c>
      <c r="C594" s="3">
        <f>HYPERLINK("https://platform.v2.vetology.net/report/v/final/"&amp;2751459, 2751459)</f>
        <v>2751459</v>
      </c>
      <c r="D594" s="3" t="s">
        <v>2415</v>
      </c>
      <c r="E594" s="3" t="s">
        <v>2416</v>
      </c>
      <c r="F594" s="3" t="s">
        <v>2417</v>
      </c>
      <c r="G594" s="3" t="s">
        <v>64</v>
      </c>
      <c r="H594" s="3" t="s">
        <v>2418</v>
      </c>
      <c r="I594" s="3" t="s">
        <v>305</v>
      </c>
      <c r="J594" s="3" t="s">
        <v>2419</v>
      </c>
      <c r="K594" s="3" t="s">
        <v>27</v>
      </c>
      <c r="L594" s="3" t="s">
        <v>27</v>
      </c>
      <c r="M594" s="3" t="s">
        <v>28</v>
      </c>
      <c r="N594" s="3" t="s">
        <v>28</v>
      </c>
      <c r="O594" s="3" t="s">
        <v>27</v>
      </c>
      <c r="P594" s="3" t="s">
        <v>27</v>
      </c>
      <c r="Q594" s="3" t="s">
        <v>27</v>
      </c>
      <c r="R594" s="3" t="s">
        <v>28</v>
      </c>
      <c r="S594" s="3" t="s">
        <v>28</v>
      </c>
      <c r="T594" s="3" t="s">
        <v>27</v>
      </c>
    </row>
    <row r="595" spans="1:20" ht="198">
      <c r="A595" s="3">
        <v>2751441</v>
      </c>
      <c r="B595" s="3">
        <f>HYPERLINK("https://platform.v2.vetology.net/cases/2751441/screening-report/6?type=pdf&amp;v=v6&amp;scorecard=1&amp;secret_key=BX%25IJ%24%2F65ieZ%29f6", 2751441)</f>
        <v>2751441</v>
      </c>
      <c r="C595" s="3">
        <f>HYPERLINK("https://platform.v2.vetology.net/report/v/final/"&amp;2751441, 2751441)</f>
        <v>2751441</v>
      </c>
      <c r="D595" s="3" t="s">
        <v>2420</v>
      </c>
      <c r="E595" s="3" t="s">
        <v>2421</v>
      </c>
      <c r="F595" s="3" t="s">
        <v>2422</v>
      </c>
      <c r="G595" s="3" t="s">
        <v>186</v>
      </c>
      <c r="H595" s="3" t="s">
        <v>1538</v>
      </c>
      <c r="I595" s="3" t="s">
        <v>72</v>
      </c>
      <c r="J595" s="3" t="s">
        <v>363</v>
      </c>
      <c r="K595" s="3" t="s">
        <v>28</v>
      </c>
      <c r="L595" s="3" t="s">
        <v>28</v>
      </c>
      <c r="M595" s="3" t="s">
        <v>28</v>
      </c>
      <c r="N595" s="3" t="s">
        <v>28</v>
      </c>
      <c r="O595" s="3" t="s">
        <v>27</v>
      </c>
      <c r="P595" s="3" t="s">
        <v>28</v>
      </c>
      <c r="Q595" s="3" t="s">
        <v>28</v>
      </c>
      <c r="R595" s="3" t="s">
        <v>28</v>
      </c>
      <c r="S595" s="3" t="s">
        <v>28</v>
      </c>
      <c r="T595" s="3" t="s">
        <v>27</v>
      </c>
    </row>
    <row r="596" spans="1:20" ht="409.6">
      <c r="A596" s="3">
        <v>2751396</v>
      </c>
      <c r="B596" s="3">
        <f>HYPERLINK("https://platform.v2.vetology.net/cases/2751396/screening-report/6?type=pdf&amp;v=v6&amp;scorecard=1&amp;secret_key=BX%25IJ%24%2F65ieZ%29f6", 2751396)</f>
        <v>2751396</v>
      </c>
      <c r="C596" s="3">
        <f>HYPERLINK("https://platform.v2.vetology.net/report/v/final/"&amp;2751396, 2751396)</f>
        <v>2751396</v>
      </c>
      <c r="D596" s="3" t="s">
        <v>2423</v>
      </c>
      <c r="E596" s="3" t="s">
        <v>2424</v>
      </c>
      <c r="F596" s="3" t="s">
        <v>2425</v>
      </c>
      <c r="G596" s="3" t="s">
        <v>186</v>
      </c>
      <c r="H596" s="3" t="s">
        <v>2426</v>
      </c>
      <c r="I596" s="3" t="s">
        <v>549</v>
      </c>
      <c r="J596" s="3" t="s">
        <v>550</v>
      </c>
      <c r="K596" s="3" t="s">
        <v>28</v>
      </c>
      <c r="L596" s="3" t="s">
        <v>27</v>
      </c>
      <c r="M596" s="3" t="s">
        <v>28</v>
      </c>
      <c r="N596" s="3" t="s">
        <v>27</v>
      </c>
      <c r="O596" s="3" t="s">
        <v>27</v>
      </c>
      <c r="P596" s="3" t="s">
        <v>28</v>
      </c>
      <c r="Q596" s="3" t="s">
        <v>28</v>
      </c>
      <c r="R596" s="3" t="s">
        <v>27</v>
      </c>
      <c r="S596" s="3" t="s">
        <v>27</v>
      </c>
      <c r="T596" s="3" t="s">
        <v>27</v>
      </c>
    </row>
    <row r="597" spans="1:20" ht="351">
      <c r="A597" s="3">
        <v>2751381</v>
      </c>
      <c r="B597" s="3">
        <f>HYPERLINK("https://platform.v2.vetology.net/cases/2751381/screening-report/6?type=pdf&amp;v=v6&amp;scorecard=1&amp;secret_key=BX%25IJ%24%2F65ieZ%29f6", 2751381)</f>
        <v>2751381</v>
      </c>
      <c r="C597" s="3">
        <f>HYPERLINK("https://platform.v2.vetology.net/report/v/final/"&amp;2751381, 2751381)</f>
        <v>2751381</v>
      </c>
      <c r="D597" s="3" t="s">
        <v>2427</v>
      </c>
      <c r="E597" s="3" t="s">
        <v>2428</v>
      </c>
      <c r="F597" s="3" t="s">
        <v>22</v>
      </c>
      <c r="G597" s="3" t="s">
        <v>23</v>
      </c>
      <c r="H597" s="3" t="s">
        <v>788</v>
      </c>
      <c r="I597" s="3" t="s">
        <v>32</v>
      </c>
      <c r="J597" s="3" t="s">
        <v>33</v>
      </c>
      <c r="K597" s="3" t="s">
        <v>28</v>
      </c>
      <c r="L597" s="3" t="s">
        <v>28</v>
      </c>
      <c r="M597" s="3" t="s">
        <v>27</v>
      </c>
      <c r="N597" s="3" t="s">
        <v>28</v>
      </c>
      <c r="O597" s="3" t="s">
        <v>28</v>
      </c>
      <c r="P597" s="3" t="s">
        <v>28</v>
      </c>
      <c r="Q597" s="3" t="s">
        <v>27</v>
      </c>
      <c r="R597" s="3" t="s">
        <v>28</v>
      </c>
      <c r="S597" s="3" t="s">
        <v>28</v>
      </c>
      <c r="T597" s="3" t="s">
        <v>27</v>
      </c>
    </row>
    <row r="598" spans="1:20" ht="366">
      <c r="A598" s="3">
        <v>2751336</v>
      </c>
      <c r="B598" s="3">
        <f>HYPERLINK("https://platform.v2.vetology.net/cases/2751336/screening-report/6?type=pdf&amp;v=v6&amp;scorecard=1&amp;secret_key=BX%25IJ%24%2F65ieZ%29f6", 2751336)</f>
        <v>2751336</v>
      </c>
      <c r="C598" s="3">
        <f>HYPERLINK("https://platform.v2.vetology.net/report/v/final/"&amp;2751336, 2751336)</f>
        <v>2751336</v>
      </c>
      <c r="D598" s="3" t="s">
        <v>2429</v>
      </c>
      <c r="E598" s="3" t="s">
        <v>2430</v>
      </c>
      <c r="F598" s="3" t="s">
        <v>1049</v>
      </c>
      <c r="G598" s="3" t="s">
        <v>100</v>
      </c>
      <c r="H598" s="3" t="s">
        <v>2431</v>
      </c>
      <c r="I598" s="3" t="s">
        <v>2432</v>
      </c>
      <c r="J598" s="3" t="s">
        <v>2433</v>
      </c>
      <c r="K598" s="3" t="s">
        <v>28</v>
      </c>
      <c r="L598" s="3" t="s">
        <v>28</v>
      </c>
      <c r="M598" s="3" t="s">
        <v>28</v>
      </c>
      <c r="N598" s="3" t="s">
        <v>28</v>
      </c>
      <c r="O598" s="3" t="s">
        <v>27</v>
      </c>
      <c r="P598" s="3" t="s">
        <v>28</v>
      </c>
      <c r="Q598" s="3" t="s">
        <v>28</v>
      </c>
      <c r="R598" s="3" t="s">
        <v>27</v>
      </c>
      <c r="S598" s="3" t="s">
        <v>27</v>
      </c>
      <c r="T598" s="3" t="s">
        <v>27</v>
      </c>
    </row>
    <row r="599" spans="1:20" ht="336">
      <c r="A599" s="3">
        <v>2751232</v>
      </c>
      <c r="B599" s="3">
        <f>HYPERLINK("https://platform.v2.vetology.net/cases/2751232/screening-report/6?type=pdf&amp;v=v6&amp;scorecard=1&amp;secret_key=BX%25IJ%24%2F65ieZ%29f6", 2751232)</f>
        <v>2751232</v>
      </c>
      <c r="C599" s="3">
        <f>HYPERLINK("https://platform.v2.vetology.net/report/v/final/"&amp;2751232, 2751232)</f>
        <v>2751232</v>
      </c>
      <c r="D599" s="3" t="s">
        <v>2434</v>
      </c>
      <c r="E599" s="3" t="s">
        <v>2435</v>
      </c>
      <c r="F599" s="3" t="s">
        <v>2436</v>
      </c>
      <c r="G599" s="3" t="s">
        <v>23</v>
      </c>
      <c r="H599" s="3" t="s">
        <v>2437</v>
      </c>
      <c r="I599" s="3" t="s">
        <v>2438</v>
      </c>
      <c r="J599" s="3" t="s">
        <v>2439</v>
      </c>
      <c r="K599" s="3" t="s">
        <v>28</v>
      </c>
      <c r="L599" s="3" t="s">
        <v>28</v>
      </c>
      <c r="M599" s="3" t="s">
        <v>28</v>
      </c>
      <c r="N599" s="3" t="s">
        <v>28</v>
      </c>
      <c r="O599" s="3" t="s">
        <v>28</v>
      </c>
      <c r="P599" s="3" t="s">
        <v>27</v>
      </c>
      <c r="Q599" s="3" t="s">
        <v>28</v>
      </c>
      <c r="R599" s="3" t="s">
        <v>28</v>
      </c>
      <c r="S599" s="3" t="s">
        <v>28</v>
      </c>
      <c r="T599" s="3" t="s">
        <v>28</v>
      </c>
    </row>
    <row r="600" spans="1:20" ht="366">
      <c r="A600" s="3">
        <v>2751217</v>
      </c>
      <c r="B600" s="3">
        <f>HYPERLINK("https://platform.v2.vetology.net/cases/2751217/screening-report/6?type=pdf&amp;v=v6&amp;scorecard=1&amp;secret_key=BX%25IJ%24%2F65ieZ%29f6", 2751217)</f>
        <v>2751217</v>
      </c>
      <c r="C600" s="3">
        <f>HYPERLINK("https://platform.v2.vetology.net/report/v/final/"&amp;2751217, 2751217)</f>
        <v>2751217</v>
      </c>
      <c r="D600" s="3" t="s">
        <v>2440</v>
      </c>
      <c r="E600" s="3" t="s">
        <v>2441</v>
      </c>
      <c r="F600" s="3"/>
      <c r="G600" s="3" t="s">
        <v>122</v>
      </c>
      <c r="H600" s="3" t="s">
        <v>212</v>
      </c>
      <c r="I600" s="3" t="s">
        <v>213</v>
      </c>
      <c r="J600" s="3" t="s">
        <v>214</v>
      </c>
      <c r="K600" s="3" t="s">
        <v>28</v>
      </c>
      <c r="L600" s="3" t="s">
        <v>28</v>
      </c>
      <c r="M600" s="3" t="s">
        <v>28</v>
      </c>
      <c r="N600" s="3" t="s">
        <v>28</v>
      </c>
      <c r="O600" s="3" t="s">
        <v>27</v>
      </c>
      <c r="P600" s="3" t="s">
        <v>28</v>
      </c>
      <c r="Q600" s="3" t="s">
        <v>28</v>
      </c>
      <c r="R600" s="3" t="s">
        <v>28</v>
      </c>
      <c r="S600" s="3" t="s">
        <v>28</v>
      </c>
      <c r="T600" s="3" t="s">
        <v>28</v>
      </c>
    </row>
    <row r="601" spans="1:20" ht="336">
      <c r="A601" s="3">
        <v>2751198</v>
      </c>
      <c r="B601" s="3">
        <f>HYPERLINK("https://platform.v2.vetology.net/cases/2751198/screening-report/6?type=pdf&amp;v=v6&amp;scorecard=1&amp;secret_key=BX%25IJ%24%2F65ieZ%29f6", 2751198)</f>
        <v>2751198</v>
      </c>
      <c r="C601" s="3">
        <f>HYPERLINK("https://platform.v2.vetology.net/report/v/final/"&amp;2751198, 2751198)</f>
        <v>2751198</v>
      </c>
      <c r="D601" s="3" t="s">
        <v>2442</v>
      </c>
      <c r="E601" s="3" t="s">
        <v>2443</v>
      </c>
      <c r="F601" s="3" t="s">
        <v>22</v>
      </c>
      <c r="G601" s="3" t="s">
        <v>23</v>
      </c>
      <c r="H601" s="3" t="s">
        <v>2444</v>
      </c>
      <c r="I601" s="3" t="s">
        <v>124</v>
      </c>
      <c r="J601" s="3" t="s">
        <v>125</v>
      </c>
      <c r="K601" s="3" t="s">
        <v>27</v>
      </c>
      <c r="L601" s="3" t="s">
        <v>28</v>
      </c>
      <c r="M601" s="3" t="s">
        <v>28</v>
      </c>
      <c r="N601" s="3" t="s">
        <v>28</v>
      </c>
      <c r="O601" s="3" t="s">
        <v>27</v>
      </c>
      <c r="P601" s="3" t="s">
        <v>28</v>
      </c>
      <c r="Q601" s="3" t="s">
        <v>28</v>
      </c>
      <c r="R601" s="3" t="s">
        <v>28</v>
      </c>
      <c r="S601" s="3" t="s">
        <v>28</v>
      </c>
      <c r="T601" s="3" t="s">
        <v>28</v>
      </c>
    </row>
    <row r="602" spans="1:20" ht="396.75">
      <c r="A602" s="3">
        <v>2751190</v>
      </c>
      <c r="B602" s="3">
        <f>HYPERLINK("https://platform.v2.vetology.net/cases/2751190/screening-report/6?type=pdf&amp;v=v6&amp;scorecard=1&amp;secret_key=BX%25IJ%24%2F65ieZ%29f6", 2751190)</f>
        <v>2751190</v>
      </c>
      <c r="C602" s="3">
        <f>HYPERLINK("https://platform.v2.vetology.net/report/v/final/"&amp;2751190, 2751190)</f>
        <v>2751190</v>
      </c>
      <c r="D602" s="3" t="s">
        <v>2445</v>
      </c>
      <c r="E602" s="3" t="s">
        <v>2446</v>
      </c>
      <c r="F602" s="3"/>
      <c r="G602" s="3" t="s">
        <v>2447</v>
      </c>
      <c r="H602" s="3" t="s">
        <v>2448</v>
      </c>
      <c r="I602" s="3" t="s">
        <v>596</v>
      </c>
      <c r="J602" s="3" t="s">
        <v>597</v>
      </c>
      <c r="K602" s="3" t="s">
        <v>28</v>
      </c>
      <c r="L602" s="3" t="s">
        <v>27</v>
      </c>
      <c r="M602" s="3" t="s">
        <v>28</v>
      </c>
      <c r="N602" s="3" t="s">
        <v>27</v>
      </c>
      <c r="O602" s="3" t="s">
        <v>27</v>
      </c>
      <c r="P602" s="3" t="s">
        <v>28</v>
      </c>
      <c r="Q602" s="3" t="s">
        <v>28</v>
      </c>
      <c r="R602" s="3" t="s">
        <v>27</v>
      </c>
      <c r="S602" s="3" t="s">
        <v>28</v>
      </c>
      <c r="T602" s="3" t="s">
        <v>27</v>
      </c>
    </row>
    <row r="603" spans="1:20" ht="409.6">
      <c r="A603" s="3">
        <v>2751187</v>
      </c>
      <c r="B603" s="3">
        <f>HYPERLINK("https://platform.v2.vetology.net/cases/2751187/screening-report/6?type=pdf&amp;v=v6&amp;scorecard=1&amp;secret_key=BX%25IJ%24%2F65ieZ%29f6", 2751187)</f>
        <v>2751187</v>
      </c>
      <c r="C603" s="3">
        <f>HYPERLINK("https://platform.v2.vetology.net/report/v/final/"&amp;2751187, 2751187)</f>
        <v>2751187</v>
      </c>
      <c r="D603" s="3" t="s">
        <v>2449</v>
      </c>
      <c r="E603" s="3" t="s">
        <v>2450</v>
      </c>
      <c r="F603" s="3" t="s">
        <v>2451</v>
      </c>
      <c r="G603" s="3" t="s">
        <v>23</v>
      </c>
      <c r="H603" s="3" t="s">
        <v>2452</v>
      </c>
      <c r="I603" s="3" t="s">
        <v>52</v>
      </c>
      <c r="J603" s="3" t="s">
        <v>154</v>
      </c>
      <c r="K603" s="3" t="s">
        <v>27</v>
      </c>
      <c r="L603" s="3" t="s">
        <v>28</v>
      </c>
      <c r="M603" s="3" t="s">
        <v>28</v>
      </c>
      <c r="N603" s="3" t="s">
        <v>28</v>
      </c>
      <c r="O603" s="3" t="s">
        <v>27</v>
      </c>
      <c r="P603" s="3" t="s">
        <v>28</v>
      </c>
      <c r="Q603" s="3" t="s">
        <v>27</v>
      </c>
      <c r="R603" s="3" t="s">
        <v>28</v>
      </c>
      <c r="S603" s="3" t="s">
        <v>28</v>
      </c>
      <c r="T603" s="3" t="s">
        <v>28</v>
      </c>
    </row>
    <row r="604" spans="1:20" ht="305.25">
      <c r="A604" s="3">
        <v>2751180</v>
      </c>
      <c r="B604" s="3">
        <f>HYPERLINK("https://platform.v2.vetology.net/cases/2751180/screening-report/6?type=pdf&amp;v=v6&amp;scorecard=1&amp;secret_key=BX%25IJ%24%2F65ieZ%29f6", 2751180)</f>
        <v>2751180</v>
      </c>
      <c r="C604" s="3">
        <f>HYPERLINK("https://platform.v2.vetology.net/report/v/final/"&amp;2751180, 2751180)</f>
        <v>2751180</v>
      </c>
      <c r="D604" s="3" t="s">
        <v>2453</v>
      </c>
      <c r="E604" s="3" t="s">
        <v>2454</v>
      </c>
      <c r="F604" s="3" t="s">
        <v>2455</v>
      </c>
      <c r="G604" s="3" t="s">
        <v>64</v>
      </c>
      <c r="H604" s="3" t="s">
        <v>328</v>
      </c>
      <c r="I604" s="3"/>
      <c r="J604" s="3" t="s">
        <v>207</v>
      </c>
      <c r="K604" s="3" t="s">
        <v>28</v>
      </c>
      <c r="L604" s="3" t="s">
        <v>28</v>
      </c>
      <c r="M604" s="3" t="s">
        <v>28</v>
      </c>
      <c r="N604" s="3" t="s">
        <v>28</v>
      </c>
      <c r="O604" s="3" t="s">
        <v>27</v>
      </c>
      <c r="P604" s="3" t="s">
        <v>28</v>
      </c>
      <c r="Q604" s="3" t="s">
        <v>28</v>
      </c>
      <c r="R604" s="3" t="s">
        <v>28</v>
      </c>
      <c r="S604" s="3" t="s">
        <v>28</v>
      </c>
      <c r="T604" s="3" t="s">
        <v>27</v>
      </c>
    </row>
    <row r="605" spans="1:20" ht="381.75">
      <c r="A605" s="3">
        <v>2751178</v>
      </c>
      <c r="B605" s="3">
        <f>HYPERLINK("https://platform.v2.vetology.net/cases/2751178/screening-report/6?type=pdf&amp;v=v6&amp;scorecard=1&amp;secret_key=BX%25IJ%24%2F65ieZ%29f6", 2751178)</f>
        <v>2751178</v>
      </c>
      <c r="C605" s="3">
        <f>HYPERLINK("https://platform.v2.vetology.net/report/v/final/"&amp;2751178, 2751178)</f>
        <v>2751178</v>
      </c>
      <c r="D605" s="3" t="s">
        <v>2456</v>
      </c>
      <c r="E605" s="3" t="s">
        <v>2457</v>
      </c>
      <c r="F605" s="3" t="s">
        <v>2458</v>
      </c>
      <c r="G605" s="3" t="s">
        <v>23</v>
      </c>
      <c r="H605" s="3" t="s">
        <v>2459</v>
      </c>
      <c r="I605" s="3" t="s">
        <v>2460</v>
      </c>
      <c r="J605" s="3" t="s">
        <v>2461</v>
      </c>
      <c r="K605" s="3" t="s">
        <v>27</v>
      </c>
      <c r="L605" s="3" t="s">
        <v>28</v>
      </c>
      <c r="M605" s="3" t="s">
        <v>28</v>
      </c>
      <c r="N605" s="3" t="s">
        <v>28</v>
      </c>
      <c r="O605" s="3" t="s">
        <v>28</v>
      </c>
      <c r="P605" s="3" t="s">
        <v>28</v>
      </c>
      <c r="Q605" s="3" t="s">
        <v>27</v>
      </c>
      <c r="R605" s="3" t="s">
        <v>28</v>
      </c>
      <c r="S605" s="3" t="s">
        <v>28</v>
      </c>
      <c r="T605" s="3" t="s">
        <v>28</v>
      </c>
    </row>
    <row r="606" spans="1:20" ht="409.6">
      <c r="A606" s="3">
        <v>2751176</v>
      </c>
      <c r="B606" s="3">
        <f>HYPERLINK("https://platform.v2.vetology.net/cases/2751176/screening-report/6?type=pdf&amp;v=v6&amp;scorecard=1&amp;secret_key=BX%25IJ%24%2F65ieZ%29f6", 2751176)</f>
        <v>2751176</v>
      </c>
      <c r="C606" s="3">
        <f>HYPERLINK("https://platform.v2.vetology.net/report/v/final/"&amp;2751176, 2751176)</f>
        <v>2751176</v>
      </c>
      <c r="D606" s="3" t="s">
        <v>2462</v>
      </c>
      <c r="E606" s="3" t="s">
        <v>2463</v>
      </c>
      <c r="F606" s="3" t="s">
        <v>2464</v>
      </c>
      <c r="G606" s="3" t="s">
        <v>64</v>
      </c>
      <c r="H606" s="3" t="s">
        <v>2465</v>
      </c>
      <c r="I606" s="3" t="s">
        <v>1529</v>
      </c>
      <c r="J606" s="3" t="s">
        <v>1530</v>
      </c>
      <c r="K606" s="3" t="s">
        <v>28</v>
      </c>
      <c r="L606" s="3" t="s">
        <v>27</v>
      </c>
      <c r="M606" s="3" t="s">
        <v>28</v>
      </c>
      <c r="N606" s="3" t="s">
        <v>28</v>
      </c>
      <c r="O606" s="3" t="s">
        <v>28</v>
      </c>
      <c r="P606" s="3" t="s">
        <v>28</v>
      </c>
      <c r="Q606" s="3" t="s">
        <v>27</v>
      </c>
      <c r="R606" s="3" t="s">
        <v>28</v>
      </c>
      <c r="S606" s="3" t="s">
        <v>28</v>
      </c>
      <c r="T606" s="3" t="s">
        <v>28</v>
      </c>
    </row>
    <row r="607" spans="1:20" ht="396.75">
      <c r="A607" s="3">
        <v>2751160</v>
      </c>
      <c r="B607" s="3">
        <f>HYPERLINK("https://platform.v2.vetology.net/cases/2751160/screening-report/6?type=pdf&amp;v=v6&amp;scorecard=1&amp;secret_key=BX%25IJ%24%2F65ieZ%29f6", 2751160)</f>
        <v>2751160</v>
      </c>
      <c r="C607" s="3">
        <f>HYPERLINK("https://platform.v2.vetology.net/report/v/final/"&amp;2751160, 2751160)</f>
        <v>2751160</v>
      </c>
      <c r="D607" s="3" t="s">
        <v>954</v>
      </c>
      <c r="E607" s="3" t="s">
        <v>1230</v>
      </c>
      <c r="F607" s="3" t="s">
        <v>1049</v>
      </c>
      <c r="G607" s="3" t="s">
        <v>100</v>
      </c>
      <c r="H607" s="3" t="s">
        <v>1097</v>
      </c>
      <c r="I607" s="3" t="s">
        <v>469</v>
      </c>
      <c r="J607" s="3" t="s">
        <v>470</v>
      </c>
      <c r="K607" s="3" t="s">
        <v>28</v>
      </c>
      <c r="L607" s="3" t="s">
        <v>28</v>
      </c>
      <c r="M607" s="3" t="s">
        <v>28</v>
      </c>
      <c r="N607" s="3" t="s">
        <v>28</v>
      </c>
      <c r="O607" s="3" t="s">
        <v>27</v>
      </c>
      <c r="P607" s="3" t="s">
        <v>28</v>
      </c>
      <c r="Q607" s="3" t="s">
        <v>28</v>
      </c>
      <c r="R607" s="3" t="s">
        <v>28</v>
      </c>
      <c r="S607" s="3" t="s">
        <v>28</v>
      </c>
      <c r="T607" s="3" t="s">
        <v>28</v>
      </c>
    </row>
    <row r="608" spans="1:20" ht="409.6">
      <c r="A608" s="3">
        <v>2751159</v>
      </c>
      <c r="B608" s="3">
        <f>HYPERLINK("https://platform.v2.vetology.net/cases/2751159/screening-report/6?type=pdf&amp;v=v6&amp;scorecard=1&amp;secret_key=BX%25IJ%24%2F65ieZ%29f6", 2751159)</f>
        <v>2751159</v>
      </c>
      <c r="C608" s="3">
        <f>HYPERLINK("https://platform.v2.vetology.net/report/v/final/"&amp;2751159, 2751159)</f>
        <v>2751159</v>
      </c>
      <c r="D608" s="3" t="s">
        <v>2466</v>
      </c>
      <c r="E608" s="3" t="s">
        <v>2467</v>
      </c>
      <c r="F608" s="3" t="s">
        <v>22</v>
      </c>
      <c r="G608" s="3" t="s">
        <v>23</v>
      </c>
      <c r="H608" s="3" t="s">
        <v>2468</v>
      </c>
      <c r="I608" s="3" t="s">
        <v>561</v>
      </c>
      <c r="J608" s="3" t="s">
        <v>562</v>
      </c>
      <c r="K608" s="3" t="s">
        <v>28</v>
      </c>
      <c r="L608" s="3" t="s">
        <v>28</v>
      </c>
      <c r="M608" s="3" t="s">
        <v>28</v>
      </c>
      <c r="N608" s="3" t="s">
        <v>28</v>
      </c>
      <c r="O608" s="3" t="s">
        <v>27</v>
      </c>
      <c r="P608" s="3" t="s">
        <v>28</v>
      </c>
      <c r="Q608" s="3" t="s">
        <v>28</v>
      </c>
      <c r="R608" s="3" t="s">
        <v>28</v>
      </c>
      <c r="S608" s="3" t="s">
        <v>28</v>
      </c>
      <c r="T608" s="3" t="s">
        <v>27</v>
      </c>
    </row>
    <row r="609" spans="1:20" ht="336">
      <c r="A609" s="3">
        <v>2751124</v>
      </c>
      <c r="B609" s="3">
        <f>HYPERLINK("https://platform.v2.vetology.net/cases/2751124/screening-report/6?type=pdf&amp;v=v6&amp;scorecard=1&amp;secret_key=BX%25IJ%24%2F65ieZ%29f6", 2751124)</f>
        <v>2751124</v>
      </c>
      <c r="C609" s="3">
        <f>HYPERLINK("https://platform.v2.vetology.net/report/v/final/"&amp;2751124, 2751124)</f>
        <v>2751124</v>
      </c>
      <c r="D609" s="3" t="s">
        <v>2469</v>
      </c>
      <c r="E609" s="3" t="s">
        <v>2470</v>
      </c>
      <c r="F609" s="3" t="s">
        <v>2471</v>
      </c>
      <c r="G609" s="3" t="s">
        <v>186</v>
      </c>
      <c r="H609" s="3" t="s">
        <v>2472</v>
      </c>
      <c r="I609" s="3" t="s">
        <v>718</v>
      </c>
      <c r="J609" s="3" t="s">
        <v>719</v>
      </c>
      <c r="K609" s="3" t="s">
        <v>28</v>
      </c>
      <c r="L609" s="3" t="s">
        <v>28</v>
      </c>
      <c r="M609" s="3" t="s">
        <v>28</v>
      </c>
      <c r="N609" s="3" t="s">
        <v>28</v>
      </c>
      <c r="O609" s="3" t="s">
        <v>27</v>
      </c>
      <c r="P609" s="3" t="s">
        <v>28</v>
      </c>
      <c r="Q609" s="3" t="s">
        <v>28</v>
      </c>
      <c r="R609" s="3" t="s">
        <v>28</v>
      </c>
      <c r="S609" s="3" t="s">
        <v>27</v>
      </c>
      <c r="T609" s="3" t="s">
        <v>28</v>
      </c>
    </row>
    <row r="610" spans="1:20" ht="409.6">
      <c r="A610" s="3">
        <v>2751097</v>
      </c>
      <c r="B610" s="3">
        <f>HYPERLINK("https://platform.v2.vetology.net/cases/2751097/screening-report/6?type=pdf&amp;v=v6&amp;scorecard=1&amp;secret_key=BX%25IJ%24%2F65ieZ%29f6", 2751097)</f>
        <v>2751097</v>
      </c>
      <c r="C610" s="3">
        <f>HYPERLINK("https://platform.v2.vetology.net/report/v/final/"&amp;2751097, 2751097)</f>
        <v>2751097</v>
      </c>
      <c r="D610" s="3" t="s">
        <v>2473</v>
      </c>
      <c r="E610" s="3" t="s">
        <v>2474</v>
      </c>
      <c r="F610" s="3" t="s">
        <v>22</v>
      </c>
      <c r="G610" s="3" t="s">
        <v>23</v>
      </c>
      <c r="H610" s="3" t="s">
        <v>2475</v>
      </c>
      <c r="I610" s="3" t="s">
        <v>1497</v>
      </c>
      <c r="J610" s="3" t="s">
        <v>1340</v>
      </c>
      <c r="K610" s="3" t="s">
        <v>28</v>
      </c>
      <c r="L610" s="3" t="s">
        <v>27</v>
      </c>
      <c r="M610" s="3" t="s">
        <v>28</v>
      </c>
      <c r="N610" s="3" t="s">
        <v>28</v>
      </c>
      <c r="O610" s="3" t="s">
        <v>27</v>
      </c>
      <c r="P610" s="3" t="s">
        <v>28</v>
      </c>
      <c r="Q610" s="3" t="s">
        <v>27</v>
      </c>
      <c r="R610" s="3" t="s">
        <v>28</v>
      </c>
      <c r="S610" s="3" t="s">
        <v>28</v>
      </c>
      <c r="T610" s="3" t="s">
        <v>28</v>
      </c>
    </row>
    <row r="611" spans="1:20" ht="305.25">
      <c r="A611" s="3">
        <v>2751074</v>
      </c>
      <c r="B611" s="3">
        <f>HYPERLINK("https://platform.v2.vetology.net/cases/2751074/screening-report/6?type=pdf&amp;v=v6&amp;scorecard=1&amp;secret_key=BX%25IJ%24%2F65ieZ%29f6", 2751074)</f>
        <v>2751074</v>
      </c>
      <c r="C611" s="3">
        <f>HYPERLINK("https://platform.v2.vetology.net/report/v/final/"&amp;2751074, 2751074)</f>
        <v>2751074</v>
      </c>
      <c r="D611" s="3" t="s">
        <v>2476</v>
      </c>
      <c r="E611" s="3" t="s">
        <v>2477</v>
      </c>
      <c r="F611" s="3" t="s">
        <v>22</v>
      </c>
      <c r="G611" s="3" t="s">
        <v>23</v>
      </c>
      <c r="H611" s="3" t="s">
        <v>2478</v>
      </c>
      <c r="I611" s="3" t="s">
        <v>793</v>
      </c>
      <c r="J611" s="3" t="s">
        <v>794</v>
      </c>
      <c r="K611" s="3" t="s">
        <v>28</v>
      </c>
      <c r="L611" s="3" t="s">
        <v>28</v>
      </c>
      <c r="M611" s="3" t="s">
        <v>28</v>
      </c>
      <c r="N611" s="3" t="s">
        <v>28</v>
      </c>
      <c r="O611" s="3" t="s">
        <v>27</v>
      </c>
      <c r="P611" s="3" t="s">
        <v>28</v>
      </c>
      <c r="Q611" s="3" t="s">
        <v>28</v>
      </c>
      <c r="R611" s="3" t="s">
        <v>28</v>
      </c>
      <c r="S611" s="3" t="s">
        <v>28</v>
      </c>
      <c r="T611" s="3" t="s">
        <v>28</v>
      </c>
    </row>
    <row r="612" spans="1:20" ht="229.5">
      <c r="A612" s="3">
        <v>2751006</v>
      </c>
      <c r="B612" s="3">
        <f>HYPERLINK("https://platform.v2.vetology.net/cases/2751006/screening-report/6?type=pdf&amp;v=v6&amp;scorecard=1&amp;secret_key=BX%25IJ%24%2F65ieZ%29f6", 2751006)</f>
        <v>2751006</v>
      </c>
      <c r="C612" s="3">
        <f>HYPERLINK("https://platform.v2.vetology.net/report/v/final/"&amp;2751006, 2751006)</f>
        <v>2751006</v>
      </c>
      <c r="D612" s="3" t="s">
        <v>2479</v>
      </c>
      <c r="E612" s="3" t="s">
        <v>2480</v>
      </c>
      <c r="F612" s="3" t="s">
        <v>2481</v>
      </c>
      <c r="G612" s="3" t="s">
        <v>1772</v>
      </c>
      <c r="H612" s="3" t="s">
        <v>158</v>
      </c>
      <c r="I612" s="3" t="s">
        <v>32</v>
      </c>
      <c r="J612" s="3" t="s">
        <v>847</v>
      </c>
      <c r="K612" s="3" t="s">
        <v>27</v>
      </c>
      <c r="L612" s="3" t="s">
        <v>28</v>
      </c>
      <c r="M612" s="3" t="s">
        <v>28</v>
      </c>
      <c r="N612" s="3" t="s">
        <v>28</v>
      </c>
      <c r="O612" s="3" t="s">
        <v>27</v>
      </c>
      <c r="P612" s="3" t="s">
        <v>28</v>
      </c>
      <c r="Q612" s="3" t="s">
        <v>28</v>
      </c>
      <c r="R612" s="3" t="s">
        <v>28</v>
      </c>
      <c r="S612" s="3" t="s">
        <v>28</v>
      </c>
      <c r="T612" s="3" t="s">
        <v>27</v>
      </c>
    </row>
    <row r="613" spans="1:20" ht="409.6">
      <c r="A613" s="3">
        <v>2750993</v>
      </c>
      <c r="B613" s="3">
        <f>HYPERLINK("https://platform.v2.vetology.net/cases/2750993/screening-report/6?type=pdf&amp;v=v6&amp;scorecard=1&amp;secret_key=BX%25IJ%24%2F65ieZ%29f6", 2750993)</f>
        <v>2750993</v>
      </c>
      <c r="C613" s="3">
        <f>HYPERLINK("https://platform.v2.vetology.net/report/v/final/"&amp;2750993, 2750993)</f>
        <v>2750993</v>
      </c>
      <c r="D613" s="3" t="s">
        <v>2482</v>
      </c>
      <c r="E613" s="3" t="s">
        <v>2483</v>
      </c>
      <c r="F613" s="3" t="s">
        <v>2484</v>
      </c>
      <c r="G613" s="3" t="s">
        <v>186</v>
      </c>
      <c r="H613" s="3" t="s">
        <v>2485</v>
      </c>
      <c r="I613" s="3" t="s">
        <v>2486</v>
      </c>
      <c r="J613" s="3" t="s">
        <v>2487</v>
      </c>
      <c r="K613" s="3" t="s">
        <v>28</v>
      </c>
      <c r="L613" s="3" t="s">
        <v>28</v>
      </c>
      <c r="M613" s="3" t="s">
        <v>28</v>
      </c>
      <c r="N613" s="3" t="s">
        <v>28</v>
      </c>
      <c r="O613" s="3" t="s">
        <v>27</v>
      </c>
      <c r="P613" s="3" t="s">
        <v>28</v>
      </c>
      <c r="Q613" s="3" t="s">
        <v>27</v>
      </c>
      <c r="R613" s="3" t="s">
        <v>28</v>
      </c>
      <c r="S613" s="3" t="s">
        <v>28</v>
      </c>
      <c r="T613" s="3" t="s">
        <v>28</v>
      </c>
    </row>
    <row r="614" spans="1:20" ht="290.25">
      <c r="A614" s="3">
        <v>2750963</v>
      </c>
      <c r="B614" s="3">
        <f>HYPERLINK("https://platform.v2.vetology.net/cases/2750963/screening-report/6?type=pdf&amp;v=v6&amp;scorecard=1&amp;secret_key=BX%25IJ%24%2F65ieZ%29f6", 2750963)</f>
        <v>2750963</v>
      </c>
      <c r="C614" s="3">
        <f>HYPERLINK("https://platform.v2.vetology.net/report/v/final/"&amp;2750963, 2750963)</f>
        <v>2750963</v>
      </c>
      <c r="D614" s="3" t="s">
        <v>2488</v>
      </c>
      <c r="E614" s="3" t="s">
        <v>2489</v>
      </c>
      <c r="F614" s="3" t="s">
        <v>2490</v>
      </c>
      <c r="G614" s="3" t="s">
        <v>100</v>
      </c>
      <c r="H614" s="3" t="s">
        <v>141</v>
      </c>
      <c r="I614" s="3" t="s">
        <v>142</v>
      </c>
      <c r="J614" s="3" t="s">
        <v>143</v>
      </c>
      <c r="K614" s="3" t="s">
        <v>28</v>
      </c>
      <c r="L614" s="3" t="s">
        <v>28</v>
      </c>
      <c r="M614" s="3" t="s">
        <v>28</v>
      </c>
      <c r="N614" s="3" t="s">
        <v>28</v>
      </c>
      <c r="O614" s="3" t="s">
        <v>27</v>
      </c>
      <c r="P614" s="3" t="s">
        <v>28</v>
      </c>
      <c r="Q614" s="3" t="s">
        <v>28</v>
      </c>
      <c r="R614" s="3" t="s">
        <v>28</v>
      </c>
      <c r="S614" s="3" t="s">
        <v>28</v>
      </c>
      <c r="T614" s="3" t="s">
        <v>27</v>
      </c>
    </row>
    <row r="615" spans="1:20" ht="275.25">
      <c r="A615" s="3">
        <v>2750957</v>
      </c>
      <c r="B615" s="3">
        <f>HYPERLINK("https://platform.v2.vetology.net/cases/2750957/screening-report/6?type=pdf&amp;v=v6&amp;scorecard=1&amp;secret_key=BX%25IJ%24%2F65ieZ%29f6", 2750957)</f>
        <v>2750957</v>
      </c>
      <c r="C615" s="3">
        <f>HYPERLINK("https://platform.v2.vetology.net/report/v/final/"&amp;2750957, 2750957)</f>
        <v>2750957</v>
      </c>
      <c r="D615" s="3" t="s">
        <v>2491</v>
      </c>
      <c r="E615" s="3" t="s">
        <v>2492</v>
      </c>
      <c r="F615" s="3" t="s">
        <v>2493</v>
      </c>
      <c r="G615" s="3" t="s">
        <v>100</v>
      </c>
      <c r="H615" s="3" t="s">
        <v>1259</v>
      </c>
      <c r="I615" s="3"/>
      <c r="J615" s="3" t="s">
        <v>207</v>
      </c>
      <c r="K615" s="3" t="s">
        <v>28</v>
      </c>
      <c r="L615" s="3" t="s">
        <v>28</v>
      </c>
      <c r="M615" s="3" t="s">
        <v>28</v>
      </c>
      <c r="N615" s="3" t="s">
        <v>28</v>
      </c>
      <c r="O615" s="3" t="s">
        <v>28</v>
      </c>
      <c r="P615" s="3" t="s">
        <v>28</v>
      </c>
      <c r="Q615" s="3" t="s">
        <v>28</v>
      </c>
      <c r="R615" s="3" t="s">
        <v>28</v>
      </c>
      <c r="S615" s="3" t="s">
        <v>28</v>
      </c>
      <c r="T615" s="3" t="s">
        <v>28</v>
      </c>
    </row>
    <row r="616" spans="1:20" ht="321">
      <c r="A616" s="3">
        <v>2750927</v>
      </c>
      <c r="B616" s="3">
        <f>HYPERLINK("https://platform.v2.vetology.net/cases/2750927/screening-report/6?type=pdf&amp;v=v6&amp;scorecard=1&amp;secret_key=BX%25IJ%24%2F65ieZ%29f6", 2750927)</f>
        <v>2750927</v>
      </c>
      <c r="C616" s="3">
        <f>HYPERLINK("https://platform.v2.vetology.net/report/v/final/"&amp;2750927, 2750927)</f>
        <v>2750927</v>
      </c>
      <c r="D616" s="3" t="s">
        <v>2494</v>
      </c>
      <c r="E616" s="3" t="s">
        <v>2495</v>
      </c>
      <c r="F616" s="3" t="s">
        <v>2496</v>
      </c>
      <c r="G616" s="3" t="s">
        <v>179</v>
      </c>
      <c r="H616" s="3" t="s">
        <v>2497</v>
      </c>
      <c r="I616" s="3" t="s">
        <v>2498</v>
      </c>
      <c r="J616" s="3" t="s">
        <v>2499</v>
      </c>
      <c r="K616" s="3" t="s">
        <v>27</v>
      </c>
      <c r="L616" s="3" t="s">
        <v>27</v>
      </c>
      <c r="M616" s="3" t="s">
        <v>28</v>
      </c>
      <c r="N616" s="3" t="s">
        <v>28</v>
      </c>
      <c r="O616" s="3" t="s">
        <v>28</v>
      </c>
      <c r="P616" s="3" t="s">
        <v>28</v>
      </c>
      <c r="Q616" s="3" t="s">
        <v>27</v>
      </c>
      <c r="R616" s="3" t="s">
        <v>28</v>
      </c>
      <c r="S616" s="3" t="s">
        <v>28</v>
      </c>
      <c r="T616" s="3" t="s">
        <v>27</v>
      </c>
    </row>
    <row r="617" spans="1:20" ht="409.6">
      <c r="A617" s="3">
        <v>2750918</v>
      </c>
      <c r="B617" s="3">
        <f>HYPERLINK("https://platform.v2.vetology.net/cases/2750918/screening-report/6?type=pdf&amp;v=v6&amp;scorecard=1&amp;secret_key=BX%25IJ%24%2F65ieZ%29f6", 2750918)</f>
        <v>2750918</v>
      </c>
      <c r="C617" s="3">
        <f>HYPERLINK("https://platform.v2.vetology.net/report/v/final/"&amp;2750918, 2750918)</f>
        <v>2750918</v>
      </c>
      <c r="D617" s="3" t="s">
        <v>2500</v>
      </c>
      <c r="E617" s="3" t="s">
        <v>2501</v>
      </c>
      <c r="F617" s="3" t="s">
        <v>2502</v>
      </c>
      <c r="G617" s="3" t="s">
        <v>64</v>
      </c>
      <c r="H617" s="3" t="s">
        <v>2503</v>
      </c>
      <c r="I617" s="3" t="s">
        <v>572</v>
      </c>
      <c r="J617" s="3" t="s">
        <v>573</v>
      </c>
      <c r="K617" s="3" t="s">
        <v>27</v>
      </c>
      <c r="L617" s="3" t="s">
        <v>28</v>
      </c>
      <c r="M617" s="3" t="s">
        <v>28</v>
      </c>
      <c r="N617" s="3" t="s">
        <v>28</v>
      </c>
      <c r="O617" s="3" t="s">
        <v>27</v>
      </c>
      <c r="P617" s="3" t="s">
        <v>28</v>
      </c>
      <c r="Q617" s="3" t="s">
        <v>28</v>
      </c>
      <c r="R617" s="3" t="s">
        <v>28</v>
      </c>
      <c r="S617" s="3" t="s">
        <v>28</v>
      </c>
      <c r="T617" s="3" t="s">
        <v>28</v>
      </c>
    </row>
    <row r="618" spans="1:20" ht="336">
      <c r="A618" s="3">
        <v>2750856</v>
      </c>
      <c r="B618" s="3">
        <f>HYPERLINK("https://platform.v2.vetology.net/cases/2750856/screening-report/6?type=pdf&amp;v=v6&amp;scorecard=1&amp;secret_key=BX%25IJ%24%2F65ieZ%29f6", 2750856)</f>
        <v>2750856</v>
      </c>
      <c r="C618" s="3">
        <f>HYPERLINK("https://platform.v2.vetology.net/report/v/final/"&amp;2750856, 2750856)</f>
        <v>2750856</v>
      </c>
      <c r="D618" s="3" t="s">
        <v>2504</v>
      </c>
      <c r="E618" s="3" t="s">
        <v>1230</v>
      </c>
      <c r="F618" s="3" t="s">
        <v>1049</v>
      </c>
      <c r="G618" s="3" t="s">
        <v>100</v>
      </c>
      <c r="H618" s="3" t="s">
        <v>2505</v>
      </c>
      <c r="I618" s="3" t="s">
        <v>2506</v>
      </c>
      <c r="J618" s="3" t="s">
        <v>2507</v>
      </c>
      <c r="K618" s="3" t="s">
        <v>27</v>
      </c>
      <c r="L618" s="3" t="s">
        <v>27</v>
      </c>
      <c r="M618" s="3" t="s">
        <v>27</v>
      </c>
      <c r="N618" s="3" t="s">
        <v>28</v>
      </c>
      <c r="O618" s="3" t="s">
        <v>27</v>
      </c>
      <c r="P618" s="3" t="s">
        <v>27</v>
      </c>
      <c r="Q618" s="3" t="s">
        <v>27</v>
      </c>
      <c r="R618" s="3" t="s">
        <v>28</v>
      </c>
      <c r="S618" s="3" t="s">
        <v>28</v>
      </c>
      <c r="T618" s="3" t="s">
        <v>28</v>
      </c>
    </row>
    <row r="619" spans="1:20" ht="305.25">
      <c r="A619" s="3">
        <v>2750840</v>
      </c>
      <c r="B619" s="3">
        <f>HYPERLINK("https://platform.v2.vetology.net/cases/2750840/screening-report/6?type=pdf&amp;v=v6&amp;scorecard=1&amp;secret_key=BX%25IJ%24%2F65ieZ%29f6", 2750840)</f>
        <v>2750840</v>
      </c>
      <c r="C619" s="3">
        <f>HYPERLINK("https://platform.v2.vetology.net/report/v/final/"&amp;2750840, 2750840)</f>
        <v>2750840</v>
      </c>
      <c r="D619" s="3" t="s">
        <v>2508</v>
      </c>
      <c r="E619" s="3" t="s">
        <v>2509</v>
      </c>
      <c r="F619" s="3" t="s">
        <v>2510</v>
      </c>
      <c r="G619" s="3" t="s">
        <v>186</v>
      </c>
      <c r="H619" s="3" t="s">
        <v>851</v>
      </c>
      <c r="I619" s="3" t="s">
        <v>32</v>
      </c>
      <c r="J619" s="3" t="s">
        <v>33</v>
      </c>
      <c r="K619" s="3" t="s">
        <v>28</v>
      </c>
      <c r="L619" s="3" t="s">
        <v>28</v>
      </c>
      <c r="M619" s="3" t="s">
        <v>28</v>
      </c>
      <c r="N619" s="3" t="s">
        <v>28</v>
      </c>
      <c r="O619" s="3" t="s">
        <v>28</v>
      </c>
      <c r="P619" s="3" t="s">
        <v>28</v>
      </c>
      <c r="Q619" s="3" t="s">
        <v>28</v>
      </c>
      <c r="R619" s="3" t="s">
        <v>28</v>
      </c>
      <c r="S619" s="3" t="s">
        <v>28</v>
      </c>
      <c r="T619" s="3" t="s">
        <v>28</v>
      </c>
    </row>
    <row r="620" spans="1:20" ht="396.75">
      <c r="A620" s="3">
        <v>2750789</v>
      </c>
      <c r="B620" s="3">
        <f>HYPERLINK("https://platform.v2.vetology.net/cases/2750789/screening-report/6?type=pdf&amp;v=v6&amp;scorecard=1&amp;secret_key=BX%25IJ%24%2F65ieZ%29f6", 2750789)</f>
        <v>2750789</v>
      </c>
      <c r="C620" s="3">
        <f>HYPERLINK("https://platform.v2.vetology.net/report/v/final/"&amp;2750789, 2750789)</f>
        <v>2750789</v>
      </c>
      <c r="D620" s="3" t="s">
        <v>2511</v>
      </c>
      <c r="E620" s="3" t="s">
        <v>2512</v>
      </c>
      <c r="F620" s="3" t="s">
        <v>2513</v>
      </c>
      <c r="G620" s="3" t="s">
        <v>496</v>
      </c>
      <c r="H620" s="3" t="s">
        <v>2514</v>
      </c>
      <c r="I620" s="3" t="s">
        <v>596</v>
      </c>
      <c r="J620" s="3" t="s">
        <v>597</v>
      </c>
      <c r="K620" s="3" t="s">
        <v>28</v>
      </c>
      <c r="L620" s="3" t="s">
        <v>27</v>
      </c>
      <c r="M620" s="3" t="s">
        <v>28</v>
      </c>
      <c r="N620" s="3" t="s">
        <v>27</v>
      </c>
      <c r="O620" s="3" t="s">
        <v>27</v>
      </c>
      <c r="P620" s="3" t="s">
        <v>28</v>
      </c>
      <c r="Q620" s="3" t="s">
        <v>28</v>
      </c>
      <c r="R620" s="3" t="s">
        <v>27</v>
      </c>
      <c r="S620" s="3" t="s">
        <v>27</v>
      </c>
      <c r="T620" s="3" t="s">
        <v>27</v>
      </c>
    </row>
    <row r="621" spans="1:20" ht="229.5">
      <c r="A621" s="3">
        <v>2750783</v>
      </c>
      <c r="B621" s="3">
        <f>HYPERLINK("https://platform.v2.vetology.net/cases/2750783/screening-report/6?type=pdf&amp;v=v6&amp;scorecard=1&amp;secret_key=BX%25IJ%24%2F65ieZ%29f6", 2750783)</f>
        <v>2750783</v>
      </c>
      <c r="C621" s="3">
        <f>HYPERLINK("https://platform.v2.vetology.net/report/v/final/"&amp;2750783, 2750783)</f>
        <v>2750783</v>
      </c>
      <c r="D621" s="3" t="s">
        <v>2515</v>
      </c>
      <c r="E621" s="3" t="s">
        <v>1089</v>
      </c>
      <c r="F621" s="3" t="s">
        <v>1090</v>
      </c>
      <c r="G621" s="3" t="s">
        <v>100</v>
      </c>
      <c r="H621" s="3" t="s">
        <v>2516</v>
      </c>
      <c r="I621" s="3" t="s">
        <v>2342</v>
      </c>
      <c r="J621" s="3" t="s">
        <v>2343</v>
      </c>
      <c r="K621" s="3" t="s">
        <v>28</v>
      </c>
      <c r="L621" s="3" t="s">
        <v>28</v>
      </c>
      <c r="M621" s="3" t="s">
        <v>28</v>
      </c>
      <c r="N621" s="3" t="s">
        <v>28</v>
      </c>
      <c r="O621" s="3" t="s">
        <v>27</v>
      </c>
      <c r="P621" s="3" t="s">
        <v>28</v>
      </c>
      <c r="Q621" s="3" t="s">
        <v>28</v>
      </c>
      <c r="R621" s="3" t="s">
        <v>28</v>
      </c>
      <c r="S621" s="3" t="s">
        <v>27</v>
      </c>
      <c r="T621" s="3" t="s">
        <v>27</v>
      </c>
    </row>
    <row r="622" spans="1:20" ht="396.75">
      <c r="A622" s="3">
        <v>2750715</v>
      </c>
      <c r="B622" s="3">
        <f>HYPERLINK("https://platform.v2.vetology.net/cases/2750715/screening-report/6?type=pdf&amp;v=v6&amp;scorecard=1&amp;secret_key=BX%25IJ%24%2F65ieZ%29f6", 2750715)</f>
        <v>2750715</v>
      </c>
      <c r="C622" s="3">
        <f>HYPERLINK("https://platform.v2.vetology.net/report/v/final/"&amp;2750715, 2750715)</f>
        <v>2750715</v>
      </c>
      <c r="D622" s="3" t="s">
        <v>2517</v>
      </c>
      <c r="E622" s="3" t="s">
        <v>2518</v>
      </c>
      <c r="F622" s="3" t="s">
        <v>2519</v>
      </c>
      <c r="G622" s="3" t="s">
        <v>179</v>
      </c>
      <c r="H622" s="3" t="s">
        <v>1097</v>
      </c>
      <c r="I622" s="3" t="s">
        <v>469</v>
      </c>
      <c r="J622" s="3" t="s">
        <v>470</v>
      </c>
      <c r="K622" s="3" t="s">
        <v>28</v>
      </c>
      <c r="L622" s="3" t="s">
        <v>28</v>
      </c>
      <c r="M622" s="3" t="s">
        <v>28</v>
      </c>
      <c r="N622" s="3" t="s">
        <v>28</v>
      </c>
      <c r="O622" s="3" t="s">
        <v>27</v>
      </c>
      <c r="P622" s="3" t="s">
        <v>28</v>
      </c>
      <c r="Q622" s="3" t="s">
        <v>28</v>
      </c>
      <c r="R622" s="3" t="s">
        <v>28</v>
      </c>
      <c r="S622" s="3" t="s">
        <v>28</v>
      </c>
      <c r="T622" s="3" t="s">
        <v>28</v>
      </c>
    </row>
    <row r="623" spans="1:20" ht="336">
      <c r="A623" s="3">
        <v>2750602</v>
      </c>
      <c r="B623" s="3">
        <f>HYPERLINK("https://platform.v2.vetology.net/cases/2750602/screening-report/6?type=pdf&amp;v=v6&amp;scorecard=1&amp;secret_key=BX%25IJ%24%2F65ieZ%29f6", 2750602)</f>
        <v>2750602</v>
      </c>
      <c r="C623" s="3">
        <f>HYPERLINK("https://platform.v2.vetology.net/report/v/final/"&amp;2750602, 2750602)</f>
        <v>2750602</v>
      </c>
      <c r="D623" s="3" t="s">
        <v>2520</v>
      </c>
      <c r="E623" s="3" t="s">
        <v>2521</v>
      </c>
      <c r="F623" s="3" t="s">
        <v>2522</v>
      </c>
      <c r="G623" s="3" t="s">
        <v>1772</v>
      </c>
      <c r="H623" s="3" t="s">
        <v>2523</v>
      </c>
      <c r="I623" s="3" t="s">
        <v>2524</v>
      </c>
      <c r="J623" s="3" t="s">
        <v>1374</v>
      </c>
      <c r="K623" s="3" t="s">
        <v>27</v>
      </c>
      <c r="L623" s="3" t="s">
        <v>27</v>
      </c>
      <c r="M623" s="3" t="s">
        <v>27</v>
      </c>
      <c r="N623" s="3" t="s">
        <v>27</v>
      </c>
      <c r="O623" s="3" t="s">
        <v>27</v>
      </c>
      <c r="P623" s="3" t="s">
        <v>28</v>
      </c>
      <c r="Q623" s="3" t="s">
        <v>27</v>
      </c>
      <c r="R623" s="3" t="s">
        <v>27</v>
      </c>
      <c r="S623" s="3" t="s">
        <v>27</v>
      </c>
      <c r="T623" s="3" t="s">
        <v>27</v>
      </c>
    </row>
    <row r="624" spans="1:20" ht="381.75">
      <c r="A624" s="3">
        <v>2750596</v>
      </c>
      <c r="B624" s="3">
        <f>HYPERLINK("https://platform.v2.vetology.net/cases/2750596/screening-report/6?type=pdf&amp;v=v6&amp;scorecard=1&amp;secret_key=BX%25IJ%24%2F65ieZ%29f6", 2750596)</f>
        <v>2750596</v>
      </c>
      <c r="C624" s="3">
        <f>HYPERLINK("https://platform.v2.vetology.net/report/v/final/"&amp;2750596, 2750596)</f>
        <v>2750596</v>
      </c>
      <c r="D624" s="3" t="s">
        <v>2525</v>
      </c>
      <c r="E624" s="3" t="s">
        <v>2526</v>
      </c>
      <c r="F624" s="3" t="s">
        <v>2527</v>
      </c>
      <c r="G624" s="3" t="s">
        <v>179</v>
      </c>
      <c r="H624" s="3" t="s">
        <v>2528</v>
      </c>
      <c r="I624" s="3" t="s">
        <v>324</v>
      </c>
      <c r="J624" s="3" t="s">
        <v>325</v>
      </c>
      <c r="K624" s="3" t="s">
        <v>27</v>
      </c>
      <c r="L624" s="3" t="s">
        <v>28</v>
      </c>
      <c r="M624" s="3" t="s">
        <v>27</v>
      </c>
      <c r="N624" s="3" t="s">
        <v>28</v>
      </c>
      <c r="O624" s="3" t="s">
        <v>27</v>
      </c>
      <c r="P624" s="3" t="s">
        <v>28</v>
      </c>
      <c r="Q624" s="3" t="s">
        <v>28</v>
      </c>
      <c r="R624" s="3" t="s">
        <v>28</v>
      </c>
      <c r="S624" s="3" t="s">
        <v>27</v>
      </c>
      <c r="T624" s="3" t="s">
        <v>28</v>
      </c>
    </row>
    <row r="625" spans="1:20" ht="396.75">
      <c r="A625" s="3">
        <v>2750590</v>
      </c>
      <c r="B625" s="3">
        <f>HYPERLINK("https://platform.v2.vetology.net/cases/2750590/screening-report/6?type=pdf&amp;v=v6&amp;scorecard=1&amp;secret_key=BX%25IJ%24%2F65ieZ%29f6", 2750590)</f>
        <v>2750590</v>
      </c>
      <c r="C625" s="3">
        <f>HYPERLINK("https://platform.v2.vetology.net/report/v/final/"&amp;2750590, 2750590)</f>
        <v>2750590</v>
      </c>
      <c r="D625" s="3" t="s">
        <v>2529</v>
      </c>
      <c r="E625" s="3" t="s">
        <v>2530</v>
      </c>
      <c r="F625" s="3" t="s">
        <v>22</v>
      </c>
      <c r="G625" s="3" t="s">
        <v>100</v>
      </c>
      <c r="H625" s="3" t="s">
        <v>2320</v>
      </c>
      <c r="I625" s="3" t="s">
        <v>816</v>
      </c>
      <c r="J625" s="3" t="s">
        <v>817</v>
      </c>
      <c r="K625" s="3" t="s">
        <v>28</v>
      </c>
      <c r="L625" s="3" t="s">
        <v>27</v>
      </c>
      <c r="M625" s="3" t="s">
        <v>28</v>
      </c>
      <c r="N625" s="3" t="s">
        <v>27</v>
      </c>
      <c r="O625" s="3" t="s">
        <v>27</v>
      </c>
      <c r="P625" s="3" t="s">
        <v>28</v>
      </c>
      <c r="Q625" s="3" t="s">
        <v>28</v>
      </c>
      <c r="R625" s="3" t="s">
        <v>27</v>
      </c>
      <c r="S625" s="3" t="s">
        <v>27</v>
      </c>
      <c r="T625" s="3" t="s">
        <v>27</v>
      </c>
    </row>
    <row r="626" spans="1:20" ht="366">
      <c r="A626" s="3">
        <v>2750486</v>
      </c>
      <c r="B626" s="3">
        <f>HYPERLINK("https://platform.v2.vetology.net/cases/2750486/screening-report/6?type=pdf&amp;v=v6&amp;scorecard=1&amp;secret_key=BX%25IJ%24%2F65ieZ%29f6", 2750486)</f>
        <v>2750486</v>
      </c>
      <c r="C626" s="3">
        <f>HYPERLINK("https://platform.v2.vetology.net/report/v/final/"&amp;2750486, 2750486)</f>
        <v>2750486</v>
      </c>
      <c r="D626" s="3" t="s">
        <v>2531</v>
      </c>
      <c r="E626" s="3" t="s">
        <v>2532</v>
      </c>
      <c r="F626" s="3" t="s">
        <v>2533</v>
      </c>
      <c r="G626" s="3" t="s">
        <v>186</v>
      </c>
      <c r="H626" s="3" t="s">
        <v>1482</v>
      </c>
      <c r="I626" s="3" t="s">
        <v>1483</v>
      </c>
      <c r="J626" s="3" t="s">
        <v>207</v>
      </c>
      <c r="K626" s="3" t="s">
        <v>28</v>
      </c>
      <c r="L626" s="3" t="s">
        <v>28</v>
      </c>
      <c r="M626" s="3" t="s">
        <v>28</v>
      </c>
      <c r="N626" s="3" t="s">
        <v>28</v>
      </c>
      <c r="O626" s="3" t="s">
        <v>28</v>
      </c>
      <c r="P626" s="3" t="s">
        <v>28</v>
      </c>
      <c r="Q626" s="3" t="s">
        <v>28</v>
      </c>
      <c r="R626" s="3" t="s">
        <v>28</v>
      </c>
      <c r="S626" s="3" t="s">
        <v>28</v>
      </c>
      <c r="T626" s="3" t="s">
        <v>28</v>
      </c>
    </row>
    <row r="627" spans="1:20" ht="409.6">
      <c r="A627" s="3">
        <v>2750464</v>
      </c>
      <c r="B627" s="3">
        <f>HYPERLINK("https://platform.v2.vetology.net/cases/2750464/screening-report/6?type=pdf&amp;v=v6&amp;scorecard=1&amp;secret_key=BX%25IJ%24%2F65ieZ%29f6", 2750464)</f>
        <v>2750464</v>
      </c>
      <c r="C627" s="3">
        <f>HYPERLINK("https://platform.v2.vetology.net/report/v/final/"&amp;2750464, 2750464)</f>
        <v>2750464</v>
      </c>
      <c r="D627" s="3" t="s">
        <v>2534</v>
      </c>
      <c r="E627" s="3" t="s">
        <v>2535</v>
      </c>
      <c r="F627" s="3" t="s">
        <v>2536</v>
      </c>
      <c r="G627" s="3" t="s">
        <v>186</v>
      </c>
      <c r="H627" s="3" t="s">
        <v>2537</v>
      </c>
      <c r="I627" s="3" t="s">
        <v>2486</v>
      </c>
      <c r="J627" s="3" t="s">
        <v>2487</v>
      </c>
      <c r="K627" s="3" t="s">
        <v>28</v>
      </c>
      <c r="L627" s="3" t="s">
        <v>28</v>
      </c>
      <c r="M627" s="3" t="s">
        <v>28</v>
      </c>
      <c r="N627" s="3" t="s">
        <v>28</v>
      </c>
      <c r="O627" s="3" t="s">
        <v>27</v>
      </c>
      <c r="P627" s="3" t="s">
        <v>28</v>
      </c>
      <c r="Q627" s="3" t="s">
        <v>27</v>
      </c>
      <c r="R627" s="3" t="s">
        <v>28</v>
      </c>
      <c r="S627" s="3" t="s">
        <v>28</v>
      </c>
      <c r="T627" s="3" t="s">
        <v>28</v>
      </c>
    </row>
    <row r="628" spans="1:20" ht="409.6">
      <c r="A628" s="3">
        <v>2750451</v>
      </c>
      <c r="B628" s="3">
        <f>HYPERLINK("https://platform.v2.vetology.net/cases/2750451/screening-report/6?type=pdf&amp;v=v6&amp;scorecard=1&amp;secret_key=BX%25IJ%24%2F65ieZ%29f6", 2750451)</f>
        <v>2750451</v>
      </c>
      <c r="C628" s="3">
        <f>HYPERLINK("https://platform.v2.vetology.net/report/v/final/"&amp;2750451, 2750451)</f>
        <v>2750451</v>
      </c>
      <c r="D628" s="3" t="s">
        <v>2538</v>
      </c>
      <c r="E628" s="3" t="s">
        <v>2539</v>
      </c>
      <c r="F628" s="3" t="s">
        <v>2540</v>
      </c>
      <c r="G628" s="3" t="s">
        <v>566</v>
      </c>
      <c r="H628" s="3" t="s">
        <v>595</v>
      </c>
      <c r="I628" s="3" t="s">
        <v>596</v>
      </c>
      <c r="J628" s="3" t="s">
        <v>597</v>
      </c>
      <c r="K628" s="3" t="s">
        <v>28</v>
      </c>
      <c r="L628" s="3" t="s">
        <v>27</v>
      </c>
      <c r="M628" s="3" t="s">
        <v>28</v>
      </c>
      <c r="N628" s="3" t="s">
        <v>28</v>
      </c>
      <c r="O628" s="3" t="s">
        <v>28</v>
      </c>
      <c r="P628" s="3" t="s">
        <v>28</v>
      </c>
      <c r="Q628" s="3" t="s">
        <v>28</v>
      </c>
      <c r="R628" s="3" t="s">
        <v>27</v>
      </c>
      <c r="S628" s="3" t="s">
        <v>28</v>
      </c>
      <c r="T628" s="3" t="s">
        <v>27</v>
      </c>
    </row>
    <row r="629" spans="1:20" ht="351">
      <c r="A629" s="3">
        <v>2750446</v>
      </c>
      <c r="B629" s="3">
        <f>HYPERLINK("https://platform.v2.vetology.net/cases/2750446/screening-report/6?type=pdf&amp;v=v6&amp;scorecard=1&amp;secret_key=BX%25IJ%24%2F65ieZ%29f6", 2750446)</f>
        <v>2750446</v>
      </c>
      <c r="C629" s="3">
        <f>HYPERLINK("https://platform.v2.vetology.net/report/v/final/"&amp;2750446, 2750446)</f>
        <v>2750446</v>
      </c>
      <c r="D629" s="3" t="s">
        <v>2541</v>
      </c>
      <c r="E629" s="3" t="s">
        <v>2542</v>
      </c>
      <c r="F629" s="3" t="s">
        <v>2543</v>
      </c>
      <c r="G629" s="3" t="s">
        <v>64</v>
      </c>
      <c r="H629" s="3" t="s">
        <v>2544</v>
      </c>
      <c r="I629" s="3" t="s">
        <v>2545</v>
      </c>
      <c r="J629" s="3" t="s">
        <v>2546</v>
      </c>
      <c r="K629" s="3" t="s">
        <v>28</v>
      </c>
      <c r="L629" s="3" t="s">
        <v>28</v>
      </c>
      <c r="M629" s="3" t="s">
        <v>27</v>
      </c>
      <c r="N629" s="3" t="s">
        <v>28</v>
      </c>
      <c r="O629" s="3" t="s">
        <v>27</v>
      </c>
      <c r="P629" s="3" t="s">
        <v>28</v>
      </c>
      <c r="Q629" s="3" t="s">
        <v>27</v>
      </c>
      <c r="R629" s="3" t="s">
        <v>27</v>
      </c>
      <c r="S629" s="3" t="s">
        <v>27</v>
      </c>
      <c r="T629" s="3" t="s">
        <v>28</v>
      </c>
    </row>
    <row r="630" spans="1:20" ht="381.75">
      <c r="A630" s="3">
        <v>2750429</v>
      </c>
      <c r="B630" s="3">
        <f>HYPERLINK("https://platform.v2.vetology.net/cases/2750429/screening-report/6?type=pdf&amp;v=v6&amp;scorecard=1&amp;secret_key=BX%25IJ%24%2F65ieZ%29f6", 2750429)</f>
        <v>2750429</v>
      </c>
      <c r="C630" s="3">
        <f>HYPERLINK("https://platform.v2.vetology.net/report/v/final/"&amp;2750429, 2750429)</f>
        <v>2750429</v>
      </c>
      <c r="D630" s="3" t="s">
        <v>2547</v>
      </c>
      <c r="E630" s="3" t="s">
        <v>2548</v>
      </c>
      <c r="F630" s="3" t="s">
        <v>260</v>
      </c>
      <c r="G630" s="3" t="s">
        <v>186</v>
      </c>
      <c r="H630" s="3" t="s">
        <v>1896</v>
      </c>
      <c r="I630" s="3" t="s">
        <v>1897</v>
      </c>
      <c r="J630" s="3" t="s">
        <v>325</v>
      </c>
      <c r="K630" s="3" t="s">
        <v>28</v>
      </c>
      <c r="L630" s="3" t="s">
        <v>27</v>
      </c>
      <c r="M630" s="3" t="s">
        <v>28</v>
      </c>
      <c r="N630" s="3" t="s">
        <v>27</v>
      </c>
      <c r="O630" s="3" t="s">
        <v>27</v>
      </c>
      <c r="P630" s="3" t="s">
        <v>28</v>
      </c>
      <c r="Q630" s="3" t="s">
        <v>27</v>
      </c>
      <c r="R630" s="3" t="s">
        <v>28</v>
      </c>
      <c r="S630" s="3" t="s">
        <v>27</v>
      </c>
      <c r="T630" s="3" t="s">
        <v>28</v>
      </c>
    </row>
    <row r="631" spans="1:20" ht="381.75">
      <c r="A631" s="3">
        <v>2750399</v>
      </c>
      <c r="B631" s="3">
        <f>HYPERLINK("https://platform.v2.vetology.net/cases/2750399/screening-report/6?type=pdf&amp;v=v6&amp;scorecard=1&amp;secret_key=BX%25IJ%24%2F65ieZ%29f6", 2750399)</f>
        <v>2750399</v>
      </c>
      <c r="C631" s="3">
        <f>HYPERLINK("https://platform.v2.vetology.net/report/v/final/"&amp;2750399, 2750399)</f>
        <v>2750399</v>
      </c>
      <c r="D631" s="3" t="s">
        <v>2549</v>
      </c>
      <c r="E631" s="3" t="s">
        <v>2550</v>
      </c>
      <c r="F631" s="3" t="s">
        <v>2551</v>
      </c>
      <c r="G631" s="3" t="s">
        <v>186</v>
      </c>
      <c r="H631" s="3" t="s">
        <v>2552</v>
      </c>
      <c r="I631" s="3" t="s">
        <v>856</v>
      </c>
      <c r="J631" s="3" t="s">
        <v>857</v>
      </c>
      <c r="K631" s="3" t="s">
        <v>28</v>
      </c>
      <c r="L631" s="3" t="s">
        <v>28</v>
      </c>
      <c r="M631" s="3" t="s">
        <v>28</v>
      </c>
      <c r="N631" s="3" t="s">
        <v>28</v>
      </c>
      <c r="O631" s="3" t="s">
        <v>27</v>
      </c>
      <c r="P631" s="3" t="s">
        <v>28</v>
      </c>
      <c r="Q631" s="3" t="s">
        <v>28</v>
      </c>
      <c r="R631" s="3" t="s">
        <v>28</v>
      </c>
      <c r="S631" s="3" t="s">
        <v>28</v>
      </c>
      <c r="T631" s="3" t="s">
        <v>28</v>
      </c>
    </row>
    <row r="632" spans="1:20" ht="409.6">
      <c r="A632" s="3">
        <v>2750383</v>
      </c>
      <c r="B632" s="3">
        <f>HYPERLINK("https://platform.v2.vetology.net/cases/2750383/screening-report/6?type=pdf&amp;v=v6&amp;scorecard=1&amp;secret_key=BX%25IJ%24%2F65ieZ%29f6", 2750383)</f>
        <v>2750383</v>
      </c>
      <c r="C632" s="3">
        <f>HYPERLINK("https://platform.v2.vetology.net/report/v/final/"&amp;2750383, 2750383)</f>
        <v>2750383</v>
      </c>
      <c r="D632" s="3" t="s">
        <v>2553</v>
      </c>
      <c r="E632" s="3" t="s">
        <v>2554</v>
      </c>
      <c r="F632" s="3" t="s">
        <v>2555</v>
      </c>
      <c r="G632" s="3" t="s">
        <v>64</v>
      </c>
      <c r="H632" s="3" t="s">
        <v>1097</v>
      </c>
      <c r="I632" s="3" t="s">
        <v>469</v>
      </c>
      <c r="J632" s="3" t="s">
        <v>470</v>
      </c>
      <c r="K632" s="3" t="s">
        <v>28</v>
      </c>
      <c r="L632" s="3" t="s">
        <v>28</v>
      </c>
      <c r="M632" s="3" t="s">
        <v>28</v>
      </c>
      <c r="N632" s="3" t="s">
        <v>28</v>
      </c>
      <c r="O632" s="3" t="s">
        <v>28</v>
      </c>
      <c r="P632" s="3" t="s">
        <v>28</v>
      </c>
      <c r="Q632" s="3" t="s">
        <v>28</v>
      </c>
      <c r="R632" s="3" t="s">
        <v>28</v>
      </c>
      <c r="S632" s="3" t="s">
        <v>28</v>
      </c>
      <c r="T632" s="3" t="s">
        <v>28</v>
      </c>
    </row>
    <row r="633" spans="1:20" ht="409.6">
      <c r="A633" s="3">
        <v>2750380</v>
      </c>
      <c r="B633" s="3">
        <f>HYPERLINK("https://platform.v2.vetology.net/cases/2750380/screening-report/6?type=pdf&amp;v=v6&amp;scorecard=1&amp;secret_key=BX%25IJ%24%2F65ieZ%29f6", 2750380)</f>
        <v>2750380</v>
      </c>
      <c r="C633" s="3">
        <f>HYPERLINK("https://platform.v2.vetology.net/report/v/final/"&amp;2750380, 2750380)</f>
        <v>2750380</v>
      </c>
      <c r="D633" s="3" t="s">
        <v>2556</v>
      </c>
      <c r="E633" s="3" t="s">
        <v>2557</v>
      </c>
      <c r="F633" s="3" t="s">
        <v>2558</v>
      </c>
      <c r="G633" s="3" t="s">
        <v>64</v>
      </c>
      <c r="H633" s="3" t="s">
        <v>2559</v>
      </c>
      <c r="I633" s="3" t="s">
        <v>2560</v>
      </c>
      <c r="J633" s="3" t="s">
        <v>479</v>
      </c>
      <c r="K633" s="3" t="s">
        <v>28</v>
      </c>
      <c r="L633" s="3" t="s">
        <v>28</v>
      </c>
      <c r="M633" s="3" t="s">
        <v>28</v>
      </c>
      <c r="N633" s="3" t="s">
        <v>28</v>
      </c>
      <c r="O633" s="3" t="s">
        <v>28</v>
      </c>
      <c r="P633" s="3" t="s">
        <v>28</v>
      </c>
      <c r="Q633" s="3" t="s">
        <v>28</v>
      </c>
      <c r="R633" s="3" t="s">
        <v>28</v>
      </c>
      <c r="S633" s="3" t="s">
        <v>27</v>
      </c>
      <c r="T633" s="3" t="s">
        <v>28</v>
      </c>
    </row>
    <row r="634" spans="1:20" ht="366">
      <c r="A634" s="3">
        <v>2750377</v>
      </c>
      <c r="B634" s="3">
        <f>HYPERLINK("https://platform.v2.vetology.net/cases/2750377/screening-report/6?type=pdf&amp;v=v6&amp;scorecard=1&amp;secret_key=BX%25IJ%24%2F65ieZ%29f6", 2750377)</f>
        <v>2750377</v>
      </c>
      <c r="C634" s="3">
        <f>HYPERLINK("https://platform.v2.vetology.net/report/v/final/"&amp;2750377, 2750377)</f>
        <v>2750377</v>
      </c>
      <c r="D634" s="3" t="s">
        <v>2561</v>
      </c>
      <c r="E634" s="3" t="s">
        <v>2562</v>
      </c>
      <c r="F634" s="3" t="s">
        <v>2563</v>
      </c>
      <c r="G634" s="3" t="s">
        <v>186</v>
      </c>
      <c r="H634" s="3" t="s">
        <v>2564</v>
      </c>
      <c r="I634" s="3" t="s">
        <v>2565</v>
      </c>
      <c r="J634" s="3" t="s">
        <v>2566</v>
      </c>
      <c r="K634" s="3" t="s">
        <v>27</v>
      </c>
      <c r="L634" s="3" t="s">
        <v>28</v>
      </c>
      <c r="M634" s="3" t="s">
        <v>28</v>
      </c>
      <c r="N634" s="3" t="s">
        <v>27</v>
      </c>
      <c r="O634" s="3" t="s">
        <v>27</v>
      </c>
      <c r="P634" s="3" t="s">
        <v>28</v>
      </c>
      <c r="Q634" s="3" t="s">
        <v>27</v>
      </c>
      <c r="R634" s="3" t="s">
        <v>27</v>
      </c>
      <c r="S634" s="3" t="s">
        <v>27</v>
      </c>
      <c r="T634" s="3" t="s">
        <v>27</v>
      </c>
    </row>
    <row r="635" spans="1:20" ht="409.6">
      <c r="A635" s="3">
        <v>2750372</v>
      </c>
      <c r="B635" s="3">
        <f>HYPERLINK("https://platform.v2.vetology.net/cases/2750372/screening-report/6?type=pdf&amp;v=v6&amp;scorecard=1&amp;secret_key=BX%25IJ%24%2F65ieZ%29f6", 2750372)</f>
        <v>2750372</v>
      </c>
      <c r="C635" s="3">
        <f>HYPERLINK("https://platform.v2.vetology.net/report/v/final/"&amp;2750372, 2750372)</f>
        <v>2750372</v>
      </c>
      <c r="D635" s="3" t="s">
        <v>2567</v>
      </c>
      <c r="E635" s="3" t="s">
        <v>2568</v>
      </c>
      <c r="F635" s="3" t="s">
        <v>2569</v>
      </c>
      <c r="G635" s="3" t="s">
        <v>736</v>
      </c>
      <c r="H635" s="3" t="s">
        <v>571</v>
      </c>
      <c r="I635" s="3" t="s">
        <v>572</v>
      </c>
      <c r="J635" s="3" t="s">
        <v>573</v>
      </c>
      <c r="K635" s="3" t="s">
        <v>27</v>
      </c>
      <c r="L635" s="3" t="s">
        <v>28</v>
      </c>
      <c r="M635" s="3" t="s">
        <v>27</v>
      </c>
      <c r="N635" s="3" t="s">
        <v>28</v>
      </c>
      <c r="O635" s="3" t="s">
        <v>27</v>
      </c>
      <c r="P635" s="3" t="s">
        <v>28</v>
      </c>
      <c r="Q635" s="3" t="s">
        <v>28</v>
      </c>
      <c r="R635" s="3" t="s">
        <v>28</v>
      </c>
      <c r="S635" s="3" t="s">
        <v>28</v>
      </c>
      <c r="T635" s="3" t="s">
        <v>28</v>
      </c>
    </row>
    <row r="636" spans="1:20" ht="381.75">
      <c r="A636" s="3">
        <v>2750316</v>
      </c>
      <c r="B636" s="3">
        <f>HYPERLINK("https://platform.v2.vetology.net/cases/2750316/screening-report/6?type=pdf&amp;v=v6&amp;scorecard=1&amp;secret_key=BX%25IJ%24%2F65ieZ%29f6", 2750316)</f>
        <v>2750316</v>
      </c>
      <c r="C636" s="3">
        <f>HYPERLINK("https://platform.v2.vetology.net/report/v/final/"&amp;2750316, 2750316)</f>
        <v>2750316</v>
      </c>
      <c r="D636" s="3" t="s">
        <v>2570</v>
      </c>
      <c r="E636" s="3" t="s">
        <v>2571</v>
      </c>
      <c r="F636" s="3" t="s">
        <v>2572</v>
      </c>
      <c r="G636" s="3" t="s">
        <v>496</v>
      </c>
      <c r="H636" s="3" t="s">
        <v>702</v>
      </c>
      <c r="I636" s="3" t="s">
        <v>32</v>
      </c>
      <c r="J636" s="3" t="s">
        <v>33</v>
      </c>
      <c r="K636" s="3" t="s">
        <v>28</v>
      </c>
      <c r="L636" s="3" t="s">
        <v>28</v>
      </c>
      <c r="M636" s="3" t="s">
        <v>28</v>
      </c>
      <c r="N636" s="3" t="s">
        <v>28</v>
      </c>
      <c r="O636" s="3" t="s">
        <v>28</v>
      </c>
      <c r="P636" s="3" t="s">
        <v>28</v>
      </c>
      <c r="Q636" s="3" t="s">
        <v>28</v>
      </c>
      <c r="R636" s="3" t="s">
        <v>28</v>
      </c>
      <c r="S636" s="3" t="s">
        <v>28</v>
      </c>
      <c r="T636" s="3" t="s">
        <v>28</v>
      </c>
    </row>
    <row r="637" spans="1:20" ht="409.6">
      <c r="A637" s="3">
        <v>2750314</v>
      </c>
      <c r="B637" s="3">
        <f>HYPERLINK("https://platform.v2.vetology.net/cases/2750314/screening-report/6?type=pdf&amp;v=v6&amp;scorecard=1&amp;secret_key=BX%25IJ%24%2F65ieZ%29f6", 2750314)</f>
        <v>2750314</v>
      </c>
      <c r="C637" s="3">
        <f>HYPERLINK("https://platform.v2.vetology.net/report/v/final/"&amp;2750314, 2750314)</f>
        <v>2750314</v>
      </c>
      <c r="D637" s="3" t="s">
        <v>2573</v>
      </c>
      <c r="E637" s="3" t="s">
        <v>2574</v>
      </c>
      <c r="F637" s="3" t="s">
        <v>2575</v>
      </c>
      <c r="G637" s="3" t="s">
        <v>736</v>
      </c>
      <c r="H637" s="3" t="s">
        <v>2576</v>
      </c>
      <c r="I637" s="3" t="s">
        <v>2577</v>
      </c>
      <c r="J637" s="3" t="s">
        <v>207</v>
      </c>
      <c r="K637" s="3" t="s">
        <v>27</v>
      </c>
      <c r="L637" s="3" t="s">
        <v>28</v>
      </c>
      <c r="M637" s="3" t="s">
        <v>28</v>
      </c>
      <c r="N637" s="3" t="s">
        <v>28</v>
      </c>
      <c r="O637" s="3" t="s">
        <v>27</v>
      </c>
      <c r="P637" s="3" t="s">
        <v>28</v>
      </c>
      <c r="Q637" s="3" t="s">
        <v>27</v>
      </c>
      <c r="R637" s="3" t="s">
        <v>28</v>
      </c>
      <c r="S637" s="3" t="s">
        <v>28</v>
      </c>
      <c r="T637" s="3" t="s">
        <v>28</v>
      </c>
    </row>
    <row r="638" spans="1:20" ht="305.25">
      <c r="A638" s="3">
        <v>2750283</v>
      </c>
      <c r="B638" s="3">
        <f>HYPERLINK("https://platform.v2.vetology.net/cases/2750283/screening-report/6?type=pdf&amp;v=v6&amp;scorecard=1&amp;secret_key=BX%25IJ%24%2F65ieZ%29f6", 2750283)</f>
        <v>2750283</v>
      </c>
      <c r="C638" s="3">
        <f>HYPERLINK("https://platform.v2.vetology.net/report/v/final/"&amp;2750283, 2750283)</f>
        <v>2750283</v>
      </c>
      <c r="D638" s="3" t="s">
        <v>2578</v>
      </c>
      <c r="E638" s="3" t="s">
        <v>2579</v>
      </c>
      <c r="F638" s="3" t="s">
        <v>2580</v>
      </c>
      <c r="G638" s="3" t="s">
        <v>186</v>
      </c>
      <c r="H638" s="3" t="s">
        <v>31</v>
      </c>
      <c r="I638" s="3" t="s">
        <v>32</v>
      </c>
      <c r="J638" s="3" t="s">
        <v>33</v>
      </c>
      <c r="K638" s="3" t="s">
        <v>28</v>
      </c>
      <c r="L638" s="3" t="s">
        <v>28</v>
      </c>
      <c r="M638" s="3" t="s">
        <v>28</v>
      </c>
      <c r="N638" s="3" t="s">
        <v>28</v>
      </c>
      <c r="O638" s="3" t="s">
        <v>28</v>
      </c>
      <c r="P638" s="3" t="s">
        <v>28</v>
      </c>
      <c r="Q638" s="3" t="s">
        <v>28</v>
      </c>
      <c r="R638" s="3" t="s">
        <v>28</v>
      </c>
      <c r="S638" s="3" t="s">
        <v>28</v>
      </c>
      <c r="T638" s="3" t="s">
        <v>28</v>
      </c>
    </row>
    <row r="639" spans="1:20" ht="396.75">
      <c r="A639" s="3">
        <v>2750148</v>
      </c>
      <c r="B639" s="3">
        <f>HYPERLINK("https://platform.v2.vetology.net/cases/2750148/screening-report/6?type=pdf&amp;v=v6&amp;scorecard=1&amp;secret_key=BX%25IJ%24%2F65ieZ%29f6", 2750148)</f>
        <v>2750148</v>
      </c>
      <c r="C639" s="3">
        <f>HYPERLINK("https://platform.v2.vetology.net/report/v/final/"&amp;2750148, 2750148)</f>
        <v>2750148</v>
      </c>
      <c r="D639" s="3" t="s">
        <v>2581</v>
      </c>
      <c r="E639" s="3" t="s">
        <v>2582</v>
      </c>
      <c r="F639" s="3" t="s">
        <v>22</v>
      </c>
      <c r="G639" s="3" t="s">
        <v>23</v>
      </c>
      <c r="H639" s="3" t="s">
        <v>723</v>
      </c>
      <c r="I639" s="3" t="s">
        <v>724</v>
      </c>
      <c r="J639" s="3" t="s">
        <v>725</v>
      </c>
      <c r="K639" s="3" t="s">
        <v>27</v>
      </c>
      <c r="L639" s="3" t="s">
        <v>28</v>
      </c>
      <c r="M639" s="3" t="s">
        <v>28</v>
      </c>
      <c r="N639" s="3" t="s">
        <v>28</v>
      </c>
      <c r="O639" s="3" t="s">
        <v>27</v>
      </c>
      <c r="P639" s="3" t="s">
        <v>27</v>
      </c>
      <c r="Q639" s="3" t="s">
        <v>28</v>
      </c>
      <c r="R639" s="3" t="s">
        <v>28</v>
      </c>
      <c r="S639" s="3" t="s">
        <v>28</v>
      </c>
      <c r="T639" s="3" t="s">
        <v>28</v>
      </c>
    </row>
    <row r="640" spans="1:20" ht="409.6">
      <c r="A640" s="3">
        <v>2750146</v>
      </c>
      <c r="B640" s="3">
        <f>HYPERLINK("https://platform.v2.vetology.net/cases/2750146/screening-report/6?type=pdf&amp;v=v6&amp;scorecard=1&amp;secret_key=BX%25IJ%24%2F65ieZ%29f6", 2750146)</f>
        <v>2750146</v>
      </c>
      <c r="C640" s="3">
        <f>HYPERLINK("https://platform.v2.vetology.net/report/v/final/"&amp;2750146, 2750146)</f>
        <v>2750146</v>
      </c>
      <c r="D640" s="3" t="s">
        <v>2583</v>
      </c>
      <c r="E640" s="3" t="s">
        <v>2584</v>
      </c>
      <c r="F640" s="3" t="s">
        <v>22</v>
      </c>
      <c r="G640" s="3" t="s">
        <v>23</v>
      </c>
      <c r="H640" s="3" t="s">
        <v>344</v>
      </c>
      <c r="I640" s="3" t="s">
        <v>345</v>
      </c>
      <c r="J640" s="3" t="s">
        <v>346</v>
      </c>
      <c r="K640" s="3" t="s">
        <v>28</v>
      </c>
      <c r="L640" s="3" t="s">
        <v>28</v>
      </c>
      <c r="M640" s="3" t="s">
        <v>28</v>
      </c>
      <c r="N640" s="3" t="s">
        <v>27</v>
      </c>
      <c r="O640" s="3" t="s">
        <v>28</v>
      </c>
      <c r="P640" s="3" t="s">
        <v>28</v>
      </c>
      <c r="Q640" s="3" t="s">
        <v>28</v>
      </c>
      <c r="R640" s="3" t="s">
        <v>28</v>
      </c>
      <c r="S640" s="3" t="s">
        <v>27</v>
      </c>
      <c r="T640" s="3" t="s">
        <v>27</v>
      </c>
    </row>
    <row r="641" spans="1:20" ht="305.25">
      <c r="A641" s="3">
        <v>2750107</v>
      </c>
      <c r="B641" s="3">
        <f>HYPERLINK("https://platform.v2.vetology.net/cases/2750107/screening-report/6?type=pdf&amp;v=v6&amp;scorecard=1&amp;secret_key=BX%25IJ%24%2F65ieZ%29f6", 2750107)</f>
        <v>2750107</v>
      </c>
      <c r="C641" s="3">
        <f>HYPERLINK("https://platform.v2.vetology.net/report/v/final/"&amp;2750107, 2750107)</f>
        <v>2750107</v>
      </c>
      <c r="D641" s="3" t="s">
        <v>2585</v>
      </c>
      <c r="E641" s="3" t="s">
        <v>2586</v>
      </c>
      <c r="F641" s="3" t="s">
        <v>22</v>
      </c>
      <c r="G641" s="3" t="s">
        <v>23</v>
      </c>
      <c r="H641" s="3" t="s">
        <v>2587</v>
      </c>
      <c r="I641" s="3" t="s">
        <v>2588</v>
      </c>
      <c r="J641" s="3" t="s">
        <v>2589</v>
      </c>
      <c r="K641" s="3" t="s">
        <v>28</v>
      </c>
      <c r="L641" s="3" t="s">
        <v>28</v>
      </c>
      <c r="M641" s="3" t="s">
        <v>27</v>
      </c>
      <c r="N641" s="3" t="s">
        <v>28</v>
      </c>
      <c r="O641" s="3" t="s">
        <v>27</v>
      </c>
      <c r="P641" s="3" t="s">
        <v>27</v>
      </c>
      <c r="Q641" s="3" t="s">
        <v>28</v>
      </c>
      <c r="R641" s="3" t="s">
        <v>28</v>
      </c>
      <c r="S641" s="3" t="s">
        <v>28</v>
      </c>
      <c r="T641" s="3" t="s">
        <v>28</v>
      </c>
    </row>
    <row r="642" spans="1:20" ht="381.75">
      <c r="A642" s="3">
        <v>2750090</v>
      </c>
      <c r="B642" s="3">
        <f>HYPERLINK("https://platform.v2.vetology.net/cases/2750090/screening-report/6?type=pdf&amp;v=v6&amp;scorecard=1&amp;secret_key=BX%25IJ%24%2F65ieZ%29f6", 2750090)</f>
        <v>2750090</v>
      </c>
      <c r="C642" s="3">
        <f>HYPERLINK("https://platform.v2.vetology.net/report/v/final/"&amp;2750090, 2750090)</f>
        <v>2750090</v>
      </c>
      <c r="D642" s="3" t="s">
        <v>2590</v>
      </c>
      <c r="E642" s="3" t="s">
        <v>2591</v>
      </c>
      <c r="F642" s="3" t="s">
        <v>2592</v>
      </c>
      <c r="G642" s="3" t="s">
        <v>2447</v>
      </c>
      <c r="H642" s="3" t="s">
        <v>1905</v>
      </c>
      <c r="I642" s="3" t="s">
        <v>37</v>
      </c>
      <c r="J642" s="3" t="s">
        <v>38</v>
      </c>
      <c r="K642" s="3" t="s">
        <v>28</v>
      </c>
      <c r="L642" s="3" t="s">
        <v>28</v>
      </c>
      <c r="M642" s="3" t="s">
        <v>28</v>
      </c>
      <c r="N642" s="3" t="s">
        <v>28</v>
      </c>
      <c r="O642" s="3" t="s">
        <v>27</v>
      </c>
      <c r="P642" s="3" t="s">
        <v>28</v>
      </c>
      <c r="Q642" s="3" t="s">
        <v>28</v>
      </c>
      <c r="R642" s="3" t="s">
        <v>28</v>
      </c>
      <c r="S642" s="3" t="s">
        <v>28</v>
      </c>
      <c r="T642" s="3" t="s">
        <v>28</v>
      </c>
    </row>
    <row r="643" spans="1:20" ht="409.6">
      <c r="A643" s="3">
        <v>2750034</v>
      </c>
      <c r="B643" s="3">
        <f>HYPERLINK("https://platform.v2.vetology.net/cases/2750034/screening-report/6?type=pdf&amp;v=v6&amp;scorecard=1&amp;secret_key=BX%25IJ%24%2F65ieZ%29f6", 2750034)</f>
        <v>2750034</v>
      </c>
      <c r="C643" s="3">
        <f>HYPERLINK("https://platform.v2.vetology.net/report/v/final/"&amp;2750034, 2750034)</f>
        <v>2750034</v>
      </c>
      <c r="D643" s="3" t="s">
        <v>2593</v>
      </c>
      <c r="E643" s="3" t="s">
        <v>2594</v>
      </c>
      <c r="F643" s="3" t="s">
        <v>2595</v>
      </c>
      <c r="G643" s="3" t="s">
        <v>23</v>
      </c>
      <c r="H643" s="3" t="s">
        <v>2596</v>
      </c>
      <c r="I643" s="3" t="s">
        <v>784</v>
      </c>
      <c r="J643" s="3" t="s">
        <v>785</v>
      </c>
      <c r="K643" s="3" t="s">
        <v>27</v>
      </c>
      <c r="L643" s="3" t="s">
        <v>28</v>
      </c>
      <c r="M643" s="3" t="s">
        <v>27</v>
      </c>
      <c r="N643" s="3" t="s">
        <v>28</v>
      </c>
      <c r="O643" s="3" t="s">
        <v>27</v>
      </c>
      <c r="P643" s="3" t="s">
        <v>28</v>
      </c>
      <c r="Q643" s="3" t="s">
        <v>27</v>
      </c>
      <c r="R643" s="3" t="s">
        <v>28</v>
      </c>
      <c r="S643" s="3" t="s">
        <v>28</v>
      </c>
      <c r="T643" s="3" t="s">
        <v>27</v>
      </c>
    </row>
    <row r="644" spans="1:20" ht="409.6">
      <c r="A644" s="3">
        <v>2750014</v>
      </c>
      <c r="B644" s="3">
        <f>HYPERLINK("https://platform.v2.vetology.net/cases/2750014/screening-report/6?type=pdf&amp;v=v6&amp;scorecard=1&amp;secret_key=BX%25IJ%24%2F65ieZ%29f6", 2750014)</f>
        <v>2750014</v>
      </c>
      <c r="C644" s="3">
        <f>HYPERLINK("https://platform.v2.vetology.net/report/v/final/"&amp;2750014, 2750014)</f>
        <v>2750014</v>
      </c>
      <c r="D644" s="3" t="s">
        <v>2597</v>
      </c>
      <c r="E644" s="3" t="s">
        <v>2598</v>
      </c>
      <c r="F644" s="3" t="s">
        <v>22</v>
      </c>
      <c r="G644" s="3" t="s">
        <v>23</v>
      </c>
      <c r="H644" s="3" t="s">
        <v>1932</v>
      </c>
      <c r="I644" s="3" t="s">
        <v>136</v>
      </c>
      <c r="J644" s="3" t="s">
        <v>424</v>
      </c>
      <c r="K644" s="3" t="s">
        <v>28</v>
      </c>
      <c r="L644" s="3" t="s">
        <v>28</v>
      </c>
      <c r="M644" s="3" t="s">
        <v>28</v>
      </c>
      <c r="N644" s="3" t="s">
        <v>28</v>
      </c>
      <c r="O644" s="3" t="s">
        <v>27</v>
      </c>
      <c r="P644" s="3" t="s">
        <v>28</v>
      </c>
      <c r="Q644" s="3" t="s">
        <v>27</v>
      </c>
      <c r="R644" s="3" t="s">
        <v>27</v>
      </c>
      <c r="S644" s="3" t="s">
        <v>28</v>
      </c>
      <c r="T644" s="3" t="s">
        <v>27</v>
      </c>
    </row>
    <row r="645" spans="1:20" ht="409.6">
      <c r="A645" s="3">
        <v>2749961</v>
      </c>
      <c r="B645" s="3">
        <f>HYPERLINK("https://platform.v2.vetology.net/cases/2749961/screening-report/6?type=pdf&amp;v=v6&amp;scorecard=1&amp;secret_key=BX%25IJ%24%2F65ieZ%29f6", 2749961)</f>
        <v>2749961</v>
      </c>
      <c r="C645" s="3">
        <f>HYPERLINK("https://platform.v2.vetology.net/report/v/final/"&amp;2749961, 2749961)</f>
        <v>2749961</v>
      </c>
      <c r="D645" s="3" t="s">
        <v>2599</v>
      </c>
      <c r="E645" s="3" t="s">
        <v>2600</v>
      </c>
      <c r="F645" s="3" t="s">
        <v>2601</v>
      </c>
      <c r="G645" s="3" t="s">
        <v>64</v>
      </c>
      <c r="H645" s="3" t="s">
        <v>2602</v>
      </c>
      <c r="I645" s="3" t="s">
        <v>1070</v>
      </c>
      <c r="J645" s="3" t="s">
        <v>207</v>
      </c>
      <c r="K645" s="3" t="s">
        <v>27</v>
      </c>
      <c r="L645" s="3" t="s">
        <v>28</v>
      </c>
      <c r="M645" s="3" t="s">
        <v>28</v>
      </c>
      <c r="N645" s="3" t="s">
        <v>28</v>
      </c>
      <c r="O645" s="3" t="s">
        <v>27</v>
      </c>
      <c r="P645" s="3" t="s">
        <v>28</v>
      </c>
      <c r="Q645" s="3" t="s">
        <v>27</v>
      </c>
      <c r="R645" s="3" t="s">
        <v>28</v>
      </c>
      <c r="S645" s="3" t="s">
        <v>28</v>
      </c>
      <c r="T645" s="3" t="s">
        <v>28</v>
      </c>
    </row>
    <row r="646" spans="1:20" ht="409.6">
      <c r="A646" s="3">
        <v>2749959</v>
      </c>
      <c r="B646" s="3">
        <f>HYPERLINK("https://platform.v2.vetology.net/cases/2749959/screening-report/6?type=pdf&amp;v=v6&amp;scorecard=1&amp;secret_key=BX%25IJ%24%2F65ieZ%29f6", 2749959)</f>
        <v>2749959</v>
      </c>
      <c r="C646" s="3">
        <f>HYPERLINK("https://platform.v2.vetology.net/report/v/final/"&amp;2749959, 2749959)</f>
        <v>2749959</v>
      </c>
      <c r="D646" s="3" t="s">
        <v>2603</v>
      </c>
      <c r="E646" s="3" t="s">
        <v>2604</v>
      </c>
      <c r="F646" s="3" t="s">
        <v>2605</v>
      </c>
      <c r="G646" s="3" t="s">
        <v>64</v>
      </c>
      <c r="H646" s="3" t="s">
        <v>419</v>
      </c>
      <c r="I646" s="3" t="s">
        <v>316</v>
      </c>
      <c r="J646" s="3" t="s">
        <v>317</v>
      </c>
      <c r="K646" s="3" t="s">
        <v>28</v>
      </c>
      <c r="L646" s="3" t="s">
        <v>28</v>
      </c>
      <c r="M646" s="3" t="s">
        <v>28</v>
      </c>
      <c r="N646" s="3" t="s">
        <v>28</v>
      </c>
      <c r="O646" s="3" t="s">
        <v>27</v>
      </c>
      <c r="P646" s="3" t="s">
        <v>28</v>
      </c>
      <c r="Q646" s="3" t="s">
        <v>28</v>
      </c>
      <c r="R646" s="3" t="s">
        <v>28</v>
      </c>
      <c r="S646" s="3" t="s">
        <v>28</v>
      </c>
      <c r="T646" s="3" t="s">
        <v>28</v>
      </c>
    </row>
    <row r="647" spans="1:20" ht="381.75">
      <c r="A647" s="3">
        <v>2749825</v>
      </c>
      <c r="B647" s="3">
        <f>HYPERLINK("https://platform.v2.vetology.net/cases/2749825/screening-report/6?type=pdf&amp;v=v6&amp;scorecard=1&amp;secret_key=BX%25IJ%24%2F65ieZ%29f6", 2749825)</f>
        <v>2749825</v>
      </c>
      <c r="C647" s="3">
        <f>HYPERLINK("https://platform.v2.vetology.net/report/v/final/"&amp;2749825, 2749825)</f>
        <v>2749825</v>
      </c>
      <c r="D647" s="3" t="s">
        <v>2606</v>
      </c>
      <c r="E647" s="3" t="s">
        <v>2607</v>
      </c>
      <c r="F647" s="3" t="s">
        <v>22</v>
      </c>
      <c r="G647" s="3" t="s">
        <v>23</v>
      </c>
      <c r="H647" s="3" t="s">
        <v>855</v>
      </c>
      <c r="I647" s="3" t="s">
        <v>856</v>
      </c>
      <c r="J647" s="3" t="s">
        <v>857</v>
      </c>
      <c r="K647" s="3" t="s">
        <v>28</v>
      </c>
      <c r="L647" s="3" t="s">
        <v>28</v>
      </c>
      <c r="M647" s="3" t="s">
        <v>28</v>
      </c>
      <c r="N647" s="3" t="s">
        <v>28</v>
      </c>
      <c r="O647" s="3" t="s">
        <v>28</v>
      </c>
      <c r="P647" s="3" t="s">
        <v>28</v>
      </c>
      <c r="Q647" s="3" t="s">
        <v>28</v>
      </c>
      <c r="R647" s="3" t="s">
        <v>28</v>
      </c>
      <c r="S647" s="3" t="s">
        <v>28</v>
      </c>
      <c r="T647" s="3" t="s">
        <v>28</v>
      </c>
    </row>
    <row r="648" spans="1:20" ht="409.6">
      <c r="A648" s="3">
        <v>2749814</v>
      </c>
      <c r="B648" s="3">
        <f>HYPERLINK("https://platform.v2.vetology.net/cases/2749814/screening-report/6?type=pdf&amp;v=v6&amp;scorecard=1&amp;secret_key=BX%25IJ%24%2F65ieZ%29f6", 2749814)</f>
        <v>2749814</v>
      </c>
      <c r="C648" s="3">
        <f>HYPERLINK("https://platform.v2.vetology.net/report/v/final/"&amp;2749814, 2749814)</f>
        <v>2749814</v>
      </c>
      <c r="D648" s="3" t="s">
        <v>2608</v>
      </c>
      <c r="E648" s="3" t="s">
        <v>2609</v>
      </c>
      <c r="F648" s="3" t="s">
        <v>2610</v>
      </c>
      <c r="G648" s="3" t="s">
        <v>57</v>
      </c>
      <c r="H648" s="3" t="s">
        <v>2611</v>
      </c>
      <c r="I648" s="3" t="s">
        <v>66</v>
      </c>
      <c r="J648" s="3" t="s">
        <v>67</v>
      </c>
      <c r="K648" s="3" t="s">
        <v>28</v>
      </c>
      <c r="L648" s="3" t="s">
        <v>28</v>
      </c>
      <c r="M648" s="3" t="s">
        <v>28</v>
      </c>
      <c r="N648" s="3" t="s">
        <v>28</v>
      </c>
      <c r="O648" s="3" t="s">
        <v>28</v>
      </c>
      <c r="P648" s="3" t="s">
        <v>28</v>
      </c>
      <c r="Q648" s="3" t="s">
        <v>28</v>
      </c>
      <c r="R648" s="3" t="s">
        <v>28</v>
      </c>
      <c r="S648" s="3" t="s">
        <v>28</v>
      </c>
      <c r="T648" s="3" t="s">
        <v>28</v>
      </c>
    </row>
    <row r="649" spans="1:20" ht="409.6">
      <c r="A649" s="3">
        <v>2749780</v>
      </c>
      <c r="B649" s="3">
        <f>HYPERLINK("https://platform.v2.vetology.net/cases/2749780/screening-report/6?type=pdf&amp;v=v6&amp;scorecard=1&amp;secret_key=BX%25IJ%24%2F65ieZ%29f6", 2749780)</f>
        <v>2749780</v>
      </c>
      <c r="C649" s="3">
        <f>HYPERLINK("https://platform.v2.vetology.net/report/v/final/"&amp;2749780, 2749780)</f>
        <v>2749780</v>
      </c>
      <c r="D649" s="3" t="s">
        <v>2612</v>
      </c>
      <c r="E649" s="3" t="s">
        <v>2613</v>
      </c>
      <c r="F649" s="3" t="s">
        <v>2614</v>
      </c>
      <c r="G649" s="3" t="s">
        <v>57</v>
      </c>
      <c r="H649" s="3" t="s">
        <v>2615</v>
      </c>
      <c r="I649" s="3" t="s">
        <v>793</v>
      </c>
      <c r="J649" s="3" t="s">
        <v>1439</v>
      </c>
      <c r="K649" s="3" t="s">
        <v>28</v>
      </c>
      <c r="L649" s="3" t="s">
        <v>28</v>
      </c>
      <c r="M649" s="3" t="s">
        <v>28</v>
      </c>
      <c r="N649" s="3" t="s">
        <v>28</v>
      </c>
      <c r="O649" s="3" t="s">
        <v>28</v>
      </c>
      <c r="P649" s="3" t="s">
        <v>28</v>
      </c>
      <c r="Q649" s="3" t="s">
        <v>28</v>
      </c>
      <c r="R649" s="3" t="s">
        <v>28</v>
      </c>
      <c r="S649" s="3" t="s">
        <v>28</v>
      </c>
      <c r="T649" s="3" t="s">
        <v>28</v>
      </c>
    </row>
    <row r="650" spans="1:20" ht="396.75">
      <c r="A650" s="3">
        <v>2749777</v>
      </c>
      <c r="B650" s="3">
        <f>HYPERLINK("https://platform.v2.vetology.net/cases/2749777/screening-report/6?type=pdf&amp;v=v6&amp;scorecard=1&amp;secret_key=BX%25IJ%24%2F65ieZ%29f6", 2749777)</f>
        <v>2749777</v>
      </c>
      <c r="C650" s="3">
        <f>HYPERLINK("https://platform.v2.vetology.net/report/v/final/"&amp;2749777, 2749777)</f>
        <v>2749777</v>
      </c>
      <c r="D650" s="3" t="s">
        <v>2616</v>
      </c>
      <c r="E650" s="3" t="s">
        <v>2617</v>
      </c>
      <c r="F650" s="3" t="s">
        <v>1363</v>
      </c>
      <c r="G650" s="3" t="s">
        <v>211</v>
      </c>
      <c r="H650" s="3" t="s">
        <v>2618</v>
      </c>
      <c r="I650" s="3" t="s">
        <v>572</v>
      </c>
      <c r="J650" s="3" t="s">
        <v>573</v>
      </c>
      <c r="K650" s="3" t="s">
        <v>27</v>
      </c>
      <c r="L650" s="3" t="s">
        <v>28</v>
      </c>
      <c r="M650" s="3" t="s">
        <v>28</v>
      </c>
      <c r="N650" s="3" t="s">
        <v>28</v>
      </c>
      <c r="O650" s="3" t="s">
        <v>27</v>
      </c>
      <c r="P650" s="3" t="s">
        <v>28</v>
      </c>
      <c r="Q650" s="3" t="s">
        <v>27</v>
      </c>
      <c r="R650" s="3" t="s">
        <v>28</v>
      </c>
      <c r="S650" s="3" t="s">
        <v>28</v>
      </c>
      <c r="T650" s="3" t="s">
        <v>28</v>
      </c>
    </row>
    <row r="651" spans="1:20" ht="381.75">
      <c r="A651" s="3">
        <v>2749667</v>
      </c>
      <c r="B651" s="3">
        <f>HYPERLINK("https://platform.v2.vetology.net/cases/2749667/screening-report/6?type=pdf&amp;v=v6&amp;scorecard=1&amp;secret_key=BX%25IJ%24%2F65ieZ%29f6", 2749667)</f>
        <v>2749667</v>
      </c>
      <c r="C651" s="3">
        <f>HYPERLINK("https://platform.v2.vetology.net/report/v/final/"&amp;2749667, 2749667)</f>
        <v>2749667</v>
      </c>
      <c r="D651" s="3" t="s">
        <v>2619</v>
      </c>
      <c r="E651" s="3" t="s">
        <v>2620</v>
      </c>
      <c r="F651" s="3" t="s">
        <v>1663</v>
      </c>
      <c r="G651" s="3" t="s">
        <v>23</v>
      </c>
      <c r="H651" s="3" t="s">
        <v>2621</v>
      </c>
      <c r="I651" s="3" t="s">
        <v>37</v>
      </c>
      <c r="J651" s="3" t="s">
        <v>38</v>
      </c>
      <c r="K651" s="3" t="s">
        <v>28</v>
      </c>
      <c r="L651" s="3" t="s">
        <v>28</v>
      </c>
      <c r="M651" s="3" t="s">
        <v>27</v>
      </c>
      <c r="N651" s="3" t="s">
        <v>28</v>
      </c>
      <c r="O651" s="3" t="s">
        <v>27</v>
      </c>
      <c r="P651" s="3" t="s">
        <v>28</v>
      </c>
      <c r="Q651" s="3" t="s">
        <v>28</v>
      </c>
      <c r="R651" s="3" t="s">
        <v>28</v>
      </c>
      <c r="S651" s="3" t="s">
        <v>28</v>
      </c>
      <c r="T651" s="3" t="s">
        <v>28</v>
      </c>
    </row>
    <row r="652" spans="1:20" ht="409.6">
      <c r="A652" s="3">
        <v>2749600</v>
      </c>
      <c r="B652" s="3">
        <f>HYPERLINK("https://platform.v2.vetology.net/cases/2749600/screening-report/6?type=pdf&amp;v=v6&amp;scorecard=1&amp;secret_key=BX%25IJ%24%2F65ieZ%29f6", 2749600)</f>
        <v>2749600</v>
      </c>
      <c r="C652" s="3">
        <f>HYPERLINK("https://platform.v2.vetology.net/report/v/final/"&amp;2749600, 2749600)</f>
        <v>2749600</v>
      </c>
      <c r="D652" s="3" t="s">
        <v>2622</v>
      </c>
      <c r="E652" s="3" t="s">
        <v>2623</v>
      </c>
      <c r="F652" s="3" t="s">
        <v>22</v>
      </c>
      <c r="G652" s="3" t="s">
        <v>23</v>
      </c>
      <c r="H652" s="3" t="s">
        <v>2624</v>
      </c>
      <c r="I652" s="3" t="s">
        <v>2625</v>
      </c>
      <c r="J652" s="3" t="s">
        <v>2626</v>
      </c>
      <c r="K652" s="3" t="s">
        <v>28</v>
      </c>
      <c r="L652" s="3" t="s">
        <v>28</v>
      </c>
      <c r="M652" s="3" t="s">
        <v>28</v>
      </c>
      <c r="N652" s="3" t="s">
        <v>28</v>
      </c>
      <c r="O652" s="3" t="s">
        <v>28</v>
      </c>
      <c r="P652" s="3" t="s">
        <v>28</v>
      </c>
      <c r="Q652" s="3" t="s">
        <v>28</v>
      </c>
      <c r="R652" s="3" t="s">
        <v>28</v>
      </c>
      <c r="S652" s="3" t="s">
        <v>28</v>
      </c>
      <c r="T652" s="3" t="s">
        <v>27</v>
      </c>
    </row>
    <row r="653" spans="1:20" ht="275.25">
      <c r="A653" s="3">
        <v>2749545</v>
      </c>
      <c r="B653" s="3">
        <f>HYPERLINK("https://platform.v2.vetology.net/cases/2749545/screening-report/6?type=pdf&amp;v=v6&amp;scorecard=1&amp;secret_key=BX%25IJ%24%2F65ieZ%29f6", 2749545)</f>
        <v>2749545</v>
      </c>
      <c r="C653" s="3">
        <f>HYPERLINK("https://platform.v2.vetology.net/report/v/final/"&amp;2749545, 2749545)</f>
        <v>2749545</v>
      </c>
      <c r="D653" s="3" t="s">
        <v>2627</v>
      </c>
      <c r="E653" s="3" t="s">
        <v>2628</v>
      </c>
      <c r="F653" s="3" t="s">
        <v>22</v>
      </c>
      <c r="G653" s="3" t="s">
        <v>23</v>
      </c>
      <c r="H653" s="3" t="s">
        <v>2629</v>
      </c>
      <c r="I653" s="3" t="s">
        <v>32</v>
      </c>
      <c r="J653" s="3" t="s">
        <v>847</v>
      </c>
      <c r="K653" s="3" t="s">
        <v>27</v>
      </c>
      <c r="L653" s="3" t="s">
        <v>28</v>
      </c>
      <c r="M653" s="3" t="s">
        <v>28</v>
      </c>
      <c r="N653" s="3" t="s">
        <v>28</v>
      </c>
      <c r="O653" s="3" t="s">
        <v>27</v>
      </c>
      <c r="P653" s="3" t="s">
        <v>27</v>
      </c>
      <c r="Q653" s="3" t="s">
        <v>28</v>
      </c>
      <c r="R653" s="3" t="s">
        <v>28</v>
      </c>
      <c r="S653" s="3" t="s">
        <v>28</v>
      </c>
      <c r="T653" s="3" t="s">
        <v>28</v>
      </c>
    </row>
    <row r="654" spans="1:20" ht="290.25">
      <c r="A654" s="3">
        <v>2749491</v>
      </c>
      <c r="B654" s="3">
        <f>HYPERLINK("https://platform.v2.vetology.net/cases/2749491/screening-report/6?type=pdf&amp;v=v6&amp;scorecard=1&amp;secret_key=BX%25IJ%24%2F65ieZ%29f6", 2749491)</f>
        <v>2749491</v>
      </c>
      <c r="C654" s="3">
        <f>HYPERLINK("https://platform.v2.vetology.net/report/v/final/"&amp;2749491, 2749491)</f>
        <v>2749491</v>
      </c>
      <c r="D654" s="3" t="s">
        <v>2630</v>
      </c>
      <c r="E654" s="3" t="s">
        <v>2631</v>
      </c>
      <c r="F654" s="3" t="s">
        <v>22</v>
      </c>
      <c r="G654" s="3" t="s">
        <v>23</v>
      </c>
      <c r="H654" s="3" t="s">
        <v>31</v>
      </c>
      <c r="I654" s="3" t="s">
        <v>2041</v>
      </c>
      <c r="J654" s="3" t="s">
        <v>297</v>
      </c>
      <c r="K654" s="3" t="s">
        <v>27</v>
      </c>
      <c r="L654" s="3" t="s">
        <v>28</v>
      </c>
      <c r="M654" s="3" t="s">
        <v>28</v>
      </c>
      <c r="N654" s="3" t="s">
        <v>28</v>
      </c>
      <c r="O654" s="3" t="s">
        <v>27</v>
      </c>
      <c r="P654" s="3" t="s">
        <v>28</v>
      </c>
      <c r="Q654" s="3" t="s">
        <v>28</v>
      </c>
      <c r="R654" s="3" t="s">
        <v>28</v>
      </c>
      <c r="S654" s="3" t="s">
        <v>27</v>
      </c>
      <c r="T654" s="3" t="s">
        <v>28</v>
      </c>
    </row>
    <row r="655" spans="1:20" ht="321">
      <c r="A655" s="3">
        <v>2749463</v>
      </c>
      <c r="B655" s="3">
        <f>HYPERLINK("https://platform.v2.vetology.net/cases/2749463/screening-report/6?type=pdf&amp;v=v6&amp;scorecard=1&amp;secret_key=BX%25IJ%24%2F65ieZ%29f6", 2749463)</f>
        <v>2749463</v>
      </c>
      <c r="C655" s="3">
        <f>HYPERLINK("https://platform.v2.vetology.net/report/v/final/"&amp;2749463, 2749463)</f>
        <v>2749463</v>
      </c>
      <c r="D655" s="3" t="s">
        <v>2632</v>
      </c>
      <c r="E655" s="3" t="s">
        <v>2633</v>
      </c>
      <c r="F655" s="3" t="s">
        <v>22</v>
      </c>
      <c r="G655" s="3" t="s">
        <v>23</v>
      </c>
      <c r="H655" s="3" t="s">
        <v>2634</v>
      </c>
      <c r="I655" s="3" t="s">
        <v>2024</v>
      </c>
      <c r="J655" s="3" t="s">
        <v>207</v>
      </c>
      <c r="K655" s="3" t="s">
        <v>28</v>
      </c>
      <c r="L655" s="3" t="s">
        <v>28</v>
      </c>
      <c r="M655" s="3" t="s">
        <v>28</v>
      </c>
      <c r="N655" s="3" t="s">
        <v>28</v>
      </c>
      <c r="O655" s="3" t="s">
        <v>27</v>
      </c>
      <c r="P655" s="3" t="s">
        <v>28</v>
      </c>
      <c r="Q655" s="3" t="s">
        <v>27</v>
      </c>
      <c r="R655" s="3" t="s">
        <v>28</v>
      </c>
      <c r="S655" s="3" t="s">
        <v>28</v>
      </c>
      <c r="T655" s="3" t="s">
        <v>28</v>
      </c>
    </row>
    <row r="656" spans="1:20" ht="321">
      <c r="A656" s="3">
        <v>2749458</v>
      </c>
      <c r="B656" s="3">
        <f>HYPERLINK("https://platform.v2.vetology.net/cases/2749458/screening-report/6?type=pdf&amp;v=v6&amp;scorecard=1&amp;secret_key=BX%25IJ%24%2F65ieZ%29f6", 2749458)</f>
        <v>2749458</v>
      </c>
      <c r="C656" s="3">
        <f>HYPERLINK("https://platform.v2.vetology.net/report/v/final/"&amp;2749458, 2749458)</f>
        <v>2749458</v>
      </c>
      <c r="D656" s="3" t="s">
        <v>2635</v>
      </c>
      <c r="E656" s="3" t="s">
        <v>2636</v>
      </c>
      <c r="F656" s="3" t="s">
        <v>22</v>
      </c>
      <c r="G656" s="3" t="s">
        <v>23</v>
      </c>
      <c r="H656" s="3" t="s">
        <v>2637</v>
      </c>
      <c r="I656" s="3" t="s">
        <v>2524</v>
      </c>
      <c r="J656" s="3" t="s">
        <v>1374</v>
      </c>
      <c r="K656" s="3" t="s">
        <v>27</v>
      </c>
      <c r="L656" s="3" t="s">
        <v>28</v>
      </c>
      <c r="M656" s="3" t="s">
        <v>27</v>
      </c>
      <c r="N656" s="3" t="s">
        <v>27</v>
      </c>
      <c r="O656" s="3" t="s">
        <v>27</v>
      </c>
      <c r="P656" s="3" t="s">
        <v>28</v>
      </c>
      <c r="Q656" s="3" t="s">
        <v>27</v>
      </c>
      <c r="R656" s="3" t="s">
        <v>27</v>
      </c>
      <c r="S656" s="3" t="s">
        <v>27</v>
      </c>
      <c r="T656" s="3" t="s">
        <v>27</v>
      </c>
    </row>
    <row r="657" spans="1:20" ht="305.25">
      <c r="A657" s="3">
        <v>2749216</v>
      </c>
      <c r="B657" s="3">
        <f>HYPERLINK("https://platform.v2.vetology.net/cases/2749216/screening-report/6?type=pdf&amp;v=v6&amp;scorecard=1&amp;secret_key=BX%25IJ%24%2F65ieZ%29f6", 2749216)</f>
        <v>2749216</v>
      </c>
      <c r="C657" s="3">
        <f>HYPERLINK("https://platform.v2.vetology.net/report/v/final/"&amp;2749216, 2749216)</f>
        <v>2749216</v>
      </c>
      <c r="D657" s="3" t="s">
        <v>2638</v>
      </c>
      <c r="E657" s="3" t="s">
        <v>2639</v>
      </c>
      <c r="F657" s="3" t="s">
        <v>22</v>
      </c>
      <c r="G657" s="3" t="s">
        <v>372</v>
      </c>
      <c r="H657" s="3" t="s">
        <v>31</v>
      </c>
      <c r="I657" s="3" t="s">
        <v>129</v>
      </c>
      <c r="J657" s="3" t="s">
        <v>119</v>
      </c>
      <c r="K657" s="3" t="s">
        <v>28</v>
      </c>
      <c r="L657" s="3" t="s">
        <v>28</v>
      </c>
      <c r="M657" s="3" t="s">
        <v>28</v>
      </c>
      <c r="N657" s="3" t="s">
        <v>28</v>
      </c>
      <c r="O657" s="3" t="s">
        <v>27</v>
      </c>
      <c r="P657" s="3" t="s">
        <v>28</v>
      </c>
      <c r="Q657" s="3" t="s">
        <v>28</v>
      </c>
      <c r="R657" s="3" t="s">
        <v>28</v>
      </c>
      <c r="S657" s="3" t="s">
        <v>28</v>
      </c>
      <c r="T657" s="3" t="s">
        <v>28</v>
      </c>
    </row>
    <row r="658" spans="1:20" ht="290.25">
      <c r="A658" s="3">
        <v>2749153</v>
      </c>
      <c r="B658" s="3">
        <f>HYPERLINK("https://platform.v2.vetology.net/cases/2749153/screening-report/6?type=pdf&amp;v=v6&amp;scorecard=1&amp;secret_key=BX%25IJ%24%2F65ieZ%29f6", 2749153)</f>
        <v>2749153</v>
      </c>
      <c r="C658" s="3">
        <f>HYPERLINK("https://platform.v2.vetology.net/report/v/final/"&amp;2749153, 2749153)</f>
        <v>2749153</v>
      </c>
      <c r="D658" s="3" t="s">
        <v>2640</v>
      </c>
      <c r="E658" s="3" t="s">
        <v>2641</v>
      </c>
      <c r="F658" s="3" t="s">
        <v>2642</v>
      </c>
      <c r="G658" s="3" t="s">
        <v>100</v>
      </c>
      <c r="H658" s="3" t="s">
        <v>2643</v>
      </c>
      <c r="I658" s="3" t="s">
        <v>952</v>
      </c>
      <c r="J658" s="3" t="s">
        <v>953</v>
      </c>
      <c r="K658" s="3" t="s">
        <v>28</v>
      </c>
      <c r="L658" s="3" t="s">
        <v>28</v>
      </c>
      <c r="M658" s="3" t="s">
        <v>27</v>
      </c>
      <c r="N658" s="3" t="s">
        <v>28</v>
      </c>
      <c r="O658" s="3" t="s">
        <v>27</v>
      </c>
      <c r="P658" s="3" t="s">
        <v>27</v>
      </c>
      <c r="Q658" s="3" t="s">
        <v>28</v>
      </c>
      <c r="R658" s="3" t="s">
        <v>28</v>
      </c>
      <c r="S658" s="3" t="s">
        <v>28</v>
      </c>
      <c r="T658" s="3" t="s">
        <v>27</v>
      </c>
    </row>
    <row r="659" spans="1:20" ht="275.25">
      <c r="A659" s="3">
        <v>2749091</v>
      </c>
      <c r="B659" s="3">
        <f>HYPERLINK("https://platform.v2.vetology.net/cases/2749091/screening-report/6?type=pdf&amp;v=v6&amp;scorecard=1&amp;secret_key=BX%25IJ%24%2F65ieZ%29f6", 2749091)</f>
        <v>2749091</v>
      </c>
      <c r="C659" s="3">
        <f>HYPERLINK("https://platform.v2.vetology.net/report/v/final/"&amp;2749091, 2749091)</f>
        <v>2749091</v>
      </c>
      <c r="D659" s="3" t="s">
        <v>2644</v>
      </c>
      <c r="E659" s="3" t="s">
        <v>2645</v>
      </c>
      <c r="F659" s="3"/>
      <c r="G659" s="3" t="s">
        <v>122</v>
      </c>
      <c r="H659" s="3" t="s">
        <v>590</v>
      </c>
      <c r="I659" s="3" t="s">
        <v>291</v>
      </c>
      <c r="J659" s="3" t="s">
        <v>225</v>
      </c>
      <c r="K659" s="3" t="s">
        <v>27</v>
      </c>
      <c r="L659" s="3" t="s">
        <v>27</v>
      </c>
      <c r="M659" s="3" t="s">
        <v>28</v>
      </c>
      <c r="N659" s="3" t="s">
        <v>28</v>
      </c>
      <c r="O659" s="3" t="s">
        <v>27</v>
      </c>
      <c r="P659" s="3" t="s">
        <v>28</v>
      </c>
      <c r="Q659" s="3" t="s">
        <v>28</v>
      </c>
      <c r="R659" s="3" t="s">
        <v>28</v>
      </c>
      <c r="S659" s="3" t="s">
        <v>27</v>
      </c>
      <c r="T659" s="3" t="s">
        <v>27</v>
      </c>
    </row>
    <row r="660" spans="1:20" ht="396.75">
      <c r="A660" s="3">
        <v>2749050</v>
      </c>
      <c r="B660" s="3">
        <f>HYPERLINK("https://platform.v2.vetology.net/cases/2749050/screening-report/6?type=pdf&amp;v=v6&amp;scorecard=1&amp;secret_key=BX%25IJ%24%2F65ieZ%29f6", 2749050)</f>
        <v>2749050</v>
      </c>
      <c r="C660" s="3">
        <f>HYPERLINK("https://platform.v2.vetology.net/report/v/final/"&amp;2749050, 2749050)</f>
        <v>2749050</v>
      </c>
      <c r="D660" s="3" t="s">
        <v>2646</v>
      </c>
      <c r="E660" s="3" t="s">
        <v>2647</v>
      </c>
      <c r="F660" s="3" t="s">
        <v>2648</v>
      </c>
      <c r="G660" s="3" t="s">
        <v>179</v>
      </c>
      <c r="H660" s="3" t="s">
        <v>2514</v>
      </c>
      <c r="I660" s="3" t="s">
        <v>596</v>
      </c>
      <c r="J660" s="3" t="s">
        <v>597</v>
      </c>
      <c r="K660" s="3" t="s">
        <v>27</v>
      </c>
      <c r="L660" s="3" t="s">
        <v>28</v>
      </c>
      <c r="M660" s="3" t="s">
        <v>28</v>
      </c>
      <c r="N660" s="3" t="s">
        <v>27</v>
      </c>
      <c r="O660" s="3" t="s">
        <v>27</v>
      </c>
      <c r="P660" s="3" t="s">
        <v>28</v>
      </c>
      <c r="Q660" s="3" t="s">
        <v>28</v>
      </c>
      <c r="R660" s="3" t="s">
        <v>27</v>
      </c>
      <c r="S660" s="3" t="s">
        <v>28</v>
      </c>
      <c r="T660" s="3" t="s">
        <v>27</v>
      </c>
    </row>
    <row r="661" spans="1:20" ht="275.25">
      <c r="A661" s="3">
        <v>2749010</v>
      </c>
      <c r="B661" s="3">
        <f>HYPERLINK("https://platform.v2.vetology.net/cases/2749010/screening-report/6?type=pdf&amp;v=v6&amp;scorecard=1&amp;secret_key=BX%25IJ%24%2F65ieZ%29f6", 2749010)</f>
        <v>2749010</v>
      </c>
      <c r="C661" s="3">
        <f>HYPERLINK("https://platform.v2.vetology.net/report/v/final/"&amp;2749010, 2749010)</f>
        <v>2749010</v>
      </c>
      <c r="D661" s="3" t="s">
        <v>2649</v>
      </c>
      <c r="E661" s="3" t="s">
        <v>2650</v>
      </c>
      <c r="F661" s="3" t="s">
        <v>2651</v>
      </c>
      <c r="G661" s="3" t="s">
        <v>186</v>
      </c>
      <c r="H661" s="3" t="s">
        <v>31</v>
      </c>
      <c r="I661" s="3" t="s">
        <v>32</v>
      </c>
      <c r="J661" s="3" t="s">
        <v>119</v>
      </c>
      <c r="K661" s="3" t="s">
        <v>28</v>
      </c>
      <c r="L661" s="3" t="s">
        <v>28</v>
      </c>
      <c r="M661" s="3" t="s">
        <v>28</v>
      </c>
      <c r="N661" s="3" t="s">
        <v>28</v>
      </c>
      <c r="O661" s="3" t="s">
        <v>28</v>
      </c>
      <c r="P661" s="3" t="s">
        <v>28</v>
      </c>
      <c r="Q661" s="3" t="s">
        <v>28</v>
      </c>
      <c r="R661" s="3" t="s">
        <v>28</v>
      </c>
      <c r="S661" s="3" t="s">
        <v>28</v>
      </c>
      <c r="T661" s="3" t="s">
        <v>28</v>
      </c>
    </row>
    <row r="662" spans="1:20" ht="409.6">
      <c r="A662" s="3">
        <v>2748981</v>
      </c>
      <c r="B662" s="3">
        <f>HYPERLINK("https://platform.v2.vetology.net/cases/2748981/screening-report/6?type=pdf&amp;v=v6&amp;scorecard=1&amp;secret_key=BX%25IJ%24%2F65ieZ%29f6", 2748981)</f>
        <v>2748981</v>
      </c>
      <c r="C662" s="3">
        <f>HYPERLINK("https://platform.v2.vetology.net/report/v/final/"&amp;2748981, 2748981)</f>
        <v>2748981</v>
      </c>
      <c r="D662" s="3" t="s">
        <v>2652</v>
      </c>
      <c r="E662" s="3" t="s">
        <v>2653</v>
      </c>
      <c r="F662" s="3" t="s">
        <v>2654</v>
      </c>
      <c r="G662" s="3" t="s">
        <v>64</v>
      </c>
      <c r="H662" s="3" t="s">
        <v>2655</v>
      </c>
      <c r="I662" s="3" t="s">
        <v>37</v>
      </c>
      <c r="J662" s="3" t="s">
        <v>38</v>
      </c>
      <c r="K662" s="3" t="s">
        <v>27</v>
      </c>
      <c r="L662" s="3" t="s">
        <v>28</v>
      </c>
      <c r="M662" s="3" t="s">
        <v>27</v>
      </c>
      <c r="N662" s="3" t="s">
        <v>28</v>
      </c>
      <c r="O662" s="3" t="s">
        <v>27</v>
      </c>
      <c r="P662" s="3" t="s">
        <v>28</v>
      </c>
      <c r="Q662" s="3" t="s">
        <v>28</v>
      </c>
      <c r="R662" s="3" t="s">
        <v>28</v>
      </c>
      <c r="S662" s="3" t="s">
        <v>28</v>
      </c>
      <c r="T662" s="3" t="s">
        <v>28</v>
      </c>
    </row>
    <row r="663" spans="1:20" ht="409.6">
      <c r="A663" s="3">
        <v>2748849</v>
      </c>
      <c r="B663" s="3">
        <f>HYPERLINK("https://platform.v2.vetology.net/cases/2748849/screening-report/6?type=pdf&amp;v=v6&amp;scorecard=1&amp;secret_key=BX%25IJ%24%2F65ieZ%29f6", 2748849)</f>
        <v>2748849</v>
      </c>
      <c r="C663" s="3">
        <f>HYPERLINK("https://platform.v2.vetology.net/report/v/final/"&amp;2748849, 2748849)</f>
        <v>2748849</v>
      </c>
      <c r="D663" s="3" t="s">
        <v>2656</v>
      </c>
      <c r="E663" s="3" t="s">
        <v>2657</v>
      </c>
      <c r="F663" s="3" t="s">
        <v>2658</v>
      </c>
      <c r="G663" s="3" t="s">
        <v>211</v>
      </c>
      <c r="H663" s="3" t="s">
        <v>2659</v>
      </c>
      <c r="I663" s="3" t="s">
        <v>484</v>
      </c>
      <c r="J663" s="3" t="s">
        <v>53</v>
      </c>
      <c r="K663" s="3" t="s">
        <v>28</v>
      </c>
      <c r="L663" s="3" t="s">
        <v>28</v>
      </c>
      <c r="M663" s="3" t="s">
        <v>28</v>
      </c>
      <c r="N663" s="3" t="s">
        <v>28</v>
      </c>
      <c r="O663" s="3" t="s">
        <v>27</v>
      </c>
      <c r="P663" s="3" t="s">
        <v>28</v>
      </c>
      <c r="Q663" s="3" t="s">
        <v>27</v>
      </c>
      <c r="R663" s="3" t="s">
        <v>28</v>
      </c>
      <c r="S663" s="3" t="s">
        <v>28</v>
      </c>
      <c r="T663" s="3" t="s">
        <v>28</v>
      </c>
    </row>
    <row r="664" spans="1:20" ht="336">
      <c r="A664" s="3">
        <v>2748837</v>
      </c>
      <c r="B664" s="3">
        <f>HYPERLINK("https://platform.v2.vetology.net/cases/2748837/screening-report/6?type=pdf&amp;v=v6&amp;scorecard=1&amp;secret_key=BX%25IJ%24%2F65ieZ%29f6", 2748837)</f>
        <v>2748837</v>
      </c>
      <c r="C664" s="3">
        <f>HYPERLINK("https://platform.v2.vetology.net/report/v/final/"&amp;2748837, 2748837)</f>
        <v>2748837</v>
      </c>
      <c r="D664" s="3" t="s">
        <v>2660</v>
      </c>
      <c r="E664" s="3" t="s">
        <v>2661</v>
      </c>
      <c r="F664" s="3" t="s">
        <v>2662</v>
      </c>
      <c r="G664" s="3" t="s">
        <v>179</v>
      </c>
      <c r="H664" s="3" t="s">
        <v>2663</v>
      </c>
      <c r="I664" s="3" t="s">
        <v>25</v>
      </c>
      <c r="J664" s="3" t="s">
        <v>26</v>
      </c>
      <c r="K664" s="3" t="s">
        <v>28</v>
      </c>
      <c r="L664" s="3" t="s">
        <v>28</v>
      </c>
      <c r="M664" s="3" t="s">
        <v>28</v>
      </c>
      <c r="N664" s="3" t="s">
        <v>28</v>
      </c>
      <c r="O664" s="3" t="s">
        <v>27</v>
      </c>
      <c r="P664" s="3" t="s">
        <v>28</v>
      </c>
      <c r="Q664" s="3" t="s">
        <v>27</v>
      </c>
      <c r="R664" s="3" t="s">
        <v>28</v>
      </c>
      <c r="S664" s="3" t="s">
        <v>28</v>
      </c>
      <c r="T664" s="3" t="s">
        <v>28</v>
      </c>
    </row>
    <row r="665" spans="1:20" ht="409.6">
      <c r="A665" s="3">
        <v>2748835</v>
      </c>
      <c r="B665" s="3">
        <f>HYPERLINK("https://platform.v2.vetology.net/cases/2748835/screening-report/6?type=pdf&amp;v=v6&amp;scorecard=1&amp;secret_key=BX%25IJ%24%2F65ieZ%29f6", 2748835)</f>
        <v>2748835</v>
      </c>
      <c r="C665" s="3">
        <f>HYPERLINK("https://platform.v2.vetology.net/report/v/final/"&amp;2748835, 2748835)</f>
        <v>2748835</v>
      </c>
      <c r="D665" s="3" t="s">
        <v>2664</v>
      </c>
      <c r="E665" s="3" t="s">
        <v>2665</v>
      </c>
      <c r="F665" s="3" t="s">
        <v>2666</v>
      </c>
      <c r="G665" s="3" t="s">
        <v>64</v>
      </c>
      <c r="H665" s="3" t="s">
        <v>2667</v>
      </c>
      <c r="I665" s="3" t="s">
        <v>2668</v>
      </c>
      <c r="J665" s="3" t="s">
        <v>2669</v>
      </c>
      <c r="K665" s="3" t="s">
        <v>28</v>
      </c>
      <c r="L665" s="3" t="s">
        <v>27</v>
      </c>
      <c r="M665" s="3" t="s">
        <v>28</v>
      </c>
      <c r="N665" s="3" t="s">
        <v>27</v>
      </c>
      <c r="O665" s="3" t="s">
        <v>27</v>
      </c>
      <c r="P665" s="3" t="s">
        <v>28</v>
      </c>
      <c r="Q665" s="3" t="s">
        <v>27</v>
      </c>
      <c r="R665" s="3" t="s">
        <v>27</v>
      </c>
      <c r="S665" s="3" t="s">
        <v>27</v>
      </c>
      <c r="T665" s="3" t="s">
        <v>27</v>
      </c>
    </row>
    <row r="666" spans="1:20" ht="381.75">
      <c r="A666" s="3">
        <v>2748821</v>
      </c>
      <c r="B666" s="3">
        <f>HYPERLINK("https://platform.v2.vetology.net/cases/2748821/screening-report/6?type=pdf&amp;v=v6&amp;scorecard=1&amp;secret_key=BX%25IJ%24%2F65ieZ%29f6", 2748821)</f>
        <v>2748821</v>
      </c>
      <c r="C666" s="3">
        <f>HYPERLINK("https://platform.v2.vetology.net/report/v/final/"&amp;2748821, 2748821)</f>
        <v>2748821</v>
      </c>
      <c r="D666" s="3" t="s">
        <v>2670</v>
      </c>
      <c r="E666" s="3" t="s">
        <v>2671</v>
      </c>
      <c r="F666" s="3" t="s">
        <v>2672</v>
      </c>
      <c r="G666" s="3" t="s">
        <v>211</v>
      </c>
      <c r="H666" s="3" t="s">
        <v>1714</v>
      </c>
      <c r="I666" s="3" t="s">
        <v>561</v>
      </c>
      <c r="J666" s="3" t="s">
        <v>562</v>
      </c>
      <c r="K666" s="3" t="s">
        <v>28</v>
      </c>
      <c r="L666" s="3" t="s">
        <v>28</v>
      </c>
      <c r="M666" s="3" t="s">
        <v>28</v>
      </c>
      <c r="N666" s="3" t="s">
        <v>28</v>
      </c>
      <c r="O666" s="3" t="s">
        <v>27</v>
      </c>
      <c r="P666" s="3" t="s">
        <v>27</v>
      </c>
      <c r="Q666" s="3" t="s">
        <v>28</v>
      </c>
      <c r="R666" s="3" t="s">
        <v>28</v>
      </c>
      <c r="S666" s="3" t="s">
        <v>28</v>
      </c>
      <c r="T666" s="3" t="s">
        <v>27</v>
      </c>
    </row>
    <row r="667" spans="1:20" ht="275.25">
      <c r="A667" s="3">
        <v>2748779</v>
      </c>
      <c r="B667" s="3">
        <f>HYPERLINK("https://platform.v2.vetology.net/cases/2748779/screening-report/6?type=pdf&amp;v=v6&amp;scorecard=1&amp;secret_key=BX%25IJ%24%2F65ieZ%29f6", 2748779)</f>
        <v>2748779</v>
      </c>
      <c r="C667" s="3">
        <f>HYPERLINK("https://platform.v2.vetology.net/report/v/final/"&amp;2748779, 2748779)</f>
        <v>2748779</v>
      </c>
      <c r="D667" s="3" t="s">
        <v>2673</v>
      </c>
      <c r="E667" s="3" t="s">
        <v>2674</v>
      </c>
      <c r="F667" s="3" t="s">
        <v>2675</v>
      </c>
      <c r="G667" s="3" t="s">
        <v>64</v>
      </c>
      <c r="H667" s="3" t="s">
        <v>31</v>
      </c>
      <c r="I667" s="3" t="s">
        <v>129</v>
      </c>
      <c r="J667" s="3" t="s">
        <v>119</v>
      </c>
      <c r="K667" s="3" t="s">
        <v>28</v>
      </c>
      <c r="L667" s="3" t="s">
        <v>28</v>
      </c>
      <c r="M667" s="3" t="s">
        <v>28</v>
      </c>
      <c r="N667" s="3" t="s">
        <v>28</v>
      </c>
      <c r="O667" s="3" t="s">
        <v>27</v>
      </c>
      <c r="P667" s="3" t="s">
        <v>28</v>
      </c>
      <c r="Q667" s="3" t="s">
        <v>28</v>
      </c>
      <c r="R667" s="3" t="s">
        <v>28</v>
      </c>
      <c r="S667" s="3" t="s">
        <v>28</v>
      </c>
      <c r="T667" s="3" t="s">
        <v>28</v>
      </c>
    </row>
    <row r="668" spans="1:20" ht="244.5">
      <c r="A668" s="3">
        <v>2748756</v>
      </c>
      <c r="B668" s="3">
        <f>HYPERLINK("https://platform.v2.vetology.net/cases/2748756/screening-report/6?type=pdf&amp;v=v6&amp;scorecard=1&amp;secret_key=BX%25IJ%24%2F65ieZ%29f6", 2748756)</f>
        <v>2748756</v>
      </c>
      <c r="C668" s="3">
        <f>HYPERLINK("https://platform.v2.vetology.net/report/v/final/"&amp;2748756, 2748756)</f>
        <v>2748756</v>
      </c>
      <c r="D668" s="3" t="s">
        <v>2676</v>
      </c>
      <c r="E668" s="3" t="s">
        <v>2677</v>
      </c>
      <c r="F668" s="3" t="s">
        <v>2678</v>
      </c>
      <c r="G668" s="3" t="s">
        <v>179</v>
      </c>
      <c r="H668" s="3" t="s">
        <v>2679</v>
      </c>
      <c r="I668" s="3" t="s">
        <v>1660</v>
      </c>
      <c r="J668" s="3" t="s">
        <v>207</v>
      </c>
      <c r="K668" s="3" t="s">
        <v>27</v>
      </c>
      <c r="L668" s="3" t="s">
        <v>28</v>
      </c>
      <c r="M668" s="3" t="s">
        <v>27</v>
      </c>
      <c r="N668" s="3" t="s">
        <v>28</v>
      </c>
      <c r="O668" s="3" t="s">
        <v>27</v>
      </c>
      <c r="P668" s="3" t="s">
        <v>28</v>
      </c>
      <c r="Q668" s="3" t="s">
        <v>28</v>
      </c>
      <c r="R668" s="3" t="s">
        <v>28</v>
      </c>
      <c r="S668" s="3" t="s">
        <v>28</v>
      </c>
      <c r="T668" s="3" t="s">
        <v>28</v>
      </c>
    </row>
    <row r="669" spans="1:20" ht="396.75">
      <c r="A669" s="3">
        <v>2748751</v>
      </c>
      <c r="B669" s="3">
        <f>HYPERLINK("https://platform.v2.vetology.net/cases/2748751/screening-report/6?type=pdf&amp;v=v6&amp;scorecard=1&amp;secret_key=BX%25IJ%24%2F65ieZ%29f6", 2748751)</f>
        <v>2748751</v>
      </c>
      <c r="C669" s="3">
        <f>HYPERLINK("https://platform.v2.vetology.net/report/v/final/"&amp;2748751, 2748751)</f>
        <v>2748751</v>
      </c>
      <c r="D669" s="3" t="s">
        <v>2680</v>
      </c>
      <c r="E669" s="3" t="s">
        <v>2681</v>
      </c>
      <c r="F669" s="3" t="s">
        <v>2682</v>
      </c>
      <c r="G669" s="3" t="s">
        <v>100</v>
      </c>
      <c r="H669" s="3" t="s">
        <v>1326</v>
      </c>
      <c r="I669" s="3" t="s">
        <v>351</v>
      </c>
      <c r="J669" s="3" t="s">
        <v>352</v>
      </c>
      <c r="K669" s="3" t="s">
        <v>28</v>
      </c>
      <c r="L669" s="3" t="s">
        <v>28</v>
      </c>
      <c r="M669" s="3" t="s">
        <v>28</v>
      </c>
      <c r="N669" s="3" t="s">
        <v>28</v>
      </c>
      <c r="O669" s="3" t="s">
        <v>27</v>
      </c>
      <c r="P669" s="3" t="s">
        <v>28</v>
      </c>
      <c r="Q669" s="3" t="s">
        <v>28</v>
      </c>
      <c r="R669" s="3" t="s">
        <v>28</v>
      </c>
      <c r="S669" s="3" t="s">
        <v>28</v>
      </c>
      <c r="T669" s="3" t="s">
        <v>27</v>
      </c>
    </row>
    <row r="670" spans="1:20" ht="409.6">
      <c r="A670" s="3">
        <v>2748727</v>
      </c>
      <c r="B670" s="3">
        <f>HYPERLINK("https://platform.v2.vetology.net/cases/2748727/screening-report/6?type=pdf&amp;v=v6&amp;scorecard=1&amp;secret_key=BX%25IJ%24%2F65ieZ%29f6", 2748727)</f>
        <v>2748727</v>
      </c>
      <c r="C670" s="3">
        <f>HYPERLINK("https://platform.v2.vetology.net/report/v/final/"&amp;2748727, 2748727)</f>
        <v>2748727</v>
      </c>
      <c r="D670" s="3" t="s">
        <v>2683</v>
      </c>
      <c r="E670" s="3" t="s">
        <v>2684</v>
      </c>
      <c r="F670" s="3" t="s">
        <v>22</v>
      </c>
      <c r="G670" s="3" t="s">
        <v>100</v>
      </c>
      <c r="H670" s="3" t="s">
        <v>2685</v>
      </c>
      <c r="I670" s="3" t="s">
        <v>2686</v>
      </c>
      <c r="J670" s="3" t="s">
        <v>2687</v>
      </c>
      <c r="K670" s="3" t="s">
        <v>28</v>
      </c>
      <c r="L670" s="3" t="s">
        <v>27</v>
      </c>
      <c r="M670" s="3" t="s">
        <v>27</v>
      </c>
      <c r="N670" s="3" t="s">
        <v>27</v>
      </c>
      <c r="O670" s="3" t="s">
        <v>27</v>
      </c>
      <c r="P670" s="3" t="s">
        <v>28</v>
      </c>
      <c r="Q670" s="3" t="s">
        <v>28</v>
      </c>
      <c r="R670" s="3" t="s">
        <v>27</v>
      </c>
      <c r="S670" s="3" t="s">
        <v>27</v>
      </c>
      <c r="T670" s="3" t="s">
        <v>27</v>
      </c>
    </row>
    <row r="671" spans="1:20" ht="409.6">
      <c r="A671" s="3">
        <v>2748710</v>
      </c>
      <c r="B671" s="3">
        <f>HYPERLINK("https://platform.v2.vetology.net/cases/2748710/screening-report/6?type=pdf&amp;v=v6&amp;scorecard=1&amp;secret_key=BX%25IJ%24%2F65ieZ%29f6", 2748710)</f>
        <v>2748710</v>
      </c>
      <c r="C671" s="3">
        <f>HYPERLINK("https://platform.v2.vetology.net/report/v/final/"&amp;2748710, 2748710)</f>
        <v>2748710</v>
      </c>
      <c r="D671" s="3" t="s">
        <v>2688</v>
      </c>
      <c r="E671" s="3" t="s">
        <v>531</v>
      </c>
      <c r="F671" s="3" t="s">
        <v>2689</v>
      </c>
      <c r="G671" s="3" t="s">
        <v>211</v>
      </c>
      <c r="H671" s="3" t="s">
        <v>2690</v>
      </c>
      <c r="I671" s="3" t="s">
        <v>1978</v>
      </c>
      <c r="J671" s="3" t="s">
        <v>1979</v>
      </c>
      <c r="K671" s="3" t="s">
        <v>27</v>
      </c>
      <c r="L671" s="3" t="s">
        <v>28</v>
      </c>
      <c r="M671" s="3" t="s">
        <v>28</v>
      </c>
      <c r="N671" s="3" t="s">
        <v>27</v>
      </c>
      <c r="O671" s="3" t="s">
        <v>28</v>
      </c>
      <c r="P671" s="3" t="s">
        <v>28</v>
      </c>
      <c r="Q671" s="3" t="s">
        <v>28</v>
      </c>
      <c r="R671" s="3" t="s">
        <v>27</v>
      </c>
      <c r="S671" s="3" t="s">
        <v>27</v>
      </c>
      <c r="T671" s="3" t="s">
        <v>27</v>
      </c>
    </row>
    <row r="672" spans="1:20" ht="409.6">
      <c r="A672" s="3">
        <v>2748687</v>
      </c>
      <c r="B672" s="3">
        <f>HYPERLINK("https://platform.v2.vetology.net/cases/2748687/screening-report/6?type=pdf&amp;v=v6&amp;scorecard=1&amp;secret_key=BX%25IJ%24%2F65ieZ%29f6", 2748687)</f>
        <v>2748687</v>
      </c>
      <c r="C672" s="3">
        <f>HYPERLINK("https://platform.v2.vetology.net/report/v/final/"&amp;2748687, 2748687)</f>
        <v>2748687</v>
      </c>
      <c r="D672" s="3" t="s">
        <v>2691</v>
      </c>
      <c r="E672" s="3" t="s">
        <v>2692</v>
      </c>
      <c r="F672" s="3" t="s">
        <v>99</v>
      </c>
      <c r="G672" s="3" t="s">
        <v>100</v>
      </c>
      <c r="H672" s="3" t="s">
        <v>2693</v>
      </c>
      <c r="I672" s="3" t="s">
        <v>2694</v>
      </c>
      <c r="J672" s="3" t="s">
        <v>2695</v>
      </c>
      <c r="K672" s="3" t="s">
        <v>27</v>
      </c>
      <c r="L672" s="3" t="s">
        <v>27</v>
      </c>
      <c r="M672" s="3" t="s">
        <v>27</v>
      </c>
      <c r="N672" s="3" t="s">
        <v>27</v>
      </c>
      <c r="O672" s="3" t="s">
        <v>27</v>
      </c>
      <c r="P672" s="3" t="s">
        <v>28</v>
      </c>
      <c r="Q672" s="3" t="s">
        <v>27</v>
      </c>
      <c r="R672" s="3" t="s">
        <v>27</v>
      </c>
      <c r="S672" s="3" t="s">
        <v>27</v>
      </c>
      <c r="T672" s="3" t="s">
        <v>28</v>
      </c>
    </row>
    <row r="673" spans="1:20" ht="259.5">
      <c r="A673" s="3">
        <v>2748656</v>
      </c>
      <c r="B673" s="3">
        <f>HYPERLINK("https://platform.v2.vetology.net/cases/2748656/screening-report/6?type=pdf&amp;v=v6&amp;scorecard=1&amp;secret_key=BX%25IJ%24%2F65ieZ%29f6", 2748656)</f>
        <v>2748656</v>
      </c>
      <c r="C673" s="3">
        <f>HYPERLINK("https://platform.v2.vetology.net/report/v/final/"&amp;2748656, 2748656)</f>
        <v>2748656</v>
      </c>
      <c r="D673" s="3" t="s">
        <v>2696</v>
      </c>
      <c r="E673" s="3" t="s">
        <v>2697</v>
      </c>
      <c r="F673" s="3" t="s">
        <v>2698</v>
      </c>
      <c r="G673" s="3" t="s">
        <v>211</v>
      </c>
      <c r="H673" s="3" t="s">
        <v>158</v>
      </c>
      <c r="I673" s="3" t="s">
        <v>32</v>
      </c>
      <c r="J673" s="3" t="s">
        <v>119</v>
      </c>
      <c r="K673" s="3" t="s">
        <v>28</v>
      </c>
      <c r="L673" s="3" t="s">
        <v>28</v>
      </c>
      <c r="M673" s="3" t="s">
        <v>28</v>
      </c>
      <c r="N673" s="3" t="s">
        <v>28</v>
      </c>
      <c r="O673" s="3" t="s">
        <v>28</v>
      </c>
      <c r="P673" s="3" t="s">
        <v>28</v>
      </c>
      <c r="Q673" s="3" t="s">
        <v>28</v>
      </c>
      <c r="R673" s="3" t="s">
        <v>28</v>
      </c>
      <c r="S673" s="3" t="s">
        <v>28</v>
      </c>
      <c r="T673" s="3" t="s">
        <v>28</v>
      </c>
    </row>
    <row r="674" spans="1:20" ht="409.6">
      <c r="A674" s="3">
        <v>2748603</v>
      </c>
      <c r="B674" s="3">
        <f>HYPERLINK("https://platform.v2.vetology.net/cases/2748603/screening-report/6?type=pdf&amp;v=v6&amp;scorecard=1&amp;secret_key=BX%25IJ%24%2F65ieZ%29f6", 2748603)</f>
        <v>2748603</v>
      </c>
      <c r="C674" s="3">
        <f>HYPERLINK("https://platform.v2.vetology.net/report/v/final/"&amp;2748603, 2748603)</f>
        <v>2748603</v>
      </c>
      <c r="D674" s="3" t="s">
        <v>2699</v>
      </c>
      <c r="E674" s="3" t="s">
        <v>2700</v>
      </c>
      <c r="F674" s="3" t="s">
        <v>2701</v>
      </c>
      <c r="G674" s="3" t="s">
        <v>211</v>
      </c>
      <c r="H674" s="3" t="s">
        <v>2702</v>
      </c>
      <c r="I674" s="3" t="s">
        <v>59</v>
      </c>
      <c r="J674" s="3" t="s">
        <v>60</v>
      </c>
      <c r="K674" s="3" t="s">
        <v>28</v>
      </c>
      <c r="L674" s="3" t="s">
        <v>28</v>
      </c>
      <c r="M674" s="3" t="s">
        <v>28</v>
      </c>
      <c r="N674" s="3" t="s">
        <v>28</v>
      </c>
      <c r="O674" s="3" t="s">
        <v>28</v>
      </c>
      <c r="P674" s="3" t="s">
        <v>28</v>
      </c>
      <c r="Q674" s="3" t="s">
        <v>28</v>
      </c>
      <c r="R674" s="3" t="s">
        <v>28</v>
      </c>
      <c r="S674" s="3" t="s">
        <v>28</v>
      </c>
      <c r="T674" s="3" t="s">
        <v>27</v>
      </c>
    </row>
    <row r="675" spans="1:20" ht="305.25">
      <c r="A675" s="3">
        <v>2748550</v>
      </c>
      <c r="B675" s="3">
        <f>HYPERLINK("https://platform.v2.vetology.net/cases/2748550/screening-report/6?type=pdf&amp;v=v6&amp;scorecard=1&amp;secret_key=BX%25IJ%24%2F65ieZ%29f6", 2748550)</f>
        <v>2748550</v>
      </c>
      <c r="C675" s="3">
        <f>HYPERLINK("https://platform.v2.vetology.net/report/v/final/"&amp;2748550, 2748550)</f>
        <v>2748550</v>
      </c>
      <c r="D675" s="3" t="s">
        <v>2703</v>
      </c>
      <c r="E675" s="3" t="s">
        <v>2704</v>
      </c>
      <c r="F675" s="3"/>
      <c r="G675" s="3" t="s">
        <v>100</v>
      </c>
      <c r="H675" s="3" t="s">
        <v>2705</v>
      </c>
      <c r="I675" s="3" t="s">
        <v>464</v>
      </c>
      <c r="J675" s="3" t="s">
        <v>688</v>
      </c>
      <c r="K675" s="3" t="s">
        <v>27</v>
      </c>
      <c r="L675" s="3" t="s">
        <v>28</v>
      </c>
      <c r="M675" s="3" t="s">
        <v>28</v>
      </c>
      <c r="N675" s="3" t="s">
        <v>28</v>
      </c>
      <c r="O675" s="3" t="s">
        <v>28</v>
      </c>
      <c r="P675" s="3" t="s">
        <v>28</v>
      </c>
      <c r="Q675" s="3" t="s">
        <v>28</v>
      </c>
      <c r="R675" s="3" t="s">
        <v>28</v>
      </c>
      <c r="S675" s="3" t="s">
        <v>28</v>
      </c>
      <c r="T675" s="3" t="s">
        <v>28</v>
      </c>
    </row>
    <row r="676" spans="1:20" ht="321">
      <c r="A676" s="3">
        <v>2748432</v>
      </c>
      <c r="B676" s="3">
        <f>HYPERLINK("https://platform.v2.vetology.net/cases/2748432/screening-report/6?type=pdf&amp;v=v6&amp;scorecard=1&amp;secret_key=BX%25IJ%24%2F65ieZ%29f6", 2748432)</f>
        <v>2748432</v>
      </c>
      <c r="C676" s="3">
        <f>HYPERLINK("https://platform.v2.vetology.net/report/v/final/"&amp;2748432, 2748432)</f>
        <v>2748432</v>
      </c>
      <c r="D676" s="3" t="s">
        <v>2706</v>
      </c>
      <c r="E676" s="3" t="s">
        <v>2707</v>
      </c>
      <c r="F676" s="3" t="s">
        <v>2708</v>
      </c>
      <c r="G676" s="3" t="s">
        <v>372</v>
      </c>
      <c r="H676" s="3" t="s">
        <v>2709</v>
      </c>
      <c r="I676" s="3" t="s">
        <v>1082</v>
      </c>
      <c r="J676" s="3" t="s">
        <v>1083</v>
      </c>
      <c r="K676" s="3" t="s">
        <v>27</v>
      </c>
      <c r="L676" s="3" t="s">
        <v>28</v>
      </c>
      <c r="M676" s="3" t="s">
        <v>28</v>
      </c>
      <c r="N676" s="3" t="s">
        <v>28</v>
      </c>
      <c r="O676" s="3" t="s">
        <v>27</v>
      </c>
      <c r="P676" s="3" t="s">
        <v>28</v>
      </c>
      <c r="Q676" s="3" t="s">
        <v>28</v>
      </c>
      <c r="R676" s="3" t="s">
        <v>28</v>
      </c>
      <c r="S676" s="3" t="s">
        <v>28</v>
      </c>
      <c r="T676" s="3" t="s">
        <v>27</v>
      </c>
    </row>
    <row r="677" spans="1:20" ht="409.6">
      <c r="A677" s="3">
        <v>2747329</v>
      </c>
      <c r="B677" s="3">
        <f>HYPERLINK("https://platform.v2.vetology.net/cases/2747329/screening-report/6?type=pdf&amp;v=v6&amp;scorecard=1&amp;secret_key=BX%25IJ%24%2F65ieZ%29f6", 2747329)</f>
        <v>2747329</v>
      </c>
      <c r="C677" s="3">
        <f>HYPERLINK("https://platform.v2.vetology.net/report/v/final/"&amp;2747329, 2747329)</f>
        <v>2747329</v>
      </c>
      <c r="D677" s="3" t="s">
        <v>2710</v>
      </c>
      <c r="E677" s="3" t="s">
        <v>2711</v>
      </c>
      <c r="F677" s="3" t="s">
        <v>22</v>
      </c>
      <c r="G677" s="3" t="s">
        <v>372</v>
      </c>
      <c r="H677" s="3" t="s">
        <v>1478</v>
      </c>
      <c r="I677" s="3" t="s">
        <v>279</v>
      </c>
      <c r="J677" s="3" t="s">
        <v>280</v>
      </c>
      <c r="K677" s="3" t="s">
        <v>28</v>
      </c>
      <c r="L677" s="3" t="s">
        <v>28</v>
      </c>
      <c r="M677" s="3" t="s">
        <v>28</v>
      </c>
      <c r="N677" s="3" t="s">
        <v>28</v>
      </c>
      <c r="O677" s="3" t="s">
        <v>28</v>
      </c>
      <c r="P677" s="3" t="s">
        <v>28</v>
      </c>
      <c r="Q677" s="3" t="s">
        <v>28</v>
      </c>
      <c r="R677" s="3" t="s">
        <v>28</v>
      </c>
      <c r="S677" s="3" t="s">
        <v>28</v>
      </c>
      <c r="T677" s="3" t="s">
        <v>27</v>
      </c>
    </row>
    <row r="678" spans="1:20" ht="409.6">
      <c r="A678" s="3">
        <v>2747327</v>
      </c>
      <c r="B678" s="3">
        <f>HYPERLINK("https://platform.v2.vetology.net/cases/2747327/screening-report/6?type=pdf&amp;v=v6&amp;scorecard=1&amp;secret_key=BX%25IJ%24%2F65ieZ%29f6", 2747327)</f>
        <v>2747327</v>
      </c>
      <c r="C678" s="3">
        <f>HYPERLINK("https://platform.v2.vetology.net/report/v/final/"&amp;2747327, 2747327)</f>
        <v>2747327</v>
      </c>
      <c r="D678" s="3" t="s">
        <v>2712</v>
      </c>
      <c r="E678" s="3" t="s">
        <v>2713</v>
      </c>
      <c r="F678" s="3" t="s">
        <v>2714</v>
      </c>
      <c r="G678" s="3" t="s">
        <v>57</v>
      </c>
      <c r="H678" s="3" t="s">
        <v>2715</v>
      </c>
      <c r="I678" s="3" t="s">
        <v>310</v>
      </c>
      <c r="J678" s="3" t="s">
        <v>311</v>
      </c>
      <c r="K678" s="3" t="s">
        <v>28</v>
      </c>
      <c r="L678" s="3" t="s">
        <v>27</v>
      </c>
      <c r="M678" s="3" t="s">
        <v>28</v>
      </c>
      <c r="N678" s="3" t="s">
        <v>27</v>
      </c>
      <c r="O678" s="3" t="s">
        <v>27</v>
      </c>
      <c r="P678" s="3" t="s">
        <v>28</v>
      </c>
      <c r="Q678" s="3" t="s">
        <v>28</v>
      </c>
      <c r="R678" s="3" t="s">
        <v>27</v>
      </c>
      <c r="S678" s="3" t="s">
        <v>27</v>
      </c>
      <c r="T678" s="3" t="s">
        <v>27</v>
      </c>
    </row>
    <row r="679" spans="1:20" ht="275.25">
      <c r="A679" s="3">
        <v>2747319</v>
      </c>
      <c r="B679" s="3">
        <f>HYPERLINK("https://platform.v2.vetology.net/cases/2747319/screening-report/6?type=pdf&amp;v=v6&amp;scorecard=1&amp;secret_key=BX%25IJ%24%2F65ieZ%29f6", 2747319)</f>
        <v>2747319</v>
      </c>
      <c r="C679" s="3">
        <f>HYPERLINK("https://platform.v2.vetology.net/report/v/final/"&amp;2747319, 2747319)</f>
        <v>2747319</v>
      </c>
      <c r="D679" s="3" t="s">
        <v>2716</v>
      </c>
      <c r="E679" s="3" t="s">
        <v>2717</v>
      </c>
      <c r="F679" s="3" t="s">
        <v>2718</v>
      </c>
      <c r="G679" s="3" t="s">
        <v>211</v>
      </c>
      <c r="H679" s="3" t="s">
        <v>590</v>
      </c>
      <c r="I679" s="3" t="s">
        <v>291</v>
      </c>
      <c r="J679" s="3" t="s">
        <v>225</v>
      </c>
      <c r="K679" s="3" t="s">
        <v>28</v>
      </c>
      <c r="L679" s="3" t="s">
        <v>28</v>
      </c>
      <c r="M679" s="3" t="s">
        <v>28</v>
      </c>
      <c r="N679" s="3" t="s">
        <v>27</v>
      </c>
      <c r="O679" s="3" t="s">
        <v>27</v>
      </c>
      <c r="P679" s="3" t="s">
        <v>28</v>
      </c>
      <c r="Q679" s="3" t="s">
        <v>27</v>
      </c>
      <c r="R679" s="3" t="s">
        <v>28</v>
      </c>
      <c r="S679" s="3" t="s">
        <v>27</v>
      </c>
      <c r="T679" s="3" t="s">
        <v>27</v>
      </c>
    </row>
    <row r="680" spans="1:20" ht="409.6">
      <c r="A680" s="3">
        <v>2747295</v>
      </c>
      <c r="B680" s="3">
        <f>HYPERLINK("https://platform.v2.vetology.net/cases/2747295/screening-report/6?type=pdf&amp;v=v6&amp;scorecard=1&amp;secret_key=BX%25IJ%24%2F65ieZ%29f6", 2747295)</f>
        <v>2747295</v>
      </c>
      <c r="C680" s="3">
        <f>HYPERLINK("https://platform.v2.vetology.net/report/v/final/"&amp;2747295, 2747295)</f>
        <v>2747295</v>
      </c>
      <c r="D680" s="3" t="s">
        <v>2719</v>
      </c>
      <c r="E680" s="3" t="s">
        <v>2720</v>
      </c>
      <c r="F680" s="3" t="s">
        <v>22</v>
      </c>
      <c r="G680" s="3" t="s">
        <v>372</v>
      </c>
      <c r="H680" s="3" t="s">
        <v>2721</v>
      </c>
      <c r="I680" s="3" t="s">
        <v>310</v>
      </c>
      <c r="J680" s="3" t="s">
        <v>311</v>
      </c>
      <c r="K680" s="3" t="s">
        <v>28</v>
      </c>
      <c r="L680" s="3" t="s">
        <v>27</v>
      </c>
      <c r="M680" s="3" t="s">
        <v>28</v>
      </c>
      <c r="N680" s="3" t="s">
        <v>27</v>
      </c>
      <c r="O680" s="3" t="s">
        <v>27</v>
      </c>
      <c r="P680" s="3" t="s">
        <v>28</v>
      </c>
      <c r="Q680" s="3" t="s">
        <v>27</v>
      </c>
      <c r="R680" s="3" t="s">
        <v>27</v>
      </c>
      <c r="S680" s="3" t="s">
        <v>27</v>
      </c>
      <c r="T680" s="3" t="s">
        <v>27</v>
      </c>
    </row>
    <row r="681" spans="1:20" ht="396.75">
      <c r="A681" s="3">
        <v>2747280</v>
      </c>
      <c r="B681" s="3">
        <f>HYPERLINK("https://platform.v2.vetology.net/cases/2747280/screening-report/6?type=pdf&amp;v=v6&amp;scorecard=1&amp;secret_key=BX%25IJ%24%2F65ieZ%29f6", 2747280)</f>
        <v>2747280</v>
      </c>
      <c r="C681" s="3">
        <f>HYPERLINK("https://platform.v2.vetology.net/report/v/final/"&amp;2747280, 2747280)</f>
        <v>2747280</v>
      </c>
      <c r="D681" s="3" t="s">
        <v>2722</v>
      </c>
      <c r="E681" s="3" t="s">
        <v>2723</v>
      </c>
      <c r="F681" s="3" t="s">
        <v>2724</v>
      </c>
      <c r="G681" s="3" t="s">
        <v>57</v>
      </c>
      <c r="H681" s="3" t="s">
        <v>2725</v>
      </c>
      <c r="I681" s="3" t="s">
        <v>1901</v>
      </c>
      <c r="J681" s="3" t="s">
        <v>1902</v>
      </c>
      <c r="K681" s="3" t="s">
        <v>27</v>
      </c>
      <c r="L681" s="3" t="s">
        <v>27</v>
      </c>
      <c r="M681" s="3" t="s">
        <v>27</v>
      </c>
      <c r="N681" s="3" t="s">
        <v>28</v>
      </c>
      <c r="O681" s="3" t="s">
        <v>27</v>
      </c>
      <c r="P681" s="3" t="s">
        <v>27</v>
      </c>
      <c r="Q681" s="3" t="s">
        <v>27</v>
      </c>
      <c r="R681" s="3" t="s">
        <v>28</v>
      </c>
      <c r="S681" s="3" t="s">
        <v>28</v>
      </c>
      <c r="T681" s="3" t="s">
        <v>28</v>
      </c>
    </row>
    <row r="682" spans="1:20" ht="381.75">
      <c r="A682" s="3">
        <v>2747278</v>
      </c>
      <c r="B682" s="3">
        <f>HYPERLINK("https://platform.v2.vetology.net/cases/2747278/screening-report/6?type=pdf&amp;v=v6&amp;scorecard=1&amp;secret_key=BX%25IJ%24%2F65ieZ%29f6", 2747278)</f>
        <v>2747278</v>
      </c>
      <c r="C682" s="3">
        <f>HYPERLINK("https://platform.v2.vetology.net/report/v/final/"&amp;2747278, 2747278)</f>
        <v>2747278</v>
      </c>
      <c r="D682" s="3" t="s">
        <v>2726</v>
      </c>
      <c r="E682" s="3" t="s">
        <v>2727</v>
      </c>
      <c r="F682" s="3" t="s">
        <v>2728</v>
      </c>
      <c r="G682" s="3" t="s">
        <v>23</v>
      </c>
      <c r="H682" s="3" t="s">
        <v>2655</v>
      </c>
      <c r="I682" s="3" t="s">
        <v>37</v>
      </c>
      <c r="J682" s="3" t="s">
        <v>38</v>
      </c>
      <c r="K682" s="3" t="s">
        <v>28</v>
      </c>
      <c r="L682" s="3" t="s">
        <v>28</v>
      </c>
      <c r="M682" s="3" t="s">
        <v>28</v>
      </c>
      <c r="N682" s="3" t="s">
        <v>28</v>
      </c>
      <c r="O682" s="3" t="s">
        <v>27</v>
      </c>
      <c r="P682" s="3" t="s">
        <v>28</v>
      </c>
      <c r="Q682" s="3" t="s">
        <v>28</v>
      </c>
      <c r="R682" s="3" t="s">
        <v>28</v>
      </c>
      <c r="S682" s="3" t="s">
        <v>28</v>
      </c>
      <c r="T682" s="3" t="s">
        <v>28</v>
      </c>
    </row>
    <row r="683" spans="1:20" ht="381.75">
      <c r="A683" s="3">
        <v>2747277</v>
      </c>
      <c r="B683" s="3">
        <f>HYPERLINK("https://platform.v2.vetology.net/cases/2747277/screening-report/6?type=pdf&amp;v=v6&amp;scorecard=1&amp;secret_key=BX%25IJ%24%2F65ieZ%29f6", 2747277)</f>
        <v>2747277</v>
      </c>
      <c r="C683" s="3">
        <f>HYPERLINK("https://platform.v2.vetology.net/report/v/final/"&amp;2747277, 2747277)</f>
        <v>2747277</v>
      </c>
      <c r="D683" s="3" t="s">
        <v>2729</v>
      </c>
      <c r="E683" s="3" t="s">
        <v>2730</v>
      </c>
      <c r="F683" s="3" t="s">
        <v>22</v>
      </c>
      <c r="G683" s="3" t="s">
        <v>23</v>
      </c>
      <c r="H683" s="3" t="s">
        <v>2731</v>
      </c>
      <c r="I683" s="3" t="s">
        <v>345</v>
      </c>
      <c r="J683" s="3" t="s">
        <v>534</v>
      </c>
      <c r="K683" s="3" t="s">
        <v>28</v>
      </c>
      <c r="L683" s="3" t="s">
        <v>28</v>
      </c>
      <c r="M683" s="3" t="s">
        <v>28</v>
      </c>
      <c r="N683" s="3" t="s">
        <v>27</v>
      </c>
      <c r="O683" s="3" t="s">
        <v>28</v>
      </c>
      <c r="P683" s="3" t="s">
        <v>28</v>
      </c>
      <c r="Q683" s="3" t="s">
        <v>28</v>
      </c>
      <c r="R683" s="3" t="s">
        <v>28</v>
      </c>
      <c r="S683" s="3" t="s">
        <v>28</v>
      </c>
      <c r="T683" s="3" t="s">
        <v>27</v>
      </c>
    </row>
    <row r="684" spans="1:20" ht="275.25">
      <c r="A684" s="3">
        <v>2747272</v>
      </c>
      <c r="B684" s="3">
        <f>HYPERLINK("https://platform.v2.vetology.net/cases/2747272/screening-report/6?type=pdf&amp;v=v6&amp;scorecard=1&amp;secret_key=BX%25IJ%24%2F65ieZ%29f6", 2747272)</f>
        <v>2747272</v>
      </c>
      <c r="C684" s="3">
        <f>HYPERLINK("https://platform.v2.vetology.net/report/v/final/"&amp;2747272, 2747272)</f>
        <v>2747272</v>
      </c>
      <c r="D684" s="3" t="s">
        <v>2732</v>
      </c>
      <c r="E684" s="3" t="s">
        <v>2733</v>
      </c>
      <c r="F684" s="3" t="s">
        <v>2734</v>
      </c>
      <c r="G684" s="3" t="s">
        <v>23</v>
      </c>
      <c r="H684" s="3" t="s">
        <v>135</v>
      </c>
      <c r="I684" s="3" t="s">
        <v>136</v>
      </c>
      <c r="J684" s="3" t="s">
        <v>424</v>
      </c>
      <c r="K684" s="3" t="s">
        <v>28</v>
      </c>
      <c r="L684" s="3" t="s">
        <v>28</v>
      </c>
      <c r="M684" s="3" t="s">
        <v>28</v>
      </c>
      <c r="N684" s="3" t="s">
        <v>28</v>
      </c>
      <c r="O684" s="3" t="s">
        <v>27</v>
      </c>
      <c r="P684" s="3" t="s">
        <v>28</v>
      </c>
      <c r="Q684" s="3" t="s">
        <v>28</v>
      </c>
      <c r="R684" s="3" t="s">
        <v>28</v>
      </c>
      <c r="S684" s="3" t="s">
        <v>28</v>
      </c>
      <c r="T684" s="3" t="s">
        <v>27</v>
      </c>
    </row>
    <row r="685" spans="1:20" ht="409.6">
      <c r="A685" s="3">
        <v>2747265</v>
      </c>
      <c r="B685" s="3">
        <f>HYPERLINK("https://platform.v2.vetology.net/cases/2747265/screening-report/6?type=pdf&amp;v=v6&amp;scorecard=1&amp;secret_key=BX%25IJ%24%2F65ieZ%29f6", 2747265)</f>
        <v>2747265</v>
      </c>
      <c r="C685" s="3">
        <f>HYPERLINK("https://platform.v2.vetology.net/report/v/final/"&amp;2747265, 2747265)</f>
        <v>2747265</v>
      </c>
      <c r="D685" s="3" t="s">
        <v>2735</v>
      </c>
      <c r="E685" s="3" t="s">
        <v>2736</v>
      </c>
      <c r="F685" s="3" t="s">
        <v>22</v>
      </c>
      <c r="G685" s="3" t="s">
        <v>23</v>
      </c>
      <c r="H685" s="3" t="s">
        <v>658</v>
      </c>
      <c r="I685" s="3" t="s">
        <v>659</v>
      </c>
      <c r="J685" s="3" t="s">
        <v>660</v>
      </c>
      <c r="K685" s="3" t="s">
        <v>27</v>
      </c>
      <c r="L685" s="3" t="s">
        <v>28</v>
      </c>
      <c r="M685" s="3" t="s">
        <v>28</v>
      </c>
      <c r="N685" s="3" t="s">
        <v>28</v>
      </c>
      <c r="O685" s="3" t="s">
        <v>27</v>
      </c>
      <c r="P685" s="3" t="s">
        <v>28</v>
      </c>
      <c r="Q685" s="3" t="s">
        <v>28</v>
      </c>
      <c r="R685" s="3" t="s">
        <v>28</v>
      </c>
      <c r="S685" s="3" t="s">
        <v>28</v>
      </c>
      <c r="T685" s="3" t="s">
        <v>28</v>
      </c>
    </row>
    <row r="686" spans="1:20" ht="381.75">
      <c r="A686" s="3">
        <v>2747229</v>
      </c>
      <c r="B686" s="3">
        <f>HYPERLINK("https://platform.v2.vetology.net/cases/2747229/screening-report/6?type=pdf&amp;v=v6&amp;scorecard=1&amp;secret_key=BX%25IJ%24%2F65ieZ%29f6", 2747229)</f>
        <v>2747229</v>
      </c>
      <c r="C686" s="3">
        <f>HYPERLINK("https://platform.v2.vetology.net/report/v/final/"&amp;2747229, 2747229)</f>
        <v>2747229</v>
      </c>
      <c r="D686" s="3" t="s">
        <v>2737</v>
      </c>
      <c r="E686" s="3" t="s">
        <v>2738</v>
      </c>
      <c r="F686" s="3" t="s">
        <v>2739</v>
      </c>
      <c r="G686" s="3" t="s">
        <v>64</v>
      </c>
      <c r="H686" s="3" t="s">
        <v>519</v>
      </c>
      <c r="I686" s="3" t="s">
        <v>1344</v>
      </c>
      <c r="J686" s="3" t="s">
        <v>33</v>
      </c>
      <c r="K686" s="3" t="s">
        <v>28</v>
      </c>
      <c r="L686" s="3" t="s">
        <v>28</v>
      </c>
      <c r="M686" s="3" t="s">
        <v>28</v>
      </c>
      <c r="N686" s="3" t="s">
        <v>28</v>
      </c>
      <c r="O686" s="3" t="s">
        <v>27</v>
      </c>
      <c r="P686" s="3" t="s">
        <v>28</v>
      </c>
      <c r="Q686" s="3" t="s">
        <v>28</v>
      </c>
      <c r="R686" s="3" t="s">
        <v>28</v>
      </c>
      <c r="S686" s="3" t="s">
        <v>28</v>
      </c>
      <c r="T686" s="3" t="s">
        <v>28</v>
      </c>
    </row>
    <row r="687" spans="1:20" ht="409.6">
      <c r="A687" s="3">
        <v>2747125</v>
      </c>
      <c r="B687" s="3">
        <f>HYPERLINK("https://platform.v2.vetology.net/cases/2747125/screening-report/6?type=pdf&amp;v=v6&amp;scorecard=1&amp;secret_key=BX%25IJ%24%2F65ieZ%29f6", 2747125)</f>
        <v>2747125</v>
      </c>
      <c r="C687" s="3">
        <f>HYPERLINK("https://platform.v2.vetology.net/report/v/final/"&amp;2747125, 2747125)</f>
        <v>2747125</v>
      </c>
      <c r="D687" s="3" t="s">
        <v>2740</v>
      </c>
      <c r="E687" s="3" t="s">
        <v>2741</v>
      </c>
      <c r="F687" s="3" t="s">
        <v>2742</v>
      </c>
      <c r="G687" s="3" t="s">
        <v>186</v>
      </c>
      <c r="H687" s="3" t="s">
        <v>519</v>
      </c>
      <c r="I687" s="3" t="s">
        <v>520</v>
      </c>
      <c r="J687" s="3" t="s">
        <v>335</v>
      </c>
      <c r="K687" s="3" t="s">
        <v>28</v>
      </c>
      <c r="L687" s="3" t="s">
        <v>28</v>
      </c>
      <c r="M687" s="3" t="s">
        <v>28</v>
      </c>
      <c r="N687" s="3" t="s">
        <v>28</v>
      </c>
      <c r="O687" s="3" t="s">
        <v>27</v>
      </c>
      <c r="P687" s="3" t="s">
        <v>28</v>
      </c>
      <c r="Q687" s="3" t="s">
        <v>28</v>
      </c>
      <c r="R687" s="3" t="s">
        <v>28</v>
      </c>
      <c r="S687" s="3" t="s">
        <v>28</v>
      </c>
      <c r="T687" s="3" t="s">
        <v>28</v>
      </c>
    </row>
    <row r="688" spans="1:20" ht="409.6">
      <c r="A688" s="3">
        <v>2747082</v>
      </c>
      <c r="B688" s="3">
        <f>HYPERLINK("https://platform.v2.vetology.net/cases/2747082/screening-report/6?type=pdf&amp;v=v6&amp;scorecard=1&amp;secret_key=BX%25IJ%24%2F65ieZ%29f6", 2747082)</f>
        <v>2747082</v>
      </c>
      <c r="C688" s="3">
        <f>HYPERLINK("https://platform.v2.vetology.net/report/v/final/"&amp;2747082, 2747082)</f>
        <v>2747082</v>
      </c>
      <c r="D688" s="3" t="s">
        <v>2743</v>
      </c>
      <c r="E688" s="3" t="s">
        <v>2744</v>
      </c>
      <c r="F688" s="3" t="s">
        <v>2745</v>
      </c>
      <c r="G688" s="3" t="s">
        <v>64</v>
      </c>
      <c r="H688" s="3" t="s">
        <v>31</v>
      </c>
      <c r="I688" s="3" t="s">
        <v>2746</v>
      </c>
      <c r="J688" s="3" t="s">
        <v>33</v>
      </c>
      <c r="K688" s="3" t="s">
        <v>27</v>
      </c>
      <c r="L688" s="3" t="s">
        <v>28</v>
      </c>
      <c r="M688" s="3" t="s">
        <v>27</v>
      </c>
      <c r="N688" s="3" t="s">
        <v>28</v>
      </c>
      <c r="O688" s="3" t="s">
        <v>27</v>
      </c>
      <c r="P688" s="3" t="s">
        <v>27</v>
      </c>
      <c r="Q688" s="3" t="s">
        <v>28</v>
      </c>
      <c r="R688" s="3" t="s">
        <v>28</v>
      </c>
      <c r="S688" s="3" t="s">
        <v>28</v>
      </c>
      <c r="T688" s="3" t="s">
        <v>28</v>
      </c>
    </row>
    <row r="689" spans="1:20" ht="409.6">
      <c r="A689" s="3">
        <v>2747008</v>
      </c>
      <c r="B689" s="3">
        <f>HYPERLINK("https://platform.v2.vetology.net/cases/2747008/screening-report/6?type=pdf&amp;v=v6&amp;scorecard=1&amp;secret_key=BX%25IJ%24%2F65ieZ%29f6", 2747008)</f>
        <v>2747008</v>
      </c>
      <c r="C689" s="3">
        <f>HYPERLINK("https://platform.v2.vetology.net/report/v/final/"&amp;2747008, 2747008)</f>
        <v>2747008</v>
      </c>
      <c r="D689" s="3" t="s">
        <v>2747</v>
      </c>
      <c r="E689" s="3" t="s">
        <v>2748</v>
      </c>
      <c r="F689" s="3" t="s">
        <v>2749</v>
      </c>
      <c r="G689" s="3" t="s">
        <v>179</v>
      </c>
      <c r="H689" s="3" t="s">
        <v>2750</v>
      </c>
      <c r="I689" s="3"/>
      <c r="J689" s="3" t="s">
        <v>207</v>
      </c>
      <c r="K689" s="3" t="s">
        <v>28</v>
      </c>
      <c r="L689" s="3" t="s">
        <v>28</v>
      </c>
      <c r="M689" s="3" t="s">
        <v>28</v>
      </c>
      <c r="N689" s="3" t="s">
        <v>28</v>
      </c>
      <c r="O689" s="3" t="s">
        <v>28</v>
      </c>
      <c r="P689" s="3" t="s">
        <v>28</v>
      </c>
      <c r="Q689" s="3" t="s">
        <v>28</v>
      </c>
      <c r="R689" s="3" t="s">
        <v>28</v>
      </c>
      <c r="S689" s="3" t="s">
        <v>28</v>
      </c>
      <c r="T689" s="3" t="s">
        <v>28</v>
      </c>
    </row>
    <row r="690" spans="1:20" ht="305.25">
      <c r="A690" s="3">
        <v>2747005</v>
      </c>
      <c r="B690" s="3">
        <f>HYPERLINK("https://platform.v2.vetology.net/cases/2747005/screening-report/6?type=pdf&amp;v=v6&amp;scorecard=1&amp;secret_key=BX%25IJ%24%2F65ieZ%29f6", 2747005)</f>
        <v>2747005</v>
      </c>
      <c r="C690" s="3">
        <f>HYPERLINK("https://platform.v2.vetology.net/report/v/final/"&amp;2747005, 2747005)</f>
        <v>2747005</v>
      </c>
      <c r="D690" s="3" t="s">
        <v>2751</v>
      </c>
      <c r="E690" s="3" t="s">
        <v>2752</v>
      </c>
      <c r="F690" s="3" t="s">
        <v>2753</v>
      </c>
      <c r="G690" s="3" t="s">
        <v>186</v>
      </c>
      <c r="H690" s="3" t="s">
        <v>31</v>
      </c>
      <c r="I690" s="3" t="s">
        <v>32</v>
      </c>
      <c r="J690" s="3" t="s">
        <v>33</v>
      </c>
      <c r="K690" s="3" t="s">
        <v>28</v>
      </c>
      <c r="L690" s="3" t="s">
        <v>28</v>
      </c>
      <c r="M690" s="3" t="s">
        <v>28</v>
      </c>
      <c r="N690" s="3" t="s">
        <v>28</v>
      </c>
      <c r="O690" s="3" t="s">
        <v>28</v>
      </c>
      <c r="P690" s="3" t="s">
        <v>28</v>
      </c>
      <c r="Q690" s="3" t="s">
        <v>28</v>
      </c>
      <c r="R690" s="3" t="s">
        <v>28</v>
      </c>
      <c r="S690" s="3" t="s">
        <v>28</v>
      </c>
      <c r="T690" s="3" t="s">
        <v>28</v>
      </c>
    </row>
    <row r="691" spans="1:20" ht="409.6">
      <c r="A691" s="3">
        <v>2746962</v>
      </c>
      <c r="B691" s="3">
        <f>HYPERLINK("https://platform.v2.vetology.net/cases/2746962/screening-report/6?type=pdf&amp;v=v6&amp;scorecard=1&amp;secret_key=BX%25IJ%24%2F65ieZ%29f6", 2746962)</f>
        <v>2746962</v>
      </c>
      <c r="C691" s="3">
        <f>HYPERLINK("https://platform.v2.vetology.net/report/v/final/"&amp;2746962, 2746962)</f>
        <v>2746962</v>
      </c>
      <c r="D691" s="3" t="s">
        <v>2754</v>
      </c>
      <c r="E691" s="3" t="s">
        <v>2755</v>
      </c>
      <c r="F691" s="3" t="s">
        <v>22</v>
      </c>
      <c r="G691" s="3" t="s">
        <v>23</v>
      </c>
      <c r="H691" s="3" t="s">
        <v>2756</v>
      </c>
      <c r="I691" s="3" t="s">
        <v>2757</v>
      </c>
      <c r="J691" s="3" t="s">
        <v>297</v>
      </c>
      <c r="K691" s="3" t="s">
        <v>28</v>
      </c>
      <c r="L691" s="3" t="s">
        <v>28</v>
      </c>
      <c r="M691" s="3" t="s">
        <v>28</v>
      </c>
      <c r="N691" s="3" t="s">
        <v>28</v>
      </c>
      <c r="O691" s="3" t="s">
        <v>27</v>
      </c>
      <c r="P691" s="3" t="s">
        <v>28</v>
      </c>
      <c r="Q691" s="3" t="s">
        <v>28</v>
      </c>
      <c r="R691" s="3" t="s">
        <v>28</v>
      </c>
      <c r="S691" s="3" t="s">
        <v>28</v>
      </c>
      <c r="T691" s="3" t="s">
        <v>28</v>
      </c>
    </row>
    <row r="692" spans="1:20" ht="381.75">
      <c r="A692" s="3">
        <v>2746950</v>
      </c>
      <c r="B692" s="3">
        <f>HYPERLINK("https://platform.v2.vetology.net/cases/2746950/screening-report/6?type=pdf&amp;v=v6&amp;scorecard=1&amp;secret_key=BX%25IJ%24%2F65ieZ%29f6", 2746950)</f>
        <v>2746950</v>
      </c>
      <c r="C692" s="3">
        <f>HYPERLINK("https://platform.v2.vetology.net/report/v/final/"&amp;2746950, 2746950)</f>
        <v>2746950</v>
      </c>
      <c r="D692" s="3" t="s">
        <v>2758</v>
      </c>
      <c r="E692" s="3" t="s">
        <v>2759</v>
      </c>
      <c r="F692" s="3" t="s">
        <v>22</v>
      </c>
      <c r="G692" s="3" t="s">
        <v>23</v>
      </c>
      <c r="H692" s="3" t="s">
        <v>2760</v>
      </c>
      <c r="I692" s="3" t="s">
        <v>37</v>
      </c>
      <c r="J692" s="3" t="s">
        <v>38</v>
      </c>
      <c r="K692" s="3" t="s">
        <v>28</v>
      </c>
      <c r="L692" s="3" t="s">
        <v>28</v>
      </c>
      <c r="M692" s="3" t="s">
        <v>28</v>
      </c>
      <c r="N692" s="3" t="s">
        <v>28</v>
      </c>
      <c r="O692" s="3" t="s">
        <v>27</v>
      </c>
      <c r="P692" s="3" t="s">
        <v>28</v>
      </c>
      <c r="Q692" s="3" t="s">
        <v>28</v>
      </c>
      <c r="R692" s="3" t="s">
        <v>28</v>
      </c>
      <c r="S692" s="3" t="s">
        <v>28</v>
      </c>
      <c r="T692" s="3" t="s">
        <v>28</v>
      </c>
    </row>
    <row r="693" spans="1:20" ht="409.6">
      <c r="A693" s="3">
        <v>2746943</v>
      </c>
      <c r="B693" s="3">
        <f>HYPERLINK("https://platform.v2.vetology.net/cases/2746943/screening-report/6?type=pdf&amp;v=v6&amp;scorecard=1&amp;secret_key=BX%25IJ%24%2F65ieZ%29f6", 2746943)</f>
        <v>2746943</v>
      </c>
      <c r="C693" s="3">
        <f>HYPERLINK("https://platform.v2.vetology.net/report/v/final/"&amp;2746943, 2746943)</f>
        <v>2746943</v>
      </c>
      <c r="D693" s="3" t="s">
        <v>2761</v>
      </c>
      <c r="E693" s="3" t="s">
        <v>2762</v>
      </c>
      <c r="F693" s="3" t="s">
        <v>2763</v>
      </c>
      <c r="G693" s="3" t="s">
        <v>57</v>
      </c>
      <c r="H693" s="3" t="s">
        <v>31</v>
      </c>
      <c r="I693" s="3" t="s">
        <v>2764</v>
      </c>
      <c r="J693" s="3" t="s">
        <v>33</v>
      </c>
      <c r="K693" s="3" t="s">
        <v>28</v>
      </c>
      <c r="L693" s="3" t="s">
        <v>27</v>
      </c>
      <c r="M693" s="3" t="s">
        <v>28</v>
      </c>
      <c r="N693" s="3" t="s">
        <v>27</v>
      </c>
      <c r="O693" s="3" t="s">
        <v>28</v>
      </c>
      <c r="P693" s="3" t="s">
        <v>27</v>
      </c>
      <c r="Q693" s="3" t="s">
        <v>28</v>
      </c>
      <c r="R693" s="3" t="s">
        <v>28</v>
      </c>
      <c r="S693" s="3" t="s">
        <v>27</v>
      </c>
      <c r="T693" s="3" t="s">
        <v>28</v>
      </c>
    </row>
    <row r="694" spans="1:20" ht="305.25">
      <c r="A694" s="3">
        <v>2746930</v>
      </c>
      <c r="B694" s="3">
        <f>HYPERLINK("https://platform.v2.vetology.net/cases/2746930/screening-report/6?type=pdf&amp;v=v6&amp;scorecard=1&amp;secret_key=BX%25IJ%24%2F65ieZ%29f6", 2746930)</f>
        <v>2746930</v>
      </c>
      <c r="C694" s="3">
        <f>HYPERLINK("https://platform.v2.vetology.net/report/v/final/"&amp;2746930, 2746930)</f>
        <v>2746930</v>
      </c>
      <c r="D694" s="3" t="s">
        <v>2765</v>
      </c>
      <c r="E694" s="3" t="s">
        <v>2766</v>
      </c>
      <c r="F694" s="3" t="s">
        <v>2767</v>
      </c>
      <c r="G694" s="3" t="s">
        <v>211</v>
      </c>
      <c r="H694" s="3" t="s">
        <v>851</v>
      </c>
      <c r="I694" s="3" t="s">
        <v>32</v>
      </c>
      <c r="J694" s="3" t="s">
        <v>33</v>
      </c>
      <c r="K694" s="3" t="s">
        <v>28</v>
      </c>
      <c r="L694" s="3" t="s">
        <v>28</v>
      </c>
      <c r="M694" s="3" t="s">
        <v>28</v>
      </c>
      <c r="N694" s="3" t="s">
        <v>28</v>
      </c>
      <c r="O694" s="3" t="s">
        <v>28</v>
      </c>
      <c r="P694" s="3" t="s">
        <v>28</v>
      </c>
      <c r="Q694" s="3" t="s">
        <v>28</v>
      </c>
      <c r="R694" s="3" t="s">
        <v>28</v>
      </c>
      <c r="S694" s="3" t="s">
        <v>28</v>
      </c>
      <c r="T694" s="3" t="s">
        <v>28</v>
      </c>
    </row>
    <row r="695" spans="1:20" ht="409.6">
      <c r="A695" s="3">
        <v>2746918</v>
      </c>
      <c r="B695" s="3">
        <f>HYPERLINK("https://platform.v2.vetology.net/cases/2746918/screening-report/6?type=pdf&amp;v=v6&amp;scorecard=1&amp;secret_key=BX%25IJ%24%2F65ieZ%29f6", 2746918)</f>
        <v>2746918</v>
      </c>
      <c r="C695" s="3">
        <f>HYPERLINK("https://platform.v2.vetology.net/report/v/final/"&amp;2746918, 2746918)</f>
        <v>2746918</v>
      </c>
      <c r="D695" s="3" t="s">
        <v>2768</v>
      </c>
      <c r="E695" s="3" t="s">
        <v>2769</v>
      </c>
      <c r="F695" s="3" t="s">
        <v>1154</v>
      </c>
      <c r="G695" s="3" t="s">
        <v>23</v>
      </c>
      <c r="H695" s="3" t="s">
        <v>2770</v>
      </c>
      <c r="I695" s="3" t="s">
        <v>2771</v>
      </c>
      <c r="J695" s="3" t="s">
        <v>2772</v>
      </c>
      <c r="K695" s="3" t="s">
        <v>28</v>
      </c>
      <c r="L695" s="3" t="s">
        <v>27</v>
      </c>
      <c r="M695" s="3" t="s">
        <v>28</v>
      </c>
      <c r="N695" s="3" t="s">
        <v>27</v>
      </c>
      <c r="O695" s="3" t="s">
        <v>28</v>
      </c>
      <c r="P695" s="3" t="s">
        <v>28</v>
      </c>
      <c r="Q695" s="3" t="s">
        <v>28</v>
      </c>
      <c r="R695" s="3" t="s">
        <v>27</v>
      </c>
      <c r="S695" s="3" t="s">
        <v>27</v>
      </c>
      <c r="T695" s="3" t="s">
        <v>27</v>
      </c>
    </row>
    <row r="696" spans="1:20" ht="351">
      <c r="A696" s="3">
        <v>2746859</v>
      </c>
      <c r="B696" s="3">
        <f>HYPERLINK("https://platform.v2.vetology.net/cases/2746859/screening-report/6?type=pdf&amp;v=v6&amp;scorecard=1&amp;secret_key=BX%25IJ%24%2F65ieZ%29f6", 2746859)</f>
        <v>2746859</v>
      </c>
      <c r="C696" s="3">
        <f>HYPERLINK("https://platform.v2.vetology.net/report/v/final/"&amp;2746859, 2746859)</f>
        <v>2746859</v>
      </c>
      <c r="D696" s="3" t="s">
        <v>2773</v>
      </c>
      <c r="E696" s="3" t="s">
        <v>2774</v>
      </c>
      <c r="F696" s="3" t="s">
        <v>2775</v>
      </c>
      <c r="G696" s="3" t="s">
        <v>1772</v>
      </c>
      <c r="H696" s="3" t="s">
        <v>2776</v>
      </c>
      <c r="I696" s="3" t="s">
        <v>2777</v>
      </c>
      <c r="J696" s="3" t="s">
        <v>2778</v>
      </c>
      <c r="K696" s="3" t="s">
        <v>28</v>
      </c>
      <c r="L696" s="3" t="s">
        <v>28</v>
      </c>
      <c r="M696" s="3" t="s">
        <v>28</v>
      </c>
      <c r="N696" s="3" t="s">
        <v>27</v>
      </c>
      <c r="O696" s="3" t="s">
        <v>27</v>
      </c>
      <c r="P696" s="3" t="s">
        <v>28</v>
      </c>
      <c r="Q696" s="3" t="s">
        <v>27</v>
      </c>
      <c r="R696" s="3" t="s">
        <v>27</v>
      </c>
      <c r="S696" s="3" t="s">
        <v>27</v>
      </c>
      <c r="T696" s="3" t="s">
        <v>28</v>
      </c>
    </row>
    <row r="697" spans="1:20" ht="305.25">
      <c r="A697" s="3">
        <v>2746854</v>
      </c>
      <c r="B697" s="3">
        <f>HYPERLINK("https://platform.v2.vetology.net/cases/2746854/screening-report/6?type=pdf&amp;v=v6&amp;scorecard=1&amp;secret_key=BX%25IJ%24%2F65ieZ%29f6", 2746854)</f>
        <v>2746854</v>
      </c>
      <c r="C697" s="3">
        <f>HYPERLINK("https://platform.v2.vetology.net/report/v/final/"&amp;2746854, 2746854)</f>
        <v>2746854</v>
      </c>
      <c r="D697" s="3" t="s">
        <v>2779</v>
      </c>
      <c r="E697" s="3" t="s">
        <v>2780</v>
      </c>
      <c r="F697" s="3" t="s">
        <v>1090</v>
      </c>
      <c r="G697" s="3" t="s">
        <v>100</v>
      </c>
      <c r="H697" s="3" t="s">
        <v>31</v>
      </c>
      <c r="I697" s="3" t="s">
        <v>32</v>
      </c>
      <c r="J697" s="3" t="s">
        <v>33</v>
      </c>
      <c r="K697" s="3" t="s">
        <v>28</v>
      </c>
      <c r="L697" s="3" t="s">
        <v>28</v>
      </c>
      <c r="M697" s="3" t="s">
        <v>28</v>
      </c>
      <c r="N697" s="3" t="s">
        <v>28</v>
      </c>
      <c r="O697" s="3" t="s">
        <v>27</v>
      </c>
      <c r="P697" s="3" t="s">
        <v>28</v>
      </c>
      <c r="Q697" s="3" t="s">
        <v>28</v>
      </c>
      <c r="R697" s="3" t="s">
        <v>28</v>
      </c>
      <c r="S697" s="3" t="s">
        <v>28</v>
      </c>
      <c r="T697" s="3" t="s">
        <v>28</v>
      </c>
    </row>
    <row r="698" spans="1:20" ht="336">
      <c r="A698" s="3">
        <v>2746746</v>
      </c>
      <c r="B698" s="3">
        <f>HYPERLINK("https://platform.v2.vetology.net/cases/2746746/screening-report/6?type=pdf&amp;v=v6&amp;scorecard=1&amp;secret_key=BX%25IJ%24%2F65ieZ%29f6", 2746746)</f>
        <v>2746746</v>
      </c>
      <c r="C698" s="3">
        <f>HYPERLINK("https://platform.v2.vetology.net/report/v/final/"&amp;2746746, 2746746)</f>
        <v>2746746</v>
      </c>
      <c r="D698" s="3" t="s">
        <v>2781</v>
      </c>
      <c r="E698" s="3" t="s">
        <v>2782</v>
      </c>
      <c r="F698" s="3" t="s">
        <v>2783</v>
      </c>
      <c r="G698" s="3" t="s">
        <v>23</v>
      </c>
      <c r="H698" s="3" t="s">
        <v>2784</v>
      </c>
      <c r="I698" s="3" t="s">
        <v>206</v>
      </c>
      <c r="J698" s="3" t="s">
        <v>207</v>
      </c>
      <c r="K698" s="3" t="s">
        <v>27</v>
      </c>
      <c r="L698" s="3" t="s">
        <v>28</v>
      </c>
      <c r="M698" s="3" t="s">
        <v>28</v>
      </c>
      <c r="N698" s="3" t="s">
        <v>28</v>
      </c>
      <c r="O698" s="3" t="s">
        <v>27</v>
      </c>
      <c r="P698" s="3" t="s">
        <v>28</v>
      </c>
      <c r="Q698" s="3" t="s">
        <v>28</v>
      </c>
      <c r="R698" s="3" t="s">
        <v>28</v>
      </c>
      <c r="S698" s="3" t="s">
        <v>28</v>
      </c>
      <c r="T698" s="3" t="s">
        <v>28</v>
      </c>
    </row>
    <row r="699" spans="1:20" ht="381.75">
      <c r="A699" s="3">
        <v>2746739</v>
      </c>
      <c r="B699" s="3">
        <f>HYPERLINK("https://platform.v2.vetology.net/cases/2746739/screening-report/6?type=pdf&amp;v=v6&amp;scorecard=1&amp;secret_key=BX%25IJ%24%2F65ieZ%29f6", 2746739)</f>
        <v>2746739</v>
      </c>
      <c r="C699" s="3">
        <f>HYPERLINK("https://platform.v2.vetology.net/report/v/final/"&amp;2746739, 2746739)</f>
        <v>2746739</v>
      </c>
      <c r="D699" s="3" t="s">
        <v>2785</v>
      </c>
      <c r="E699" s="3" t="s">
        <v>2786</v>
      </c>
      <c r="F699" s="3" t="s">
        <v>2787</v>
      </c>
      <c r="G699" s="3" t="s">
        <v>186</v>
      </c>
      <c r="H699" s="3" t="s">
        <v>1478</v>
      </c>
      <c r="I699" s="3" t="s">
        <v>279</v>
      </c>
      <c r="J699" s="3" t="s">
        <v>280</v>
      </c>
      <c r="K699" s="3" t="s">
        <v>28</v>
      </c>
      <c r="L699" s="3" t="s">
        <v>28</v>
      </c>
      <c r="M699" s="3" t="s">
        <v>28</v>
      </c>
      <c r="N699" s="3" t="s">
        <v>28</v>
      </c>
      <c r="O699" s="3" t="s">
        <v>28</v>
      </c>
      <c r="P699" s="3" t="s">
        <v>28</v>
      </c>
      <c r="Q699" s="3" t="s">
        <v>28</v>
      </c>
      <c r="R699" s="3" t="s">
        <v>28</v>
      </c>
      <c r="S699" s="3" t="s">
        <v>28</v>
      </c>
      <c r="T699" s="3" t="s">
        <v>28</v>
      </c>
    </row>
    <row r="700" spans="1:20" ht="321">
      <c r="A700" s="3">
        <v>2746685</v>
      </c>
      <c r="B700" s="3">
        <f>HYPERLINK("https://platform.v2.vetology.net/cases/2746685/screening-report/6?type=pdf&amp;v=v6&amp;scorecard=1&amp;secret_key=BX%25IJ%24%2F65ieZ%29f6", 2746685)</f>
        <v>2746685</v>
      </c>
      <c r="C700" s="3">
        <f>HYPERLINK("https://platform.v2.vetology.net/report/v/final/"&amp;2746685, 2746685)</f>
        <v>2746685</v>
      </c>
      <c r="D700" s="3" t="s">
        <v>2788</v>
      </c>
      <c r="E700" s="3" t="s">
        <v>2789</v>
      </c>
      <c r="F700" s="3" t="s">
        <v>1377</v>
      </c>
      <c r="G700" s="3" t="s">
        <v>186</v>
      </c>
      <c r="H700" s="3" t="s">
        <v>2790</v>
      </c>
      <c r="I700" s="3" t="s">
        <v>2353</v>
      </c>
      <c r="J700" s="3" t="s">
        <v>207</v>
      </c>
      <c r="K700" s="3" t="s">
        <v>28</v>
      </c>
      <c r="L700" s="3" t="s">
        <v>27</v>
      </c>
      <c r="M700" s="3" t="s">
        <v>28</v>
      </c>
      <c r="N700" s="3" t="s">
        <v>27</v>
      </c>
      <c r="O700" s="3" t="s">
        <v>27</v>
      </c>
      <c r="P700" s="3" t="s">
        <v>27</v>
      </c>
      <c r="Q700" s="3" t="s">
        <v>27</v>
      </c>
      <c r="R700" s="3" t="s">
        <v>27</v>
      </c>
      <c r="S700" s="3" t="s">
        <v>27</v>
      </c>
      <c r="T700" s="3" t="s">
        <v>27</v>
      </c>
    </row>
    <row r="701" spans="1:20" ht="229.5">
      <c r="A701" s="3">
        <v>2746655</v>
      </c>
      <c r="B701" s="3">
        <f>HYPERLINK("https://platform.v2.vetology.net/cases/2746655/screening-report/6?type=pdf&amp;v=v6&amp;scorecard=1&amp;secret_key=BX%25IJ%24%2F65ieZ%29f6", 2746655)</f>
        <v>2746655</v>
      </c>
      <c r="C701" s="3">
        <f>HYPERLINK("https://platform.v2.vetology.net/report/v/final/"&amp;2746655, 2746655)</f>
        <v>2746655</v>
      </c>
      <c r="D701" s="3" t="s">
        <v>2791</v>
      </c>
      <c r="E701" s="3" t="s">
        <v>2791</v>
      </c>
      <c r="F701" s="3"/>
      <c r="G701" s="3" t="s">
        <v>372</v>
      </c>
      <c r="H701" s="3" t="s">
        <v>31</v>
      </c>
      <c r="I701" s="3" t="s">
        <v>32</v>
      </c>
      <c r="J701" s="3" t="s">
        <v>119</v>
      </c>
      <c r="K701" s="3" t="s">
        <v>28</v>
      </c>
      <c r="L701" s="3" t="s">
        <v>28</v>
      </c>
      <c r="M701" s="3" t="s">
        <v>28</v>
      </c>
      <c r="N701" s="3" t="s">
        <v>28</v>
      </c>
      <c r="O701" s="3" t="s">
        <v>27</v>
      </c>
      <c r="P701" s="3" t="s">
        <v>28</v>
      </c>
      <c r="Q701" s="3" t="s">
        <v>28</v>
      </c>
      <c r="R701" s="3" t="s">
        <v>28</v>
      </c>
      <c r="S701" s="3" t="s">
        <v>28</v>
      </c>
      <c r="T701" s="3" t="s">
        <v>28</v>
      </c>
    </row>
    <row r="702" spans="1:20" ht="409.6">
      <c r="A702" s="3">
        <v>2746643</v>
      </c>
      <c r="B702" s="3">
        <f>HYPERLINK("https://platform.v2.vetology.net/cases/2746643/screening-report/6?type=pdf&amp;v=v6&amp;scorecard=1&amp;secret_key=BX%25IJ%24%2F65ieZ%29f6", 2746643)</f>
        <v>2746643</v>
      </c>
      <c r="C702" s="3">
        <f>HYPERLINK("https://platform.v2.vetology.net/report/v/final/"&amp;2746643, 2746643)</f>
        <v>2746643</v>
      </c>
      <c r="D702" s="3" t="s">
        <v>2792</v>
      </c>
      <c r="E702" s="3" t="s">
        <v>2793</v>
      </c>
      <c r="F702" s="3" t="s">
        <v>22</v>
      </c>
      <c r="G702" s="3" t="s">
        <v>372</v>
      </c>
      <c r="H702" s="3" t="s">
        <v>31</v>
      </c>
      <c r="I702" s="3" t="s">
        <v>32</v>
      </c>
      <c r="J702" s="3" t="s">
        <v>847</v>
      </c>
      <c r="K702" s="3" t="s">
        <v>28</v>
      </c>
      <c r="L702" s="3" t="s">
        <v>28</v>
      </c>
      <c r="M702" s="3" t="s">
        <v>28</v>
      </c>
      <c r="N702" s="3" t="s">
        <v>28</v>
      </c>
      <c r="O702" s="3" t="s">
        <v>27</v>
      </c>
      <c r="P702" s="3" t="s">
        <v>28</v>
      </c>
      <c r="Q702" s="3" t="s">
        <v>28</v>
      </c>
      <c r="R702" s="3" t="s">
        <v>28</v>
      </c>
      <c r="S702" s="3" t="s">
        <v>28</v>
      </c>
      <c r="T702" s="3" t="s">
        <v>28</v>
      </c>
    </row>
    <row r="703" spans="1:20" ht="409.6">
      <c r="A703" s="3">
        <v>2746628</v>
      </c>
      <c r="B703" s="3">
        <f>HYPERLINK("https://platform.v2.vetology.net/cases/2746628/screening-report/6?type=pdf&amp;v=v6&amp;scorecard=1&amp;secret_key=BX%25IJ%24%2F65ieZ%29f6", 2746628)</f>
        <v>2746628</v>
      </c>
      <c r="C703" s="3">
        <f>HYPERLINK("https://platform.v2.vetology.net/report/v/final/"&amp;2746628, 2746628)</f>
        <v>2746628</v>
      </c>
      <c r="D703" s="3" t="s">
        <v>2794</v>
      </c>
      <c r="E703" s="3" t="s">
        <v>2795</v>
      </c>
      <c r="F703" s="3" t="s">
        <v>2796</v>
      </c>
      <c r="G703" s="3" t="s">
        <v>186</v>
      </c>
      <c r="H703" s="3" t="s">
        <v>2797</v>
      </c>
      <c r="I703" s="3" t="s">
        <v>32</v>
      </c>
      <c r="J703" s="3" t="s">
        <v>578</v>
      </c>
      <c r="K703" s="3" t="s">
        <v>27</v>
      </c>
      <c r="L703" s="3" t="s">
        <v>28</v>
      </c>
      <c r="M703" s="3" t="s">
        <v>28</v>
      </c>
      <c r="N703" s="3" t="s">
        <v>28</v>
      </c>
      <c r="O703" s="3" t="s">
        <v>27</v>
      </c>
      <c r="P703" s="3" t="s">
        <v>28</v>
      </c>
      <c r="Q703" s="3" t="s">
        <v>27</v>
      </c>
      <c r="R703" s="3" t="s">
        <v>28</v>
      </c>
      <c r="S703" s="3" t="s">
        <v>28</v>
      </c>
      <c r="T703" s="3" t="s">
        <v>28</v>
      </c>
    </row>
    <row r="704" spans="1:20" ht="321">
      <c r="A704" s="3">
        <v>2746525</v>
      </c>
      <c r="B704" s="3">
        <f>HYPERLINK("https://platform.v2.vetology.net/cases/2746525/screening-report/6?type=pdf&amp;v=v6&amp;scorecard=1&amp;secret_key=BX%25IJ%24%2F65ieZ%29f6", 2746525)</f>
        <v>2746525</v>
      </c>
      <c r="C704" s="3">
        <f>HYPERLINK("https://platform.v2.vetology.net/report/v/final/"&amp;2746525, 2746525)</f>
        <v>2746525</v>
      </c>
      <c r="D704" s="3" t="s">
        <v>2798</v>
      </c>
      <c r="E704" s="3" t="s">
        <v>2799</v>
      </c>
      <c r="F704" s="3" t="s">
        <v>22</v>
      </c>
      <c r="G704" s="3" t="s">
        <v>100</v>
      </c>
      <c r="H704" s="3" t="s">
        <v>2800</v>
      </c>
      <c r="I704" s="3" t="s">
        <v>1227</v>
      </c>
      <c r="J704" s="3" t="s">
        <v>1228</v>
      </c>
      <c r="K704" s="3" t="s">
        <v>28</v>
      </c>
      <c r="L704" s="3" t="s">
        <v>28</v>
      </c>
      <c r="M704" s="3" t="s">
        <v>28</v>
      </c>
      <c r="N704" s="3" t="s">
        <v>27</v>
      </c>
      <c r="O704" s="3" t="s">
        <v>27</v>
      </c>
      <c r="P704" s="3" t="s">
        <v>28</v>
      </c>
      <c r="Q704" s="3" t="s">
        <v>28</v>
      </c>
      <c r="R704" s="3" t="s">
        <v>27</v>
      </c>
      <c r="S704" s="3" t="s">
        <v>27</v>
      </c>
      <c r="T704" s="3" t="s">
        <v>27</v>
      </c>
    </row>
    <row r="705" spans="1:20" ht="409.6">
      <c r="A705" s="3">
        <v>2746468</v>
      </c>
      <c r="B705" s="3">
        <f>HYPERLINK("https://platform.v2.vetology.net/cases/2746468/screening-report/6?type=pdf&amp;v=v6&amp;scorecard=1&amp;secret_key=BX%25IJ%24%2F65ieZ%29f6", 2746468)</f>
        <v>2746468</v>
      </c>
      <c r="C705" s="3">
        <f>HYPERLINK("https://platform.v2.vetology.net/report/v/final/"&amp;2746468, 2746468)</f>
        <v>2746468</v>
      </c>
      <c r="D705" s="3" t="s">
        <v>2801</v>
      </c>
      <c r="E705" s="3" t="s">
        <v>2802</v>
      </c>
      <c r="F705" s="3" t="s">
        <v>22</v>
      </c>
      <c r="G705" s="3" t="s">
        <v>23</v>
      </c>
      <c r="H705" s="3" t="s">
        <v>2803</v>
      </c>
      <c r="I705" s="3" t="s">
        <v>2397</v>
      </c>
      <c r="J705" s="3" t="s">
        <v>2398</v>
      </c>
      <c r="K705" s="3" t="s">
        <v>27</v>
      </c>
      <c r="L705" s="3" t="s">
        <v>27</v>
      </c>
      <c r="M705" s="3" t="s">
        <v>27</v>
      </c>
      <c r="N705" s="3" t="s">
        <v>27</v>
      </c>
      <c r="O705" s="3" t="s">
        <v>27</v>
      </c>
      <c r="P705" s="3" t="s">
        <v>28</v>
      </c>
      <c r="Q705" s="3" t="s">
        <v>27</v>
      </c>
      <c r="R705" s="3" t="s">
        <v>27</v>
      </c>
      <c r="S705" s="3" t="s">
        <v>27</v>
      </c>
      <c r="T705" s="3" t="s">
        <v>27</v>
      </c>
    </row>
    <row r="706" spans="1:20" ht="259.5">
      <c r="A706" s="3">
        <v>2746359</v>
      </c>
      <c r="B706" s="3">
        <f>HYPERLINK("https://platform.v2.vetology.net/cases/2746359/screening-report/6?type=pdf&amp;v=v6&amp;scorecard=1&amp;secret_key=BX%25IJ%24%2F65ieZ%29f6", 2746359)</f>
        <v>2746359</v>
      </c>
      <c r="C706" s="3">
        <f>HYPERLINK("https://platform.v2.vetology.net/report/v/final/"&amp;2746359, 2746359)</f>
        <v>2746359</v>
      </c>
      <c r="D706" s="3" t="s">
        <v>2804</v>
      </c>
      <c r="E706" s="3" t="s">
        <v>2805</v>
      </c>
      <c r="F706" s="3"/>
      <c r="G706" s="3" t="s">
        <v>122</v>
      </c>
      <c r="H706" s="3" t="s">
        <v>1003</v>
      </c>
      <c r="I706" s="3" t="s">
        <v>1004</v>
      </c>
      <c r="J706" s="3" t="s">
        <v>297</v>
      </c>
      <c r="K706" s="3" t="s">
        <v>28</v>
      </c>
      <c r="L706" s="3" t="s">
        <v>28</v>
      </c>
      <c r="M706" s="3" t="s">
        <v>28</v>
      </c>
      <c r="N706" s="3" t="s">
        <v>28</v>
      </c>
      <c r="O706" s="3" t="s">
        <v>28</v>
      </c>
      <c r="P706" s="3" t="s">
        <v>28</v>
      </c>
      <c r="Q706" s="3" t="s">
        <v>28</v>
      </c>
      <c r="R706" s="3" t="s">
        <v>28</v>
      </c>
      <c r="S706" s="3" t="s">
        <v>28</v>
      </c>
      <c r="T706" s="3" t="s">
        <v>28</v>
      </c>
    </row>
    <row r="707" spans="1:20" ht="409.6">
      <c r="A707" s="3">
        <v>2746353</v>
      </c>
      <c r="B707" s="3">
        <f>HYPERLINK("https://platform.v2.vetology.net/cases/2746353/screening-report/6?type=pdf&amp;v=v6&amp;scorecard=1&amp;secret_key=BX%25IJ%24%2F65ieZ%29f6", 2746353)</f>
        <v>2746353</v>
      </c>
      <c r="C707" s="3">
        <f>HYPERLINK("https://platform.v2.vetology.net/report/v/final/"&amp;2746353, 2746353)</f>
        <v>2746353</v>
      </c>
      <c r="D707" s="3" t="s">
        <v>2806</v>
      </c>
      <c r="E707" s="3" t="s">
        <v>2807</v>
      </c>
      <c r="F707" s="3" t="s">
        <v>22</v>
      </c>
      <c r="G707" s="3" t="s">
        <v>372</v>
      </c>
      <c r="H707" s="3" t="s">
        <v>2808</v>
      </c>
      <c r="I707" s="3" t="s">
        <v>136</v>
      </c>
      <c r="J707" s="3" t="s">
        <v>137</v>
      </c>
      <c r="K707" s="3" t="s">
        <v>28</v>
      </c>
      <c r="L707" s="3" t="s">
        <v>28</v>
      </c>
      <c r="M707" s="3" t="s">
        <v>28</v>
      </c>
      <c r="N707" s="3" t="s">
        <v>28</v>
      </c>
      <c r="O707" s="3" t="s">
        <v>27</v>
      </c>
      <c r="P707" s="3" t="s">
        <v>28</v>
      </c>
      <c r="Q707" s="3" t="s">
        <v>28</v>
      </c>
      <c r="R707" s="3" t="s">
        <v>27</v>
      </c>
      <c r="S707" s="3" t="s">
        <v>28</v>
      </c>
      <c r="T707" s="3" t="s">
        <v>27</v>
      </c>
    </row>
    <row r="708" spans="1:20" ht="259.5">
      <c r="A708" s="3">
        <v>2746327</v>
      </c>
      <c r="B708" s="3">
        <f>HYPERLINK("https://platform.v2.vetology.net/cases/2746327/screening-report/6?type=pdf&amp;v=v6&amp;scorecard=1&amp;secret_key=BX%25IJ%24%2F65ieZ%29f6", 2746327)</f>
        <v>2746327</v>
      </c>
      <c r="C708" s="3">
        <f>HYPERLINK("https://platform.v2.vetology.net/report/v/final/"&amp;2746327, 2746327)</f>
        <v>2746327</v>
      </c>
      <c r="D708" s="3" t="s">
        <v>2809</v>
      </c>
      <c r="E708" s="3" t="s">
        <v>2810</v>
      </c>
      <c r="F708" s="3" t="s">
        <v>2811</v>
      </c>
      <c r="G708" s="3" t="s">
        <v>179</v>
      </c>
      <c r="H708" s="3" t="s">
        <v>212</v>
      </c>
      <c r="I708" s="3" t="s">
        <v>261</v>
      </c>
      <c r="J708" s="3" t="s">
        <v>262</v>
      </c>
      <c r="K708" s="3" t="s">
        <v>27</v>
      </c>
      <c r="L708" s="3" t="s">
        <v>28</v>
      </c>
      <c r="M708" s="3" t="s">
        <v>27</v>
      </c>
      <c r="N708" s="3" t="s">
        <v>28</v>
      </c>
      <c r="O708" s="3" t="s">
        <v>27</v>
      </c>
      <c r="P708" s="3" t="s">
        <v>28</v>
      </c>
      <c r="Q708" s="3" t="s">
        <v>27</v>
      </c>
      <c r="R708" s="3" t="s">
        <v>28</v>
      </c>
      <c r="S708" s="3" t="s">
        <v>28</v>
      </c>
      <c r="T708" s="3" t="s">
        <v>28</v>
      </c>
    </row>
    <row r="709" spans="1:20" ht="409.6">
      <c r="A709" s="3">
        <v>2746319</v>
      </c>
      <c r="B709" s="3">
        <f>HYPERLINK("https://platform.v2.vetology.net/cases/2746319/screening-report/6?type=pdf&amp;v=v6&amp;scorecard=1&amp;secret_key=BX%25IJ%24%2F65ieZ%29f6", 2746319)</f>
        <v>2746319</v>
      </c>
      <c r="C709" s="3">
        <f>HYPERLINK("https://platform.v2.vetology.net/report/v/final/"&amp;2746319, 2746319)</f>
        <v>2746319</v>
      </c>
      <c r="D709" s="3" t="s">
        <v>2812</v>
      </c>
      <c r="E709" s="3" t="s">
        <v>2813</v>
      </c>
      <c r="F709" s="3" t="s">
        <v>2814</v>
      </c>
      <c r="G709" s="3" t="s">
        <v>57</v>
      </c>
      <c r="H709" s="3" t="s">
        <v>2815</v>
      </c>
      <c r="I709" s="3" t="s">
        <v>2816</v>
      </c>
      <c r="J709" s="3" t="s">
        <v>60</v>
      </c>
      <c r="K709" s="3" t="s">
        <v>28</v>
      </c>
      <c r="L709" s="3" t="s">
        <v>27</v>
      </c>
      <c r="M709" s="3" t="s">
        <v>28</v>
      </c>
      <c r="N709" s="3" t="s">
        <v>27</v>
      </c>
      <c r="O709" s="3" t="s">
        <v>27</v>
      </c>
      <c r="P709" s="3" t="s">
        <v>28</v>
      </c>
      <c r="Q709" s="3" t="s">
        <v>27</v>
      </c>
      <c r="R709" s="3" t="s">
        <v>27</v>
      </c>
      <c r="S709" s="3" t="s">
        <v>27</v>
      </c>
      <c r="T709" s="3" t="s">
        <v>27</v>
      </c>
    </row>
    <row r="710" spans="1:20" ht="409.6">
      <c r="A710" s="3">
        <v>2746276</v>
      </c>
      <c r="B710" s="3">
        <f>HYPERLINK("https://platform.v2.vetology.net/cases/2746276/screening-report/6?type=pdf&amp;v=v6&amp;scorecard=1&amp;secret_key=BX%25IJ%24%2F65ieZ%29f6", 2746276)</f>
        <v>2746276</v>
      </c>
      <c r="C710" s="3">
        <f>HYPERLINK("https://platform.v2.vetology.net/report/v/final/"&amp;2746276, 2746276)</f>
        <v>2746276</v>
      </c>
      <c r="D710" s="3" t="s">
        <v>2817</v>
      </c>
      <c r="E710" s="3" t="s">
        <v>2818</v>
      </c>
      <c r="F710" s="3" t="s">
        <v>2819</v>
      </c>
      <c r="G710" s="3" t="s">
        <v>179</v>
      </c>
      <c r="H710" s="3" t="s">
        <v>2820</v>
      </c>
      <c r="I710" s="3" t="s">
        <v>2821</v>
      </c>
      <c r="J710" s="3" t="s">
        <v>2822</v>
      </c>
      <c r="K710" s="3" t="s">
        <v>28</v>
      </c>
      <c r="L710" s="3" t="s">
        <v>28</v>
      </c>
      <c r="M710" s="3" t="s">
        <v>28</v>
      </c>
      <c r="N710" s="3" t="s">
        <v>28</v>
      </c>
      <c r="O710" s="3" t="s">
        <v>27</v>
      </c>
      <c r="P710" s="3" t="s">
        <v>28</v>
      </c>
      <c r="Q710" s="3" t="s">
        <v>28</v>
      </c>
      <c r="R710" s="3" t="s">
        <v>28</v>
      </c>
      <c r="S710" s="3" t="s">
        <v>27</v>
      </c>
      <c r="T710" s="3" t="s">
        <v>27</v>
      </c>
    </row>
    <row r="711" spans="1:20" ht="409.6">
      <c r="A711" s="3">
        <v>2746273</v>
      </c>
      <c r="B711" s="3">
        <f>HYPERLINK("https://platform.v2.vetology.net/cases/2746273/screening-report/6?type=pdf&amp;v=v6&amp;scorecard=1&amp;secret_key=BX%25IJ%24%2F65ieZ%29f6", 2746273)</f>
        <v>2746273</v>
      </c>
      <c r="C711" s="3">
        <f>HYPERLINK("https://platform.v2.vetology.net/report/v/final/"&amp;2746273, 2746273)</f>
        <v>2746273</v>
      </c>
      <c r="D711" s="3" t="s">
        <v>2823</v>
      </c>
      <c r="E711" s="3" t="s">
        <v>294</v>
      </c>
      <c r="F711" s="3" t="s">
        <v>22</v>
      </c>
      <c r="G711" s="3" t="s">
        <v>23</v>
      </c>
      <c r="H711" s="3" t="s">
        <v>2824</v>
      </c>
      <c r="I711" s="3" t="s">
        <v>2825</v>
      </c>
      <c r="J711" s="3" t="s">
        <v>2826</v>
      </c>
      <c r="K711" s="3" t="s">
        <v>27</v>
      </c>
      <c r="L711" s="3" t="s">
        <v>28</v>
      </c>
      <c r="M711" s="3" t="s">
        <v>27</v>
      </c>
      <c r="N711" s="3" t="s">
        <v>28</v>
      </c>
      <c r="O711" s="3" t="s">
        <v>27</v>
      </c>
      <c r="P711" s="3" t="s">
        <v>28</v>
      </c>
      <c r="Q711" s="3" t="s">
        <v>28</v>
      </c>
      <c r="R711" s="3" t="s">
        <v>28</v>
      </c>
      <c r="S711" s="3" t="s">
        <v>28</v>
      </c>
      <c r="T711" s="3" t="s">
        <v>28</v>
      </c>
    </row>
    <row r="712" spans="1:20" ht="381.75">
      <c r="A712" s="3">
        <v>2746259</v>
      </c>
      <c r="B712" s="3">
        <f>HYPERLINK("https://platform.v2.vetology.net/cases/2746259/screening-report/6?type=pdf&amp;v=v6&amp;scorecard=1&amp;secret_key=BX%25IJ%24%2F65ieZ%29f6", 2746259)</f>
        <v>2746259</v>
      </c>
      <c r="C712" s="3">
        <f>HYPERLINK("https://platform.v2.vetology.net/report/v/final/"&amp;2746259, 2746259)</f>
        <v>2746259</v>
      </c>
      <c r="D712" s="3" t="s">
        <v>2827</v>
      </c>
      <c r="E712" s="3" t="s">
        <v>2828</v>
      </c>
      <c r="F712" s="3" t="s">
        <v>2829</v>
      </c>
      <c r="G712" s="3" t="s">
        <v>179</v>
      </c>
      <c r="H712" s="3" t="s">
        <v>193</v>
      </c>
      <c r="I712" s="3" t="s">
        <v>194</v>
      </c>
      <c r="J712" s="3" t="s">
        <v>195</v>
      </c>
      <c r="K712" s="3" t="s">
        <v>28</v>
      </c>
      <c r="L712" s="3" t="s">
        <v>28</v>
      </c>
      <c r="M712" s="3" t="s">
        <v>28</v>
      </c>
      <c r="N712" s="3" t="s">
        <v>27</v>
      </c>
      <c r="O712" s="3" t="s">
        <v>27</v>
      </c>
      <c r="P712" s="3" t="s">
        <v>28</v>
      </c>
      <c r="Q712" s="3" t="s">
        <v>28</v>
      </c>
      <c r="R712" s="3" t="s">
        <v>27</v>
      </c>
      <c r="S712" s="3" t="s">
        <v>28</v>
      </c>
      <c r="T712" s="3" t="s">
        <v>27</v>
      </c>
    </row>
    <row r="713" spans="1:20" ht="409.6">
      <c r="A713" s="3">
        <v>2746241</v>
      </c>
      <c r="B713" s="3">
        <f>HYPERLINK("https://platform.v2.vetology.net/cases/2746241/screening-report/6?type=pdf&amp;v=v6&amp;scorecard=1&amp;secret_key=BX%25IJ%24%2F65ieZ%29f6", 2746241)</f>
        <v>2746241</v>
      </c>
      <c r="C713" s="3">
        <f>HYPERLINK("https://platform.v2.vetology.net/report/v/final/"&amp;2746241, 2746241)</f>
        <v>2746241</v>
      </c>
      <c r="D713" s="3" t="s">
        <v>2830</v>
      </c>
      <c r="E713" s="3" t="s">
        <v>2831</v>
      </c>
      <c r="F713" s="3" t="s">
        <v>2832</v>
      </c>
      <c r="G713" s="3" t="s">
        <v>64</v>
      </c>
      <c r="H713" s="3" t="s">
        <v>2833</v>
      </c>
      <c r="I713" s="3" t="s">
        <v>856</v>
      </c>
      <c r="J713" s="3" t="s">
        <v>857</v>
      </c>
      <c r="K713" s="3" t="s">
        <v>28</v>
      </c>
      <c r="L713" s="3" t="s">
        <v>28</v>
      </c>
      <c r="M713" s="3" t="s">
        <v>28</v>
      </c>
      <c r="N713" s="3" t="s">
        <v>28</v>
      </c>
      <c r="O713" s="3" t="s">
        <v>27</v>
      </c>
      <c r="P713" s="3" t="s">
        <v>28</v>
      </c>
      <c r="Q713" s="3" t="s">
        <v>28</v>
      </c>
      <c r="R713" s="3" t="s">
        <v>28</v>
      </c>
      <c r="S713" s="3" t="s">
        <v>28</v>
      </c>
      <c r="T713" s="3" t="s">
        <v>28</v>
      </c>
    </row>
    <row r="714" spans="1:20" ht="290.25">
      <c r="A714" s="3">
        <v>2746227</v>
      </c>
      <c r="B714" s="3">
        <f>HYPERLINK("https://platform.v2.vetology.net/cases/2746227/screening-report/6?type=pdf&amp;v=v6&amp;scorecard=1&amp;secret_key=BX%25IJ%24%2F65ieZ%29f6", 2746227)</f>
        <v>2746227</v>
      </c>
      <c r="C714" s="3">
        <f>HYPERLINK("https://platform.v2.vetology.net/report/v/final/"&amp;2746227, 2746227)</f>
        <v>2746227</v>
      </c>
      <c r="D714" s="3" t="s">
        <v>2834</v>
      </c>
      <c r="E714" s="3" t="s">
        <v>2835</v>
      </c>
      <c r="F714" s="3" t="s">
        <v>22</v>
      </c>
      <c r="G714" s="3" t="s">
        <v>23</v>
      </c>
      <c r="H714" s="3" t="s">
        <v>2836</v>
      </c>
      <c r="I714" s="3" t="s">
        <v>136</v>
      </c>
      <c r="J714" s="3" t="s">
        <v>424</v>
      </c>
      <c r="K714" s="3" t="s">
        <v>28</v>
      </c>
      <c r="L714" s="3" t="s">
        <v>28</v>
      </c>
      <c r="M714" s="3" t="s">
        <v>28</v>
      </c>
      <c r="N714" s="3" t="s">
        <v>28</v>
      </c>
      <c r="O714" s="3" t="s">
        <v>27</v>
      </c>
      <c r="P714" s="3" t="s">
        <v>28</v>
      </c>
      <c r="Q714" s="3" t="s">
        <v>28</v>
      </c>
      <c r="R714" s="3" t="s">
        <v>27</v>
      </c>
      <c r="S714" s="3" t="s">
        <v>28</v>
      </c>
      <c r="T714" s="3" t="s">
        <v>27</v>
      </c>
    </row>
    <row r="715" spans="1:20" ht="409.6">
      <c r="A715" s="3">
        <v>2746183</v>
      </c>
      <c r="B715" s="3">
        <f>HYPERLINK("https://platform.v2.vetology.net/cases/2746183/screening-report/6?type=pdf&amp;v=v6&amp;scorecard=1&amp;secret_key=BX%25IJ%24%2F65ieZ%29f6", 2746183)</f>
        <v>2746183</v>
      </c>
      <c r="C715" s="3">
        <f>HYPERLINK("https://platform.v2.vetology.net/report/v/final/"&amp;2746183, 2746183)</f>
        <v>2746183</v>
      </c>
      <c r="D715" s="3" t="s">
        <v>2837</v>
      </c>
      <c r="E715" s="3" t="s">
        <v>2838</v>
      </c>
      <c r="F715" s="3" t="s">
        <v>2839</v>
      </c>
      <c r="G715" s="3" t="s">
        <v>23</v>
      </c>
      <c r="H715" s="3" t="s">
        <v>2840</v>
      </c>
      <c r="I715" s="3" t="s">
        <v>52</v>
      </c>
      <c r="J715" s="3" t="s">
        <v>53</v>
      </c>
      <c r="K715" s="3" t="s">
        <v>27</v>
      </c>
      <c r="L715" s="3" t="s">
        <v>28</v>
      </c>
      <c r="M715" s="3" t="s">
        <v>27</v>
      </c>
      <c r="N715" s="3" t="s">
        <v>28</v>
      </c>
      <c r="O715" s="3" t="s">
        <v>27</v>
      </c>
      <c r="P715" s="3" t="s">
        <v>27</v>
      </c>
      <c r="Q715" s="3" t="s">
        <v>27</v>
      </c>
      <c r="R715" s="3" t="s">
        <v>28</v>
      </c>
      <c r="S715" s="3" t="s">
        <v>28</v>
      </c>
      <c r="T715" s="3" t="s">
        <v>28</v>
      </c>
    </row>
    <row r="716" spans="1:20" ht="409.6">
      <c r="A716" s="3">
        <v>2746157</v>
      </c>
      <c r="B716" s="3">
        <f>HYPERLINK("https://platform.v2.vetology.net/cases/2746157/screening-report/6?type=pdf&amp;v=v6&amp;scorecard=1&amp;secret_key=BX%25IJ%24%2F65ieZ%29f6", 2746157)</f>
        <v>2746157</v>
      </c>
      <c r="C716" s="3">
        <f>HYPERLINK("https://platform.v2.vetology.net/report/v/final/"&amp;2746157, 2746157)</f>
        <v>2746157</v>
      </c>
      <c r="D716" s="3" t="s">
        <v>2841</v>
      </c>
      <c r="E716" s="3" t="s">
        <v>2842</v>
      </c>
      <c r="F716" s="3" t="s">
        <v>2843</v>
      </c>
      <c r="G716" s="3" t="s">
        <v>57</v>
      </c>
      <c r="H716" s="3" t="s">
        <v>2169</v>
      </c>
      <c r="I716" s="3" t="s">
        <v>2170</v>
      </c>
      <c r="J716" s="3" t="s">
        <v>2171</v>
      </c>
      <c r="K716" s="3" t="s">
        <v>28</v>
      </c>
      <c r="L716" s="3" t="s">
        <v>28</v>
      </c>
      <c r="M716" s="3" t="s">
        <v>28</v>
      </c>
      <c r="N716" s="3" t="s">
        <v>27</v>
      </c>
      <c r="O716" s="3" t="s">
        <v>27</v>
      </c>
      <c r="P716" s="3" t="s">
        <v>28</v>
      </c>
      <c r="Q716" s="3" t="s">
        <v>27</v>
      </c>
      <c r="R716" s="3" t="s">
        <v>28</v>
      </c>
      <c r="S716" s="3" t="s">
        <v>27</v>
      </c>
      <c r="T716" s="3" t="s">
        <v>27</v>
      </c>
    </row>
    <row r="717" spans="1:20" ht="409.6">
      <c r="A717" s="3">
        <v>2746147</v>
      </c>
      <c r="B717" s="3">
        <f>HYPERLINK("https://platform.v2.vetology.net/cases/2746147/screening-report/6?type=pdf&amp;v=v6&amp;scorecard=1&amp;secret_key=BX%25IJ%24%2F65ieZ%29f6", 2746147)</f>
        <v>2746147</v>
      </c>
      <c r="C717" s="3">
        <f>HYPERLINK("https://platform.v2.vetology.net/report/v/final/"&amp;2746147, 2746147)</f>
        <v>2746147</v>
      </c>
      <c r="D717" s="3" t="s">
        <v>2844</v>
      </c>
      <c r="E717" s="3" t="s">
        <v>2845</v>
      </c>
      <c r="F717" s="3" t="s">
        <v>2846</v>
      </c>
      <c r="G717" s="3" t="s">
        <v>57</v>
      </c>
      <c r="H717" s="3" t="s">
        <v>2847</v>
      </c>
      <c r="I717" s="3" t="s">
        <v>291</v>
      </c>
      <c r="J717" s="3" t="s">
        <v>225</v>
      </c>
      <c r="K717" s="3" t="s">
        <v>28</v>
      </c>
      <c r="L717" s="3" t="s">
        <v>27</v>
      </c>
      <c r="M717" s="3" t="s">
        <v>28</v>
      </c>
      <c r="N717" s="3" t="s">
        <v>27</v>
      </c>
      <c r="O717" s="3" t="s">
        <v>27</v>
      </c>
      <c r="P717" s="3" t="s">
        <v>28</v>
      </c>
      <c r="Q717" s="3" t="s">
        <v>28</v>
      </c>
      <c r="R717" s="3" t="s">
        <v>27</v>
      </c>
      <c r="S717" s="3" t="s">
        <v>27</v>
      </c>
      <c r="T717" s="3" t="s">
        <v>27</v>
      </c>
    </row>
    <row r="718" spans="1:20" ht="396.75">
      <c r="A718" s="3">
        <v>2746138</v>
      </c>
      <c r="B718" s="3">
        <f>HYPERLINK("https://platform.v2.vetology.net/cases/2746138/screening-report/6?type=pdf&amp;v=v6&amp;scorecard=1&amp;secret_key=BX%25IJ%24%2F65ieZ%29f6", 2746138)</f>
        <v>2746138</v>
      </c>
      <c r="C718" s="3">
        <f>HYPERLINK("https://platform.v2.vetology.net/report/v/final/"&amp;2746138, 2746138)</f>
        <v>2746138</v>
      </c>
      <c r="D718" s="3" t="s">
        <v>2848</v>
      </c>
      <c r="E718" s="3" t="s">
        <v>2849</v>
      </c>
      <c r="F718" s="3" t="s">
        <v>22</v>
      </c>
      <c r="G718" s="3" t="s">
        <v>23</v>
      </c>
      <c r="H718" s="3" t="s">
        <v>350</v>
      </c>
      <c r="I718" s="3" t="s">
        <v>351</v>
      </c>
      <c r="J718" s="3" t="s">
        <v>352</v>
      </c>
      <c r="K718" s="3" t="s">
        <v>28</v>
      </c>
      <c r="L718" s="3" t="s">
        <v>28</v>
      </c>
      <c r="M718" s="3" t="s">
        <v>28</v>
      </c>
      <c r="N718" s="3" t="s">
        <v>28</v>
      </c>
      <c r="O718" s="3" t="s">
        <v>28</v>
      </c>
      <c r="P718" s="3" t="s">
        <v>28</v>
      </c>
      <c r="Q718" s="3" t="s">
        <v>28</v>
      </c>
      <c r="R718" s="3" t="s">
        <v>28</v>
      </c>
      <c r="S718" s="3" t="s">
        <v>28</v>
      </c>
      <c r="T718" s="3" t="s">
        <v>27</v>
      </c>
    </row>
    <row r="719" spans="1:20" ht="396.75">
      <c r="A719" s="3">
        <v>2746131</v>
      </c>
      <c r="B719" s="3">
        <f>HYPERLINK("https://platform.v2.vetology.net/cases/2746131/screening-report/6?type=pdf&amp;v=v6&amp;scorecard=1&amp;secret_key=BX%25IJ%24%2F65ieZ%29f6", 2746131)</f>
        <v>2746131</v>
      </c>
      <c r="C719" s="3">
        <f>HYPERLINK("https://platform.v2.vetology.net/report/v/final/"&amp;2746131, 2746131)</f>
        <v>2746131</v>
      </c>
      <c r="D719" s="3" t="s">
        <v>2850</v>
      </c>
      <c r="E719" s="3" t="s">
        <v>2851</v>
      </c>
      <c r="F719" s="3" t="s">
        <v>2852</v>
      </c>
      <c r="G719" s="3" t="s">
        <v>23</v>
      </c>
      <c r="H719" s="3" t="s">
        <v>2853</v>
      </c>
      <c r="I719" s="3" t="s">
        <v>2854</v>
      </c>
      <c r="J719" s="3" t="s">
        <v>2855</v>
      </c>
      <c r="K719" s="3" t="s">
        <v>27</v>
      </c>
      <c r="L719" s="3" t="s">
        <v>28</v>
      </c>
      <c r="M719" s="3" t="s">
        <v>28</v>
      </c>
      <c r="N719" s="3" t="s">
        <v>28</v>
      </c>
      <c r="O719" s="3" t="s">
        <v>27</v>
      </c>
      <c r="P719" s="3" t="s">
        <v>28</v>
      </c>
      <c r="Q719" s="3" t="s">
        <v>28</v>
      </c>
      <c r="R719" s="3" t="s">
        <v>28</v>
      </c>
      <c r="S719" s="3" t="s">
        <v>28</v>
      </c>
      <c r="T719" s="3" t="s">
        <v>28</v>
      </c>
    </row>
    <row r="720" spans="1:20" ht="305.25">
      <c r="A720" s="3">
        <v>2746122</v>
      </c>
      <c r="B720" s="3">
        <f>HYPERLINK("https://platform.v2.vetology.net/cases/2746122/screening-report/6?type=pdf&amp;v=v6&amp;scorecard=1&amp;secret_key=BX%25IJ%24%2F65ieZ%29f6", 2746122)</f>
        <v>2746122</v>
      </c>
      <c r="C720" s="3">
        <f>HYPERLINK("https://platform.v2.vetology.net/report/v/final/"&amp;2746122, 2746122)</f>
        <v>2746122</v>
      </c>
      <c r="D720" s="3" t="s">
        <v>2856</v>
      </c>
      <c r="E720" s="3" t="s">
        <v>2857</v>
      </c>
      <c r="F720" s="3" t="s">
        <v>2858</v>
      </c>
      <c r="G720" s="3" t="s">
        <v>57</v>
      </c>
      <c r="H720" s="3" t="s">
        <v>1158</v>
      </c>
      <c r="I720" s="3" t="s">
        <v>32</v>
      </c>
      <c r="J720" s="3" t="s">
        <v>33</v>
      </c>
      <c r="K720" s="3" t="s">
        <v>28</v>
      </c>
      <c r="L720" s="3" t="s">
        <v>27</v>
      </c>
      <c r="M720" s="3" t="s">
        <v>28</v>
      </c>
      <c r="N720" s="3" t="s">
        <v>28</v>
      </c>
      <c r="O720" s="3" t="s">
        <v>28</v>
      </c>
      <c r="P720" s="3" t="s">
        <v>28</v>
      </c>
      <c r="Q720" s="3" t="s">
        <v>28</v>
      </c>
      <c r="R720" s="3" t="s">
        <v>28</v>
      </c>
      <c r="S720" s="3" t="s">
        <v>28</v>
      </c>
      <c r="T720" s="3" t="s">
        <v>28</v>
      </c>
    </row>
    <row r="721" spans="1:20" ht="409.6">
      <c r="A721" s="3">
        <v>2746121</v>
      </c>
      <c r="B721" s="3">
        <f>HYPERLINK("https://platform.v2.vetology.net/cases/2746121/screening-report/6?type=pdf&amp;v=v6&amp;scorecard=1&amp;secret_key=BX%25IJ%24%2F65ieZ%29f6", 2746121)</f>
        <v>2746121</v>
      </c>
      <c r="C721" s="3">
        <f>HYPERLINK("https://platform.v2.vetology.net/report/v/final/"&amp;2746121, 2746121)</f>
        <v>2746121</v>
      </c>
      <c r="D721" s="3" t="s">
        <v>2859</v>
      </c>
      <c r="E721" s="3" t="s">
        <v>2860</v>
      </c>
      <c r="F721" s="3" t="s">
        <v>22</v>
      </c>
      <c r="G721" s="3" t="s">
        <v>23</v>
      </c>
      <c r="H721" s="3" t="s">
        <v>2861</v>
      </c>
      <c r="I721" s="3" t="s">
        <v>667</v>
      </c>
      <c r="J721" s="3" t="s">
        <v>668</v>
      </c>
      <c r="K721" s="3" t="s">
        <v>28</v>
      </c>
      <c r="L721" s="3" t="s">
        <v>28</v>
      </c>
      <c r="M721" s="3" t="s">
        <v>28</v>
      </c>
      <c r="N721" s="3" t="s">
        <v>28</v>
      </c>
      <c r="O721" s="3" t="s">
        <v>27</v>
      </c>
      <c r="P721" s="3" t="s">
        <v>28</v>
      </c>
      <c r="Q721" s="3" t="s">
        <v>28</v>
      </c>
      <c r="R721" s="3" t="s">
        <v>28</v>
      </c>
      <c r="S721" s="3" t="s">
        <v>27</v>
      </c>
      <c r="T721" s="3" t="s">
        <v>27</v>
      </c>
    </row>
    <row r="722" spans="1:20" ht="366">
      <c r="A722" s="3">
        <v>2746108</v>
      </c>
      <c r="B722" s="3">
        <f>HYPERLINK("https://platform.v2.vetology.net/cases/2746108/screening-report/6?type=pdf&amp;v=v6&amp;scorecard=1&amp;secret_key=BX%25IJ%24%2F65ieZ%29f6", 2746108)</f>
        <v>2746108</v>
      </c>
      <c r="C722" s="3">
        <f>HYPERLINK("https://platform.v2.vetology.net/report/v/final/"&amp;2746108, 2746108)</f>
        <v>2746108</v>
      </c>
      <c r="D722" s="3" t="s">
        <v>2862</v>
      </c>
      <c r="E722" s="3" t="s">
        <v>2863</v>
      </c>
      <c r="F722" s="3"/>
      <c r="G722" s="3" t="s">
        <v>122</v>
      </c>
      <c r="H722" s="3" t="s">
        <v>2864</v>
      </c>
      <c r="I722" s="3" t="s">
        <v>993</v>
      </c>
      <c r="J722" s="3" t="s">
        <v>994</v>
      </c>
      <c r="K722" s="3" t="s">
        <v>28</v>
      </c>
      <c r="L722" s="3" t="s">
        <v>28</v>
      </c>
      <c r="M722" s="3" t="s">
        <v>28</v>
      </c>
      <c r="N722" s="3" t="s">
        <v>28</v>
      </c>
      <c r="O722" s="3" t="s">
        <v>28</v>
      </c>
      <c r="P722" s="3" t="s">
        <v>28</v>
      </c>
      <c r="Q722" s="3" t="s">
        <v>28</v>
      </c>
      <c r="R722" s="3" t="s">
        <v>28</v>
      </c>
      <c r="S722" s="3" t="s">
        <v>28</v>
      </c>
      <c r="T722" s="3" t="s">
        <v>28</v>
      </c>
    </row>
    <row r="723" spans="1:20" ht="396.75">
      <c r="A723" s="3">
        <v>2746065</v>
      </c>
      <c r="B723" s="3">
        <f>HYPERLINK("https://platform.v2.vetology.net/cases/2746065/screening-report/6?type=pdf&amp;v=v6&amp;scorecard=1&amp;secret_key=BX%25IJ%24%2F65ieZ%29f6", 2746065)</f>
        <v>2746065</v>
      </c>
      <c r="C723" s="3">
        <f>HYPERLINK("https://platform.v2.vetology.net/report/v/final/"&amp;2746065, 2746065)</f>
        <v>2746065</v>
      </c>
      <c r="D723" s="3" t="s">
        <v>2865</v>
      </c>
      <c r="E723" s="3" t="s">
        <v>2866</v>
      </c>
      <c r="F723" s="3" t="s">
        <v>2867</v>
      </c>
      <c r="G723" s="3" t="s">
        <v>57</v>
      </c>
      <c r="H723" s="3" t="s">
        <v>1097</v>
      </c>
      <c r="I723" s="3" t="s">
        <v>469</v>
      </c>
      <c r="J723" s="3" t="s">
        <v>470</v>
      </c>
      <c r="K723" s="3" t="s">
        <v>28</v>
      </c>
      <c r="L723" s="3" t="s">
        <v>28</v>
      </c>
      <c r="M723" s="3" t="s">
        <v>28</v>
      </c>
      <c r="N723" s="3" t="s">
        <v>28</v>
      </c>
      <c r="O723" s="3" t="s">
        <v>27</v>
      </c>
      <c r="P723" s="3" t="s">
        <v>28</v>
      </c>
      <c r="Q723" s="3" t="s">
        <v>28</v>
      </c>
      <c r="R723" s="3" t="s">
        <v>28</v>
      </c>
      <c r="S723" s="3" t="s">
        <v>28</v>
      </c>
      <c r="T723" s="3" t="s">
        <v>28</v>
      </c>
    </row>
    <row r="724" spans="1:20" ht="409.6">
      <c r="A724" s="3">
        <v>2745962</v>
      </c>
      <c r="B724" s="3">
        <f>HYPERLINK("https://platform.v2.vetology.net/cases/2745962/screening-report/6?type=pdf&amp;v=v6&amp;scorecard=1&amp;secret_key=BX%25IJ%24%2F65ieZ%29f6", 2745962)</f>
        <v>2745962</v>
      </c>
      <c r="C724" s="3">
        <f>HYPERLINK("https://platform.v2.vetology.net/report/v/final/"&amp;2745962, 2745962)</f>
        <v>2745962</v>
      </c>
      <c r="D724" s="3" t="s">
        <v>2868</v>
      </c>
      <c r="E724" s="3" t="s">
        <v>2869</v>
      </c>
      <c r="F724" s="3" t="s">
        <v>2870</v>
      </c>
      <c r="G724" s="3" t="s">
        <v>496</v>
      </c>
      <c r="H724" s="3" t="s">
        <v>548</v>
      </c>
      <c r="I724" s="3" t="s">
        <v>549</v>
      </c>
      <c r="J724" s="3" t="s">
        <v>550</v>
      </c>
      <c r="K724" s="3" t="s">
        <v>28</v>
      </c>
      <c r="L724" s="3" t="s">
        <v>27</v>
      </c>
      <c r="M724" s="3" t="s">
        <v>28</v>
      </c>
      <c r="N724" s="3" t="s">
        <v>27</v>
      </c>
      <c r="O724" s="3" t="s">
        <v>28</v>
      </c>
      <c r="P724" s="3" t="s">
        <v>28</v>
      </c>
      <c r="Q724" s="3" t="s">
        <v>28</v>
      </c>
      <c r="R724" s="3" t="s">
        <v>27</v>
      </c>
      <c r="S724" s="3" t="s">
        <v>27</v>
      </c>
      <c r="T724" s="3" t="s">
        <v>27</v>
      </c>
    </row>
    <row r="725" spans="1:20" ht="409.6">
      <c r="A725" s="3">
        <v>2745923</v>
      </c>
      <c r="B725" s="3">
        <f>HYPERLINK("https://platform.v2.vetology.net/cases/2745923/screening-report/6?type=pdf&amp;v=v6&amp;scorecard=1&amp;secret_key=BX%25IJ%24%2F65ieZ%29f6", 2745923)</f>
        <v>2745923</v>
      </c>
      <c r="C725" s="3">
        <f>HYPERLINK("https://platform.v2.vetology.net/report/v/final/"&amp;2745923, 2745923)</f>
        <v>2745923</v>
      </c>
      <c r="D725" s="3" t="s">
        <v>2871</v>
      </c>
      <c r="E725" s="3" t="s">
        <v>2872</v>
      </c>
      <c r="F725" s="3" t="s">
        <v>2873</v>
      </c>
      <c r="G725" s="3" t="s">
        <v>64</v>
      </c>
      <c r="H725" s="3" t="s">
        <v>2874</v>
      </c>
      <c r="I725" s="3" t="s">
        <v>2875</v>
      </c>
      <c r="J725" s="3" t="s">
        <v>207</v>
      </c>
      <c r="K725" s="3" t="s">
        <v>27</v>
      </c>
      <c r="L725" s="3" t="s">
        <v>28</v>
      </c>
      <c r="M725" s="3" t="s">
        <v>27</v>
      </c>
      <c r="N725" s="3" t="s">
        <v>28</v>
      </c>
      <c r="O725" s="3" t="s">
        <v>27</v>
      </c>
      <c r="P725" s="3" t="s">
        <v>28</v>
      </c>
      <c r="Q725" s="3" t="s">
        <v>27</v>
      </c>
      <c r="R725" s="3" t="s">
        <v>28</v>
      </c>
      <c r="S725" s="3" t="s">
        <v>28</v>
      </c>
      <c r="T725" s="3" t="s">
        <v>28</v>
      </c>
    </row>
    <row r="726" spans="1:20" ht="409.6">
      <c r="A726" s="3">
        <v>2745920</v>
      </c>
      <c r="B726" s="3">
        <f>HYPERLINK("https://platform.v2.vetology.net/cases/2745920/screening-report/6?type=pdf&amp;v=v6&amp;scorecard=1&amp;secret_key=BX%25IJ%24%2F65ieZ%29f6", 2745920)</f>
        <v>2745920</v>
      </c>
      <c r="C726" s="3">
        <f>HYPERLINK("https://platform.v2.vetology.net/report/v/final/"&amp;2745920, 2745920)</f>
        <v>2745920</v>
      </c>
      <c r="D726" s="3" t="s">
        <v>2876</v>
      </c>
      <c r="E726" s="3" t="s">
        <v>2877</v>
      </c>
      <c r="F726" s="3" t="s">
        <v>2878</v>
      </c>
      <c r="G726" s="3" t="s">
        <v>57</v>
      </c>
      <c r="H726" s="3" t="s">
        <v>31</v>
      </c>
      <c r="I726" s="3" t="s">
        <v>32</v>
      </c>
      <c r="J726" s="3" t="s">
        <v>33</v>
      </c>
      <c r="K726" s="3" t="s">
        <v>28</v>
      </c>
      <c r="L726" s="3" t="s">
        <v>28</v>
      </c>
      <c r="M726" s="3" t="s">
        <v>28</v>
      </c>
      <c r="N726" s="3" t="s">
        <v>28</v>
      </c>
      <c r="O726" s="3" t="s">
        <v>28</v>
      </c>
      <c r="P726" s="3" t="s">
        <v>28</v>
      </c>
      <c r="Q726" s="3" t="s">
        <v>28</v>
      </c>
      <c r="R726" s="3" t="s">
        <v>28</v>
      </c>
      <c r="S726" s="3" t="s">
        <v>28</v>
      </c>
      <c r="T726" s="3" t="s">
        <v>28</v>
      </c>
    </row>
    <row r="727" spans="1:20" ht="396.75">
      <c r="A727" s="3">
        <v>2745897</v>
      </c>
      <c r="B727" s="3">
        <f>HYPERLINK("https://platform.v2.vetology.net/cases/2745897/screening-report/6?type=pdf&amp;v=v6&amp;scorecard=1&amp;secret_key=BX%25IJ%24%2F65ieZ%29f6", 2745897)</f>
        <v>2745897</v>
      </c>
      <c r="C727" s="3">
        <f>HYPERLINK("https://platform.v2.vetology.net/report/v/final/"&amp;2745897, 2745897)</f>
        <v>2745897</v>
      </c>
      <c r="D727" s="3" t="s">
        <v>2879</v>
      </c>
      <c r="E727" s="3" t="s">
        <v>2880</v>
      </c>
      <c r="F727" s="3" t="s">
        <v>2881</v>
      </c>
      <c r="G727" s="3" t="s">
        <v>57</v>
      </c>
      <c r="H727" s="3" t="s">
        <v>2882</v>
      </c>
      <c r="I727" s="3" t="s">
        <v>351</v>
      </c>
      <c r="J727" s="3" t="s">
        <v>352</v>
      </c>
      <c r="K727" s="3" t="s">
        <v>28</v>
      </c>
      <c r="L727" s="3" t="s">
        <v>28</v>
      </c>
      <c r="M727" s="3" t="s">
        <v>28</v>
      </c>
      <c r="N727" s="3" t="s">
        <v>28</v>
      </c>
      <c r="O727" s="3" t="s">
        <v>28</v>
      </c>
      <c r="P727" s="3" t="s">
        <v>28</v>
      </c>
      <c r="Q727" s="3" t="s">
        <v>28</v>
      </c>
      <c r="R727" s="3" t="s">
        <v>28</v>
      </c>
      <c r="S727" s="3" t="s">
        <v>28</v>
      </c>
      <c r="T727" s="3" t="s">
        <v>27</v>
      </c>
    </row>
    <row r="728" spans="1:20" ht="336">
      <c r="A728" s="3">
        <v>2745896</v>
      </c>
      <c r="B728" s="3">
        <f>HYPERLINK("https://platform.v2.vetology.net/cases/2745896/screening-report/6?type=pdf&amp;v=v6&amp;scorecard=1&amp;secret_key=BX%25IJ%24%2F65ieZ%29f6", 2745896)</f>
        <v>2745896</v>
      </c>
      <c r="C728" s="3">
        <f>HYPERLINK("https://platform.v2.vetology.net/report/v/final/"&amp;2745896, 2745896)</f>
        <v>2745896</v>
      </c>
      <c r="D728" s="3" t="s">
        <v>2883</v>
      </c>
      <c r="E728" s="3" t="s">
        <v>2884</v>
      </c>
      <c r="F728" s="3"/>
      <c r="G728" s="3" t="s">
        <v>122</v>
      </c>
      <c r="H728" s="3" t="s">
        <v>2885</v>
      </c>
      <c r="I728" s="3" t="s">
        <v>42</v>
      </c>
      <c r="J728" s="3" t="s">
        <v>43</v>
      </c>
      <c r="K728" s="3" t="s">
        <v>28</v>
      </c>
      <c r="L728" s="3" t="s">
        <v>27</v>
      </c>
      <c r="M728" s="3" t="s">
        <v>27</v>
      </c>
      <c r="N728" s="3" t="s">
        <v>27</v>
      </c>
      <c r="O728" s="3" t="s">
        <v>27</v>
      </c>
      <c r="P728" s="3" t="s">
        <v>28</v>
      </c>
      <c r="Q728" s="3" t="s">
        <v>27</v>
      </c>
      <c r="R728" s="3" t="s">
        <v>27</v>
      </c>
      <c r="S728" s="3" t="s">
        <v>27</v>
      </c>
      <c r="T728" s="3" t="s">
        <v>27</v>
      </c>
    </row>
    <row r="729" spans="1:20" ht="229.5">
      <c r="A729" s="3">
        <v>2745866</v>
      </c>
      <c r="B729" s="3">
        <f>HYPERLINK("https://platform.v2.vetology.net/cases/2745866/screening-report/6?type=pdf&amp;v=v6&amp;scorecard=1&amp;secret_key=BX%25IJ%24%2F65ieZ%29f6", 2745866)</f>
        <v>2745866</v>
      </c>
      <c r="C729" s="3">
        <f>HYPERLINK("https://platform.v2.vetology.net/report/v/final/"&amp;2745866, 2745866)</f>
        <v>2745866</v>
      </c>
      <c r="D729" s="3" t="s">
        <v>2886</v>
      </c>
      <c r="E729" s="3" t="s">
        <v>2887</v>
      </c>
      <c r="F729" s="3" t="s">
        <v>2888</v>
      </c>
      <c r="G729" s="3" t="s">
        <v>1772</v>
      </c>
      <c r="H729" s="3" t="s">
        <v>2889</v>
      </c>
      <c r="I729" s="3" t="s">
        <v>2165</v>
      </c>
      <c r="J729" s="3" t="s">
        <v>207</v>
      </c>
      <c r="K729" s="3" t="s">
        <v>28</v>
      </c>
      <c r="L729" s="3" t="s">
        <v>28</v>
      </c>
      <c r="M729" s="3" t="s">
        <v>28</v>
      </c>
      <c r="N729" s="3" t="s">
        <v>28</v>
      </c>
      <c r="O729" s="3" t="s">
        <v>27</v>
      </c>
      <c r="P729" s="3" t="s">
        <v>27</v>
      </c>
      <c r="Q729" s="3" t="s">
        <v>28</v>
      </c>
      <c r="R729" s="3" t="s">
        <v>28</v>
      </c>
      <c r="S729" s="3" t="s">
        <v>28</v>
      </c>
      <c r="T729" s="3" t="s">
        <v>28</v>
      </c>
    </row>
    <row r="730" spans="1:20" ht="409.6">
      <c r="A730" s="3">
        <v>2745644</v>
      </c>
      <c r="B730" s="3">
        <f>HYPERLINK("https://platform.v2.vetology.net/cases/2745644/screening-report/6?type=pdf&amp;v=v6&amp;scorecard=1&amp;secret_key=BX%25IJ%24%2F65ieZ%29f6", 2745644)</f>
        <v>2745644</v>
      </c>
      <c r="C730" s="3">
        <f>HYPERLINK("https://platform.v2.vetology.net/report/v/final/"&amp;2745644, 2745644)</f>
        <v>2745644</v>
      </c>
      <c r="D730" s="3" t="s">
        <v>2890</v>
      </c>
      <c r="E730" s="3" t="s">
        <v>2891</v>
      </c>
      <c r="F730" s="3" t="s">
        <v>22</v>
      </c>
      <c r="G730" s="3" t="s">
        <v>23</v>
      </c>
      <c r="H730" s="3" t="s">
        <v>2892</v>
      </c>
      <c r="I730" s="3" t="s">
        <v>2108</v>
      </c>
      <c r="J730" s="3" t="s">
        <v>679</v>
      </c>
      <c r="K730" s="3" t="s">
        <v>28</v>
      </c>
      <c r="L730" s="3" t="s">
        <v>28</v>
      </c>
      <c r="M730" s="3" t="s">
        <v>28</v>
      </c>
      <c r="N730" s="3" t="s">
        <v>27</v>
      </c>
      <c r="O730" s="3" t="s">
        <v>27</v>
      </c>
      <c r="P730" s="3" t="s">
        <v>27</v>
      </c>
      <c r="Q730" s="3" t="s">
        <v>27</v>
      </c>
      <c r="R730" s="3" t="s">
        <v>27</v>
      </c>
      <c r="S730" s="3" t="s">
        <v>27</v>
      </c>
      <c r="T730" s="3" t="s">
        <v>27</v>
      </c>
    </row>
    <row r="731" spans="1:20" ht="290.25">
      <c r="A731" s="3">
        <v>2745545</v>
      </c>
      <c r="B731" s="3">
        <f>HYPERLINK("https://platform.v2.vetology.net/cases/2745545/screening-report/6?type=pdf&amp;v=v6&amp;scorecard=1&amp;secret_key=BX%25IJ%24%2F65ieZ%29f6", 2745545)</f>
        <v>2745545</v>
      </c>
      <c r="C731" s="3">
        <f>HYPERLINK("https://platform.v2.vetology.net/report/v/final/"&amp;2745545, 2745545)</f>
        <v>2745545</v>
      </c>
      <c r="D731" s="3" t="s">
        <v>2893</v>
      </c>
      <c r="E731" s="3" t="s">
        <v>2894</v>
      </c>
      <c r="F731" s="3" t="s">
        <v>2895</v>
      </c>
      <c r="G731" s="3" t="s">
        <v>186</v>
      </c>
      <c r="H731" s="3" t="s">
        <v>2896</v>
      </c>
      <c r="I731" s="3" t="s">
        <v>2897</v>
      </c>
      <c r="J731" s="3" t="s">
        <v>207</v>
      </c>
      <c r="K731" s="3" t="s">
        <v>28</v>
      </c>
      <c r="L731" s="3" t="s">
        <v>28</v>
      </c>
      <c r="M731" s="3" t="s">
        <v>27</v>
      </c>
      <c r="N731" s="3" t="s">
        <v>28</v>
      </c>
      <c r="O731" s="3" t="s">
        <v>27</v>
      </c>
      <c r="P731" s="3" t="s">
        <v>27</v>
      </c>
      <c r="Q731" s="3" t="s">
        <v>27</v>
      </c>
      <c r="R731" s="3" t="s">
        <v>28</v>
      </c>
      <c r="S731" s="3" t="s">
        <v>28</v>
      </c>
      <c r="T731" s="3" t="s">
        <v>28</v>
      </c>
    </row>
    <row r="732" spans="1:20" ht="409.6">
      <c r="A732" s="3">
        <v>2745514</v>
      </c>
      <c r="B732" s="3">
        <f>HYPERLINK("https://platform.v2.vetology.net/cases/2745514/screening-report/6?type=pdf&amp;v=v6&amp;scorecard=1&amp;secret_key=BX%25IJ%24%2F65ieZ%29f6", 2745514)</f>
        <v>2745514</v>
      </c>
      <c r="C732" s="3">
        <f>HYPERLINK("https://platform.v2.vetology.net/report/v/final/"&amp;2745514, 2745514)</f>
        <v>2745514</v>
      </c>
      <c r="D732" s="3" t="s">
        <v>2898</v>
      </c>
      <c r="E732" s="3" t="s">
        <v>2899</v>
      </c>
      <c r="F732" s="3" t="s">
        <v>2900</v>
      </c>
      <c r="G732" s="3" t="s">
        <v>211</v>
      </c>
      <c r="H732" s="3" t="s">
        <v>1176</v>
      </c>
      <c r="I732" s="3" t="s">
        <v>206</v>
      </c>
      <c r="J732" s="3" t="s">
        <v>207</v>
      </c>
      <c r="K732" s="3" t="s">
        <v>27</v>
      </c>
      <c r="L732" s="3" t="s">
        <v>28</v>
      </c>
      <c r="M732" s="3" t="s">
        <v>27</v>
      </c>
      <c r="N732" s="3" t="s">
        <v>28</v>
      </c>
      <c r="O732" s="3" t="s">
        <v>27</v>
      </c>
      <c r="P732" s="3" t="s">
        <v>28</v>
      </c>
      <c r="Q732" s="3" t="s">
        <v>27</v>
      </c>
      <c r="R732" s="3" t="s">
        <v>28</v>
      </c>
      <c r="S732" s="3" t="s">
        <v>28</v>
      </c>
      <c r="T732" s="3" t="s">
        <v>28</v>
      </c>
    </row>
    <row r="733" spans="1:20" ht="409.6">
      <c r="A733" s="3">
        <v>2745469</v>
      </c>
      <c r="B733" s="3">
        <f>HYPERLINK("https://platform.v2.vetology.net/cases/2745469/screening-report/6?type=pdf&amp;v=v6&amp;scorecard=1&amp;secret_key=BX%25IJ%24%2F65ieZ%29f6", 2745469)</f>
        <v>2745469</v>
      </c>
      <c r="C733" s="3">
        <f>HYPERLINK("https://platform.v2.vetology.net/report/v/final/"&amp;2745469, 2745469)</f>
        <v>2745469</v>
      </c>
      <c r="D733" s="3" t="s">
        <v>2901</v>
      </c>
      <c r="E733" s="3" t="s">
        <v>2902</v>
      </c>
      <c r="F733" s="3" t="s">
        <v>2903</v>
      </c>
      <c r="G733" s="3" t="s">
        <v>64</v>
      </c>
      <c r="H733" s="3" t="s">
        <v>2072</v>
      </c>
      <c r="I733" s="3" t="s">
        <v>233</v>
      </c>
      <c r="J733" s="3" t="s">
        <v>234</v>
      </c>
      <c r="K733" s="3" t="s">
        <v>28</v>
      </c>
      <c r="L733" s="3" t="s">
        <v>28</v>
      </c>
      <c r="M733" s="3" t="s">
        <v>27</v>
      </c>
      <c r="N733" s="3" t="s">
        <v>28</v>
      </c>
      <c r="O733" s="3" t="s">
        <v>27</v>
      </c>
      <c r="P733" s="3" t="s">
        <v>28</v>
      </c>
      <c r="Q733" s="3" t="s">
        <v>28</v>
      </c>
      <c r="R733" s="3" t="s">
        <v>28</v>
      </c>
      <c r="S733" s="3" t="s">
        <v>28</v>
      </c>
      <c r="T733" s="3" t="s">
        <v>28</v>
      </c>
    </row>
    <row r="734" spans="1:20" ht="409.6">
      <c r="A734" s="3">
        <v>2745439</v>
      </c>
      <c r="B734" s="3">
        <f>HYPERLINK("https://platform.v2.vetology.net/cases/2745439/screening-report/6?type=pdf&amp;v=v6&amp;scorecard=1&amp;secret_key=BX%25IJ%24%2F65ieZ%29f6", 2745439)</f>
        <v>2745439</v>
      </c>
      <c r="C734" s="3">
        <f>HYPERLINK("https://platform.v2.vetology.net/report/v/final/"&amp;2745439, 2745439)</f>
        <v>2745439</v>
      </c>
      <c r="D734" s="3" t="s">
        <v>2904</v>
      </c>
      <c r="E734" s="3" t="s">
        <v>2905</v>
      </c>
      <c r="F734" s="3" t="s">
        <v>2906</v>
      </c>
      <c r="G734" s="3" t="s">
        <v>64</v>
      </c>
      <c r="H734" s="3" t="s">
        <v>2907</v>
      </c>
      <c r="I734" s="3" t="s">
        <v>1964</v>
      </c>
      <c r="J734" s="3" t="s">
        <v>1965</v>
      </c>
      <c r="K734" s="3" t="s">
        <v>28</v>
      </c>
      <c r="L734" s="3" t="s">
        <v>28</v>
      </c>
      <c r="M734" s="3" t="s">
        <v>28</v>
      </c>
      <c r="N734" s="3" t="s">
        <v>28</v>
      </c>
      <c r="O734" s="3" t="s">
        <v>27</v>
      </c>
      <c r="P734" s="3" t="s">
        <v>28</v>
      </c>
      <c r="Q734" s="3" t="s">
        <v>28</v>
      </c>
      <c r="R734" s="3" t="s">
        <v>28</v>
      </c>
      <c r="S734" s="3" t="s">
        <v>28</v>
      </c>
      <c r="T734" s="3" t="s">
        <v>27</v>
      </c>
    </row>
    <row r="735" spans="1:20" ht="409.6">
      <c r="A735" s="3">
        <v>2745432</v>
      </c>
      <c r="B735" s="3">
        <f>HYPERLINK("https://platform.v2.vetology.net/cases/2745432/screening-report/6?type=pdf&amp;v=v6&amp;scorecard=1&amp;secret_key=BX%25IJ%24%2F65ieZ%29f6", 2745432)</f>
        <v>2745432</v>
      </c>
      <c r="C735" s="3">
        <f>HYPERLINK("https://platform.v2.vetology.net/report/v/final/"&amp;2745432, 2745432)</f>
        <v>2745432</v>
      </c>
      <c r="D735" s="3" t="s">
        <v>2908</v>
      </c>
      <c r="E735" s="3" t="s">
        <v>2909</v>
      </c>
      <c r="F735" s="3" t="s">
        <v>2910</v>
      </c>
      <c r="G735" s="3" t="s">
        <v>57</v>
      </c>
      <c r="H735" s="3" t="s">
        <v>1403</v>
      </c>
      <c r="I735" s="3" t="s">
        <v>1404</v>
      </c>
      <c r="J735" s="3" t="s">
        <v>1405</v>
      </c>
      <c r="K735" s="3" t="s">
        <v>28</v>
      </c>
      <c r="L735" s="3" t="s">
        <v>28</v>
      </c>
      <c r="M735" s="3" t="s">
        <v>27</v>
      </c>
      <c r="N735" s="3" t="s">
        <v>28</v>
      </c>
      <c r="O735" s="3" t="s">
        <v>27</v>
      </c>
      <c r="P735" s="3" t="s">
        <v>28</v>
      </c>
      <c r="Q735" s="3" t="s">
        <v>27</v>
      </c>
      <c r="R735" s="3" t="s">
        <v>28</v>
      </c>
      <c r="S735" s="3" t="s">
        <v>28</v>
      </c>
      <c r="T735" s="3" t="s">
        <v>28</v>
      </c>
    </row>
    <row r="736" spans="1:20" ht="336">
      <c r="A736" s="3">
        <v>2745422</v>
      </c>
      <c r="B736" s="3">
        <f>HYPERLINK("https://platform.v2.vetology.net/cases/2745422/screening-report/6?type=pdf&amp;v=v6&amp;scorecard=1&amp;secret_key=BX%25IJ%24%2F65ieZ%29f6", 2745422)</f>
        <v>2745422</v>
      </c>
      <c r="C736" s="3">
        <f>HYPERLINK("https://platform.v2.vetology.net/report/v/final/"&amp;2745422, 2745422)</f>
        <v>2745422</v>
      </c>
      <c r="D736" s="3" t="s">
        <v>2911</v>
      </c>
      <c r="E736" s="3" t="s">
        <v>2912</v>
      </c>
      <c r="F736" s="3" t="s">
        <v>22</v>
      </c>
      <c r="G736" s="3" t="s">
        <v>372</v>
      </c>
      <c r="H736" s="3" t="s">
        <v>31</v>
      </c>
      <c r="I736" s="3" t="s">
        <v>32</v>
      </c>
      <c r="J736" s="3" t="s">
        <v>119</v>
      </c>
      <c r="K736" s="3" t="s">
        <v>28</v>
      </c>
      <c r="L736" s="3" t="s">
        <v>28</v>
      </c>
      <c r="M736" s="3" t="s">
        <v>28</v>
      </c>
      <c r="N736" s="3" t="s">
        <v>28</v>
      </c>
      <c r="O736" s="3" t="s">
        <v>28</v>
      </c>
      <c r="P736" s="3" t="s">
        <v>28</v>
      </c>
      <c r="Q736" s="3" t="s">
        <v>28</v>
      </c>
      <c r="R736" s="3" t="s">
        <v>28</v>
      </c>
      <c r="S736" s="3" t="s">
        <v>28</v>
      </c>
      <c r="T736" s="3" t="s">
        <v>28</v>
      </c>
    </row>
    <row r="737" spans="1:20" ht="366">
      <c r="A737" s="3">
        <v>2745401</v>
      </c>
      <c r="B737" s="3">
        <f>HYPERLINK("https://platform.v2.vetology.net/cases/2745401/screening-report/6?type=pdf&amp;v=v6&amp;scorecard=1&amp;secret_key=BX%25IJ%24%2F65ieZ%29f6", 2745401)</f>
        <v>2745401</v>
      </c>
      <c r="C737" s="3">
        <f>HYPERLINK("https://platform.v2.vetology.net/report/v/final/"&amp;2745401, 2745401)</f>
        <v>2745401</v>
      </c>
      <c r="D737" s="3" t="s">
        <v>2913</v>
      </c>
      <c r="E737" s="3" t="s">
        <v>2914</v>
      </c>
      <c r="F737" s="3" t="s">
        <v>2915</v>
      </c>
      <c r="G737" s="3" t="s">
        <v>64</v>
      </c>
      <c r="H737" s="3" t="s">
        <v>1520</v>
      </c>
      <c r="I737" s="3" t="s">
        <v>136</v>
      </c>
      <c r="J737" s="3" t="s">
        <v>424</v>
      </c>
      <c r="K737" s="3" t="s">
        <v>28</v>
      </c>
      <c r="L737" s="3" t="s">
        <v>28</v>
      </c>
      <c r="M737" s="3" t="s">
        <v>28</v>
      </c>
      <c r="N737" s="3" t="s">
        <v>27</v>
      </c>
      <c r="O737" s="3" t="s">
        <v>27</v>
      </c>
      <c r="P737" s="3" t="s">
        <v>28</v>
      </c>
      <c r="Q737" s="3" t="s">
        <v>28</v>
      </c>
      <c r="R737" s="3" t="s">
        <v>28</v>
      </c>
      <c r="S737" s="3" t="s">
        <v>28</v>
      </c>
      <c r="T737" s="3" t="s">
        <v>27</v>
      </c>
    </row>
    <row r="738" spans="1:20" ht="366">
      <c r="A738" s="3">
        <v>2745371</v>
      </c>
      <c r="B738" s="3">
        <f>HYPERLINK("https://platform.v2.vetology.net/cases/2745371/screening-report/6?type=pdf&amp;v=v6&amp;scorecard=1&amp;secret_key=BX%25IJ%24%2F65ieZ%29f6", 2745371)</f>
        <v>2745371</v>
      </c>
      <c r="C738" s="3">
        <f>HYPERLINK("https://platform.v2.vetology.net/report/v/final/"&amp;2745371, 2745371)</f>
        <v>2745371</v>
      </c>
      <c r="D738" s="3" t="s">
        <v>2916</v>
      </c>
      <c r="E738" s="3" t="s">
        <v>2917</v>
      </c>
      <c r="F738" s="3" t="s">
        <v>2918</v>
      </c>
      <c r="G738" s="3" t="s">
        <v>211</v>
      </c>
      <c r="H738" s="3" t="s">
        <v>2919</v>
      </c>
      <c r="I738" s="3" t="s">
        <v>2920</v>
      </c>
      <c r="J738" s="3" t="s">
        <v>2921</v>
      </c>
      <c r="K738" s="3" t="s">
        <v>27</v>
      </c>
      <c r="L738" s="3" t="s">
        <v>27</v>
      </c>
      <c r="M738" s="3" t="s">
        <v>28</v>
      </c>
      <c r="N738" s="3" t="s">
        <v>28</v>
      </c>
      <c r="O738" s="3" t="s">
        <v>27</v>
      </c>
      <c r="P738" s="3" t="s">
        <v>28</v>
      </c>
      <c r="Q738" s="3" t="s">
        <v>28</v>
      </c>
      <c r="R738" s="3" t="s">
        <v>28</v>
      </c>
      <c r="S738" s="3" t="s">
        <v>27</v>
      </c>
      <c r="T738" s="3" t="s">
        <v>28</v>
      </c>
    </row>
    <row r="739" spans="1:20" ht="409.6">
      <c r="A739" s="3">
        <v>2745363</v>
      </c>
      <c r="B739" s="3">
        <f>HYPERLINK("https://platform.v2.vetology.net/cases/2745363/screening-report/6?type=pdf&amp;v=v6&amp;scorecard=1&amp;secret_key=BX%25IJ%24%2F65ieZ%29f6", 2745363)</f>
        <v>2745363</v>
      </c>
      <c r="C739" s="3">
        <f>HYPERLINK("https://platform.v2.vetology.net/report/v/final/"&amp;2745363, 2745363)</f>
        <v>2745363</v>
      </c>
      <c r="D739" s="3" t="s">
        <v>2922</v>
      </c>
      <c r="E739" s="3" t="s">
        <v>2923</v>
      </c>
      <c r="F739" s="3" t="s">
        <v>2924</v>
      </c>
      <c r="G739" s="3" t="s">
        <v>211</v>
      </c>
      <c r="H739" s="3" t="s">
        <v>2925</v>
      </c>
      <c r="I739" s="3" t="s">
        <v>2825</v>
      </c>
      <c r="J739" s="3" t="s">
        <v>2826</v>
      </c>
      <c r="K739" s="3" t="s">
        <v>27</v>
      </c>
      <c r="L739" s="3" t="s">
        <v>28</v>
      </c>
      <c r="M739" s="3" t="s">
        <v>27</v>
      </c>
      <c r="N739" s="3" t="s">
        <v>28</v>
      </c>
      <c r="O739" s="3" t="s">
        <v>27</v>
      </c>
      <c r="P739" s="3" t="s">
        <v>28</v>
      </c>
      <c r="Q739" s="3" t="s">
        <v>28</v>
      </c>
      <c r="R739" s="3" t="s">
        <v>28</v>
      </c>
      <c r="S739" s="3" t="s">
        <v>28</v>
      </c>
      <c r="T739" s="3" t="s">
        <v>28</v>
      </c>
    </row>
    <row r="740" spans="1:20" ht="409.6">
      <c r="A740" s="3">
        <v>2745360</v>
      </c>
      <c r="B740" s="3">
        <f>HYPERLINK("https://platform.v2.vetology.net/cases/2745360/screening-report/6?type=pdf&amp;v=v6&amp;scorecard=1&amp;secret_key=BX%25IJ%24%2F65ieZ%29f6", 2745360)</f>
        <v>2745360</v>
      </c>
      <c r="C740" s="3">
        <f>HYPERLINK("https://platform.v2.vetology.net/report/v/final/"&amp;2745360, 2745360)</f>
        <v>2745360</v>
      </c>
      <c r="D740" s="3" t="s">
        <v>2926</v>
      </c>
      <c r="E740" s="3" t="s">
        <v>2927</v>
      </c>
      <c r="F740" s="3" t="s">
        <v>2928</v>
      </c>
      <c r="G740" s="3" t="s">
        <v>64</v>
      </c>
      <c r="H740" s="3" t="s">
        <v>2929</v>
      </c>
      <c r="I740" s="3" t="s">
        <v>1897</v>
      </c>
      <c r="J740" s="3" t="s">
        <v>2930</v>
      </c>
      <c r="K740" s="3" t="s">
        <v>28</v>
      </c>
      <c r="L740" s="3" t="s">
        <v>27</v>
      </c>
      <c r="M740" s="3" t="s">
        <v>28</v>
      </c>
      <c r="N740" s="3" t="s">
        <v>28</v>
      </c>
      <c r="O740" s="3" t="s">
        <v>27</v>
      </c>
      <c r="P740" s="3" t="s">
        <v>27</v>
      </c>
      <c r="Q740" s="3" t="s">
        <v>27</v>
      </c>
      <c r="R740" s="3" t="s">
        <v>28</v>
      </c>
      <c r="S740" s="3" t="s">
        <v>28</v>
      </c>
      <c r="T740" s="3" t="s">
        <v>28</v>
      </c>
    </row>
    <row r="741" spans="1:20" ht="409.6">
      <c r="A741" s="3">
        <v>2745338</v>
      </c>
      <c r="B741" s="3">
        <f>HYPERLINK("https://platform.v2.vetology.net/cases/2745338/screening-report/6?type=pdf&amp;v=v6&amp;scorecard=1&amp;secret_key=BX%25IJ%24%2F65ieZ%29f6", 2745338)</f>
        <v>2745338</v>
      </c>
      <c r="C741" s="3">
        <f>HYPERLINK("https://platform.v2.vetology.net/report/v/final/"&amp;2745338, 2745338)</f>
        <v>2745338</v>
      </c>
      <c r="D741" s="3" t="s">
        <v>2931</v>
      </c>
      <c r="E741" s="3" t="s">
        <v>2932</v>
      </c>
      <c r="F741" s="3" t="s">
        <v>22</v>
      </c>
      <c r="G741" s="3" t="s">
        <v>23</v>
      </c>
      <c r="H741" s="3" t="s">
        <v>2267</v>
      </c>
      <c r="I741" s="3" t="s">
        <v>305</v>
      </c>
      <c r="J741" s="3" t="s">
        <v>119</v>
      </c>
      <c r="K741" s="3" t="s">
        <v>28</v>
      </c>
      <c r="L741" s="3" t="s">
        <v>28</v>
      </c>
      <c r="M741" s="3" t="s">
        <v>28</v>
      </c>
      <c r="N741" s="3" t="s">
        <v>28</v>
      </c>
      <c r="O741" s="3" t="s">
        <v>28</v>
      </c>
      <c r="P741" s="3" t="s">
        <v>28</v>
      </c>
      <c r="Q741" s="3" t="s">
        <v>28</v>
      </c>
      <c r="R741" s="3" t="s">
        <v>28</v>
      </c>
      <c r="S741" s="3" t="s">
        <v>28</v>
      </c>
      <c r="T741" s="3" t="s">
        <v>28</v>
      </c>
    </row>
    <row r="742" spans="1:20" ht="381.75">
      <c r="A742" s="3">
        <v>2745337</v>
      </c>
      <c r="B742" s="3">
        <f>HYPERLINK("https://platform.v2.vetology.net/cases/2745337/screening-report/6?type=pdf&amp;v=v6&amp;scorecard=1&amp;secret_key=BX%25IJ%24%2F65ieZ%29f6", 2745337)</f>
        <v>2745337</v>
      </c>
      <c r="C742" s="3">
        <f>HYPERLINK("https://platform.v2.vetology.net/report/v/final/"&amp;2745337, 2745337)</f>
        <v>2745337</v>
      </c>
      <c r="D742" s="3" t="s">
        <v>2933</v>
      </c>
      <c r="E742" s="3" t="s">
        <v>2934</v>
      </c>
      <c r="F742" s="3" t="s">
        <v>2935</v>
      </c>
      <c r="G742" s="3" t="s">
        <v>100</v>
      </c>
      <c r="H742" s="3" t="s">
        <v>2936</v>
      </c>
      <c r="I742" s="3" t="s">
        <v>856</v>
      </c>
      <c r="J742" s="3" t="s">
        <v>857</v>
      </c>
      <c r="K742" s="3" t="s">
        <v>28</v>
      </c>
      <c r="L742" s="3" t="s">
        <v>28</v>
      </c>
      <c r="M742" s="3" t="s">
        <v>28</v>
      </c>
      <c r="N742" s="3" t="s">
        <v>28</v>
      </c>
      <c r="O742" s="3" t="s">
        <v>27</v>
      </c>
      <c r="P742" s="3" t="s">
        <v>28</v>
      </c>
      <c r="Q742" s="3" t="s">
        <v>28</v>
      </c>
      <c r="R742" s="3" t="s">
        <v>28</v>
      </c>
      <c r="S742" s="3" t="s">
        <v>28</v>
      </c>
      <c r="T742" s="3" t="s">
        <v>28</v>
      </c>
    </row>
    <row r="743" spans="1:20" ht="366">
      <c r="A743" s="3">
        <v>2745325</v>
      </c>
      <c r="B743" s="3">
        <f>HYPERLINK("https://platform.v2.vetology.net/cases/2745325/screening-report/6?type=pdf&amp;v=v6&amp;scorecard=1&amp;secret_key=BX%25IJ%24%2F65ieZ%29f6", 2745325)</f>
        <v>2745325</v>
      </c>
      <c r="C743" s="3">
        <f>HYPERLINK("https://platform.v2.vetology.net/report/v/final/"&amp;2745325, 2745325)</f>
        <v>2745325</v>
      </c>
      <c r="D743" s="3" t="s">
        <v>2937</v>
      </c>
      <c r="E743" s="3" t="s">
        <v>2938</v>
      </c>
      <c r="F743" s="3" t="s">
        <v>2939</v>
      </c>
      <c r="G743" s="3" t="s">
        <v>211</v>
      </c>
      <c r="H743" s="3" t="s">
        <v>1033</v>
      </c>
      <c r="I743" s="3" t="s">
        <v>1034</v>
      </c>
      <c r="J743" s="3" t="s">
        <v>1035</v>
      </c>
      <c r="K743" s="3" t="s">
        <v>28</v>
      </c>
      <c r="L743" s="3" t="s">
        <v>28</v>
      </c>
      <c r="M743" s="3" t="s">
        <v>28</v>
      </c>
      <c r="N743" s="3" t="s">
        <v>27</v>
      </c>
      <c r="O743" s="3" t="s">
        <v>27</v>
      </c>
      <c r="P743" s="3" t="s">
        <v>28</v>
      </c>
      <c r="Q743" s="3" t="s">
        <v>28</v>
      </c>
      <c r="R743" s="3" t="s">
        <v>27</v>
      </c>
      <c r="S743" s="3" t="s">
        <v>28</v>
      </c>
      <c r="T743" s="3" t="s">
        <v>27</v>
      </c>
    </row>
    <row r="744" spans="1:20" ht="366">
      <c r="A744" s="3">
        <v>2745323</v>
      </c>
      <c r="B744" s="3">
        <f>HYPERLINK("https://platform.v2.vetology.net/cases/2745323/screening-report/6?type=pdf&amp;v=v6&amp;scorecard=1&amp;secret_key=BX%25IJ%24%2F65ieZ%29f6", 2745323)</f>
        <v>2745323</v>
      </c>
      <c r="C744" s="3">
        <f>HYPERLINK("https://platform.v2.vetology.net/report/v/final/"&amp;2745323, 2745323)</f>
        <v>2745323</v>
      </c>
      <c r="D744" s="3" t="s">
        <v>2940</v>
      </c>
      <c r="E744" s="3" t="s">
        <v>2941</v>
      </c>
      <c r="F744" s="3"/>
      <c r="G744" s="3" t="s">
        <v>122</v>
      </c>
      <c r="H744" s="3" t="s">
        <v>2942</v>
      </c>
      <c r="I744" s="3" t="s">
        <v>2943</v>
      </c>
      <c r="J744" s="3" t="s">
        <v>597</v>
      </c>
      <c r="K744" s="3" t="s">
        <v>28</v>
      </c>
      <c r="L744" s="3" t="s">
        <v>28</v>
      </c>
      <c r="M744" s="3" t="s">
        <v>28</v>
      </c>
      <c r="N744" s="3" t="s">
        <v>27</v>
      </c>
      <c r="O744" s="3" t="s">
        <v>28</v>
      </c>
      <c r="P744" s="3" t="s">
        <v>28</v>
      </c>
      <c r="Q744" s="3" t="s">
        <v>28</v>
      </c>
      <c r="R744" s="3" t="s">
        <v>27</v>
      </c>
      <c r="S744" s="3" t="s">
        <v>27</v>
      </c>
      <c r="T744" s="3" t="s">
        <v>27</v>
      </c>
    </row>
    <row r="745" spans="1:20" ht="351">
      <c r="A745" s="3">
        <v>2745290</v>
      </c>
      <c r="B745" s="3">
        <f>HYPERLINK("https://platform.v2.vetology.net/cases/2745290/screening-report/6?type=pdf&amp;v=v6&amp;scorecard=1&amp;secret_key=BX%25IJ%24%2F65ieZ%29f6", 2745290)</f>
        <v>2745290</v>
      </c>
      <c r="C745" s="3">
        <f>HYPERLINK("https://platform.v2.vetology.net/report/v/final/"&amp;2745290, 2745290)</f>
        <v>2745290</v>
      </c>
      <c r="D745" s="3" t="s">
        <v>2944</v>
      </c>
      <c r="E745" s="3" t="s">
        <v>2945</v>
      </c>
      <c r="F745" s="3" t="s">
        <v>22</v>
      </c>
      <c r="G745" s="3" t="s">
        <v>23</v>
      </c>
      <c r="H745" s="3" t="s">
        <v>843</v>
      </c>
      <c r="I745" s="3" t="s">
        <v>124</v>
      </c>
      <c r="J745" s="3" t="s">
        <v>125</v>
      </c>
      <c r="K745" s="3" t="s">
        <v>27</v>
      </c>
      <c r="L745" s="3" t="s">
        <v>27</v>
      </c>
      <c r="M745" s="3" t="s">
        <v>28</v>
      </c>
      <c r="N745" s="3" t="s">
        <v>28</v>
      </c>
      <c r="O745" s="3" t="s">
        <v>27</v>
      </c>
      <c r="P745" s="3" t="s">
        <v>28</v>
      </c>
      <c r="Q745" s="3" t="s">
        <v>28</v>
      </c>
      <c r="R745" s="3" t="s">
        <v>28</v>
      </c>
      <c r="S745" s="3" t="s">
        <v>28</v>
      </c>
      <c r="T745" s="3" t="s">
        <v>28</v>
      </c>
    </row>
    <row r="746" spans="1:20" ht="259.5">
      <c r="A746" s="3">
        <v>2745257</v>
      </c>
      <c r="B746" s="3">
        <f>HYPERLINK("https://platform.v2.vetology.net/cases/2745257/screening-report/6?type=pdf&amp;v=v6&amp;scorecard=1&amp;secret_key=BX%25IJ%24%2F65ieZ%29f6", 2745257)</f>
        <v>2745257</v>
      </c>
      <c r="C746" s="3">
        <f>HYPERLINK("https://platform.v2.vetology.net/report/v/final/"&amp;2745257, 2745257)</f>
        <v>2745257</v>
      </c>
      <c r="D746" s="3" t="s">
        <v>2946</v>
      </c>
      <c r="E746" s="3" t="s">
        <v>2947</v>
      </c>
      <c r="F746" s="3" t="s">
        <v>2948</v>
      </c>
      <c r="G746" s="3" t="s">
        <v>122</v>
      </c>
      <c r="H746" s="3" t="s">
        <v>1932</v>
      </c>
      <c r="I746" s="3" t="s">
        <v>136</v>
      </c>
      <c r="J746" s="3" t="s">
        <v>424</v>
      </c>
      <c r="K746" s="3" t="s">
        <v>28</v>
      </c>
      <c r="L746" s="3" t="s">
        <v>28</v>
      </c>
      <c r="M746" s="3" t="s">
        <v>28</v>
      </c>
      <c r="N746" s="3" t="s">
        <v>27</v>
      </c>
      <c r="O746" s="3" t="s">
        <v>27</v>
      </c>
      <c r="P746" s="3" t="s">
        <v>28</v>
      </c>
      <c r="Q746" s="3" t="s">
        <v>28</v>
      </c>
      <c r="R746" s="3" t="s">
        <v>28</v>
      </c>
      <c r="S746" s="3" t="s">
        <v>28</v>
      </c>
      <c r="T746" s="3" t="s">
        <v>27</v>
      </c>
    </row>
    <row r="747" spans="1:20" ht="396.75">
      <c r="A747" s="3">
        <v>2745237</v>
      </c>
      <c r="B747" s="3">
        <f>HYPERLINK("https://platform.v2.vetology.net/cases/2745237/screening-report/6?type=pdf&amp;v=v6&amp;scorecard=1&amp;secret_key=BX%25IJ%24%2F65ieZ%29f6", 2745237)</f>
        <v>2745237</v>
      </c>
      <c r="C747" s="3">
        <f>HYPERLINK("https://platform.v2.vetology.net/report/v/final/"&amp;2745237, 2745237)</f>
        <v>2745237</v>
      </c>
      <c r="D747" s="3" t="s">
        <v>2949</v>
      </c>
      <c r="E747" s="3" t="s">
        <v>2950</v>
      </c>
      <c r="F747" s="3" t="s">
        <v>2951</v>
      </c>
      <c r="G747" s="3" t="s">
        <v>186</v>
      </c>
      <c r="H747" s="3" t="s">
        <v>2952</v>
      </c>
      <c r="I747" s="3" t="s">
        <v>2108</v>
      </c>
      <c r="J747" s="3" t="s">
        <v>679</v>
      </c>
      <c r="K747" s="3" t="s">
        <v>28</v>
      </c>
      <c r="L747" s="3" t="s">
        <v>27</v>
      </c>
      <c r="M747" s="3" t="s">
        <v>28</v>
      </c>
      <c r="N747" s="3" t="s">
        <v>27</v>
      </c>
      <c r="O747" s="3" t="s">
        <v>27</v>
      </c>
      <c r="P747" s="3" t="s">
        <v>27</v>
      </c>
      <c r="Q747" s="3" t="s">
        <v>27</v>
      </c>
      <c r="R747" s="3" t="s">
        <v>27</v>
      </c>
      <c r="S747" s="3" t="s">
        <v>27</v>
      </c>
      <c r="T747" s="3" t="s">
        <v>27</v>
      </c>
    </row>
    <row r="748" spans="1:20" ht="321">
      <c r="A748" s="3">
        <v>2745212</v>
      </c>
      <c r="B748" s="3">
        <f>HYPERLINK("https://platform.v2.vetology.net/cases/2745212/screening-report/6?type=pdf&amp;v=v6&amp;scorecard=1&amp;secret_key=BX%25IJ%24%2F65ieZ%29f6", 2745212)</f>
        <v>2745212</v>
      </c>
      <c r="C748" s="3">
        <f>HYPERLINK("https://platform.v2.vetology.net/report/v/final/"&amp;2745212, 2745212)</f>
        <v>2745212</v>
      </c>
      <c r="D748" s="3" t="s">
        <v>2953</v>
      </c>
      <c r="E748" s="3" t="s">
        <v>2954</v>
      </c>
      <c r="F748" s="3" t="s">
        <v>22</v>
      </c>
      <c r="G748" s="3" t="s">
        <v>23</v>
      </c>
      <c r="H748" s="3" t="s">
        <v>2955</v>
      </c>
      <c r="I748" s="3" t="s">
        <v>233</v>
      </c>
      <c r="J748" s="3" t="s">
        <v>234</v>
      </c>
      <c r="K748" s="3" t="s">
        <v>28</v>
      </c>
      <c r="L748" s="3" t="s">
        <v>28</v>
      </c>
      <c r="M748" s="3" t="s">
        <v>28</v>
      </c>
      <c r="N748" s="3" t="s">
        <v>28</v>
      </c>
      <c r="O748" s="3" t="s">
        <v>27</v>
      </c>
      <c r="P748" s="3" t="s">
        <v>28</v>
      </c>
      <c r="Q748" s="3" t="s">
        <v>28</v>
      </c>
      <c r="R748" s="3" t="s">
        <v>28</v>
      </c>
      <c r="S748" s="3" t="s">
        <v>28</v>
      </c>
      <c r="T748" s="3" t="s">
        <v>28</v>
      </c>
    </row>
    <row r="749" spans="1:20" ht="409.6">
      <c r="A749" s="3">
        <v>2745202</v>
      </c>
      <c r="B749" s="3">
        <f>HYPERLINK("https://platform.v2.vetology.net/cases/2745202/screening-report/6?type=pdf&amp;v=v6&amp;scorecard=1&amp;secret_key=BX%25IJ%24%2F65ieZ%29f6", 2745202)</f>
        <v>2745202</v>
      </c>
      <c r="C749" s="3">
        <f>HYPERLINK("https://platform.v2.vetology.net/report/v/final/"&amp;2745202, 2745202)</f>
        <v>2745202</v>
      </c>
      <c r="D749" s="3" t="s">
        <v>2956</v>
      </c>
      <c r="E749" s="3" t="s">
        <v>2957</v>
      </c>
      <c r="F749" s="3" t="s">
        <v>2958</v>
      </c>
      <c r="G749" s="3" t="s">
        <v>64</v>
      </c>
      <c r="H749" s="3" t="s">
        <v>877</v>
      </c>
      <c r="I749" s="3" t="s">
        <v>878</v>
      </c>
      <c r="J749" s="3" t="s">
        <v>879</v>
      </c>
      <c r="K749" s="3" t="s">
        <v>28</v>
      </c>
      <c r="L749" s="3" t="s">
        <v>27</v>
      </c>
      <c r="M749" s="3" t="s">
        <v>28</v>
      </c>
      <c r="N749" s="3" t="s">
        <v>27</v>
      </c>
      <c r="O749" s="3" t="s">
        <v>27</v>
      </c>
      <c r="P749" s="3" t="s">
        <v>28</v>
      </c>
      <c r="Q749" s="3" t="s">
        <v>28</v>
      </c>
      <c r="R749" s="3" t="s">
        <v>27</v>
      </c>
      <c r="S749" s="3" t="s">
        <v>27</v>
      </c>
      <c r="T749" s="3" t="s">
        <v>27</v>
      </c>
    </row>
    <row r="750" spans="1:20" ht="409.6">
      <c r="A750" s="3">
        <v>2745182</v>
      </c>
      <c r="B750" s="3">
        <f>HYPERLINK("https://platform.v2.vetology.net/cases/2745182/screening-report/6?type=pdf&amp;v=v6&amp;scorecard=1&amp;secret_key=BX%25IJ%24%2F65ieZ%29f6", 2745182)</f>
        <v>2745182</v>
      </c>
      <c r="C750" s="3">
        <f>HYPERLINK("https://platform.v2.vetology.net/report/v/final/"&amp;2745182, 2745182)</f>
        <v>2745182</v>
      </c>
      <c r="D750" s="3" t="s">
        <v>2959</v>
      </c>
      <c r="E750" s="3" t="s">
        <v>2960</v>
      </c>
      <c r="F750" s="3" t="s">
        <v>2961</v>
      </c>
      <c r="G750" s="3" t="s">
        <v>64</v>
      </c>
      <c r="H750" s="3" t="s">
        <v>2962</v>
      </c>
      <c r="I750" s="3" t="s">
        <v>2963</v>
      </c>
      <c r="J750" s="3" t="s">
        <v>2964</v>
      </c>
      <c r="K750" s="3" t="s">
        <v>27</v>
      </c>
      <c r="L750" s="3" t="s">
        <v>28</v>
      </c>
      <c r="M750" s="3" t="s">
        <v>28</v>
      </c>
      <c r="N750" s="3" t="s">
        <v>28</v>
      </c>
      <c r="O750" s="3" t="s">
        <v>27</v>
      </c>
      <c r="P750" s="3" t="s">
        <v>28</v>
      </c>
      <c r="Q750" s="3" t="s">
        <v>27</v>
      </c>
      <c r="R750" s="3" t="s">
        <v>28</v>
      </c>
      <c r="S750" s="3" t="s">
        <v>28</v>
      </c>
      <c r="T750" s="3" t="s">
        <v>28</v>
      </c>
    </row>
    <row r="751" spans="1:20" ht="409.6">
      <c r="A751" s="3">
        <v>2745172</v>
      </c>
      <c r="B751" s="3">
        <f>HYPERLINK("https://platform.v2.vetology.net/cases/2745172/screening-report/6?type=pdf&amp;v=v6&amp;scorecard=1&amp;secret_key=BX%25IJ%24%2F65ieZ%29f6", 2745172)</f>
        <v>2745172</v>
      </c>
      <c r="C751" s="3">
        <f>HYPERLINK("https://platform.v2.vetology.net/report/v/final/"&amp;2745172, 2745172)</f>
        <v>2745172</v>
      </c>
      <c r="D751" s="3" t="s">
        <v>2965</v>
      </c>
      <c r="E751" s="3" t="s">
        <v>2966</v>
      </c>
      <c r="F751" s="3" t="s">
        <v>2967</v>
      </c>
      <c r="G751" s="3" t="s">
        <v>64</v>
      </c>
      <c r="H751" s="3" t="s">
        <v>2968</v>
      </c>
      <c r="I751" s="3" t="s">
        <v>78</v>
      </c>
      <c r="J751" s="3" t="s">
        <v>79</v>
      </c>
      <c r="K751" s="3" t="s">
        <v>27</v>
      </c>
      <c r="L751" s="3" t="s">
        <v>28</v>
      </c>
      <c r="M751" s="3" t="s">
        <v>28</v>
      </c>
      <c r="N751" s="3" t="s">
        <v>28</v>
      </c>
      <c r="O751" s="3" t="s">
        <v>27</v>
      </c>
      <c r="P751" s="3" t="s">
        <v>27</v>
      </c>
      <c r="Q751" s="3" t="s">
        <v>28</v>
      </c>
      <c r="R751" s="3" t="s">
        <v>28</v>
      </c>
      <c r="S751" s="3" t="s">
        <v>28</v>
      </c>
      <c r="T751" s="3" t="s">
        <v>28</v>
      </c>
    </row>
    <row r="752" spans="1:20" ht="351">
      <c r="A752" s="3">
        <v>2745110</v>
      </c>
      <c r="B752" s="3">
        <f>HYPERLINK("https://platform.v2.vetology.net/cases/2745110/screening-report/6?type=pdf&amp;v=v6&amp;scorecard=1&amp;secret_key=BX%25IJ%24%2F65ieZ%29f6", 2745110)</f>
        <v>2745110</v>
      </c>
      <c r="C752" s="3">
        <f>HYPERLINK("https://platform.v2.vetology.net/report/v/final/"&amp;2745110, 2745110)</f>
        <v>2745110</v>
      </c>
      <c r="D752" s="3" t="s">
        <v>2969</v>
      </c>
      <c r="E752" s="3" t="s">
        <v>2970</v>
      </c>
      <c r="F752" s="3" t="s">
        <v>772</v>
      </c>
      <c r="G752" s="3" t="s">
        <v>57</v>
      </c>
      <c r="H752" s="3" t="s">
        <v>2971</v>
      </c>
      <c r="I752" s="3" t="s">
        <v>2972</v>
      </c>
      <c r="J752" s="3" t="s">
        <v>387</v>
      </c>
      <c r="K752" s="3" t="s">
        <v>28</v>
      </c>
      <c r="L752" s="3" t="s">
        <v>28</v>
      </c>
      <c r="M752" s="3" t="s">
        <v>28</v>
      </c>
      <c r="N752" s="3" t="s">
        <v>28</v>
      </c>
      <c r="O752" s="3" t="s">
        <v>27</v>
      </c>
      <c r="P752" s="3" t="s">
        <v>28</v>
      </c>
      <c r="Q752" s="3" t="s">
        <v>28</v>
      </c>
      <c r="R752" s="3" t="s">
        <v>28</v>
      </c>
      <c r="S752" s="3" t="s">
        <v>28</v>
      </c>
      <c r="T752" s="3" t="s">
        <v>28</v>
      </c>
    </row>
    <row r="753" spans="1:20" ht="336">
      <c r="A753" s="3">
        <v>2745073</v>
      </c>
      <c r="B753" s="3">
        <f>HYPERLINK("https://platform.v2.vetology.net/cases/2745073/screening-report/6?type=pdf&amp;v=v6&amp;scorecard=1&amp;secret_key=BX%25IJ%24%2F65ieZ%29f6", 2745073)</f>
        <v>2745073</v>
      </c>
      <c r="C753" s="3">
        <f>HYPERLINK("https://platform.v2.vetology.net/report/v/final/"&amp;2745073, 2745073)</f>
        <v>2745073</v>
      </c>
      <c r="D753" s="3" t="s">
        <v>2973</v>
      </c>
      <c r="E753" s="3" t="s">
        <v>2974</v>
      </c>
      <c r="F753" s="3" t="s">
        <v>2975</v>
      </c>
      <c r="G753" s="3" t="s">
        <v>23</v>
      </c>
      <c r="H753" s="3" t="s">
        <v>2976</v>
      </c>
      <c r="I753" s="3" t="s">
        <v>1579</v>
      </c>
      <c r="J753" s="3" t="s">
        <v>207</v>
      </c>
      <c r="K753" s="3" t="s">
        <v>28</v>
      </c>
      <c r="L753" s="3" t="s">
        <v>27</v>
      </c>
      <c r="M753" s="3" t="s">
        <v>28</v>
      </c>
      <c r="N753" s="3" t="s">
        <v>27</v>
      </c>
      <c r="O753" s="3" t="s">
        <v>27</v>
      </c>
      <c r="P753" s="3" t="s">
        <v>27</v>
      </c>
      <c r="Q753" s="3" t="s">
        <v>27</v>
      </c>
      <c r="R753" s="3" t="s">
        <v>27</v>
      </c>
      <c r="S753" s="3" t="s">
        <v>27</v>
      </c>
      <c r="T753" s="3" t="s">
        <v>27</v>
      </c>
    </row>
    <row r="754" spans="1:20" ht="396.75">
      <c r="A754" s="3">
        <v>2745056</v>
      </c>
      <c r="B754" s="3">
        <f>HYPERLINK("https://platform.v2.vetology.net/cases/2745056/screening-report/6?type=pdf&amp;v=v6&amp;scorecard=1&amp;secret_key=BX%25IJ%24%2F65ieZ%29f6", 2745056)</f>
        <v>2745056</v>
      </c>
      <c r="C754" s="3">
        <f>HYPERLINK("https://platform.v2.vetology.net/report/v/final/"&amp;2745056, 2745056)</f>
        <v>2745056</v>
      </c>
      <c r="D754" s="3" t="s">
        <v>2977</v>
      </c>
      <c r="E754" s="3" t="s">
        <v>2978</v>
      </c>
      <c r="F754" s="3" t="s">
        <v>2979</v>
      </c>
      <c r="G754" s="3" t="s">
        <v>122</v>
      </c>
      <c r="H754" s="3" t="s">
        <v>2980</v>
      </c>
      <c r="I754" s="3" t="s">
        <v>572</v>
      </c>
      <c r="J754" s="3" t="s">
        <v>573</v>
      </c>
      <c r="K754" s="3" t="s">
        <v>28</v>
      </c>
      <c r="L754" s="3" t="s">
        <v>28</v>
      </c>
      <c r="M754" s="3" t="s">
        <v>28</v>
      </c>
      <c r="N754" s="3" t="s">
        <v>28</v>
      </c>
      <c r="O754" s="3" t="s">
        <v>27</v>
      </c>
      <c r="P754" s="3" t="s">
        <v>28</v>
      </c>
      <c r="Q754" s="3" t="s">
        <v>27</v>
      </c>
      <c r="R754" s="3" t="s">
        <v>28</v>
      </c>
      <c r="S754" s="3" t="s">
        <v>28</v>
      </c>
      <c r="T754" s="3" t="s">
        <v>28</v>
      </c>
    </row>
    <row r="755" spans="1:20" ht="244.5">
      <c r="A755" s="3">
        <v>2745017</v>
      </c>
      <c r="B755" s="3">
        <f>HYPERLINK("https://platform.v2.vetology.net/cases/2745017/screening-report/6?type=pdf&amp;v=v6&amp;scorecard=1&amp;secret_key=BX%25IJ%24%2F65ieZ%29f6", 2745017)</f>
        <v>2745017</v>
      </c>
      <c r="C755" s="3">
        <f>HYPERLINK("https://platform.v2.vetology.net/report/v/final/"&amp;2745017, 2745017)</f>
        <v>2745017</v>
      </c>
      <c r="D755" s="3" t="s">
        <v>2981</v>
      </c>
      <c r="E755" s="3" t="s">
        <v>2982</v>
      </c>
      <c r="F755" s="3"/>
      <c r="G755" s="3" t="s">
        <v>122</v>
      </c>
      <c r="H755" s="3" t="s">
        <v>2983</v>
      </c>
      <c r="I755" s="3" t="s">
        <v>305</v>
      </c>
      <c r="J755" s="3" t="s">
        <v>119</v>
      </c>
      <c r="K755" s="3" t="s">
        <v>28</v>
      </c>
      <c r="L755" s="3" t="s">
        <v>28</v>
      </c>
      <c r="M755" s="3" t="s">
        <v>28</v>
      </c>
      <c r="N755" s="3" t="s">
        <v>28</v>
      </c>
      <c r="O755" s="3" t="s">
        <v>27</v>
      </c>
      <c r="P755" s="3" t="s">
        <v>28</v>
      </c>
      <c r="Q755" s="3" t="s">
        <v>28</v>
      </c>
      <c r="R755" s="3" t="s">
        <v>28</v>
      </c>
      <c r="S755" s="3" t="s">
        <v>28</v>
      </c>
      <c r="T755" s="3" t="s">
        <v>28</v>
      </c>
    </row>
    <row r="756" spans="1:20" ht="351">
      <c r="A756" s="3">
        <v>2744991</v>
      </c>
      <c r="B756" s="3">
        <f>HYPERLINK("https://platform.v2.vetology.net/cases/2744991/screening-report/6?type=pdf&amp;v=v6&amp;scorecard=1&amp;secret_key=BX%25IJ%24%2F65ieZ%29f6", 2744991)</f>
        <v>2744991</v>
      </c>
      <c r="C756" s="3">
        <f>HYPERLINK("https://platform.v2.vetology.net/report/v/final/"&amp;2744991, 2744991)</f>
        <v>2744991</v>
      </c>
      <c r="D756" s="3" t="s">
        <v>2984</v>
      </c>
      <c r="E756" s="3" t="s">
        <v>2985</v>
      </c>
      <c r="F756" s="3" t="s">
        <v>2986</v>
      </c>
      <c r="G756" s="3" t="s">
        <v>186</v>
      </c>
      <c r="H756" s="3" t="s">
        <v>2987</v>
      </c>
      <c r="I756" s="3" t="s">
        <v>1472</v>
      </c>
      <c r="J756" s="3" t="s">
        <v>1374</v>
      </c>
      <c r="K756" s="3" t="s">
        <v>27</v>
      </c>
      <c r="L756" s="3" t="s">
        <v>28</v>
      </c>
      <c r="M756" s="3" t="s">
        <v>27</v>
      </c>
      <c r="N756" s="3" t="s">
        <v>28</v>
      </c>
      <c r="O756" s="3" t="s">
        <v>27</v>
      </c>
      <c r="P756" s="3" t="s">
        <v>28</v>
      </c>
      <c r="Q756" s="3" t="s">
        <v>28</v>
      </c>
      <c r="R756" s="3" t="s">
        <v>28</v>
      </c>
      <c r="S756" s="3" t="s">
        <v>28</v>
      </c>
      <c r="T756" s="3" t="s">
        <v>28</v>
      </c>
    </row>
    <row r="757" spans="1:20" ht="409.6">
      <c r="A757" s="3">
        <v>2744978</v>
      </c>
      <c r="B757" s="3">
        <f>HYPERLINK("https://platform.v2.vetology.net/cases/2744978/screening-report/6?type=pdf&amp;v=v6&amp;scorecard=1&amp;secret_key=BX%25IJ%24%2F65ieZ%29f6", 2744978)</f>
        <v>2744978</v>
      </c>
      <c r="C757" s="3">
        <f>HYPERLINK("https://platform.v2.vetology.net/report/v/final/"&amp;2744978, 2744978)</f>
        <v>2744978</v>
      </c>
      <c r="D757" s="3" t="s">
        <v>2988</v>
      </c>
      <c r="E757" s="3" t="s">
        <v>2989</v>
      </c>
      <c r="F757" s="3" t="s">
        <v>2990</v>
      </c>
      <c r="G757" s="3" t="s">
        <v>211</v>
      </c>
      <c r="H757" s="3" t="s">
        <v>2991</v>
      </c>
      <c r="I757" s="3" t="s">
        <v>429</v>
      </c>
      <c r="J757" s="3" t="s">
        <v>430</v>
      </c>
      <c r="K757" s="3" t="s">
        <v>27</v>
      </c>
      <c r="L757" s="3" t="s">
        <v>27</v>
      </c>
      <c r="M757" s="3" t="s">
        <v>27</v>
      </c>
      <c r="N757" s="3" t="s">
        <v>27</v>
      </c>
      <c r="O757" s="3" t="s">
        <v>27</v>
      </c>
      <c r="P757" s="3" t="s">
        <v>28</v>
      </c>
      <c r="Q757" s="3" t="s">
        <v>27</v>
      </c>
      <c r="R757" s="3" t="s">
        <v>27</v>
      </c>
      <c r="S757" s="3" t="s">
        <v>28</v>
      </c>
      <c r="T757" s="3" t="s">
        <v>27</v>
      </c>
    </row>
    <row r="758" spans="1:20" ht="409.6">
      <c r="A758" s="3">
        <v>2744960</v>
      </c>
      <c r="B758" s="3">
        <f>HYPERLINK("https://platform.v2.vetology.net/cases/2744960/screening-report/6?type=pdf&amp;v=v6&amp;scorecard=1&amp;secret_key=BX%25IJ%24%2F65ieZ%29f6", 2744960)</f>
        <v>2744960</v>
      </c>
      <c r="C758" s="3">
        <f>HYPERLINK("https://platform.v2.vetology.net/report/v/final/"&amp;2744960, 2744960)</f>
        <v>2744960</v>
      </c>
      <c r="D758" s="3" t="s">
        <v>2992</v>
      </c>
      <c r="E758" s="3" t="s">
        <v>2993</v>
      </c>
      <c r="F758" s="3" t="s">
        <v>2994</v>
      </c>
      <c r="G758" s="3" t="s">
        <v>64</v>
      </c>
      <c r="H758" s="3" t="s">
        <v>2995</v>
      </c>
      <c r="I758" s="3" t="s">
        <v>2996</v>
      </c>
      <c r="J758" s="3" t="s">
        <v>2997</v>
      </c>
      <c r="K758" s="3" t="s">
        <v>27</v>
      </c>
      <c r="L758" s="3" t="s">
        <v>28</v>
      </c>
      <c r="M758" s="3" t="s">
        <v>28</v>
      </c>
      <c r="N758" s="3" t="s">
        <v>28</v>
      </c>
      <c r="O758" s="3" t="s">
        <v>27</v>
      </c>
      <c r="P758" s="3" t="s">
        <v>28</v>
      </c>
      <c r="Q758" s="3" t="s">
        <v>28</v>
      </c>
      <c r="R758" s="3" t="s">
        <v>28</v>
      </c>
      <c r="S758" s="3" t="s">
        <v>27</v>
      </c>
      <c r="T758" s="3" t="s">
        <v>28</v>
      </c>
    </row>
    <row r="759" spans="1:20" ht="409.6">
      <c r="A759" s="3">
        <v>2744936</v>
      </c>
      <c r="B759" s="3">
        <f>HYPERLINK("https://platform.v2.vetology.net/cases/2744936/screening-report/6?type=pdf&amp;v=v6&amp;scorecard=1&amp;secret_key=BX%25IJ%24%2F65ieZ%29f6", 2744936)</f>
        <v>2744936</v>
      </c>
      <c r="C759" s="3">
        <f>HYPERLINK("https://platform.v2.vetology.net/report/v/final/"&amp;2744936, 2744936)</f>
        <v>2744936</v>
      </c>
      <c r="D759" s="3" t="s">
        <v>2998</v>
      </c>
      <c r="E759" s="3" t="s">
        <v>2999</v>
      </c>
      <c r="F759" s="3" t="s">
        <v>3000</v>
      </c>
      <c r="G759" s="3" t="s">
        <v>64</v>
      </c>
      <c r="H759" s="3" t="s">
        <v>1421</v>
      </c>
      <c r="I759" s="3" t="s">
        <v>32</v>
      </c>
      <c r="J759" s="3" t="s">
        <v>119</v>
      </c>
      <c r="K759" s="3" t="s">
        <v>28</v>
      </c>
      <c r="L759" s="3" t="s">
        <v>28</v>
      </c>
      <c r="M759" s="3" t="s">
        <v>28</v>
      </c>
      <c r="N759" s="3" t="s">
        <v>28</v>
      </c>
      <c r="O759" s="3" t="s">
        <v>28</v>
      </c>
      <c r="P759" s="3" t="s">
        <v>28</v>
      </c>
      <c r="Q759" s="3" t="s">
        <v>28</v>
      </c>
      <c r="R759" s="3" t="s">
        <v>28</v>
      </c>
      <c r="S759" s="3" t="s">
        <v>28</v>
      </c>
      <c r="T759" s="3" t="s">
        <v>28</v>
      </c>
    </row>
    <row r="760" spans="1:20" ht="366">
      <c r="A760" s="3">
        <v>2744916</v>
      </c>
      <c r="B760" s="3">
        <f>HYPERLINK("https://platform.v2.vetology.net/cases/2744916/screening-report/6?type=pdf&amp;v=v6&amp;scorecard=1&amp;secret_key=BX%25IJ%24%2F65ieZ%29f6", 2744916)</f>
        <v>2744916</v>
      </c>
      <c r="C760" s="3">
        <f>HYPERLINK("https://platform.v2.vetology.net/report/v/final/"&amp;2744916, 2744916)</f>
        <v>2744916</v>
      </c>
      <c r="D760" s="3" t="s">
        <v>3001</v>
      </c>
      <c r="E760" s="3" t="s">
        <v>3002</v>
      </c>
      <c r="F760" s="3" t="s">
        <v>22</v>
      </c>
      <c r="G760" s="3" t="s">
        <v>372</v>
      </c>
      <c r="H760" s="3" t="s">
        <v>3003</v>
      </c>
      <c r="I760" s="3" t="s">
        <v>754</v>
      </c>
      <c r="J760" s="3" t="s">
        <v>755</v>
      </c>
      <c r="K760" s="3" t="s">
        <v>27</v>
      </c>
      <c r="L760" s="3" t="s">
        <v>28</v>
      </c>
      <c r="M760" s="3" t="s">
        <v>28</v>
      </c>
      <c r="N760" s="3" t="s">
        <v>28</v>
      </c>
      <c r="O760" s="3" t="s">
        <v>27</v>
      </c>
      <c r="P760" s="3" t="s">
        <v>28</v>
      </c>
      <c r="Q760" s="3" t="s">
        <v>27</v>
      </c>
      <c r="R760" s="3" t="s">
        <v>28</v>
      </c>
      <c r="S760" s="3" t="s">
        <v>28</v>
      </c>
      <c r="T760" s="3" t="s">
        <v>28</v>
      </c>
    </row>
    <row r="761" spans="1:20" ht="351">
      <c r="A761" s="3">
        <v>2744872</v>
      </c>
      <c r="B761" s="3">
        <f>HYPERLINK("https://platform.v2.vetology.net/cases/2744872/screening-report/6?type=pdf&amp;v=v6&amp;scorecard=1&amp;secret_key=BX%25IJ%24%2F65ieZ%29f6", 2744872)</f>
        <v>2744872</v>
      </c>
      <c r="C761" s="3">
        <f>HYPERLINK("https://platform.v2.vetology.net/report/v/final/"&amp;2744872, 2744872)</f>
        <v>2744872</v>
      </c>
      <c r="D761" s="3" t="s">
        <v>3004</v>
      </c>
      <c r="E761" s="3" t="s">
        <v>3005</v>
      </c>
      <c r="F761" s="3" t="s">
        <v>3006</v>
      </c>
      <c r="G761" s="3" t="s">
        <v>186</v>
      </c>
      <c r="H761" s="3" t="s">
        <v>3007</v>
      </c>
      <c r="I761" s="3" t="s">
        <v>3008</v>
      </c>
      <c r="J761" s="3" t="s">
        <v>3009</v>
      </c>
      <c r="K761" s="3" t="s">
        <v>28</v>
      </c>
      <c r="L761" s="3" t="s">
        <v>27</v>
      </c>
      <c r="M761" s="3" t="s">
        <v>28</v>
      </c>
      <c r="N761" s="3" t="s">
        <v>28</v>
      </c>
      <c r="O761" s="3" t="s">
        <v>28</v>
      </c>
      <c r="P761" s="3" t="s">
        <v>27</v>
      </c>
      <c r="Q761" s="3" t="s">
        <v>27</v>
      </c>
      <c r="R761" s="3" t="s">
        <v>28</v>
      </c>
      <c r="S761" s="3" t="s">
        <v>28</v>
      </c>
      <c r="T761" s="3" t="s">
        <v>28</v>
      </c>
    </row>
    <row r="762" spans="1:20" ht="409.6">
      <c r="A762" s="3">
        <v>2744859</v>
      </c>
      <c r="B762" s="3">
        <f>HYPERLINK("https://platform.v2.vetology.net/cases/2744859/screening-report/6?type=pdf&amp;v=v6&amp;scorecard=1&amp;secret_key=BX%25IJ%24%2F65ieZ%29f6", 2744859)</f>
        <v>2744859</v>
      </c>
      <c r="C762" s="3">
        <f>HYPERLINK("https://platform.v2.vetology.net/report/v/final/"&amp;2744859, 2744859)</f>
        <v>2744859</v>
      </c>
      <c r="D762" s="3" t="s">
        <v>3010</v>
      </c>
      <c r="E762" s="3" t="s">
        <v>3011</v>
      </c>
      <c r="F762" s="3" t="s">
        <v>3012</v>
      </c>
      <c r="G762" s="3" t="s">
        <v>64</v>
      </c>
      <c r="H762" s="3" t="s">
        <v>3013</v>
      </c>
      <c r="I762" s="3" t="s">
        <v>1124</v>
      </c>
      <c r="J762" s="3" t="s">
        <v>1125</v>
      </c>
      <c r="K762" s="3" t="s">
        <v>27</v>
      </c>
      <c r="L762" s="3" t="s">
        <v>27</v>
      </c>
      <c r="M762" s="3" t="s">
        <v>27</v>
      </c>
      <c r="N762" s="3" t="s">
        <v>27</v>
      </c>
      <c r="O762" s="3" t="s">
        <v>27</v>
      </c>
      <c r="P762" s="3" t="s">
        <v>28</v>
      </c>
      <c r="Q762" s="3" t="s">
        <v>27</v>
      </c>
      <c r="R762" s="3" t="s">
        <v>27</v>
      </c>
      <c r="S762" s="3" t="s">
        <v>27</v>
      </c>
      <c r="T762" s="3" t="s">
        <v>28</v>
      </c>
    </row>
    <row r="763" spans="1:20" ht="381.75">
      <c r="A763" s="3">
        <v>2744847</v>
      </c>
      <c r="B763" s="3">
        <f>HYPERLINK("https://platform.v2.vetology.net/cases/2744847/screening-report/6?type=pdf&amp;v=v6&amp;scorecard=1&amp;secret_key=BX%25IJ%24%2F65ieZ%29f6", 2744847)</f>
        <v>2744847</v>
      </c>
      <c r="C763" s="3">
        <f>HYPERLINK("https://platform.v2.vetology.net/report/v/final/"&amp;2744847, 2744847)</f>
        <v>2744847</v>
      </c>
      <c r="D763" s="3" t="s">
        <v>3014</v>
      </c>
      <c r="E763" s="3" t="s">
        <v>3015</v>
      </c>
      <c r="F763" s="3" t="s">
        <v>1090</v>
      </c>
      <c r="G763" s="3" t="s">
        <v>100</v>
      </c>
      <c r="H763" s="3" t="s">
        <v>2100</v>
      </c>
      <c r="I763" s="3" t="s">
        <v>539</v>
      </c>
      <c r="J763" s="3" t="s">
        <v>540</v>
      </c>
      <c r="K763" s="3" t="s">
        <v>28</v>
      </c>
      <c r="L763" s="3" t="s">
        <v>28</v>
      </c>
      <c r="M763" s="3" t="s">
        <v>28</v>
      </c>
      <c r="N763" s="3" t="s">
        <v>28</v>
      </c>
      <c r="O763" s="3" t="s">
        <v>28</v>
      </c>
      <c r="P763" s="3" t="s">
        <v>28</v>
      </c>
      <c r="Q763" s="3" t="s">
        <v>28</v>
      </c>
      <c r="R763" s="3" t="s">
        <v>28</v>
      </c>
      <c r="S763" s="3" t="s">
        <v>28</v>
      </c>
      <c r="T763" s="3" t="s">
        <v>28</v>
      </c>
    </row>
    <row r="764" spans="1:20" ht="321">
      <c r="A764" s="3">
        <v>2744828</v>
      </c>
      <c r="B764" s="3">
        <f>HYPERLINK("https://platform.v2.vetology.net/cases/2744828/screening-report/6?type=pdf&amp;v=v6&amp;scorecard=1&amp;secret_key=BX%25IJ%24%2F65ieZ%29f6", 2744828)</f>
        <v>2744828</v>
      </c>
      <c r="C764" s="3">
        <f>HYPERLINK("https://platform.v2.vetology.net/report/v/final/"&amp;2744828, 2744828)</f>
        <v>2744828</v>
      </c>
      <c r="D764" s="3" t="s">
        <v>3016</v>
      </c>
      <c r="E764" s="3" t="s">
        <v>3017</v>
      </c>
      <c r="F764" s="3" t="s">
        <v>3018</v>
      </c>
      <c r="G764" s="3" t="s">
        <v>496</v>
      </c>
      <c r="H764" s="3" t="s">
        <v>2341</v>
      </c>
      <c r="I764" s="3" t="s">
        <v>2342</v>
      </c>
      <c r="J764" s="3" t="s">
        <v>2343</v>
      </c>
      <c r="K764" s="3" t="s">
        <v>28</v>
      </c>
      <c r="L764" s="3" t="s">
        <v>27</v>
      </c>
      <c r="M764" s="3" t="s">
        <v>28</v>
      </c>
      <c r="N764" s="3" t="s">
        <v>27</v>
      </c>
      <c r="O764" s="3" t="s">
        <v>27</v>
      </c>
      <c r="P764" s="3" t="s">
        <v>28</v>
      </c>
      <c r="Q764" s="3" t="s">
        <v>28</v>
      </c>
      <c r="R764" s="3" t="s">
        <v>27</v>
      </c>
      <c r="S764" s="3" t="s">
        <v>27</v>
      </c>
      <c r="T764" s="3" t="s">
        <v>27</v>
      </c>
    </row>
    <row r="765" spans="1:20" ht="336">
      <c r="A765" s="3">
        <v>2744826</v>
      </c>
      <c r="B765" s="3">
        <f>HYPERLINK("https://platform.v2.vetology.net/cases/2744826/screening-report/6?type=pdf&amp;v=v6&amp;scorecard=1&amp;secret_key=BX%25IJ%24%2F65ieZ%29f6", 2744826)</f>
        <v>2744826</v>
      </c>
      <c r="C765" s="3">
        <f>HYPERLINK("https://platform.v2.vetology.net/report/v/final/"&amp;2744826, 2744826)</f>
        <v>2744826</v>
      </c>
      <c r="D765" s="3" t="s">
        <v>3019</v>
      </c>
      <c r="E765" s="3" t="s">
        <v>3020</v>
      </c>
      <c r="F765" s="3" t="s">
        <v>3021</v>
      </c>
      <c r="G765" s="3" t="s">
        <v>211</v>
      </c>
      <c r="H765" s="3" t="s">
        <v>419</v>
      </c>
      <c r="I765" s="3" t="s">
        <v>316</v>
      </c>
      <c r="J765" s="3" t="s">
        <v>317</v>
      </c>
      <c r="K765" s="3" t="s">
        <v>27</v>
      </c>
      <c r="L765" s="3" t="s">
        <v>28</v>
      </c>
      <c r="M765" s="3" t="s">
        <v>28</v>
      </c>
      <c r="N765" s="3" t="s">
        <v>28</v>
      </c>
      <c r="O765" s="3" t="s">
        <v>27</v>
      </c>
      <c r="P765" s="3" t="s">
        <v>28</v>
      </c>
      <c r="Q765" s="3" t="s">
        <v>28</v>
      </c>
      <c r="R765" s="3" t="s">
        <v>28</v>
      </c>
      <c r="S765" s="3" t="s">
        <v>28</v>
      </c>
      <c r="T765" s="3" t="s">
        <v>28</v>
      </c>
    </row>
    <row r="766" spans="1:20" ht="321">
      <c r="A766" s="3">
        <v>2744803</v>
      </c>
      <c r="B766" s="3">
        <f>HYPERLINK("https://platform.v2.vetology.net/cases/2744803/screening-report/6?type=pdf&amp;v=v6&amp;scorecard=1&amp;secret_key=BX%25IJ%24%2F65ieZ%29f6", 2744803)</f>
        <v>2744803</v>
      </c>
      <c r="C766" s="3">
        <f>HYPERLINK("https://platform.v2.vetology.net/report/v/final/"&amp;2744803, 2744803)</f>
        <v>2744803</v>
      </c>
      <c r="D766" s="3" t="s">
        <v>3022</v>
      </c>
      <c r="E766" s="3" t="s">
        <v>3023</v>
      </c>
      <c r="F766" s="3" t="s">
        <v>3024</v>
      </c>
      <c r="G766" s="3" t="s">
        <v>100</v>
      </c>
      <c r="H766" s="3" t="s">
        <v>3025</v>
      </c>
      <c r="I766" s="3" t="s">
        <v>142</v>
      </c>
      <c r="J766" s="3" t="s">
        <v>143</v>
      </c>
      <c r="K766" s="3" t="s">
        <v>28</v>
      </c>
      <c r="L766" s="3" t="s">
        <v>28</v>
      </c>
      <c r="M766" s="3" t="s">
        <v>27</v>
      </c>
      <c r="N766" s="3" t="s">
        <v>28</v>
      </c>
      <c r="O766" s="3" t="s">
        <v>28</v>
      </c>
      <c r="P766" s="3" t="s">
        <v>28</v>
      </c>
      <c r="Q766" s="3" t="s">
        <v>27</v>
      </c>
      <c r="R766" s="3" t="s">
        <v>28</v>
      </c>
      <c r="S766" s="3" t="s">
        <v>28</v>
      </c>
      <c r="T766" s="3" t="s">
        <v>27</v>
      </c>
    </row>
    <row r="767" spans="1:20" ht="321">
      <c r="A767" s="3">
        <v>2744786</v>
      </c>
      <c r="B767" s="3">
        <f>HYPERLINK("https://platform.v2.vetology.net/cases/2744786/screening-report/6?type=pdf&amp;v=v6&amp;scorecard=1&amp;secret_key=BX%25IJ%24%2F65ieZ%29f6", 2744786)</f>
        <v>2744786</v>
      </c>
      <c r="C767" s="3">
        <f>HYPERLINK("https://platform.v2.vetology.net/report/v/final/"&amp;2744786, 2744786)</f>
        <v>2744786</v>
      </c>
      <c r="D767" s="3" t="s">
        <v>3026</v>
      </c>
      <c r="E767" s="3" t="s">
        <v>3027</v>
      </c>
      <c r="F767" s="3" t="s">
        <v>3028</v>
      </c>
      <c r="G767" s="3" t="s">
        <v>186</v>
      </c>
      <c r="H767" s="3" t="s">
        <v>3029</v>
      </c>
      <c r="I767" s="3" t="s">
        <v>2353</v>
      </c>
      <c r="J767" s="3" t="s">
        <v>207</v>
      </c>
      <c r="K767" s="3" t="s">
        <v>28</v>
      </c>
      <c r="L767" s="3" t="s">
        <v>27</v>
      </c>
      <c r="M767" s="3" t="s">
        <v>28</v>
      </c>
      <c r="N767" s="3" t="s">
        <v>27</v>
      </c>
      <c r="O767" s="3" t="s">
        <v>27</v>
      </c>
      <c r="P767" s="3" t="s">
        <v>28</v>
      </c>
      <c r="Q767" s="3" t="s">
        <v>27</v>
      </c>
      <c r="R767" s="3" t="s">
        <v>27</v>
      </c>
      <c r="S767" s="3" t="s">
        <v>27</v>
      </c>
      <c r="T767" s="3" t="s">
        <v>27</v>
      </c>
    </row>
    <row r="768" spans="1:20" ht="409.6">
      <c r="A768" s="3">
        <v>2744766</v>
      </c>
      <c r="B768" s="3">
        <f>HYPERLINK("https://platform.v2.vetology.net/cases/2744766/screening-report/6?type=pdf&amp;v=v6&amp;scorecard=1&amp;secret_key=BX%25IJ%24%2F65ieZ%29f6", 2744766)</f>
        <v>2744766</v>
      </c>
      <c r="C768" s="3">
        <f>HYPERLINK("https://platform.v2.vetology.net/report/v/final/"&amp;2744766, 2744766)</f>
        <v>2744766</v>
      </c>
      <c r="D768" s="3" t="s">
        <v>3030</v>
      </c>
      <c r="E768" s="3" t="s">
        <v>3031</v>
      </c>
      <c r="F768" s="3" t="s">
        <v>3032</v>
      </c>
      <c r="G768" s="3" t="s">
        <v>64</v>
      </c>
      <c r="H768" s="3" t="s">
        <v>344</v>
      </c>
      <c r="I768" s="3" t="s">
        <v>345</v>
      </c>
      <c r="J768" s="3" t="s">
        <v>346</v>
      </c>
      <c r="K768" s="3" t="s">
        <v>28</v>
      </c>
      <c r="L768" s="3" t="s">
        <v>28</v>
      </c>
      <c r="M768" s="3" t="s">
        <v>28</v>
      </c>
      <c r="N768" s="3" t="s">
        <v>27</v>
      </c>
      <c r="O768" s="3" t="s">
        <v>28</v>
      </c>
      <c r="P768" s="3" t="s">
        <v>28</v>
      </c>
      <c r="Q768" s="3" t="s">
        <v>28</v>
      </c>
      <c r="R768" s="3" t="s">
        <v>28</v>
      </c>
      <c r="S768" s="3" t="s">
        <v>28</v>
      </c>
      <c r="T768" s="3" t="s">
        <v>27</v>
      </c>
    </row>
    <row r="769" spans="1:20" ht="336">
      <c r="A769" s="3">
        <v>2744744</v>
      </c>
      <c r="B769" s="3">
        <f>HYPERLINK("https://platform.v2.vetology.net/cases/2744744/screening-report/6?type=pdf&amp;v=v6&amp;scorecard=1&amp;secret_key=BX%25IJ%24%2F65ieZ%29f6", 2744744)</f>
        <v>2744744</v>
      </c>
      <c r="C769" s="3">
        <f>HYPERLINK("https://platform.v2.vetology.net/report/v/final/"&amp;2744744, 2744744)</f>
        <v>2744744</v>
      </c>
      <c r="D769" s="3" t="s">
        <v>3033</v>
      </c>
      <c r="E769" s="3" t="s">
        <v>3034</v>
      </c>
      <c r="F769" s="3" t="s">
        <v>3035</v>
      </c>
      <c r="G769" s="3" t="s">
        <v>23</v>
      </c>
      <c r="H769" s="3" t="s">
        <v>3036</v>
      </c>
      <c r="I769" s="3" t="s">
        <v>2388</v>
      </c>
      <c r="J769" s="3" t="s">
        <v>2389</v>
      </c>
      <c r="K769" s="3" t="s">
        <v>28</v>
      </c>
      <c r="L769" s="3" t="s">
        <v>28</v>
      </c>
      <c r="M769" s="3" t="s">
        <v>28</v>
      </c>
      <c r="N769" s="3" t="s">
        <v>28</v>
      </c>
      <c r="O769" s="3" t="s">
        <v>27</v>
      </c>
      <c r="P769" s="3" t="s">
        <v>27</v>
      </c>
      <c r="Q769" s="3" t="s">
        <v>27</v>
      </c>
      <c r="R769" s="3" t="s">
        <v>28</v>
      </c>
      <c r="S769" s="3" t="s">
        <v>28</v>
      </c>
      <c r="T769" s="3" t="s">
        <v>27</v>
      </c>
    </row>
    <row r="770" spans="1:20" ht="409.6">
      <c r="A770" s="3">
        <v>2744719</v>
      </c>
      <c r="B770" s="3">
        <f>HYPERLINK("https://platform.v2.vetology.net/cases/2744719/screening-report/6?type=pdf&amp;v=v6&amp;scorecard=1&amp;secret_key=BX%25IJ%24%2F65ieZ%29f6", 2744719)</f>
        <v>2744719</v>
      </c>
      <c r="C770" s="3">
        <f>HYPERLINK("https://platform.v2.vetology.net/report/v/final/"&amp;2744719, 2744719)</f>
        <v>2744719</v>
      </c>
      <c r="D770" s="3" t="s">
        <v>3037</v>
      </c>
      <c r="E770" s="3" t="s">
        <v>3038</v>
      </c>
      <c r="F770" s="3" t="s">
        <v>3039</v>
      </c>
      <c r="G770" s="3" t="s">
        <v>64</v>
      </c>
      <c r="H770" s="3" t="s">
        <v>419</v>
      </c>
      <c r="I770" s="3" t="s">
        <v>316</v>
      </c>
      <c r="J770" s="3" t="s">
        <v>317</v>
      </c>
      <c r="K770" s="3" t="s">
        <v>27</v>
      </c>
      <c r="L770" s="3" t="s">
        <v>28</v>
      </c>
      <c r="M770" s="3" t="s">
        <v>28</v>
      </c>
      <c r="N770" s="3" t="s">
        <v>28</v>
      </c>
      <c r="O770" s="3" t="s">
        <v>27</v>
      </c>
      <c r="P770" s="3" t="s">
        <v>28</v>
      </c>
      <c r="Q770" s="3" t="s">
        <v>28</v>
      </c>
      <c r="R770" s="3" t="s">
        <v>28</v>
      </c>
      <c r="S770" s="3" t="s">
        <v>28</v>
      </c>
      <c r="T770" s="3" t="s">
        <v>28</v>
      </c>
    </row>
    <row r="771" spans="1:20" ht="396.75">
      <c r="A771" s="3">
        <v>2744698</v>
      </c>
      <c r="B771" s="3">
        <f>HYPERLINK("https://platform.v2.vetology.net/cases/2744698/screening-report/6?type=pdf&amp;v=v6&amp;scorecard=1&amp;secret_key=BX%25IJ%24%2F65ieZ%29f6", 2744698)</f>
        <v>2744698</v>
      </c>
      <c r="C771" s="3">
        <f>HYPERLINK("https://platform.v2.vetology.net/report/v/final/"&amp;2744698, 2744698)</f>
        <v>2744698</v>
      </c>
      <c r="D771" s="3" t="s">
        <v>3040</v>
      </c>
      <c r="E771" s="3" t="s">
        <v>3041</v>
      </c>
      <c r="F771" s="3" t="s">
        <v>3042</v>
      </c>
      <c r="G771" s="3" t="s">
        <v>1772</v>
      </c>
      <c r="H771" s="3" t="s">
        <v>2034</v>
      </c>
      <c r="I771" s="3" t="s">
        <v>129</v>
      </c>
      <c r="J771" s="3" t="s">
        <v>847</v>
      </c>
      <c r="K771" s="3" t="s">
        <v>27</v>
      </c>
      <c r="L771" s="3" t="s">
        <v>28</v>
      </c>
      <c r="M771" s="3" t="s">
        <v>28</v>
      </c>
      <c r="N771" s="3" t="s">
        <v>28</v>
      </c>
      <c r="O771" s="3" t="s">
        <v>28</v>
      </c>
      <c r="P771" s="3" t="s">
        <v>28</v>
      </c>
      <c r="Q771" s="3" t="s">
        <v>28</v>
      </c>
      <c r="R771" s="3" t="s">
        <v>28</v>
      </c>
      <c r="S771" s="3" t="s">
        <v>28</v>
      </c>
      <c r="T771" s="3" t="s">
        <v>28</v>
      </c>
    </row>
    <row r="772" spans="1:20" ht="366">
      <c r="A772" s="3">
        <v>2744514</v>
      </c>
      <c r="B772" s="3">
        <f>HYPERLINK("https://platform.v2.vetology.net/cases/2744514/screening-report/6?type=pdf&amp;v=v6&amp;scorecard=1&amp;secret_key=BX%25IJ%24%2F65ieZ%29f6", 2744514)</f>
        <v>2744514</v>
      </c>
      <c r="C772" s="3">
        <f>HYPERLINK("https://platform.v2.vetology.net/report/v/final/"&amp;2744514, 2744514)</f>
        <v>2744514</v>
      </c>
      <c r="D772" s="3" t="s">
        <v>3043</v>
      </c>
      <c r="E772" s="3" t="s">
        <v>3044</v>
      </c>
      <c r="F772" s="3" t="s">
        <v>3045</v>
      </c>
      <c r="G772" s="3" t="s">
        <v>23</v>
      </c>
      <c r="H772" s="3" t="s">
        <v>3046</v>
      </c>
      <c r="I772" s="3" t="s">
        <v>1875</v>
      </c>
      <c r="J772" s="3" t="s">
        <v>755</v>
      </c>
      <c r="K772" s="3" t="s">
        <v>28</v>
      </c>
      <c r="L772" s="3" t="s">
        <v>28</v>
      </c>
      <c r="M772" s="3" t="s">
        <v>27</v>
      </c>
      <c r="N772" s="3" t="s">
        <v>28</v>
      </c>
      <c r="O772" s="3" t="s">
        <v>27</v>
      </c>
      <c r="P772" s="3" t="s">
        <v>28</v>
      </c>
      <c r="Q772" s="3" t="s">
        <v>27</v>
      </c>
      <c r="R772" s="3" t="s">
        <v>28</v>
      </c>
      <c r="S772" s="3" t="s">
        <v>28</v>
      </c>
      <c r="T772" s="3" t="s">
        <v>28</v>
      </c>
    </row>
    <row r="773" spans="1:20" ht="409.6">
      <c r="A773" s="3">
        <v>2744492</v>
      </c>
      <c r="B773" s="3">
        <f>HYPERLINK("https://platform.v2.vetology.net/cases/2744492/screening-report/6?type=pdf&amp;v=v6&amp;scorecard=1&amp;secret_key=BX%25IJ%24%2F65ieZ%29f6", 2744492)</f>
        <v>2744492</v>
      </c>
      <c r="C773" s="3">
        <f>HYPERLINK("https://platform.v2.vetology.net/report/v/final/"&amp;2744492, 2744492)</f>
        <v>2744492</v>
      </c>
      <c r="D773" s="3" t="s">
        <v>3047</v>
      </c>
      <c r="E773" s="3" t="s">
        <v>3048</v>
      </c>
      <c r="F773" s="3"/>
      <c r="G773" s="3" t="s">
        <v>122</v>
      </c>
      <c r="H773" s="3" t="s">
        <v>3049</v>
      </c>
      <c r="I773" s="3" t="s">
        <v>59</v>
      </c>
      <c r="J773" s="3" t="s">
        <v>60</v>
      </c>
      <c r="K773" s="3" t="s">
        <v>28</v>
      </c>
      <c r="L773" s="3" t="s">
        <v>28</v>
      </c>
      <c r="M773" s="3" t="s">
        <v>28</v>
      </c>
      <c r="N773" s="3" t="s">
        <v>28</v>
      </c>
      <c r="O773" s="3" t="s">
        <v>27</v>
      </c>
      <c r="P773" s="3" t="s">
        <v>28</v>
      </c>
      <c r="Q773" s="3" t="s">
        <v>28</v>
      </c>
      <c r="R773" s="3" t="s">
        <v>28</v>
      </c>
      <c r="S773" s="3" t="s">
        <v>28</v>
      </c>
      <c r="T773" s="3" t="s">
        <v>27</v>
      </c>
    </row>
    <row r="774" spans="1:20" ht="229.5">
      <c r="A774" s="3">
        <v>2744491</v>
      </c>
      <c r="B774" s="3">
        <f>HYPERLINK("https://platform.v2.vetology.net/cases/2744491/screening-report/6?type=pdf&amp;v=v6&amp;scorecard=1&amp;secret_key=BX%25IJ%24%2F65ieZ%29f6", 2744491)</f>
        <v>2744491</v>
      </c>
      <c r="C774" s="3">
        <f>HYPERLINK("https://platform.v2.vetology.net/report/v/final/"&amp;2744491, 2744491)</f>
        <v>2744491</v>
      </c>
      <c r="D774" s="3" t="s">
        <v>3050</v>
      </c>
      <c r="E774" s="3" t="s">
        <v>3051</v>
      </c>
      <c r="F774" s="3"/>
      <c r="G774" s="3" t="s">
        <v>122</v>
      </c>
      <c r="H774" s="3" t="s">
        <v>238</v>
      </c>
      <c r="I774" s="3"/>
      <c r="J774" s="3" t="s">
        <v>207</v>
      </c>
      <c r="K774" s="3" t="s">
        <v>28</v>
      </c>
      <c r="L774" s="3" t="s">
        <v>28</v>
      </c>
      <c r="M774" s="3" t="s">
        <v>28</v>
      </c>
      <c r="N774" s="3" t="s">
        <v>28</v>
      </c>
      <c r="O774" s="3" t="s">
        <v>27</v>
      </c>
      <c r="P774" s="3" t="s">
        <v>28</v>
      </c>
      <c r="Q774" s="3" t="s">
        <v>28</v>
      </c>
      <c r="R774" s="3" t="s">
        <v>28</v>
      </c>
      <c r="S774" s="3" t="s">
        <v>28</v>
      </c>
      <c r="T774" s="3" t="s">
        <v>27</v>
      </c>
    </row>
    <row r="775" spans="1:20" ht="213">
      <c r="A775" s="3">
        <v>2744490</v>
      </c>
      <c r="B775" s="3">
        <f>HYPERLINK("https://platform.v2.vetology.net/cases/2744490/screening-report/6?type=pdf&amp;v=v6&amp;scorecard=1&amp;secret_key=BX%25IJ%24%2F65ieZ%29f6", 2744490)</f>
        <v>2744490</v>
      </c>
      <c r="C775" s="3">
        <f>HYPERLINK("https://platform.v2.vetology.net/report/v/final/"&amp;2744490, 2744490)</f>
        <v>2744490</v>
      </c>
      <c r="D775" s="3" t="s">
        <v>3052</v>
      </c>
      <c r="E775" s="3" t="s">
        <v>3053</v>
      </c>
      <c r="F775" s="3" t="s">
        <v>3054</v>
      </c>
      <c r="G775" s="3" t="s">
        <v>122</v>
      </c>
      <c r="H775" s="3" t="s">
        <v>2679</v>
      </c>
      <c r="I775" s="3" t="s">
        <v>1660</v>
      </c>
      <c r="J775" s="3" t="s">
        <v>207</v>
      </c>
      <c r="K775" s="3" t="s">
        <v>28</v>
      </c>
      <c r="L775" s="3" t="s">
        <v>28</v>
      </c>
      <c r="M775" s="3" t="s">
        <v>28</v>
      </c>
      <c r="N775" s="3" t="s">
        <v>28</v>
      </c>
      <c r="O775" s="3" t="s">
        <v>28</v>
      </c>
      <c r="P775" s="3" t="s">
        <v>28</v>
      </c>
      <c r="Q775" s="3" t="s">
        <v>27</v>
      </c>
      <c r="R775" s="3" t="s">
        <v>28</v>
      </c>
      <c r="S775" s="3" t="s">
        <v>28</v>
      </c>
      <c r="T775" s="3" t="s">
        <v>27</v>
      </c>
    </row>
    <row r="776" spans="1:20" ht="409.6">
      <c r="A776" s="3">
        <v>2744488</v>
      </c>
      <c r="B776" s="3">
        <f>HYPERLINK("https://platform.v2.vetology.net/cases/2744488/screening-report/6?type=pdf&amp;v=v6&amp;scorecard=1&amp;secret_key=BX%25IJ%24%2F65ieZ%29f6", 2744488)</f>
        <v>2744488</v>
      </c>
      <c r="C776" s="3">
        <f>HYPERLINK("https://platform.v2.vetology.net/report/v/final/"&amp;2744488, 2744488)</f>
        <v>2744488</v>
      </c>
      <c r="D776" s="3" t="s">
        <v>3055</v>
      </c>
      <c r="E776" s="3" t="s">
        <v>3056</v>
      </c>
      <c r="F776" s="3" t="s">
        <v>22</v>
      </c>
      <c r="G776" s="3" t="s">
        <v>372</v>
      </c>
      <c r="H776" s="3" t="s">
        <v>2709</v>
      </c>
      <c r="I776" s="3" t="s">
        <v>1082</v>
      </c>
      <c r="J776" s="3" t="s">
        <v>1083</v>
      </c>
      <c r="K776" s="3" t="s">
        <v>27</v>
      </c>
      <c r="L776" s="3" t="s">
        <v>28</v>
      </c>
      <c r="M776" s="3" t="s">
        <v>28</v>
      </c>
      <c r="N776" s="3" t="s">
        <v>28</v>
      </c>
      <c r="O776" s="3" t="s">
        <v>27</v>
      </c>
      <c r="P776" s="3" t="s">
        <v>28</v>
      </c>
      <c r="Q776" s="3" t="s">
        <v>28</v>
      </c>
      <c r="R776" s="3" t="s">
        <v>28</v>
      </c>
      <c r="S776" s="3" t="s">
        <v>28</v>
      </c>
      <c r="T776" s="3" t="s">
        <v>27</v>
      </c>
    </row>
    <row r="777" spans="1:20" ht="409.6">
      <c r="A777" s="3">
        <v>2744483</v>
      </c>
      <c r="B777" s="3">
        <f>HYPERLINK("https://platform.v2.vetology.net/cases/2744483/screening-report/6?type=pdf&amp;v=v6&amp;scorecard=1&amp;secret_key=BX%25IJ%24%2F65ieZ%29f6", 2744483)</f>
        <v>2744483</v>
      </c>
      <c r="C777" s="3">
        <f>HYPERLINK("https://platform.v2.vetology.net/report/v/final/"&amp;2744483, 2744483)</f>
        <v>2744483</v>
      </c>
      <c r="D777" s="3" t="s">
        <v>3057</v>
      </c>
      <c r="E777" s="3" t="s">
        <v>3058</v>
      </c>
      <c r="F777" s="3" t="s">
        <v>3059</v>
      </c>
      <c r="G777" s="3" t="s">
        <v>64</v>
      </c>
      <c r="H777" s="3" t="s">
        <v>2096</v>
      </c>
      <c r="I777" s="3" t="s">
        <v>856</v>
      </c>
      <c r="J777" s="3" t="s">
        <v>857</v>
      </c>
      <c r="K777" s="3" t="s">
        <v>28</v>
      </c>
      <c r="L777" s="3" t="s">
        <v>28</v>
      </c>
      <c r="M777" s="3" t="s">
        <v>28</v>
      </c>
      <c r="N777" s="3" t="s">
        <v>28</v>
      </c>
      <c r="O777" s="3" t="s">
        <v>27</v>
      </c>
      <c r="P777" s="3" t="s">
        <v>28</v>
      </c>
      <c r="Q777" s="3" t="s">
        <v>28</v>
      </c>
      <c r="R777" s="3" t="s">
        <v>28</v>
      </c>
      <c r="S777" s="3" t="s">
        <v>28</v>
      </c>
      <c r="T777" s="3" t="s">
        <v>28</v>
      </c>
    </row>
    <row r="778" spans="1:20" ht="409.6">
      <c r="A778" s="3">
        <v>2744433</v>
      </c>
      <c r="B778" s="3">
        <f>HYPERLINK("https://platform.v2.vetology.net/cases/2744433/screening-report/6?type=pdf&amp;v=v6&amp;scorecard=1&amp;secret_key=BX%25IJ%24%2F65ieZ%29f6", 2744433)</f>
        <v>2744433</v>
      </c>
      <c r="C778" s="3">
        <f>HYPERLINK("https://platform.v2.vetology.net/report/v/final/"&amp;2744433, 2744433)</f>
        <v>2744433</v>
      </c>
      <c r="D778" s="3" t="s">
        <v>3060</v>
      </c>
      <c r="E778" s="3" t="s">
        <v>3061</v>
      </c>
      <c r="F778" s="3" t="s">
        <v>3062</v>
      </c>
      <c r="G778" s="3" t="s">
        <v>496</v>
      </c>
      <c r="H778" s="3" t="s">
        <v>3063</v>
      </c>
      <c r="I778" s="3" t="s">
        <v>2825</v>
      </c>
      <c r="J778" s="3" t="s">
        <v>2826</v>
      </c>
      <c r="K778" s="3" t="s">
        <v>27</v>
      </c>
      <c r="L778" s="3" t="s">
        <v>28</v>
      </c>
      <c r="M778" s="3" t="s">
        <v>27</v>
      </c>
      <c r="N778" s="3" t="s">
        <v>28</v>
      </c>
      <c r="O778" s="3" t="s">
        <v>27</v>
      </c>
      <c r="P778" s="3" t="s">
        <v>28</v>
      </c>
      <c r="Q778" s="3" t="s">
        <v>28</v>
      </c>
      <c r="R778" s="3" t="s">
        <v>28</v>
      </c>
      <c r="S778" s="3" t="s">
        <v>28</v>
      </c>
      <c r="T778" s="3" t="s">
        <v>28</v>
      </c>
    </row>
    <row r="779" spans="1:20" ht="409.6">
      <c r="A779" s="3">
        <v>2744418</v>
      </c>
      <c r="B779" s="3">
        <f>HYPERLINK("https://platform.v2.vetology.net/cases/2744418/screening-report/6?type=pdf&amp;v=v6&amp;scorecard=1&amp;secret_key=BX%25IJ%24%2F65ieZ%29f6", 2744418)</f>
        <v>2744418</v>
      </c>
      <c r="C779" s="3">
        <f>HYPERLINK("https://platform.v2.vetology.net/report/v/final/"&amp;2744418, 2744418)</f>
        <v>2744418</v>
      </c>
      <c r="D779" s="3" t="s">
        <v>3064</v>
      </c>
      <c r="E779" s="3" t="s">
        <v>3065</v>
      </c>
      <c r="F779" s="3" t="s">
        <v>3066</v>
      </c>
      <c r="G779" s="3" t="s">
        <v>57</v>
      </c>
      <c r="H779" s="3" t="s">
        <v>3067</v>
      </c>
      <c r="I779" s="3" t="s">
        <v>1700</v>
      </c>
      <c r="J779" s="3" t="s">
        <v>3068</v>
      </c>
      <c r="K779" s="3" t="s">
        <v>27</v>
      </c>
      <c r="L779" s="3" t="s">
        <v>27</v>
      </c>
      <c r="M779" s="3" t="s">
        <v>27</v>
      </c>
      <c r="N779" s="3" t="s">
        <v>27</v>
      </c>
      <c r="O779" s="3" t="s">
        <v>27</v>
      </c>
      <c r="P779" s="3" t="s">
        <v>27</v>
      </c>
      <c r="Q779" s="3" t="s">
        <v>27</v>
      </c>
      <c r="R779" s="3" t="s">
        <v>27</v>
      </c>
      <c r="S779" s="3" t="s">
        <v>27</v>
      </c>
      <c r="T779" s="3" t="s">
        <v>27</v>
      </c>
    </row>
    <row r="780" spans="1:20" ht="259.5">
      <c r="A780" s="3">
        <v>2744373</v>
      </c>
      <c r="B780" s="3">
        <f>HYPERLINK("https://platform.v2.vetology.net/cases/2744373/screening-report/6?type=pdf&amp;v=v6&amp;scorecard=1&amp;secret_key=BX%25IJ%24%2F65ieZ%29f6", 2744373)</f>
        <v>2744373</v>
      </c>
      <c r="C780" s="3">
        <f>HYPERLINK("https://platform.v2.vetology.net/report/v/final/"&amp;2744373, 2744373)</f>
        <v>2744373</v>
      </c>
      <c r="D780" s="3" t="s">
        <v>3069</v>
      </c>
      <c r="E780" s="3" t="s">
        <v>3070</v>
      </c>
      <c r="F780" s="3" t="s">
        <v>956</v>
      </c>
      <c r="G780" s="3" t="s">
        <v>100</v>
      </c>
      <c r="H780" s="3" t="s">
        <v>212</v>
      </c>
      <c r="I780" s="3" t="s">
        <v>261</v>
      </c>
      <c r="J780" s="3" t="s">
        <v>262</v>
      </c>
      <c r="K780" s="3" t="s">
        <v>27</v>
      </c>
      <c r="L780" s="3" t="s">
        <v>28</v>
      </c>
      <c r="M780" s="3" t="s">
        <v>27</v>
      </c>
      <c r="N780" s="3" t="s">
        <v>28</v>
      </c>
      <c r="O780" s="3" t="s">
        <v>27</v>
      </c>
      <c r="P780" s="3" t="s">
        <v>28</v>
      </c>
      <c r="Q780" s="3" t="s">
        <v>28</v>
      </c>
      <c r="R780" s="3" t="s">
        <v>28</v>
      </c>
      <c r="S780" s="3" t="s">
        <v>28</v>
      </c>
      <c r="T780" s="3" t="s">
        <v>28</v>
      </c>
    </row>
    <row r="781" spans="1:20" ht="321">
      <c r="A781" s="3">
        <v>2744295</v>
      </c>
      <c r="B781" s="3">
        <f>HYPERLINK("https://platform.v2.vetology.net/cases/2744295/screening-report/6?type=pdf&amp;v=v6&amp;scorecard=1&amp;secret_key=BX%25IJ%24%2F65ieZ%29f6", 2744295)</f>
        <v>2744295</v>
      </c>
      <c r="C781" s="3">
        <f>HYPERLINK("https://platform.v2.vetology.net/report/v/final/"&amp;2744295, 2744295)</f>
        <v>2744295</v>
      </c>
      <c r="D781" s="3" t="s">
        <v>3071</v>
      </c>
      <c r="E781" s="3" t="s">
        <v>3072</v>
      </c>
      <c r="F781" s="3" t="s">
        <v>3073</v>
      </c>
      <c r="G781" s="3" t="s">
        <v>496</v>
      </c>
      <c r="H781" s="3" t="s">
        <v>3074</v>
      </c>
      <c r="I781" s="3" t="s">
        <v>316</v>
      </c>
      <c r="J781" s="3" t="s">
        <v>317</v>
      </c>
      <c r="K781" s="3" t="s">
        <v>27</v>
      </c>
      <c r="L781" s="3" t="s">
        <v>28</v>
      </c>
      <c r="M781" s="3" t="s">
        <v>28</v>
      </c>
      <c r="N781" s="3" t="s">
        <v>28</v>
      </c>
      <c r="O781" s="3" t="s">
        <v>27</v>
      </c>
      <c r="P781" s="3" t="s">
        <v>28</v>
      </c>
      <c r="Q781" s="3" t="s">
        <v>28</v>
      </c>
      <c r="R781" s="3" t="s">
        <v>28</v>
      </c>
      <c r="S781" s="3" t="s">
        <v>28</v>
      </c>
      <c r="T781" s="3" t="s">
        <v>28</v>
      </c>
    </row>
    <row r="782" spans="1:20" ht="305.25">
      <c r="A782" s="3">
        <v>2744245</v>
      </c>
      <c r="B782" s="3">
        <f>HYPERLINK("https://platform.v2.vetology.net/cases/2744245/screening-report/6?type=pdf&amp;v=v6&amp;scorecard=1&amp;secret_key=BX%25IJ%24%2F65ieZ%29f6", 2744245)</f>
        <v>2744245</v>
      </c>
      <c r="C782" s="3">
        <f>HYPERLINK("https://platform.v2.vetology.net/report/v/final/"&amp;2744245, 2744245)</f>
        <v>2744245</v>
      </c>
      <c r="D782" s="3" t="s">
        <v>3075</v>
      </c>
      <c r="E782" s="3" t="s">
        <v>3076</v>
      </c>
      <c r="F782" s="3" t="s">
        <v>3077</v>
      </c>
      <c r="G782" s="3" t="s">
        <v>186</v>
      </c>
      <c r="H782" s="3" t="s">
        <v>31</v>
      </c>
      <c r="I782" s="3" t="s">
        <v>32</v>
      </c>
      <c r="J782" s="3" t="s">
        <v>33</v>
      </c>
      <c r="K782" s="3" t="s">
        <v>28</v>
      </c>
      <c r="L782" s="3" t="s">
        <v>28</v>
      </c>
      <c r="M782" s="3" t="s">
        <v>28</v>
      </c>
      <c r="N782" s="3" t="s">
        <v>28</v>
      </c>
      <c r="O782" s="3" t="s">
        <v>28</v>
      </c>
      <c r="P782" s="3" t="s">
        <v>28</v>
      </c>
      <c r="Q782" s="3" t="s">
        <v>28</v>
      </c>
      <c r="R782" s="3" t="s">
        <v>28</v>
      </c>
      <c r="S782" s="3" t="s">
        <v>28</v>
      </c>
      <c r="T782" s="3" t="s">
        <v>28</v>
      </c>
    </row>
    <row r="783" spans="1:20" ht="396.75">
      <c r="A783" s="3">
        <v>2744243</v>
      </c>
      <c r="B783" s="3">
        <f>HYPERLINK("https://platform.v2.vetology.net/cases/2744243/screening-report/6?type=pdf&amp;v=v6&amp;scorecard=1&amp;secret_key=BX%25IJ%24%2F65ieZ%29f6", 2744243)</f>
        <v>2744243</v>
      </c>
      <c r="C783" s="3">
        <f>HYPERLINK("https://platform.v2.vetology.net/report/v/final/"&amp;2744243, 2744243)</f>
        <v>2744243</v>
      </c>
      <c r="D783" s="3" t="s">
        <v>3078</v>
      </c>
      <c r="E783" s="3" t="s">
        <v>3079</v>
      </c>
      <c r="F783" s="3" t="s">
        <v>3080</v>
      </c>
      <c r="G783" s="3" t="s">
        <v>57</v>
      </c>
      <c r="H783" s="3" t="s">
        <v>3081</v>
      </c>
      <c r="I783" s="3" t="s">
        <v>3082</v>
      </c>
      <c r="J783" s="3" t="s">
        <v>3083</v>
      </c>
      <c r="K783" s="3" t="s">
        <v>28</v>
      </c>
      <c r="L783" s="3" t="s">
        <v>27</v>
      </c>
      <c r="M783" s="3" t="s">
        <v>27</v>
      </c>
      <c r="N783" s="3" t="s">
        <v>27</v>
      </c>
      <c r="O783" s="3" t="s">
        <v>27</v>
      </c>
      <c r="P783" s="3" t="s">
        <v>28</v>
      </c>
      <c r="Q783" s="3" t="s">
        <v>28</v>
      </c>
      <c r="R783" s="3" t="s">
        <v>28</v>
      </c>
      <c r="S783" s="3" t="s">
        <v>27</v>
      </c>
      <c r="T783" s="3" t="s">
        <v>27</v>
      </c>
    </row>
    <row r="784" spans="1:20" ht="275.25">
      <c r="A784" s="3">
        <v>2744242</v>
      </c>
      <c r="B784" s="3">
        <f>HYPERLINK("https://platform.v2.vetology.net/cases/2744242/screening-report/6?type=pdf&amp;v=v6&amp;scorecard=1&amp;secret_key=BX%25IJ%24%2F65ieZ%29f6", 2744242)</f>
        <v>2744242</v>
      </c>
      <c r="C784" s="3">
        <f>HYPERLINK("https://platform.v2.vetology.net/report/v/final/"&amp;2744242, 2744242)</f>
        <v>2744242</v>
      </c>
      <c r="D784" s="3" t="s">
        <v>3084</v>
      </c>
      <c r="E784" s="3" t="s">
        <v>3085</v>
      </c>
      <c r="F784" s="3" t="s">
        <v>22</v>
      </c>
      <c r="G784" s="3" t="s">
        <v>23</v>
      </c>
      <c r="H784" s="3" t="s">
        <v>31</v>
      </c>
      <c r="I784" s="3" t="s">
        <v>3086</v>
      </c>
      <c r="J784" s="3" t="s">
        <v>119</v>
      </c>
      <c r="K784" s="3" t="s">
        <v>28</v>
      </c>
      <c r="L784" s="3" t="s">
        <v>28</v>
      </c>
      <c r="M784" s="3" t="s">
        <v>28</v>
      </c>
      <c r="N784" s="3" t="s">
        <v>28</v>
      </c>
      <c r="O784" s="3" t="s">
        <v>28</v>
      </c>
      <c r="P784" s="3" t="s">
        <v>28</v>
      </c>
      <c r="Q784" s="3" t="s">
        <v>28</v>
      </c>
      <c r="R784" s="3" t="s">
        <v>28</v>
      </c>
      <c r="S784" s="3" t="s">
        <v>28</v>
      </c>
      <c r="T784" s="3" t="s">
        <v>28</v>
      </c>
    </row>
    <row r="785" spans="1:20" ht="409.6">
      <c r="A785" s="3">
        <v>2744241</v>
      </c>
      <c r="B785" s="3">
        <f>HYPERLINK("https://platform.v2.vetology.net/cases/2744241/screening-report/6?type=pdf&amp;v=v6&amp;scorecard=1&amp;secret_key=BX%25IJ%24%2F65ieZ%29f6", 2744241)</f>
        <v>2744241</v>
      </c>
      <c r="C785" s="3">
        <f>HYPERLINK("https://platform.v2.vetology.net/report/v/final/"&amp;2744241, 2744241)</f>
        <v>2744241</v>
      </c>
      <c r="D785" s="3" t="s">
        <v>3087</v>
      </c>
      <c r="E785" s="3" t="s">
        <v>3088</v>
      </c>
      <c r="F785" s="3" t="s">
        <v>3089</v>
      </c>
      <c r="G785" s="3" t="s">
        <v>57</v>
      </c>
      <c r="H785" s="3" t="s">
        <v>3090</v>
      </c>
      <c r="I785" s="3" t="s">
        <v>1404</v>
      </c>
      <c r="J785" s="3" t="s">
        <v>1405</v>
      </c>
      <c r="K785" s="3" t="s">
        <v>27</v>
      </c>
      <c r="L785" s="3" t="s">
        <v>28</v>
      </c>
      <c r="M785" s="3" t="s">
        <v>27</v>
      </c>
      <c r="N785" s="3" t="s">
        <v>28</v>
      </c>
      <c r="O785" s="3" t="s">
        <v>27</v>
      </c>
      <c r="P785" s="3" t="s">
        <v>28</v>
      </c>
      <c r="Q785" s="3" t="s">
        <v>27</v>
      </c>
      <c r="R785" s="3" t="s">
        <v>28</v>
      </c>
      <c r="S785" s="3" t="s">
        <v>28</v>
      </c>
      <c r="T785" s="3" t="s">
        <v>28</v>
      </c>
    </row>
    <row r="786" spans="1:20" ht="409.6">
      <c r="A786" s="3">
        <v>2744203</v>
      </c>
      <c r="B786" s="3">
        <f>HYPERLINK("https://platform.v2.vetology.net/cases/2744203/screening-report/6?type=pdf&amp;v=v6&amp;scorecard=1&amp;secret_key=BX%25IJ%24%2F65ieZ%29f6", 2744203)</f>
        <v>2744203</v>
      </c>
      <c r="C786" s="3">
        <f>HYPERLINK("https://platform.v2.vetology.net/report/v/final/"&amp;2744203, 2744203)</f>
        <v>2744203</v>
      </c>
      <c r="D786" s="3" t="s">
        <v>3091</v>
      </c>
      <c r="E786" s="3" t="s">
        <v>3092</v>
      </c>
      <c r="F786" s="3" t="s">
        <v>3093</v>
      </c>
      <c r="G786" s="3" t="s">
        <v>57</v>
      </c>
      <c r="H786" s="3" t="s">
        <v>3094</v>
      </c>
      <c r="I786" s="3" t="s">
        <v>261</v>
      </c>
      <c r="J786" s="3" t="s">
        <v>262</v>
      </c>
      <c r="K786" s="3" t="s">
        <v>27</v>
      </c>
      <c r="L786" s="3" t="s">
        <v>28</v>
      </c>
      <c r="M786" s="3" t="s">
        <v>27</v>
      </c>
      <c r="N786" s="3" t="s">
        <v>28</v>
      </c>
      <c r="O786" s="3" t="s">
        <v>27</v>
      </c>
      <c r="P786" s="3" t="s">
        <v>28</v>
      </c>
      <c r="Q786" s="3" t="s">
        <v>27</v>
      </c>
      <c r="R786" s="3" t="s">
        <v>28</v>
      </c>
      <c r="S786" s="3" t="s">
        <v>28</v>
      </c>
      <c r="T786" s="3" t="s">
        <v>28</v>
      </c>
    </row>
    <row r="787" spans="1:20" ht="381.75">
      <c r="A787" s="3">
        <v>2744192</v>
      </c>
      <c r="B787" s="3">
        <f>HYPERLINK("https://platform.v2.vetology.net/cases/2744192/screening-report/6?type=pdf&amp;v=v6&amp;scorecard=1&amp;secret_key=BX%25IJ%24%2F65ieZ%29f6", 2744192)</f>
        <v>2744192</v>
      </c>
      <c r="C787" s="3">
        <f>HYPERLINK("https://platform.v2.vetology.net/report/v/final/"&amp;2744192, 2744192)</f>
        <v>2744192</v>
      </c>
      <c r="D787" s="3" t="s">
        <v>3095</v>
      </c>
      <c r="E787" s="3" t="s">
        <v>3096</v>
      </c>
      <c r="F787" s="3" t="s">
        <v>3097</v>
      </c>
      <c r="G787" s="3" t="s">
        <v>186</v>
      </c>
      <c r="H787" s="3" t="s">
        <v>3098</v>
      </c>
      <c r="I787" s="3" t="s">
        <v>856</v>
      </c>
      <c r="J787" s="3" t="s">
        <v>857</v>
      </c>
      <c r="K787" s="3" t="s">
        <v>28</v>
      </c>
      <c r="L787" s="3" t="s">
        <v>28</v>
      </c>
      <c r="M787" s="3" t="s">
        <v>28</v>
      </c>
      <c r="N787" s="3" t="s">
        <v>28</v>
      </c>
      <c r="O787" s="3" t="s">
        <v>27</v>
      </c>
      <c r="P787" s="3" t="s">
        <v>28</v>
      </c>
      <c r="Q787" s="3" t="s">
        <v>28</v>
      </c>
      <c r="R787" s="3" t="s">
        <v>28</v>
      </c>
      <c r="S787" s="3" t="s">
        <v>28</v>
      </c>
      <c r="T787" s="3" t="s">
        <v>28</v>
      </c>
    </row>
    <row r="788" spans="1:20" ht="381.75">
      <c r="A788" s="3">
        <v>2744158</v>
      </c>
      <c r="B788" s="3">
        <f>HYPERLINK("https://platform.v2.vetology.net/cases/2744158/screening-report/6?type=pdf&amp;v=v6&amp;scorecard=1&amp;secret_key=BX%25IJ%24%2F65ieZ%29f6", 2744158)</f>
        <v>2744158</v>
      </c>
      <c r="C788" s="3">
        <f>HYPERLINK("https://platform.v2.vetology.net/report/v/final/"&amp;2744158, 2744158)</f>
        <v>2744158</v>
      </c>
      <c r="D788" s="3" t="s">
        <v>3099</v>
      </c>
      <c r="E788" s="3" t="s">
        <v>3100</v>
      </c>
      <c r="F788" s="3" t="s">
        <v>3101</v>
      </c>
      <c r="G788" s="3" t="s">
        <v>64</v>
      </c>
      <c r="H788" s="3" t="s">
        <v>3102</v>
      </c>
      <c r="I788" s="3" t="s">
        <v>273</v>
      </c>
      <c r="J788" s="3" t="s">
        <v>274</v>
      </c>
      <c r="K788" s="3" t="s">
        <v>28</v>
      </c>
      <c r="L788" s="3" t="s">
        <v>28</v>
      </c>
      <c r="M788" s="3" t="s">
        <v>28</v>
      </c>
      <c r="N788" s="3" t="s">
        <v>27</v>
      </c>
      <c r="O788" s="3" t="s">
        <v>27</v>
      </c>
      <c r="P788" s="3" t="s">
        <v>28</v>
      </c>
      <c r="Q788" s="3" t="s">
        <v>28</v>
      </c>
      <c r="R788" s="3" t="s">
        <v>28</v>
      </c>
      <c r="S788" s="3" t="s">
        <v>28</v>
      </c>
      <c r="T788" s="3" t="s">
        <v>27</v>
      </c>
    </row>
    <row r="789" spans="1:20" ht="305.25">
      <c r="A789" s="3">
        <v>2744123</v>
      </c>
      <c r="B789" s="3">
        <f>HYPERLINK("https://platform.v2.vetology.net/cases/2744123/screening-report/6?type=pdf&amp;v=v6&amp;scorecard=1&amp;secret_key=BX%25IJ%24%2F65ieZ%29f6", 2744123)</f>
        <v>2744123</v>
      </c>
      <c r="C789" s="3">
        <f>HYPERLINK("https://platform.v2.vetology.net/report/v/final/"&amp;2744123, 2744123)</f>
        <v>2744123</v>
      </c>
      <c r="D789" s="3" t="s">
        <v>3103</v>
      </c>
      <c r="E789" s="3" t="s">
        <v>3104</v>
      </c>
      <c r="F789" s="3" t="s">
        <v>3105</v>
      </c>
      <c r="G789" s="3" t="s">
        <v>186</v>
      </c>
      <c r="H789" s="3" t="s">
        <v>3106</v>
      </c>
      <c r="I789" s="3" t="s">
        <v>784</v>
      </c>
      <c r="J789" s="3" t="s">
        <v>785</v>
      </c>
      <c r="K789" s="3" t="s">
        <v>28</v>
      </c>
      <c r="L789" s="3" t="s">
        <v>27</v>
      </c>
      <c r="M789" s="3" t="s">
        <v>27</v>
      </c>
      <c r="N789" s="3" t="s">
        <v>28</v>
      </c>
      <c r="O789" s="3" t="s">
        <v>27</v>
      </c>
      <c r="P789" s="3" t="s">
        <v>28</v>
      </c>
      <c r="Q789" s="3" t="s">
        <v>27</v>
      </c>
      <c r="R789" s="3" t="s">
        <v>27</v>
      </c>
      <c r="S789" s="3" t="s">
        <v>28</v>
      </c>
      <c r="T789" s="3" t="s">
        <v>27</v>
      </c>
    </row>
    <row r="790" spans="1:20" ht="229.5">
      <c r="A790" s="3">
        <v>2744047</v>
      </c>
      <c r="B790" s="3">
        <f>HYPERLINK("https://platform.v2.vetology.net/cases/2744047/screening-report/6?type=pdf&amp;v=v6&amp;scorecard=1&amp;secret_key=BX%25IJ%24%2F65ieZ%29f6", 2744047)</f>
        <v>2744047</v>
      </c>
      <c r="C790" s="3">
        <f>HYPERLINK("https://platform.v2.vetology.net/report/v/final/"&amp;2744047, 2744047)</f>
        <v>2744047</v>
      </c>
      <c r="D790" s="3" t="s">
        <v>3107</v>
      </c>
      <c r="E790" s="3" t="s">
        <v>3108</v>
      </c>
      <c r="F790" s="3" t="s">
        <v>3109</v>
      </c>
      <c r="G790" s="3" t="s">
        <v>186</v>
      </c>
      <c r="H790" s="3" t="s">
        <v>1259</v>
      </c>
      <c r="I790" s="3"/>
      <c r="J790" s="3" t="s">
        <v>207</v>
      </c>
      <c r="K790" s="3" t="s">
        <v>28</v>
      </c>
      <c r="L790" s="3" t="s">
        <v>28</v>
      </c>
      <c r="M790" s="3" t="s">
        <v>28</v>
      </c>
      <c r="N790" s="3" t="s">
        <v>28</v>
      </c>
      <c r="O790" s="3" t="s">
        <v>27</v>
      </c>
      <c r="P790" s="3" t="s">
        <v>28</v>
      </c>
      <c r="Q790" s="3" t="s">
        <v>28</v>
      </c>
      <c r="R790" s="3" t="s">
        <v>28</v>
      </c>
      <c r="S790" s="3" t="s">
        <v>28</v>
      </c>
      <c r="T790" s="3" t="s">
        <v>28</v>
      </c>
    </row>
    <row r="791" spans="1:20" ht="381.75">
      <c r="A791" s="3">
        <v>2744043</v>
      </c>
      <c r="B791" s="3">
        <f>HYPERLINK("https://platform.v2.vetology.net/cases/2744043/screening-report/6?type=pdf&amp;v=v6&amp;scorecard=1&amp;secret_key=BX%25IJ%24%2F65ieZ%29f6", 2744043)</f>
        <v>2744043</v>
      </c>
      <c r="C791" s="3">
        <f>HYPERLINK("https://platform.v2.vetology.net/report/v/final/"&amp;2744043, 2744043)</f>
        <v>2744043</v>
      </c>
      <c r="D791" s="3" t="s">
        <v>3110</v>
      </c>
      <c r="E791" s="3" t="s">
        <v>3111</v>
      </c>
      <c r="F791" s="3" t="s">
        <v>3112</v>
      </c>
      <c r="G791" s="3" t="s">
        <v>186</v>
      </c>
      <c r="H791" s="3" t="s">
        <v>3113</v>
      </c>
      <c r="I791" s="3" t="s">
        <v>345</v>
      </c>
      <c r="J791" s="3" t="s">
        <v>534</v>
      </c>
      <c r="K791" s="3" t="s">
        <v>28</v>
      </c>
      <c r="L791" s="3" t="s">
        <v>28</v>
      </c>
      <c r="M791" s="3" t="s">
        <v>28</v>
      </c>
      <c r="N791" s="3" t="s">
        <v>28</v>
      </c>
      <c r="O791" s="3" t="s">
        <v>28</v>
      </c>
      <c r="P791" s="3" t="s">
        <v>28</v>
      </c>
      <c r="Q791" s="3" t="s">
        <v>28</v>
      </c>
      <c r="R791" s="3" t="s">
        <v>27</v>
      </c>
      <c r="S791" s="3" t="s">
        <v>28</v>
      </c>
      <c r="T791" s="3" t="s">
        <v>27</v>
      </c>
    </row>
    <row r="792" spans="1:20" ht="409.6">
      <c r="A792" s="3">
        <v>2744041</v>
      </c>
      <c r="B792" s="3">
        <f>HYPERLINK("https://platform.v2.vetology.net/cases/2744041/screening-report/6?type=pdf&amp;v=v6&amp;scorecard=1&amp;secret_key=BX%25IJ%24%2F65ieZ%29f6", 2744041)</f>
        <v>2744041</v>
      </c>
      <c r="C792" s="3">
        <f>HYPERLINK("https://platform.v2.vetology.net/report/v/final/"&amp;2744041, 2744041)</f>
        <v>2744041</v>
      </c>
      <c r="D792" s="3" t="s">
        <v>3114</v>
      </c>
      <c r="E792" s="3" t="s">
        <v>3115</v>
      </c>
      <c r="F792" s="3" t="s">
        <v>3116</v>
      </c>
      <c r="G792" s="3" t="s">
        <v>211</v>
      </c>
      <c r="H792" s="3" t="s">
        <v>3117</v>
      </c>
      <c r="I792" s="3" t="s">
        <v>108</v>
      </c>
      <c r="J792" s="3" t="s">
        <v>109</v>
      </c>
      <c r="K792" s="3" t="s">
        <v>28</v>
      </c>
      <c r="L792" s="3" t="s">
        <v>27</v>
      </c>
      <c r="M792" s="3" t="s">
        <v>28</v>
      </c>
      <c r="N792" s="3" t="s">
        <v>27</v>
      </c>
      <c r="O792" s="3" t="s">
        <v>27</v>
      </c>
      <c r="P792" s="3" t="s">
        <v>28</v>
      </c>
      <c r="Q792" s="3" t="s">
        <v>28</v>
      </c>
      <c r="R792" s="3" t="s">
        <v>27</v>
      </c>
      <c r="S792" s="3" t="s">
        <v>27</v>
      </c>
      <c r="T792" s="3" t="s">
        <v>27</v>
      </c>
    </row>
    <row r="793" spans="1:20" ht="290.25">
      <c r="A793" s="3">
        <v>2744027</v>
      </c>
      <c r="B793" s="3">
        <f>HYPERLINK("https://platform.v2.vetology.net/cases/2744027/screening-report/6?type=pdf&amp;v=v6&amp;scorecard=1&amp;secret_key=BX%25IJ%24%2F65ieZ%29f6", 2744027)</f>
        <v>2744027</v>
      </c>
      <c r="C793" s="3">
        <f>HYPERLINK("https://platform.v2.vetology.net/report/v/final/"&amp;2744027, 2744027)</f>
        <v>2744027</v>
      </c>
      <c r="D793" s="3" t="s">
        <v>3118</v>
      </c>
      <c r="E793" s="3" t="s">
        <v>3119</v>
      </c>
      <c r="F793" s="3" t="s">
        <v>22</v>
      </c>
      <c r="G793" s="3" t="s">
        <v>372</v>
      </c>
      <c r="H793" s="3" t="s">
        <v>1296</v>
      </c>
      <c r="I793" s="3" t="s">
        <v>316</v>
      </c>
      <c r="J793" s="3" t="s">
        <v>317</v>
      </c>
      <c r="K793" s="3" t="s">
        <v>28</v>
      </c>
      <c r="L793" s="3" t="s">
        <v>28</v>
      </c>
      <c r="M793" s="3" t="s">
        <v>28</v>
      </c>
      <c r="N793" s="3" t="s">
        <v>28</v>
      </c>
      <c r="O793" s="3" t="s">
        <v>27</v>
      </c>
      <c r="P793" s="3" t="s">
        <v>28</v>
      </c>
      <c r="Q793" s="3" t="s">
        <v>28</v>
      </c>
      <c r="R793" s="3" t="s">
        <v>28</v>
      </c>
      <c r="S793" s="3" t="s">
        <v>28</v>
      </c>
      <c r="T793" s="3" t="s">
        <v>28</v>
      </c>
    </row>
    <row r="794" spans="1:20" ht="409.6">
      <c r="A794" s="3">
        <v>2744019</v>
      </c>
      <c r="B794" s="3">
        <f>HYPERLINK("https://platform.v2.vetology.net/cases/2744019/screening-report/6?type=pdf&amp;v=v6&amp;scorecard=1&amp;secret_key=BX%25IJ%24%2F65ieZ%29f6", 2744019)</f>
        <v>2744019</v>
      </c>
      <c r="C794" s="3">
        <f>HYPERLINK("https://platform.v2.vetology.net/report/v/final/"&amp;2744019, 2744019)</f>
        <v>2744019</v>
      </c>
      <c r="D794" s="3" t="s">
        <v>3120</v>
      </c>
      <c r="E794" s="3" t="s">
        <v>3121</v>
      </c>
      <c r="F794" s="3" t="s">
        <v>3122</v>
      </c>
      <c r="G794" s="3" t="s">
        <v>64</v>
      </c>
      <c r="H794" s="3" t="s">
        <v>3123</v>
      </c>
      <c r="I794" s="3" t="s">
        <v>754</v>
      </c>
      <c r="J794" s="3" t="s">
        <v>755</v>
      </c>
      <c r="K794" s="3" t="s">
        <v>27</v>
      </c>
      <c r="L794" s="3" t="s">
        <v>28</v>
      </c>
      <c r="M794" s="3" t="s">
        <v>28</v>
      </c>
      <c r="N794" s="3" t="s">
        <v>28</v>
      </c>
      <c r="O794" s="3" t="s">
        <v>27</v>
      </c>
      <c r="P794" s="3" t="s">
        <v>28</v>
      </c>
      <c r="Q794" s="3" t="s">
        <v>27</v>
      </c>
      <c r="R794" s="3" t="s">
        <v>28</v>
      </c>
      <c r="S794" s="3" t="s">
        <v>28</v>
      </c>
      <c r="T794" s="3" t="s">
        <v>28</v>
      </c>
    </row>
    <row r="795" spans="1:20" ht="409.6">
      <c r="A795" s="3">
        <v>2743937</v>
      </c>
      <c r="B795" s="3">
        <f>HYPERLINK("https://platform.v2.vetology.net/cases/2743937/screening-report/6?type=pdf&amp;v=v6&amp;scorecard=1&amp;secret_key=BX%25IJ%24%2F65ieZ%29f6", 2743937)</f>
        <v>2743937</v>
      </c>
      <c r="C795" s="3">
        <f>HYPERLINK("https://platform.v2.vetology.net/report/v/final/"&amp;2743937, 2743937)</f>
        <v>2743937</v>
      </c>
      <c r="D795" s="3" t="s">
        <v>3124</v>
      </c>
      <c r="E795" s="3" t="s">
        <v>1230</v>
      </c>
      <c r="F795" s="3" t="s">
        <v>1049</v>
      </c>
      <c r="G795" s="3" t="s">
        <v>100</v>
      </c>
      <c r="H795" s="3" t="s">
        <v>3125</v>
      </c>
      <c r="I795" s="3" t="s">
        <v>3126</v>
      </c>
      <c r="J795" s="3" t="s">
        <v>3127</v>
      </c>
      <c r="K795" s="3" t="s">
        <v>28</v>
      </c>
      <c r="L795" s="3" t="s">
        <v>28</v>
      </c>
      <c r="M795" s="3" t="s">
        <v>28</v>
      </c>
      <c r="N795" s="3" t="s">
        <v>28</v>
      </c>
      <c r="O795" s="3" t="s">
        <v>27</v>
      </c>
      <c r="P795" s="3" t="s">
        <v>27</v>
      </c>
      <c r="Q795" s="3" t="s">
        <v>28</v>
      </c>
      <c r="R795" s="3" t="s">
        <v>28</v>
      </c>
      <c r="S795" s="3" t="s">
        <v>28</v>
      </c>
      <c r="T795" s="3" t="s">
        <v>28</v>
      </c>
    </row>
    <row r="796" spans="1:20" ht="409.6">
      <c r="A796" s="3">
        <v>2743913</v>
      </c>
      <c r="B796" s="3">
        <f>HYPERLINK("https://platform.v2.vetology.net/cases/2743913/screening-report/6?type=pdf&amp;v=v6&amp;scorecard=1&amp;secret_key=BX%25IJ%24%2F65ieZ%29f6", 2743913)</f>
        <v>2743913</v>
      </c>
      <c r="C796" s="3">
        <f>HYPERLINK("https://platform.v2.vetology.net/report/v/final/"&amp;2743913, 2743913)</f>
        <v>2743913</v>
      </c>
      <c r="D796" s="3" t="s">
        <v>3128</v>
      </c>
      <c r="E796" s="3" t="s">
        <v>3129</v>
      </c>
      <c r="F796" s="3" t="s">
        <v>22</v>
      </c>
      <c r="G796" s="3" t="s">
        <v>100</v>
      </c>
      <c r="H796" s="3" t="s">
        <v>3130</v>
      </c>
      <c r="I796" s="3" t="s">
        <v>3131</v>
      </c>
      <c r="J796" s="3" t="s">
        <v>3132</v>
      </c>
      <c r="K796" s="3" t="s">
        <v>28</v>
      </c>
      <c r="L796" s="3" t="s">
        <v>28</v>
      </c>
      <c r="M796" s="3" t="s">
        <v>28</v>
      </c>
      <c r="N796" s="3" t="s">
        <v>28</v>
      </c>
      <c r="O796" s="3" t="s">
        <v>28</v>
      </c>
      <c r="P796" s="3" t="s">
        <v>28</v>
      </c>
      <c r="Q796" s="3" t="s">
        <v>28</v>
      </c>
      <c r="R796" s="3" t="s">
        <v>27</v>
      </c>
      <c r="S796" s="3" t="s">
        <v>28</v>
      </c>
      <c r="T796" s="3" t="s">
        <v>28</v>
      </c>
    </row>
    <row r="797" spans="1:20" ht="366">
      <c r="A797" s="3">
        <v>2743891</v>
      </c>
      <c r="B797" s="3">
        <f>HYPERLINK("https://platform.v2.vetology.net/cases/2743891/screening-report/6?type=pdf&amp;v=v6&amp;scorecard=1&amp;secret_key=BX%25IJ%24%2F65ieZ%29f6", 2743891)</f>
        <v>2743891</v>
      </c>
      <c r="C797" s="3">
        <f>HYPERLINK("https://platform.v2.vetology.net/report/v/final/"&amp;2743891, 2743891)</f>
        <v>2743891</v>
      </c>
      <c r="D797" s="3" t="s">
        <v>3133</v>
      </c>
      <c r="E797" s="3" t="s">
        <v>3134</v>
      </c>
      <c r="F797" s="3" t="s">
        <v>3135</v>
      </c>
      <c r="G797" s="3" t="s">
        <v>186</v>
      </c>
      <c r="H797" s="3" t="s">
        <v>3136</v>
      </c>
      <c r="I797" s="3" t="s">
        <v>3137</v>
      </c>
      <c r="J797" s="3" t="s">
        <v>3138</v>
      </c>
      <c r="K797" s="3" t="s">
        <v>28</v>
      </c>
      <c r="L797" s="3" t="s">
        <v>28</v>
      </c>
      <c r="M797" s="3" t="s">
        <v>28</v>
      </c>
      <c r="N797" s="3" t="s">
        <v>28</v>
      </c>
      <c r="O797" s="3" t="s">
        <v>28</v>
      </c>
      <c r="P797" s="3" t="s">
        <v>27</v>
      </c>
      <c r="Q797" s="3" t="s">
        <v>28</v>
      </c>
      <c r="R797" s="3" t="s">
        <v>28</v>
      </c>
      <c r="S797" s="3" t="s">
        <v>28</v>
      </c>
      <c r="T797" s="3" t="s">
        <v>28</v>
      </c>
    </row>
    <row r="798" spans="1:20" ht="351">
      <c r="A798" s="3">
        <v>2743870</v>
      </c>
      <c r="B798" s="3">
        <f>HYPERLINK("https://platform.v2.vetology.net/cases/2743870/screening-report/6?type=pdf&amp;v=v6&amp;scorecard=1&amp;secret_key=BX%25IJ%24%2F65ieZ%29f6", 2743870)</f>
        <v>2743870</v>
      </c>
      <c r="C798" s="3">
        <f>HYPERLINK("https://platform.v2.vetology.net/report/v/final/"&amp;2743870, 2743870)</f>
        <v>2743870</v>
      </c>
      <c r="D798" s="3" t="s">
        <v>3139</v>
      </c>
      <c r="E798" s="3" t="s">
        <v>3140</v>
      </c>
      <c r="F798" s="3" t="s">
        <v>3141</v>
      </c>
      <c r="G798" s="3" t="s">
        <v>64</v>
      </c>
      <c r="H798" s="3" t="s">
        <v>2013</v>
      </c>
      <c r="I798" s="3" t="s">
        <v>32</v>
      </c>
      <c r="J798" s="3" t="s">
        <v>33</v>
      </c>
      <c r="K798" s="3" t="s">
        <v>28</v>
      </c>
      <c r="L798" s="3" t="s">
        <v>28</v>
      </c>
      <c r="M798" s="3" t="s">
        <v>28</v>
      </c>
      <c r="N798" s="3" t="s">
        <v>28</v>
      </c>
      <c r="O798" s="3" t="s">
        <v>28</v>
      </c>
      <c r="P798" s="3" t="s">
        <v>28</v>
      </c>
      <c r="Q798" s="3" t="s">
        <v>28</v>
      </c>
      <c r="R798" s="3" t="s">
        <v>28</v>
      </c>
      <c r="S798" s="3" t="s">
        <v>28</v>
      </c>
      <c r="T798" s="3" t="s">
        <v>28</v>
      </c>
    </row>
    <row r="799" spans="1:20" ht="381.75">
      <c r="A799" s="3">
        <v>2743867</v>
      </c>
      <c r="B799" s="3">
        <f>HYPERLINK("https://platform.v2.vetology.net/cases/2743867/screening-report/6?type=pdf&amp;v=v6&amp;scorecard=1&amp;secret_key=BX%25IJ%24%2F65ieZ%29f6", 2743867)</f>
        <v>2743867</v>
      </c>
      <c r="C799" s="3">
        <f>HYPERLINK("https://platform.v2.vetology.net/report/v/final/"&amp;2743867, 2743867)</f>
        <v>2743867</v>
      </c>
      <c r="D799" s="3" t="s">
        <v>3142</v>
      </c>
      <c r="E799" s="3" t="s">
        <v>3143</v>
      </c>
      <c r="F799" s="3" t="s">
        <v>1829</v>
      </c>
      <c r="G799" s="3" t="s">
        <v>23</v>
      </c>
      <c r="H799" s="3" t="s">
        <v>3144</v>
      </c>
      <c r="I799" s="3" t="s">
        <v>3145</v>
      </c>
      <c r="J799" s="3" t="s">
        <v>387</v>
      </c>
      <c r="K799" s="3" t="s">
        <v>28</v>
      </c>
      <c r="L799" s="3" t="s">
        <v>28</v>
      </c>
      <c r="M799" s="3" t="s">
        <v>28</v>
      </c>
      <c r="N799" s="3" t="s">
        <v>27</v>
      </c>
      <c r="O799" s="3" t="s">
        <v>27</v>
      </c>
      <c r="P799" s="3" t="s">
        <v>28</v>
      </c>
      <c r="Q799" s="3" t="s">
        <v>28</v>
      </c>
      <c r="R799" s="3" t="s">
        <v>27</v>
      </c>
      <c r="S799" s="3" t="s">
        <v>27</v>
      </c>
      <c r="T799" s="3" t="s">
        <v>27</v>
      </c>
    </row>
    <row r="800" spans="1:20" ht="366">
      <c r="A800" s="3">
        <v>2743835</v>
      </c>
      <c r="B800" s="3">
        <f>HYPERLINK("https://platform.v2.vetology.net/cases/2743835/screening-report/6?type=pdf&amp;v=v6&amp;scorecard=1&amp;secret_key=BX%25IJ%24%2F65ieZ%29f6", 2743835)</f>
        <v>2743835</v>
      </c>
      <c r="C800" s="3">
        <f>HYPERLINK("https://platform.v2.vetology.net/report/v/final/"&amp;2743835, 2743835)</f>
        <v>2743835</v>
      </c>
      <c r="D800" s="3" t="s">
        <v>3146</v>
      </c>
      <c r="E800" s="3" t="s">
        <v>3147</v>
      </c>
      <c r="F800" s="3" t="s">
        <v>3148</v>
      </c>
      <c r="G800" s="3" t="s">
        <v>186</v>
      </c>
      <c r="H800" s="3" t="s">
        <v>3149</v>
      </c>
      <c r="I800" s="3" t="s">
        <v>2259</v>
      </c>
      <c r="J800" s="3" t="s">
        <v>2260</v>
      </c>
      <c r="K800" s="3" t="s">
        <v>28</v>
      </c>
      <c r="L800" s="3" t="s">
        <v>28</v>
      </c>
      <c r="M800" s="3" t="s">
        <v>28</v>
      </c>
      <c r="N800" s="3" t="s">
        <v>28</v>
      </c>
      <c r="O800" s="3" t="s">
        <v>28</v>
      </c>
      <c r="P800" s="3" t="s">
        <v>28</v>
      </c>
      <c r="Q800" s="3" t="s">
        <v>28</v>
      </c>
      <c r="R800" s="3" t="s">
        <v>28</v>
      </c>
      <c r="S800" s="3" t="s">
        <v>28</v>
      </c>
      <c r="T800" s="3" t="s">
        <v>28</v>
      </c>
    </row>
    <row r="801" spans="1:20" ht="381.75">
      <c r="A801" s="3">
        <v>2743834</v>
      </c>
      <c r="B801" s="3">
        <f>HYPERLINK("https://platform.v2.vetology.net/cases/2743834/screening-report/6?type=pdf&amp;v=v6&amp;scorecard=1&amp;secret_key=BX%25IJ%24%2F65ieZ%29f6", 2743834)</f>
        <v>2743834</v>
      </c>
      <c r="C801" s="3">
        <f>HYPERLINK("https://platform.v2.vetology.net/report/v/final/"&amp;2743834, 2743834)</f>
        <v>2743834</v>
      </c>
      <c r="D801" s="3" t="s">
        <v>3150</v>
      </c>
      <c r="E801" s="3" t="s">
        <v>3151</v>
      </c>
      <c r="F801" s="3" t="s">
        <v>22</v>
      </c>
      <c r="G801" s="3" t="s">
        <v>372</v>
      </c>
      <c r="H801" s="3" t="s">
        <v>855</v>
      </c>
      <c r="I801" s="3" t="s">
        <v>856</v>
      </c>
      <c r="J801" s="3" t="s">
        <v>857</v>
      </c>
      <c r="K801" s="3" t="s">
        <v>28</v>
      </c>
      <c r="L801" s="3" t="s">
        <v>28</v>
      </c>
      <c r="M801" s="3" t="s">
        <v>28</v>
      </c>
      <c r="N801" s="3" t="s">
        <v>28</v>
      </c>
      <c r="O801" s="3" t="s">
        <v>27</v>
      </c>
      <c r="P801" s="3" t="s">
        <v>28</v>
      </c>
      <c r="Q801" s="3" t="s">
        <v>28</v>
      </c>
      <c r="R801" s="3" t="s">
        <v>28</v>
      </c>
      <c r="S801" s="3" t="s">
        <v>28</v>
      </c>
      <c r="T801" s="3" t="s">
        <v>28</v>
      </c>
    </row>
    <row r="802" spans="1:20" ht="409.6">
      <c r="A802" s="3">
        <v>2743814</v>
      </c>
      <c r="B802" s="3">
        <f>HYPERLINK("https://platform.v2.vetology.net/cases/2743814/screening-report/6?type=pdf&amp;v=v6&amp;scorecard=1&amp;secret_key=BX%25IJ%24%2F65ieZ%29f6", 2743814)</f>
        <v>2743814</v>
      </c>
      <c r="C802" s="3">
        <f>HYPERLINK("https://platform.v2.vetology.net/report/v/final/"&amp;2743814, 2743814)</f>
        <v>2743814</v>
      </c>
      <c r="D802" s="3" t="s">
        <v>3152</v>
      </c>
      <c r="E802" s="3" t="s">
        <v>3153</v>
      </c>
      <c r="F802" s="3" t="s">
        <v>3154</v>
      </c>
      <c r="G802" s="3" t="s">
        <v>64</v>
      </c>
      <c r="H802" s="3" t="s">
        <v>3155</v>
      </c>
      <c r="I802" s="3" t="s">
        <v>659</v>
      </c>
      <c r="J802" s="3" t="s">
        <v>660</v>
      </c>
      <c r="K802" s="3" t="s">
        <v>28</v>
      </c>
      <c r="L802" s="3" t="s">
        <v>28</v>
      </c>
      <c r="M802" s="3" t="s">
        <v>28</v>
      </c>
      <c r="N802" s="3" t="s">
        <v>28</v>
      </c>
      <c r="O802" s="3" t="s">
        <v>27</v>
      </c>
      <c r="P802" s="3" t="s">
        <v>28</v>
      </c>
      <c r="Q802" s="3" t="s">
        <v>28</v>
      </c>
      <c r="R802" s="3" t="s">
        <v>28</v>
      </c>
      <c r="S802" s="3" t="s">
        <v>28</v>
      </c>
      <c r="T802" s="3" t="s">
        <v>28</v>
      </c>
    </row>
    <row r="803" spans="1:20" ht="409.6">
      <c r="A803" s="3">
        <v>2743797</v>
      </c>
      <c r="B803" s="3">
        <f>HYPERLINK("https://platform.v2.vetology.net/cases/2743797/screening-report/6?type=pdf&amp;v=v6&amp;scorecard=1&amp;secret_key=BX%25IJ%24%2F65ieZ%29f6", 2743797)</f>
        <v>2743797</v>
      </c>
      <c r="C803" s="3">
        <f>HYPERLINK("https://platform.v2.vetology.net/report/v/final/"&amp;2743797, 2743797)</f>
        <v>2743797</v>
      </c>
      <c r="D803" s="3" t="s">
        <v>3156</v>
      </c>
      <c r="E803" s="3" t="s">
        <v>3157</v>
      </c>
      <c r="F803" s="3" t="s">
        <v>3158</v>
      </c>
      <c r="G803" s="3" t="s">
        <v>186</v>
      </c>
      <c r="H803" s="3" t="s">
        <v>3159</v>
      </c>
      <c r="I803" s="3" t="s">
        <v>3160</v>
      </c>
      <c r="J803" s="3" t="s">
        <v>335</v>
      </c>
      <c r="K803" s="3" t="s">
        <v>28</v>
      </c>
      <c r="L803" s="3" t="s">
        <v>28</v>
      </c>
      <c r="M803" s="3" t="s">
        <v>28</v>
      </c>
      <c r="N803" s="3" t="s">
        <v>28</v>
      </c>
      <c r="O803" s="3" t="s">
        <v>28</v>
      </c>
      <c r="P803" s="3" t="s">
        <v>28</v>
      </c>
      <c r="Q803" s="3" t="s">
        <v>28</v>
      </c>
      <c r="R803" s="3" t="s">
        <v>28</v>
      </c>
      <c r="S803" s="3" t="s">
        <v>27</v>
      </c>
      <c r="T803" s="3" t="s">
        <v>28</v>
      </c>
    </row>
    <row r="804" spans="1:20" ht="409.6">
      <c r="A804" s="3">
        <v>2743795</v>
      </c>
      <c r="B804" s="3">
        <f>HYPERLINK("https://platform.v2.vetology.net/cases/2743795/screening-report/6?type=pdf&amp;v=v6&amp;scorecard=1&amp;secret_key=BX%25IJ%24%2F65ieZ%29f6", 2743795)</f>
        <v>2743795</v>
      </c>
      <c r="C804" s="3">
        <f>HYPERLINK("https://platform.v2.vetology.net/report/v/final/"&amp;2743795, 2743795)</f>
        <v>2743795</v>
      </c>
      <c r="D804" s="3" t="s">
        <v>3161</v>
      </c>
      <c r="E804" s="3" t="s">
        <v>3162</v>
      </c>
      <c r="F804" s="3" t="s">
        <v>3163</v>
      </c>
      <c r="G804" s="3" t="s">
        <v>64</v>
      </c>
      <c r="H804" s="3" t="s">
        <v>3164</v>
      </c>
      <c r="I804" s="3" t="s">
        <v>1368</v>
      </c>
      <c r="J804" s="3" t="s">
        <v>1369</v>
      </c>
      <c r="K804" s="3" t="s">
        <v>28</v>
      </c>
      <c r="L804" s="3" t="s">
        <v>28</v>
      </c>
      <c r="M804" s="3" t="s">
        <v>28</v>
      </c>
      <c r="N804" s="3" t="s">
        <v>28</v>
      </c>
      <c r="O804" s="3" t="s">
        <v>27</v>
      </c>
      <c r="P804" s="3" t="s">
        <v>28</v>
      </c>
      <c r="Q804" s="3" t="s">
        <v>28</v>
      </c>
      <c r="R804" s="3" t="s">
        <v>28</v>
      </c>
      <c r="S804" s="3" t="s">
        <v>28</v>
      </c>
      <c r="T804" s="3" t="s">
        <v>28</v>
      </c>
    </row>
    <row r="805" spans="1:20" ht="229.5">
      <c r="A805" s="3">
        <v>2743789</v>
      </c>
      <c r="B805" s="3">
        <f>HYPERLINK("https://platform.v2.vetology.net/cases/2743789/screening-report/6?type=pdf&amp;v=v6&amp;scorecard=1&amp;secret_key=BX%25IJ%24%2F65ieZ%29f6", 2743789)</f>
        <v>2743789</v>
      </c>
      <c r="C805" s="3">
        <f>HYPERLINK("https://platform.v2.vetology.net/report/v/final/"&amp;2743789, 2743789)</f>
        <v>2743789</v>
      </c>
      <c r="D805" s="3" t="s">
        <v>3165</v>
      </c>
      <c r="E805" s="3" t="s">
        <v>3166</v>
      </c>
      <c r="F805" s="3" t="s">
        <v>3167</v>
      </c>
      <c r="G805" s="3" t="s">
        <v>186</v>
      </c>
      <c r="H805" s="3" t="s">
        <v>2034</v>
      </c>
      <c r="I805" s="3" t="s">
        <v>32</v>
      </c>
      <c r="J805" s="3" t="s">
        <v>119</v>
      </c>
      <c r="K805" s="3" t="s">
        <v>28</v>
      </c>
      <c r="L805" s="3" t="s">
        <v>28</v>
      </c>
      <c r="M805" s="3" t="s">
        <v>28</v>
      </c>
      <c r="N805" s="3" t="s">
        <v>28</v>
      </c>
      <c r="O805" s="3" t="s">
        <v>28</v>
      </c>
      <c r="P805" s="3" t="s">
        <v>28</v>
      </c>
      <c r="Q805" s="3" t="s">
        <v>28</v>
      </c>
      <c r="R805" s="3" t="s">
        <v>28</v>
      </c>
      <c r="S805" s="3" t="s">
        <v>28</v>
      </c>
      <c r="T805" s="3" t="s">
        <v>28</v>
      </c>
    </row>
    <row r="806" spans="1:20" ht="409.6">
      <c r="A806" s="3">
        <v>2743780</v>
      </c>
      <c r="B806" s="3">
        <f>HYPERLINK("https://platform.v2.vetology.net/cases/2743780/screening-report/6?type=pdf&amp;v=v6&amp;scorecard=1&amp;secret_key=BX%25IJ%24%2F65ieZ%29f6", 2743780)</f>
        <v>2743780</v>
      </c>
      <c r="C806" s="3">
        <f>HYPERLINK("https://platform.v2.vetology.net/report/v/final/"&amp;2743780, 2743780)</f>
        <v>2743780</v>
      </c>
      <c r="D806" s="3" t="s">
        <v>3168</v>
      </c>
      <c r="E806" s="3" t="s">
        <v>3169</v>
      </c>
      <c r="F806" s="3" t="s">
        <v>3170</v>
      </c>
      <c r="G806" s="3" t="s">
        <v>64</v>
      </c>
      <c r="H806" s="3" t="s">
        <v>3171</v>
      </c>
      <c r="I806" s="3" t="s">
        <v>3172</v>
      </c>
      <c r="J806" s="3" t="s">
        <v>3173</v>
      </c>
      <c r="K806" s="3" t="s">
        <v>27</v>
      </c>
      <c r="L806" s="3" t="s">
        <v>28</v>
      </c>
      <c r="M806" s="3" t="s">
        <v>27</v>
      </c>
      <c r="N806" s="3" t="s">
        <v>28</v>
      </c>
      <c r="O806" s="3" t="s">
        <v>27</v>
      </c>
      <c r="P806" s="3" t="s">
        <v>27</v>
      </c>
      <c r="Q806" s="3" t="s">
        <v>28</v>
      </c>
      <c r="R806" s="3" t="s">
        <v>28</v>
      </c>
      <c r="S806" s="3" t="s">
        <v>27</v>
      </c>
      <c r="T806" s="3" t="s">
        <v>28</v>
      </c>
    </row>
    <row r="807" spans="1:20" ht="305.25">
      <c r="A807" s="3">
        <v>2743758</v>
      </c>
      <c r="B807" s="3">
        <f>HYPERLINK("https://platform.v2.vetology.net/cases/2743758/screening-report/6?type=pdf&amp;v=v6&amp;scorecard=1&amp;secret_key=BX%25IJ%24%2F65ieZ%29f6", 2743758)</f>
        <v>2743758</v>
      </c>
      <c r="C807" s="3">
        <f>HYPERLINK("https://platform.v2.vetology.net/report/v/final/"&amp;2743758, 2743758)</f>
        <v>2743758</v>
      </c>
      <c r="D807" s="3" t="s">
        <v>3174</v>
      </c>
      <c r="E807" s="3" t="s">
        <v>3175</v>
      </c>
      <c r="F807" s="3" t="s">
        <v>222</v>
      </c>
      <c r="G807" s="3" t="s">
        <v>186</v>
      </c>
      <c r="H807" s="3" t="s">
        <v>3176</v>
      </c>
      <c r="I807" s="3" t="s">
        <v>1070</v>
      </c>
      <c r="J807" s="3" t="s">
        <v>207</v>
      </c>
      <c r="K807" s="3" t="s">
        <v>28</v>
      </c>
      <c r="L807" s="3" t="s">
        <v>28</v>
      </c>
      <c r="M807" s="3" t="s">
        <v>28</v>
      </c>
      <c r="N807" s="3" t="s">
        <v>28</v>
      </c>
      <c r="O807" s="3" t="s">
        <v>27</v>
      </c>
      <c r="P807" s="3" t="s">
        <v>27</v>
      </c>
      <c r="Q807" s="3" t="s">
        <v>28</v>
      </c>
      <c r="R807" s="3" t="s">
        <v>28</v>
      </c>
      <c r="S807" s="3" t="s">
        <v>28</v>
      </c>
      <c r="T807" s="3" t="s">
        <v>28</v>
      </c>
    </row>
    <row r="808" spans="1:20" ht="409.6">
      <c r="A808" s="3">
        <v>2743740</v>
      </c>
      <c r="B808" s="3">
        <f>HYPERLINK("https://platform.v2.vetology.net/cases/2743740/screening-report/6?type=pdf&amp;v=v6&amp;scorecard=1&amp;secret_key=BX%25IJ%24%2F65ieZ%29f6", 2743740)</f>
        <v>2743740</v>
      </c>
      <c r="C808" s="3">
        <f>HYPERLINK("https://platform.v2.vetology.net/report/v/final/"&amp;2743740, 2743740)</f>
        <v>2743740</v>
      </c>
      <c r="D808" s="3" t="s">
        <v>3177</v>
      </c>
      <c r="E808" s="3" t="s">
        <v>3178</v>
      </c>
      <c r="F808" s="3" t="s">
        <v>3179</v>
      </c>
      <c r="G808" s="3" t="s">
        <v>23</v>
      </c>
      <c r="H808" s="3" t="s">
        <v>3180</v>
      </c>
      <c r="I808" s="3" t="s">
        <v>3181</v>
      </c>
      <c r="J808" s="3" t="s">
        <v>3182</v>
      </c>
      <c r="K808" s="3" t="s">
        <v>28</v>
      </c>
      <c r="L808" s="3" t="s">
        <v>28</v>
      </c>
      <c r="M808" s="3" t="s">
        <v>27</v>
      </c>
      <c r="N808" s="3" t="s">
        <v>28</v>
      </c>
      <c r="O808" s="3" t="s">
        <v>27</v>
      </c>
      <c r="P808" s="3" t="s">
        <v>28</v>
      </c>
      <c r="Q808" s="3" t="s">
        <v>28</v>
      </c>
      <c r="R808" s="3" t="s">
        <v>28</v>
      </c>
      <c r="S808" s="3" t="s">
        <v>28</v>
      </c>
      <c r="T808" s="3" t="s">
        <v>28</v>
      </c>
    </row>
    <row r="809" spans="1:20" ht="275.25">
      <c r="A809" s="3">
        <v>2743736</v>
      </c>
      <c r="B809" s="3">
        <f>HYPERLINK("https://platform.v2.vetology.net/cases/2743736/screening-report/6?type=pdf&amp;v=v6&amp;scorecard=1&amp;secret_key=BX%25IJ%24%2F65ieZ%29f6", 2743736)</f>
        <v>2743736</v>
      </c>
      <c r="C809" s="3">
        <f>HYPERLINK("https://platform.v2.vetology.net/report/v/final/"&amp;2743736, 2743736)</f>
        <v>2743736</v>
      </c>
      <c r="D809" s="3" t="s">
        <v>3183</v>
      </c>
      <c r="E809" s="3" t="s">
        <v>3184</v>
      </c>
      <c r="F809" s="3" t="s">
        <v>1762</v>
      </c>
      <c r="G809" s="3" t="s">
        <v>100</v>
      </c>
      <c r="H809" s="3" t="s">
        <v>223</v>
      </c>
      <c r="I809" s="3" t="s">
        <v>224</v>
      </c>
      <c r="J809" s="3" t="s">
        <v>225</v>
      </c>
      <c r="K809" s="3" t="s">
        <v>28</v>
      </c>
      <c r="L809" s="3" t="s">
        <v>28</v>
      </c>
      <c r="M809" s="3" t="s">
        <v>28</v>
      </c>
      <c r="N809" s="3" t="s">
        <v>28</v>
      </c>
      <c r="O809" s="3" t="s">
        <v>27</v>
      </c>
      <c r="P809" s="3" t="s">
        <v>28</v>
      </c>
      <c r="Q809" s="3" t="s">
        <v>28</v>
      </c>
      <c r="R809" s="3" t="s">
        <v>28</v>
      </c>
      <c r="S809" s="3" t="s">
        <v>27</v>
      </c>
      <c r="T809" s="3" t="s">
        <v>27</v>
      </c>
    </row>
    <row r="810" spans="1:20" ht="409.6">
      <c r="A810" s="3">
        <v>2743725</v>
      </c>
      <c r="B810" s="3">
        <f>HYPERLINK("https://platform.v2.vetology.net/cases/2743725/screening-report/6?type=pdf&amp;v=v6&amp;scorecard=1&amp;secret_key=BX%25IJ%24%2F65ieZ%29f6", 2743725)</f>
        <v>2743725</v>
      </c>
      <c r="C810" s="3">
        <f>HYPERLINK("https://platform.v2.vetology.net/report/v/final/"&amp;2743725, 2743725)</f>
        <v>2743725</v>
      </c>
      <c r="D810" s="3" t="s">
        <v>3185</v>
      </c>
      <c r="E810" s="3" t="s">
        <v>1089</v>
      </c>
      <c r="F810" s="3" t="s">
        <v>1090</v>
      </c>
      <c r="G810" s="3" t="s">
        <v>100</v>
      </c>
      <c r="H810" s="3" t="s">
        <v>3186</v>
      </c>
      <c r="I810" s="3" t="s">
        <v>3187</v>
      </c>
      <c r="J810" s="3" t="s">
        <v>154</v>
      </c>
      <c r="K810" s="3" t="s">
        <v>27</v>
      </c>
      <c r="L810" s="3" t="s">
        <v>28</v>
      </c>
      <c r="M810" s="3" t="s">
        <v>27</v>
      </c>
      <c r="N810" s="3" t="s">
        <v>28</v>
      </c>
      <c r="O810" s="3" t="s">
        <v>27</v>
      </c>
      <c r="P810" s="3" t="s">
        <v>28</v>
      </c>
      <c r="Q810" s="3" t="s">
        <v>27</v>
      </c>
      <c r="R810" s="3" t="s">
        <v>28</v>
      </c>
      <c r="S810" s="3" t="s">
        <v>27</v>
      </c>
      <c r="T810" s="3" t="s">
        <v>28</v>
      </c>
    </row>
    <row r="811" spans="1:20" ht="409.6">
      <c r="A811" s="3">
        <v>2743704</v>
      </c>
      <c r="B811" s="3">
        <f>HYPERLINK("https://platform.v2.vetology.net/cases/2743704/screening-report/6?type=pdf&amp;v=v6&amp;scorecard=1&amp;secret_key=BX%25IJ%24%2F65ieZ%29f6", 2743704)</f>
        <v>2743704</v>
      </c>
      <c r="C811" s="3">
        <f>HYPERLINK("https://platform.v2.vetology.net/report/v/final/"&amp;2743704, 2743704)</f>
        <v>2743704</v>
      </c>
      <c r="D811" s="3" t="s">
        <v>3188</v>
      </c>
      <c r="E811" s="3" t="s">
        <v>3189</v>
      </c>
      <c r="F811" s="3" t="s">
        <v>22</v>
      </c>
      <c r="G811" s="3" t="s">
        <v>23</v>
      </c>
      <c r="H811" s="3" t="s">
        <v>3190</v>
      </c>
      <c r="I811" s="3" t="s">
        <v>153</v>
      </c>
      <c r="J811" s="3" t="s">
        <v>154</v>
      </c>
      <c r="K811" s="3" t="s">
        <v>27</v>
      </c>
      <c r="L811" s="3" t="s">
        <v>28</v>
      </c>
      <c r="M811" s="3" t="s">
        <v>27</v>
      </c>
      <c r="N811" s="3" t="s">
        <v>28</v>
      </c>
      <c r="O811" s="3" t="s">
        <v>27</v>
      </c>
      <c r="P811" s="3" t="s">
        <v>27</v>
      </c>
      <c r="Q811" s="3" t="s">
        <v>27</v>
      </c>
      <c r="R811" s="3" t="s">
        <v>28</v>
      </c>
      <c r="S811" s="3" t="s">
        <v>28</v>
      </c>
      <c r="T811" s="3" t="s">
        <v>27</v>
      </c>
    </row>
    <row r="812" spans="1:20" ht="409.6">
      <c r="A812" s="3">
        <v>2743700</v>
      </c>
      <c r="B812" s="3">
        <f>HYPERLINK("https://platform.v2.vetology.net/cases/2743700/screening-report/6?type=pdf&amp;v=v6&amp;scorecard=1&amp;secret_key=BX%25IJ%24%2F65ieZ%29f6", 2743700)</f>
        <v>2743700</v>
      </c>
      <c r="C812" s="3">
        <f>HYPERLINK("https://platform.v2.vetology.net/report/v/final/"&amp;2743700, 2743700)</f>
        <v>2743700</v>
      </c>
      <c r="D812" s="3" t="s">
        <v>3191</v>
      </c>
      <c r="E812" s="3" t="s">
        <v>3192</v>
      </c>
      <c r="F812" s="3" t="s">
        <v>3193</v>
      </c>
      <c r="G812" s="3" t="s">
        <v>186</v>
      </c>
      <c r="H812" s="3" t="s">
        <v>3194</v>
      </c>
      <c r="I812" s="3" t="s">
        <v>72</v>
      </c>
      <c r="J812" s="3" t="s">
        <v>3195</v>
      </c>
      <c r="K812" s="3" t="s">
        <v>28</v>
      </c>
      <c r="L812" s="3" t="s">
        <v>28</v>
      </c>
      <c r="M812" s="3" t="s">
        <v>28</v>
      </c>
      <c r="N812" s="3" t="s">
        <v>28</v>
      </c>
      <c r="O812" s="3" t="s">
        <v>27</v>
      </c>
      <c r="P812" s="3" t="s">
        <v>27</v>
      </c>
      <c r="Q812" s="3" t="s">
        <v>28</v>
      </c>
      <c r="R812" s="3" t="s">
        <v>28</v>
      </c>
      <c r="S812" s="3" t="s">
        <v>28</v>
      </c>
      <c r="T812" s="3" t="s">
        <v>27</v>
      </c>
    </row>
    <row r="813" spans="1:20" ht="366">
      <c r="A813" s="3">
        <v>2743697</v>
      </c>
      <c r="B813" s="3">
        <f>HYPERLINK("https://platform.v2.vetology.net/cases/2743697/screening-report/6?type=pdf&amp;v=v6&amp;scorecard=1&amp;secret_key=BX%25IJ%24%2F65ieZ%29f6", 2743697)</f>
        <v>2743697</v>
      </c>
      <c r="C813" s="3">
        <f>HYPERLINK("https://platform.v2.vetology.net/report/v/final/"&amp;2743697, 2743697)</f>
        <v>2743697</v>
      </c>
      <c r="D813" s="3" t="s">
        <v>3196</v>
      </c>
      <c r="E813" s="3" t="s">
        <v>3197</v>
      </c>
      <c r="F813" s="3" t="s">
        <v>3198</v>
      </c>
      <c r="G813" s="3" t="s">
        <v>64</v>
      </c>
      <c r="H813" s="3" t="s">
        <v>3199</v>
      </c>
      <c r="I813" s="3" t="s">
        <v>993</v>
      </c>
      <c r="J813" s="3" t="s">
        <v>994</v>
      </c>
      <c r="K813" s="3" t="s">
        <v>28</v>
      </c>
      <c r="L813" s="3" t="s">
        <v>28</v>
      </c>
      <c r="M813" s="3" t="s">
        <v>28</v>
      </c>
      <c r="N813" s="3" t="s">
        <v>28</v>
      </c>
      <c r="O813" s="3" t="s">
        <v>28</v>
      </c>
      <c r="P813" s="3" t="s">
        <v>28</v>
      </c>
      <c r="Q813" s="3" t="s">
        <v>28</v>
      </c>
      <c r="R813" s="3" t="s">
        <v>28</v>
      </c>
      <c r="S813" s="3" t="s">
        <v>28</v>
      </c>
      <c r="T813" s="3" t="s">
        <v>28</v>
      </c>
    </row>
    <row r="814" spans="1:20" ht="409.6">
      <c r="A814" s="3">
        <v>2743692</v>
      </c>
      <c r="B814" s="3">
        <f>HYPERLINK("https://platform.v2.vetology.net/cases/2743692/screening-report/6?type=pdf&amp;v=v6&amp;scorecard=1&amp;secret_key=BX%25IJ%24%2F65ieZ%29f6", 2743692)</f>
        <v>2743692</v>
      </c>
      <c r="C814" s="3">
        <f>HYPERLINK("https://platform.v2.vetology.net/report/v/final/"&amp;2743692, 2743692)</f>
        <v>2743692</v>
      </c>
      <c r="D814" s="3" t="s">
        <v>3200</v>
      </c>
      <c r="E814" s="3" t="s">
        <v>3201</v>
      </c>
      <c r="F814" s="3" t="s">
        <v>3202</v>
      </c>
      <c r="G814" s="3" t="s">
        <v>64</v>
      </c>
      <c r="H814" s="3" t="s">
        <v>3203</v>
      </c>
      <c r="I814" s="3" t="s">
        <v>693</v>
      </c>
      <c r="J814" s="3" t="s">
        <v>335</v>
      </c>
      <c r="K814" s="3" t="s">
        <v>28</v>
      </c>
      <c r="L814" s="3" t="s">
        <v>28</v>
      </c>
      <c r="M814" s="3" t="s">
        <v>28</v>
      </c>
      <c r="N814" s="3" t="s">
        <v>28</v>
      </c>
      <c r="O814" s="3" t="s">
        <v>28</v>
      </c>
      <c r="P814" s="3" t="s">
        <v>28</v>
      </c>
      <c r="Q814" s="3" t="s">
        <v>28</v>
      </c>
      <c r="R814" s="3" t="s">
        <v>28</v>
      </c>
      <c r="S814" s="3" t="s">
        <v>27</v>
      </c>
      <c r="T814" s="3" t="s">
        <v>28</v>
      </c>
    </row>
    <row r="815" spans="1:20" ht="409.6">
      <c r="A815" s="3">
        <v>2743672</v>
      </c>
      <c r="B815" s="3">
        <f>HYPERLINK("https://platform.v2.vetology.net/cases/2743672/screening-report/6?type=pdf&amp;v=v6&amp;scorecard=1&amp;secret_key=BX%25IJ%24%2F65ieZ%29f6", 2743672)</f>
        <v>2743672</v>
      </c>
      <c r="C815" s="3">
        <f>HYPERLINK("https://platform.v2.vetology.net/report/v/final/"&amp;2743672, 2743672)</f>
        <v>2743672</v>
      </c>
      <c r="D815" s="3" t="s">
        <v>3204</v>
      </c>
      <c r="E815" s="3" t="s">
        <v>3205</v>
      </c>
      <c r="F815" s="3" t="s">
        <v>3206</v>
      </c>
      <c r="G815" s="3" t="s">
        <v>64</v>
      </c>
      <c r="H815" s="3" t="s">
        <v>855</v>
      </c>
      <c r="I815" s="3" t="s">
        <v>856</v>
      </c>
      <c r="J815" s="3" t="s">
        <v>857</v>
      </c>
      <c r="K815" s="3" t="s">
        <v>27</v>
      </c>
      <c r="L815" s="3" t="s">
        <v>28</v>
      </c>
      <c r="M815" s="3" t="s">
        <v>28</v>
      </c>
      <c r="N815" s="3" t="s">
        <v>28</v>
      </c>
      <c r="O815" s="3" t="s">
        <v>27</v>
      </c>
      <c r="P815" s="3" t="s">
        <v>28</v>
      </c>
      <c r="Q815" s="3" t="s">
        <v>28</v>
      </c>
      <c r="R815" s="3" t="s">
        <v>28</v>
      </c>
      <c r="S815" s="3" t="s">
        <v>28</v>
      </c>
      <c r="T815" s="3" t="s">
        <v>28</v>
      </c>
    </row>
    <row r="816" spans="1:20" ht="381.75">
      <c r="A816" s="3">
        <v>2743666</v>
      </c>
      <c r="B816" s="3">
        <f>HYPERLINK("https://platform.v2.vetology.net/cases/2743666/screening-report/6?type=pdf&amp;v=v6&amp;scorecard=1&amp;secret_key=BX%25IJ%24%2F65ieZ%29f6", 2743666)</f>
        <v>2743666</v>
      </c>
      <c r="C816" s="3">
        <f>HYPERLINK("https://platform.v2.vetology.net/report/v/final/"&amp;2743666, 2743666)</f>
        <v>2743666</v>
      </c>
      <c r="D816" s="3" t="s">
        <v>3207</v>
      </c>
      <c r="E816" s="3" t="s">
        <v>3208</v>
      </c>
      <c r="F816" s="3" t="s">
        <v>3209</v>
      </c>
      <c r="G816" s="3" t="s">
        <v>23</v>
      </c>
      <c r="H816" s="3" t="s">
        <v>3210</v>
      </c>
      <c r="I816" s="3" t="s">
        <v>1070</v>
      </c>
      <c r="J816" s="3" t="s">
        <v>207</v>
      </c>
      <c r="K816" s="3" t="s">
        <v>28</v>
      </c>
      <c r="L816" s="3" t="s">
        <v>28</v>
      </c>
      <c r="M816" s="3" t="s">
        <v>28</v>
      </c>
      <c r="N816" s="3" t="s">
        <v>28</v>
      </c>
      <c r="O816" s="3" t="s">
        <v>27</v>
      </c>
      <c r="P816" s="3" t="s">
        <v>28</v>
      </c>
      <c r="Q816" s="3" t="s">
        <v>28</v>
      </c>
      <c r="R816" s="3" t="s">
        <v>28</v>
      </c>
      <c r="S816" s="3" t="s">
        <v>28</v>
      </c>
      <c r="T816" s="3" t="s">
        <v>28</v>
      </c>
    </row>
    <row r="817" spans="1:20" ht="366">
      <c r="A817" s="3">
        <v>2743615</v>
      </c>
      <c r="B817" s="3">
        <f>HYPERLINK("https://platform.v2.vetology.net/cases/2743615/screening-report/6?type=pdf&amp;v=v6&amp;scorecard=1&amp;secret_key=BX%25IJ%24%2F65ieZ%29f6", 2743615)</f>
        <v>2743615</v>
      </c>
      <c r="C817" s="3">
        <f>HYPERLINK("https://platform.v2.vetology.net/report/v/final/"&amp;2743615, 2743615)</f>
        <v>2743615</v>
      </c>
      <c r="D817" s="3" t="s">
        <v>3211</v>
      </c>
      <c r="E817" s="3" t="s">
        <v>3212</v>
      </c>
      <c r="F817" s="3" t="s">
        <v>22</v>
      </c>
      <c r="G817" s="3" t="s">
        <v>100</v>
      </c>
      <c r="H817" s="3" t="s">
        <v>3213</v>
      </c>
      <c r="I817" s="3" t="s">
        <v>1034</v>
      </c>
      <c r="J817" s="3" t="s">
        <v>1035</v>
      </c>
      <c r="K817" s="3" t="s">
        <v>28</v>
      </c>
      <c r="L817" s="3" t="s">
        <v>28</v>
      </c>
      <c r="M817" s="3" t="s">
        <v>28</v>
      </c>
      <c r="N817" s="3" t="s">
        <v>27</v>
      </c>
      <c r="O817" s="3" t="s">
        <v>28</v>
      </c>
      <c r="P817" s="3" t="s">
        <v>28</v>
      </c>
      <c r="Q817" s="3" t="s">
        <v>28</v>
      </c>
      <c r="R817" s="3" t="s">
        <v>27</v>
      </c>
      <c r="S817" s="3" t="s">
        <v>28</v>
      </c>
      <c r="T817" s="3" t="s">
        <v>27</v>
      </c>
    </row>
    <row r="818" spans="1:20" ht="409.6">
      <c r="A818" s="3">
        <v>2743609</v>
      </c>
      <c r="B818" s="3">
        <f>HYPERLINK("https://platform.v2.vetology.net/cases/2743609/screening-report/6?type=pdf&amp;v=v6&amp;scorecard=1&amp;secret_key=BX%25IJ%24%2F65ieZ%29f6", 2743609)</f>
        <v>2743609</v>
      </c>
      <c r="C818" s="3">
        <f>HYPERLINK("https://platform.v2.vetology.net/report/v/final/"&amp;2743609, 2743609)</f>
        <v>2743609</v>
      </c>
      <c r="D818" s="3" t="s">
        <v>3214</v>
      </c>
      <c r="E818" s="3" t="s">
        <v>3215</v>
      </c>
      <c r="F818" s="3" t="s">
        <v>22</v>
      </c>
      <c r="G818" s="3" t="s">
        <v>23</v>
      </c>
      <c r="H818" s="3" t="s">
        <v>505</v>
      </c>
      <c r="I818" s="3" t="s">
        <v>72</v>
      </c>
      <c r="J818" s="3" t="s">
        <v>363</v>
      </c>
      <c r="K818" s="3" t="s">
        <v>28</v>
      </c>
      <c r="L818" s="3" t="s">
        <v>28</v>
      </c>
      <c r="M818" s="3" t="s">
        <v>28</v>
      </c>
      <c r="N818" s="3" t="s">
        <v>28</v>
      </c>
      <c r="O818" s="3" t="s">
        <v>27</v>
      </c>
      <c r="P818" s="3" t="s">
        <v>28</v>
      </c>
      <c r="Q818" s="3" t="s">
        <v>28</v>
      </c>
      <c r="R818" s="3" t="s">
        <v>28</v>
      </c>
      <c r="S818" s="3" t="s">
        <v>28</v>
      </c>
      <c r="T818" s="3" t="s">
        <v>27</v>
      </c>
    </row>
    <row r="819" spans="1:20" ht="290.25">
      <c r="A819" s="3">
        <v>2743592</v>
      </c>
      <c r="B819" s="3">
        <f>HYPERLINK("https://platform.v2.vetology.net/cases/2743592/screening-report/6?type=pdf&amp;v=v6&amp;scorecard=1&amp;secret_key=BX%25IJ%24%2F65ieZ%29f6", 2743592)</f>
        <v>2743592</v>
      </c>
      <c r="C819" s="3">
        <f>HYPERLINK("https://platform.v2.vetology.net/report/v/final/"&amp;2743592, 2743592)</f>
        <v>2743592</v>
      </c>
      <c r="D819" s="3" t="s">
        <v>3216</v>
      </c>
      <c r="E819" s="3" t="s">
        <v>3217</v>
      </c>
      <c r="F819" s="3" t="s">
        <v>3218</v>
      </c>
      <c r="G819" s="3" t="s">
        <v>186</v>
      </c>
      <c r="H819" s="3" t="s">
        <v>3219</v>
      </c>
      <c r="I819" s="3" t="s">
        <v>464</v>
      </c>
      <c r="J819" s="3" t="s">
        <v>297</v>
      </c>
      <c r="K819" s="3" t="s">
        <v>28</v>
      </c>
      <c r="L819" s="3" t="s">
        <v>28</v>
      </c>
      <c r="M819" s="3" t="s">
        <v>28</v>
      </c>
      <c r="N819" s="3" t="s">
        <v>27</v>
      </c>
      <c r="O819" s="3" t="s">
        <v>27</v>
      </c>
      <c r="P819" s="3" t="s">
        <v>28</v>
      </c>
      <c r="Q819" s="3" t="s">
        <v>28</v>
      </c>
      <c r="R819" s="3" t="s">
        <v>27</v>
      </c>
      <c r="S819" s="3" t="s">
        <v>27</v>
      </c>
      <c r="T819" s="3" t="s">
        <v>27</v>
      </c>
    </row>
    <row r="820" spans="1:20" ht="366">
      <c r="A820" s="3">
        <v>2743340</v>
      </c>
      <c r="B820" s="3">
        <f>HYPERLINK("https://platform.v2.vetology.net/cases/2743340/screening-report/6?type=pdf&amp;v=v6&amp;scorecard=1&amp;secret_key=BX%25IJ%24%2F65ieZ%29f6", 2743340)</f>
        <v>2743340</v>
      </c>
      <c r="C820" s="3">
        <f>HYPERLINK("https://platform.v2.vetology.net/report/v/final/"&amp;2743340, 2743340)</f>
        <v>2743340</v>
      </c>
      <c r="D820" s="3" t="s">
        <v>3220</v>
      </c>
      <c r="E820" s="3" t="s">
        <v>1089</v>
      </c>
      <c r="F820" s="3" t="s">
        <v>1090</v>
      </c>
      <c r="G820" s="3" t="s">
        <v>100</v>
      </c>
      <c r="H820" s="3" t="s">
        <v>3221</v>
      </c>
      <c r="I820" s="3" t="s">
        <v>2963</v>
      </c>
      <c r="J820" s="3" t="s">
        <v>2964</v>
      </c>
      <c r="K820" s="3" t="s">
        <v>28</v>
      </c>
      <c r="L820" s="3" t="s">
        <v>28</v>
      </c>
      <c r="M820" s="3" t="s">
        <v>28</v>
      </c>
      <c r="N820" s="3" t="s">
        <v>28</v>
      </c>
      <c r="O820" s="3" t="s">
        <v>27</v>
      </c>
      <c r="P820" s="3" t="s">
        <v>28</v>
      </c>
      <c r="Q820" s="3" t="s">
        <v>27</v>
      </c>
      <c r="R820" s="3" t="s">
        <v>28</v>
      </c>
      <c r="S820" s="3" t="s">
        <v>28</v>
      </c>
      <c r="T820" s="3" t="s">
        <v>28</v>
      </c>
    </row>
    <row r="821" spans="1:20" ht="409.6">
      <c r="A821" s="3">
        <v>2743221</v>
      </c>
      <c r="B821" s="3">
        <f>HYPERLINK("https://platform.v2.vetology.net/cases/2743221/screening-report/6?type=pdf&amp;v=v6&amp;scorecard=1&amp;secret_key=BX%25IJ%24%2F65ieZ%29f6", 2743221)</f>
        <v>2743221</v>
      </c>
      <c r="C821" s="3">
        <f>HYPERLINK("https://platform.v2.vetology.net/report/v/final/"&amp;2743221, 2743221)</f>
        <v>2743221</v>
      </c>
      <c r="D821" s="3" t="s">
        <v>3222</v>
      </c>
      <c r="E821" s="3" t="s">
        <v>3223</v>
      </c>
      <c r="F821" s="3" t="s">
        <v>3224</v>
      </c>
      <c r="G821" s="3" t="s">
        <v>100</v>
      </c>
      <c r="H821" s="3" t="s">
        <v>3225</v>
      </c>
      <c r="I821" s="3" t="s">
        <v>285</v>
      </c>
      <c r="J821" s="3" t="s">
        <v>286</v>
      </c>
      <c r="K821" s="3" t="s">
        <v>28</v>
      </c>
      <c r="L821" s="3" t="s">
        <v>28</v>
      </c>
      <c r="M821" s="3" t="s">
        <v>28</v>
      </c>
      <c r="N821" s="3" t="s">
        <v>28</v>
      </c>
      <c r="O821" s="3" t="s">
        <v>27</v>
      </c>
      <c r="P821" s="3" t="s">
        <v>28</v>
      </c>
      <c r="Q821" s="3" t="s">
        <v>27</v>
      </c>
      <c r="R821" s="3" t="s">
        <v>28</v>
      </c>
      <c r="S821" s="3" t="s">
        <v>27</v>
      </c>
      <c r="T821" s="3" t="s">
        <v>28</v>
      </c>
    </row>
    <row r="822" spans="1:20" ht="409.6">
      <c r="A822" s="3">
        <v>2743216</v>
      </c>
      <c r="B822" s="3">
        <f>HYPERLINK("https://platform.v2.vetology.net/cases/2743216/screening-report/6?type=pdf&amp;v=v6&amp;scorecard=1&amp;secret_key=BX%25IJ%24%2F65ieZ%29f6", 2743216)</f>
        <v>2743216</v>
      </c>
      <c r="C822" s="3">
        <f>HYPERLINK("https://platform.v2.vetology.net/report/v/final/"&amp;2743216, 2743216)</f>
        <v>2743216</v>
      </c>
      <c r="D822" s="3" t="s">
        <v>3226</v>
      </c>
      <c r="E822" s="3" t="s">
        <v>3227</v>
      </c>
      <c r="F822" s="3" t="s">
        <v>3228</v>
      </c>
      <c r="G822" s="3" t="s">
        <v>57</v>
      </c>
      <c r="H822" s="3" t="s">
        <v>31</v>
      </c>
      <c r="I822" s="3" t="s">
        <v>32</v>
      </c>
      <c r="J822" s="3" t="s">
        <v>33</v>
      </c>
      <c r="K822" s="3" t="s">
        <v>28</v>
      </c>
      <c r="L822" s="3" t="s">
        <v>28</v>
      </c>
      <c r="M822" s="3" t="s">
        <v>28</v>
      </c>
      <c r="N822" s="3" t="s">
        <v>28</v>
      </c>
      <c r="O822" s="3" t="s">
        <v>28</v>
      </c>
      <c r="P822" s="3" t="s">
        <v>28</v>
      </c>
      <c r="Q822" s="3" t="s">
        <v>28</v>
      </c>
      <c r="R822" s="3" t="s">
        <v>28</v>
      </c>
      <c r="S822" s="3" t="s">
        <v>28</v>
      </c>
      <c r="T822" s="3" t="s">
        <v>28</v>
      </c>
    </row>
    <row r="823" spans="1:20" ht="409.6">
      <c r="A823" s="3">
        <v>2743190</v>
      </c>
      <c r="B823" s="3">
        <f>HYPERLINK("https://platform.v2.vetology.net/cases/2743190/screening-report/6?type=pdf&amp;v=v6&amp;scorecard=1&amp;secret_key=BX%25IJ%24%2F65ieZ%29f6", 2743190)</f>
        <v>2743190</v>
      </c>
      <c r="C823" s="3">
        <f>HYPERLINK("https://platform.v2.vetology.net/report/v/final/"&amp;2743190, 2743190)</f>
        <v>2743190</v>
      </c>
      <c r="D823" s="3" t="s">
        <v>3229</v>
      </c>
      <c r="E823" s="3" t="s">
        <v>3230</v>
      </c>
      <c r="F823" s="3" t="s">
        <v>3231</v>
      </c>
      <c r="G823" s="3" t="s">
        <v>186</v>
      </c>
      <c r="H823" s="3" t="s">
        <v>3232</v>
      </c>
      <c r="I823" s="3" t="s">
        <v>3233</v>
      </c>
      <c r="J823" s="3" t="s">
        <v>3234</v>
      </c>
      <c r="K823" s="3" t="s">
        <v>27</v>
      </c>
      <c r="L823" s="3" t="s">
        <v>27</v>
      </c>
      <c r="M823" s="3" t="s">
        <v>28</v>
      </c>
      <c r="N823" s="3" t="s">
        <v>27</v>
      </c>
      <c r="O823" s="3" t="s">
        <v>27</v>
      </c>
      <c r="P823" s="3" t="s">
        <v>27</v>
      </c>
      <c r="Q823" s="3" t="s">
        <v>27</v>
      </c>
      <c r="R823" s="3" t="s">
        <v>27</v>
      </c>
      <c r="S823" s="3" t="s">
        <v>27</v>
      </c>
      <c r="T823" s="3" t="s">
        <v>27</v>
      </c>
    </row>
    <row r="824" spans="1:20" ht="409.6">
      <c r="A824" s="3">
        <v>2743161</v>
      </c>
      <c r="B824" s="3">
        <f>HYPERLINK("https://platform.v2.vetology.net/cases/2743161/screening-report/6?type=pdf&amp;v=v6&amp;scorecard=1&amp;secret_key=BX%25IJ%24%2F65ieZ%29f6", 2743161)</f>
        <v>2743161</v>
      </c>
      <c r="C824" s="3">
        <f>HYPERLINK("https://platform.v2.vetology.net/report/v/final/"&amp;2743161, 2743161)</f>
        <v>2743161</v>
      </c>
      <c r="D824" s="3" t="s">
        <v>3235</v>
      </c>
      <c r="E824" s="3" t="s">
        <v>3236</v>
      </c>
      <c r="F824" s="3" t="s">
        <v>3237</v>
      </c>
      <c r="G824" s="3" t="s">
        <v>372</v>
      </c>
      <c r="H824" s="3" t="s">
        <v>677</v>
      </c>
      <c r="I824" s="3" t="s">
        <v>678</v>
      </c>
      <c r="J824" s="3" t="s">
        <v>679</v>
      </c>
      <c r="K824" s="3" t="s">
        <v>28</v>
      </c>
      <c r="L824" s="3" t="s">
        <v>27</v>
      </c>
      <c r="M824" s="3" t="s">
        <v>28</v>
      </c>
      <c r="N824" s="3" t="s">
        <v>27</v>
      </c>
      <c r="O824" s="3" t="s">
        <v>27</v>
      </c>
      <c r="P824" s="3" t="s">
        <v>28</v>
      </c>
      <c r="Q824" s="3" t="s">
        <v>28</v>
      </c>
      <c r="R824" s="3" t="s">
        <v>27</v>
      </c>
      <c r="S824" s="3" t="s">
        <v>27</v>
      </c>
      <c r="T824" s="3" t="s">
        <v>27</v>
      </c>
    </row>
    <row r="825" spans="1:20" ht="409.6">
      <c r="A825" s="3">
        <v>2743127</v>
      </c>
      <c r="B825" s="3">
        <f>HYPERLINK("https://platform.v2.vetology.net/cases/2743127/screening-report/6?type=pdf&amp;v=v6&amp;scorecard=1&amp;secret_key=BX%25IJ%24%2F65ieZ%29f6", 2743127)</f>
        <v>2743127</v>
      </c>
      <c r="C825" s="3">
        <f>HYPERLINK("https://platform.v2.vetology.net/report/v/final/"&amp;2743127, 2743127)</f>
        <v>2743127</v>
      </c>
      <c r="D825" s="3" t="s">
        <v>3238</v>
      </c>
      <c r="E825" s="3" t="s">
        <v>3239</v>
      </c>
      <c r="F825" s="3" t="s">
        <v>22</v>
      </c>
      <c r="G825" s="3" t="s">
        <v>23</v>
      </c>
      <c r="H825" s="3" t="s">
        <v>3240</v>
      </c>
      <c r="I825" s="3" t="s">
        <v>32</v>
      </c>
      <c r="J825" s="3" t="s">
        <v>578</v>
      </c>
      <c r="K825" s="3" t="s">
        <v>28</v>
      </c>
      <c r="L825" s="3" t="s">
        <v>28</v>
      </c>
      <c r="M825" s="3" t="s">
        <v>28</v>
      </c>
      <c r="N825" s="3" t="s">
        <v>28</v>
      </c>
      <c r="O825" s="3" t="s">
        <v>27</v>
      </c>
      <c r="P825" s="3" t="s">
        <v>28</v>
      </c>
      <c r="Q825" s="3" t="s">
        <v>28</v>
      </c>
      <c r="R825" s="3" t="s">
        <v>28</v>
      </c>
      <c r="S825" s="3" t="s">
        <v>28</v>
      </c>
      <c r="T825" s="3" t="s">
        <v>28</v>
      </c>
    </row>
    <row r="826" spans="1:20" ht="321">
      <c r="A826" s="3">
        <v>2743121</v>
      </c>
      <c r="B826" s="3">
        <f>HYPERLINK("https://platform.v2.vetology.net/cases/2743121/screening-report/6?type=pdf&amp;v=v6&amp;scorecard=1&amp;secret_key=BX%25IJ%24%2F65ieZ%29f6", 2743121)</f>
        <v>2743121</v>
      </c>
      <c r="C826" s="3">
        <f>HYPERLINK("https://platform.v2.vetology.net/report/v/final/"&amp;2743121, 2743121)</f>
        <v>2743121</v>
      </c>
      <c r="D826" s="3" t="s">
        <v>3241</v>
      </c>
      <c r="E826" s="3" t="s">
        <v>3242</v>
      </c>
      <c r="F826" s="3" t="s">
        <v>22</v>
      </c>
      <c r="G826" s="3" t="s">
        <v>372</v>
      </c>
      <c r="H826" s="3" t="s">
        <v>1768</v>
      </c>
      <c r="I826" s="3" t="s">
        <v>316</v>
      </c>
      <c r="J826" s="3" t="s">
        <v>317</v>
      </c>
      <c r="K826" s="3" t="s">
        <v>27</v>
      </c>
      <c r="L826" s="3" t="s">
        <v>28</v>
      </c>
      <c r="M826" s="3" t="s">
        <v>28</v>
      </c>
      <c r="N826" s="3" t="s">
        <v>28</v>
      </c>
      <c r="O826" s="3" t="s">
        <v>27</v>
      </c>
      <c r="P826" s="3" t="s">
        <v>28</v>
      </c>
      <c r="Q826" s="3" t="s">
        <v>28</v>
      </c>
      <c r="R826" s="3" t="s">
        <v>28</v>
      </c>
      <c r="S826" s="3" t="s">
        <v>28</v>
      </c>
      <c r="T826" s="3" t="s">
        <v>28</v>
      </c>
    </row>
    <row r="827" spans="1:20" ht="381.75">
      <c r="A827" s="3">
        <v>2743103</v>
      </c>
      <c r="B827" s="3">
        <f>HYPERLINK("https://platform.v2.vetology.net/cases/2743103/screening-report/6?type=pdf&amp;v=v6&amp;scorecard=1&amp;secret_key=BX%25IJ%24%2F65ieZ%29f6", 2743103)</f>
        <v>2743103</v>
      </c>
      <c r="C827" s="3">
        <f>HYPERLINK("https://platform.v2.vetology.net/report/v/final/"&amp;2743103, 2743103)</f>
        <v>2743103</v>
      </c>
      <c r="D827" s="3" t="s">
        <v>3243</v>
      </c>
      <c r="E827" s="3" t="s">
        <v>3244</v>
      </c>
      <c r="F827" s="3" t="s">
        <v>3245</v>
      </c>
      <c r="G827" s="3" t="s">
        <v>57</v>
      </c>
      <c r="H827" s="3" t="s">
        <v>3246</v>
      </c>
      <c r="I827" s="3" t="s">
        <v>3247</v>
      </c>
      <c r="J827" s="3" t="s">
        <v>3248</v>
      </c>
      <c r="K827" s="3" t="s">
        <v>28</v>
      </c>
      <c r="L827" s="3" t="s">
        <v>27</v>
      </c>
      <c r="M827" s="3" t="s">
        <v>28</v>
      </c>
      <c r="N827" s="3" t="s">
        <v>28</v>
      </c>
      <c r="O827" s="3" t="s">
        <v>27</v>
      </c>
      <c r="P827" s="3" t="s">
        <v>28</v>
      </c>
      <c r="Q827" s="3" t="s">
        <v>27</v>
      </c>
      <c r="R827" s="3" t="s">
        <v>28</v>
      </c>
      <c r="S827" s="3" t="s">
        <v>28</v>
      </c>
      <c r="T827" s="3" t="s">
        <v>27</v>
      </c>
    </row>
    <row r="828" spans="1:20" ht="409.6">
      <c r="A828" s="3">
        <v>2743078</v>
      </c>
      <c r="B828" s="3">
        <f>HYPERLINK("https://platform.v2.vetology.net/cases/2743078/screening-report/6?type=pdf&amp;v=v6&amp;scorecard=1&amp;secret_key=BX%25IJ%24%2F65ieZ%29f6", 2743078)</f>
        <v>2743078</v>
      </c>
      <c r="C828" s="3">
        <f>HYPERLINK("https://platform.v2.vetology.net/report/v/final/"&amp;2743078, 2743078)</f>
        <v>2743078</v>
      </c>
      <c r="D828" s="3" t="s">
        <v>3249</v>
      </c>
      <c r="E828" s="3" t="s">
        <v>3250</v>
      </c>
      <c r="F828" s="3" t="s">
        <v>3251</v>
      </c>
      <c r="G828" s="3" t="s">
        <v>186</v>
      </c>
      <c r="H828" s="3" t="s">
        <v>3252</v>
      </c>
      <c r="I828" s="3" t="s">
        <v>1688</v>
      </c>
      <c r="J828" s="3" t="s">
        <v>207</v>
      </c>
      <c r="K828" s="3" t="s">
        <v>27</v>
      </c>
      <c r="L828" s="3" t="s">
        <v>28</v>
      </c>
      <c r="M828" s="3" t="s">
        <v>27</v>
      </c>
      <c r="N828" s="3" t="s">
        <v>28</v>
      </c>
      <c r="O828" s="3" t="s">
        <v>27</v>
      </c>
      <c r="P828" s="3" t="s">
        <v>28</v>
      </c>
      <c r="Q828" s="3" t="s">
        <v>27</v>
      </c>
      <c r="R828" s="3" t="s">
        <v>28</v>
      </c>
      <c r="S828" s="3" t="s">
        <v>28</v>
      </c>
      <c r="T828" s="3" t="s">
        <v>27</v>
      </c>
    </row>
    <row r="829" spans="1:20" ht="275.25">
      <c r="A829" s="3">
        <v>2743069</v>
      </c>
      <c r="B829" s="3">
        <f>HYPERLINK("https://platform.v2.vetology.net/cases/2743069/screening-report/6?type=pdf&amp;v=v6&amp;scorecard=1&amp;secret_key=BX%25IJ%24%2F65ieZ%29f6", 2743069)</f>
        <v>2743069</v>
      </c>
      <c r="C829" s="3">
        <f>HYPERLINK("https://platform.v2.vetology.net/report/v/final/"&amp;2743069, 2743069)</f>
        <v>2743069</v>
      </c>
      <c r="D829" s="3" t="s">
        <v>3253</v>
      </c>
      <c r="E829" s="3" t="s">
        <v>3254</v>
      </c>
      <c r="F829" s="3" t="s">
        <v>22</v>
      </c>
      <c r="G829" s="3" t="s">
        <v>23</v>
      </c>
      <c r="H829" s="3" t="s">
        <v>3255</v>
      </c>
      <c r="I829" s="3"/>
      <c r="J829" s="3" t="s">
        <v>207</v>
      </c>
      <c r="K829" s="3" t="s">
        <v>28</v>
      </c>
      <c r="L829" s="3" t="s">
        <v>28</v>
      </c>
      <c r="M829" s="3" t="s">
        <v>28</v>
      </c>
      <c r="N829" s="3" t="s">
        <v>28</v>
      </c>
      <c r="O829" s="3" t="s">
        <v>27</v>
      </c>
      <c r="P829" s="3" t="s">
        <v>28</v>
      </c>
      <c r="Q829" s="3" t="s">
        <v>28</v>
      </c>
      <c r="R829" s="3" t="s">
        <v>28</v>
      </c>
      <c r="S829" s="3" t="s">
        <v>28</v>
      </c>
      <c r="T829" s="3" t="s">
        <v>27</v>
      </c>
    </row>
    <row r="830" spans="1:20" ht="409.6">
      <c r="A830" s="3">
        <v>2743060</v>
      </c>
      <c r="B830" s="3">
        <f>HYPERLINK("https://platform.v2.vetology.net/cases/2743060/screening-report/6?type=pdf&amp;v=v6&amp;scorecard=1&amp;secret_key=BX%25IJ%24%2F65ieZ%29f6", 2743060)</f>
        <v>2743060</v>
      </c>
      <c r="C830" s="3">
        <f>HYPERLINK("https://platform.v2.vetology.net/report/v/final/"&amp;2743060, 2743060)</f>
        <v>2743060</v>
      </c>
      <c r="D830" s="3" t="s">
        <v>3256</v>
      </c>
      <c r="E830" s="3" t="s">
        <v>3257</v>
      </c>
      <c r="F830" s="3" t="s">
        <v>22</v>
      </c>
      <c r="G830" s="3" t="s">
        <v>372</v>
      </c>
      <c r="H830" s="3" t="s">
        <v>3258</v>
      </c>
      <c r="I830" s="3" t="s">
        <v>582</v>
      </c>
      <c r="J830" s="3" t="s">
        <v>583</v>
      </c>
      <c r="K830" s="3" t="s">
        <v>28</v>
      </c>
      <c r="L830" s="3" t="s">
        <v>28</v>
      </c>
      <c r="M830" s="3" t="s">
        <v>28</v>
      </c>
      <c r="N830" s="3" t="s">
        <v>28</v>
      </c>
      <c r="O830" s="3" t="s">
        <v>28</v>
      </c>
      <c r="P830" s="3" t="s">
        <v>27</v>
      </c>
      <c r="Q830" s="3" t="s">
        <v>28</v>
      </c>
      <c r="R830" s="3" t="s">
        <v>28</v>
      </c>
      <c r="S830" s="3" t="s">
        <v>28</v>
      </c>
      <c r="T830" s="3" t="s">
        <v>28</v>
      </c>
    </row>
    <row r="831" spans="1:20" ht="244.5">
      <c r="A831" s="3">
        <v>2743045</v>
      </c>
      <c r="B831" s="3">
        <f>HYPERLINK("https://platform.v2.vetology.net/cases/2743045/screening-report/6?type=pdf&amp;v=v6&amp;scorecard=1&amp;secret_key=BX%25IJ%24%2F65ieZ%29f6", 2743045)</f>
        <v>2743045</v>
      </c>
      <c r="C831" s="3">
        <f>HYPERLINK("https://platform.v2.vetology.net/report/v/final/"&amp;2743045, 2743045)</f>
        <v>2743045</v>
      </c>
      <c r="D831" s="3" t="s">
        <v>3259</v>
      </c>
      <c r="E831" s="3" t="s">
        <v>3260</v>
      </c>
      <c r="F831" s="3" t="s">
        <v>3261</v>
      </c>
      <c r="G831" s="3" t="s">
        <v>23</v>
      </c>
      <c r="H831" s="3" t="s">
        <v>362</v>
      </c>
      <c r="I831" s="3" t="s">
        <v>72</v>
      </c>
      <c r="J831" s="3" t="s">
        <v>363</v>
      </c>
      <c r="K831" s="3" t="s">
        <v>28</v>
      </c>
      <c r="L831" s="3" t="s">
        <v>28</v>
      </c>
      <c r="M831" s="3" t="s">
        <v>28</v>
      </c>
      <c r="N831" s="3" t="s">
        <v>28</v>
      </c>
      <c r="O831" s="3" t="s">
        <v>28</v>
      </c>
      <c r="P831" s="3" t="s">
        <v>28</v>
      </c>
      <c r="Q831" s="3" t="s">
        <v>28</v>
      </c>
      <c r="R831" s="3" t="s">
        <v>28</v>
      </c>
      <c r="S831" s="3" t="s">
        <v>28</v>
      </c>
      <c r="T831" s="3" t="s">
        <v>27</v>
      </c>
    </row>
    <row r="832" spans="1:20" ht="409.6">
      <c r="A832" s="3">
        <v>2743027</v>
      </c>
      <c r="B832" s="3">
        <f>HYPERLINK("https://platform.v2.vetology.net/cases/2743027/screening-report/6?type=pdf&amp;v=v6&amp;scorecard=1&amp;secret_key=BX%25IJ%24%2F65ieZ%29f6", 2743027)</f>
        <v>2743027</v>
      </c>
      <c r="C832" s="3">
        <f>HYPERLINK("https://platform.v2.vetology.net/report/v/final/"&amp;2743027, 2743027)</f>
        <v>2743027</v>
      </c>
      <c r="D832" s="3" t="s">
        <v>3262</v>
      </c>
      <c r="E832" s="3" t="s">
        <v>3263</v>
      </c>
      <c r="F832" s="3" t="s">
        <v>22</v>
      </c>
      <c r="G832" s="3" t="s">
        <v>23</v>
      </c>
      <c r="H832" s="3" t="s">
        <v>328</v>
      </c>
      <c r="I832" s="3"/>
      <c r="J832" s="3" t="s">
        <v>207</v>
      </c>
      <c r="K832" s="3" t="s">
        <v>28</v>
      </c>
      <c r="L832" s="3" t="s">
        <v>28</v>
      </c>
      <c r="M832" s="3" t="s">
        <v>28</v>
      </c>
      <c r="N832" s="3" t="s">
        <v>28</v>
      </c>
      <c r="O832" s="3" t="s">
        <v>28</v>
      </c>
      <c r="P832" s="3" t="s">
        <v>28</v>
      </c>
      <c r="Q832" s="3" t="s">
        <v>28</v>
      </c>
      <c r="R832" s="3" t="s">
        <v>28</v>
      </c>
      <c r="S832" s="3" t="s">
        <v>28</v>
      </c>
      <c r="T832" s="3" t="s">
        <v>28</v>
      </c>
    </row>
    <row r="833" spans="1:20" ht="351">
      <c r="A833" s="3">
        <v>2743026</v>
      </c>
      <c r="B833" s="3">
        <f>HYPERLINK("https://platform.v2.vetology.net/cases/2743026/screening-report/6?type=pdf&amp;v=v6&amp;scorecard=1&amp;secret_key=BX%25IJ%24%2F65ieZ%29f6", 2743026)</f>
        <v>2743026</v>
      </c>
      <c r="C833" s="3">
        <f>HYPERLINK("https://platform.v2.vetology.net/report/v/final/"&amp;2743026, 2743026)</f>
        <v>2743026</v>
      </c>
      <c r="D833" s="3" t="s">
        <v>3264</v>
      </c>
      <c r="E833" s="3" t="s">
        <v>3265</v>
      </c>
      <c r="F833" s="3" t="s">
        <v>22</v>
      </c>
      <c r="G833" s="3" t="s">
        <v>372</v>
      </c>
      <c r="H833" s="3" t="s">
        <v>3266</v>
      </c>
      <c r="I833" s="3" t="s">
        <v>305</v>
      </c>
      <c r="J833" s="3" t="s">
        <v>847</v>
      </c>
      <c r="K833" s="3" t="s">
        <v>28</v>
      </c>
      <c r="L833" s="3" t="s">
        <v>28</v>
      </c>
      <c r="M833" s="3" t="s">
        <v>28</v>
      </c>
      <c r="N833" s="3" t="s">
        <v>28</v>
      </c>
      <c r="O833" s="3" t="s">
        <v>28</v>
      </c>
      <c r="P833" s="3" t="s">
        <v>28</v>
      </c>
      <c r="Q833" s="3" t="s">
        <v>28</v>
      </c>
      <c r="R833" s="3" t="s">
        <v>28</v>
      </c>
      <c r="S833" s="3" t="s">
        <v>28</v>
      </c>
      <c r="T833" s="3" t="s">
        <v>28</v>
      </c>
    </row>
    <row r="834" spans="1:20" ht="409.6">
      <c r="A834" s="3">
        <v>2742996</v>
      </c>
      <c r="B834" s="3">
        <f>HYPERLINK("https://platform.v2.vetology.net/cases/2742996/screening-report/6?type=pdf&amp;v=v6&amp;scorecard=1&amp;secret_key=BX%25IJ%24%2F65ieZ%29f6", 2742996)</f>
        <v>2742996</v>
      </c>
      <c r="C834" s="3">
        <f>HYPERLINK("https://platform.v2.vetology.net/report/v/final/"&amp;2742996, 2742996)</f>
        <v>2742996</v>
      </c>
      <c r="D834" s="3" t="s">
        <v>3267</v>
      </c>
      <c r="E834" s="3" t="s">
        <v>3268</v>
      </c>
      <c r="F834" s="3" t="s">
        <v>22</v>
      </c>
      <c r="G834" s="3" t="s">
        <v>372</v>
      </c>
      <c r="H834" s="3" t="s">
        <v>3269</v>
      </c>
      <c r="I834" s="3" t="s">
        <v>3270</v>
      </c>
      <c r="J834" s="3" t="s">
        <v>1021</v>
      </c>
      <c r="K834" s="3" t="s">
        <v>27</v>
      </c>
      <c r="L834" s="3" t="s">
        <v>27</v>
      </c>
      <c r="M834" s="3" t="s">
        <v>27</v>
      </c>
      <c r="N834" s="3" t="s">
        <v>28</v>
      </c>
      <c r="O834" s="3" t="s">
        <v>27</v>
      </c>
      <c r="P834" s="3" t="s">
        <v>27</v>
      </c>
      <c r="Q834" s="3" t="s">
        <v>27</v>
      </c>
      <c r="R834" s="3" t="s">
        <v>28</v>
      </c>
      <c r="S834" s="3" t="s">
        <v>28</v>
      </c>
      <c r="T834" s="3" t="s">
        <v>28</v>
      </c>
    </row>
    <row r="835" spans="1:20" ht="336">
      <c r="A835" s="3">
        <v>2742988</v>
      </c>
      <c r="B835" s="3">
        <f>HYPERLINK("https://platform.v2.vetology.net/cases/2742988/screening-report/6?type=pdf&amp;v=v6&amp;scorecard=1&amp;secret_key=BX%25IJ%24%2F65ieZ%29f6", 2742988)</f>
        <v>2742988</v>
      </c>
      <c r="C835" s="3">
        <f>HYPERLINK("https://platform.v2.vetology.net/report/v/final/"&amp;2742988, 2742988)</f>
        <v>2742988</v>
      </c>
      <c r="D835" s="3" t="s">
        <v>3271</v>
      </c>
      <c r="E835" s="3" t="s">
        <v>3272</v>
      </c>
      <c r="F835" s="3" t="s">
        <v>3273</v>
      </c>
      <c r="G835" s="3" t="s">
        <v>496</v>
      </c>
      <c r="H835" s="3" t="s">
        <v>1259</v>
      </c>
      <c r="I835" s="3"/>
      <c r="J835" s="3" t="s">
        <v>207</v>
      </c>
      <c r="K835" s="3" t="s">
        <v>28</v>
      </c>
      <c r="L835" s="3" t="s">
        <v>28</v>
      </c>
      <c r="M835" s="3" t="s">
        <v>28</v>
      </c>
      <c r="N835" s="3" t="s">
        <v>28</v>
      </c>
      <c r="O835" s="3" t="s">
        <v>28</v>
      </c>
      <c r="P835" s="3" t="s">
        <v>28</v>
      </c>
      <c r="Q835" s="3" t="s">
        <v>27</v>
      </c>
      <c r="R835" s="3" t="s">
        <v>28</v>
      </c>
      <c r="S835" s="3" t="s">
        <v>28</v>
      </c>
      <c r="T835" s="3" t="s">
        <v>27</v>
      </c>
    </row>
    <row r="836" spans="1:20" ht="409.6">
      <c r="A836" s="3">
        <v>2742904</v>
      </c>
      <c r="B836" s="3">
        <f>HYPERLINK("https://platform.v2.vetology.net/cases/2742904/screening-report/6?type=pdf&amp;v=v6&amp;scorecard=1&amp;secret_key=BX%25IJ%24%2F65ieZ%29f6", 2742904)</f>
        <v>2742904</v>
      </c>
      <c r="C836" s="3">
        <f>HYPERLINK("https://platform.v2.vetology.net/report/v/final/"&amp;2742904, 2742904)</f>
        <v>2742904</v>
      </c>
      <c r="D836" s="3" t="s">
        <v>3274</v>
      </c>
      <c r="E836" s="3" t="s">
        <v>3275</v>
      </c>
      <c r="F836" s="3" t="s">
        <v>22</v>
      </c>
      <c r="G836" s="3" t="s">
        <v>23</v>
      </c>
      <c r="H836" s="3" t="s">
        <v>3276</v>
      </c>
      <c r="I836" s="3" t="s">
        <v>871</v>
      </c>
      <c r="J836" s="3" t="s">
        <v>872</v>
      </c>
      <c r="K836" s="3" t="s">
        <v>27</v>
      </c>
      <c r="L836" s="3" t="s">
        <v>27</v>
      </c>
      <c r="M836" s="3" t="s">
        <v>28</v>
      </c>
      <c r="N836" s="3" t="s">
        <v>27</v>
      </c>
      <c r="O836" s="3" t="s">
        <v>27</v>
      </c>
      <c r="P836" s="3" t="s">
        <v>28</v>
      </c>
      <c r="Q836" s="3" t="s">
        <v>28</v>
      </c>
      <c r="R836" s="3" t="s">
        <v>27</v>
      </c>
      <c r="S836" s="3" t="s">
        <v>28</v>
      </c>
      <c r="T836" s="3" t="s">
        <v>27</v>
      </c>
    </row>
    <row r="837" spans="1:20" ht="244.5">
      <c r="A837" s="3">
        <v>2742890</v>
      </c>
      <c r="B837" s="3">
        <f>HYPERLINK("https://platform.v2.vetology.net/cases/2742890/screening-report/6?type=pdf&amp;v=v6&amp;scorecard=1&amp;secret_key=BX%25IJ%24%2F65ieZ%29f6", 2742890)</f>
        <v>2742890</v>
      </c>
      <c r="C837" s="3">
        <f>HYPERLINK("https://platform.v2.vetology.net/report/v/final/"&amp;2742890, 2742890)</f>
        <v>2742890</v>
      </c>
      <c r="D837" s="3" t="s">
        <v>3277</v>
      </c>
      <c r="E837" s="3" t="s">
        <v>1089</v>
      </c>
      <c r="F837" s="3" t="s">
        <v>1090</v>
      </c>
      <c r="G837" s="3" t="s">
        <v>100</v>
      </c>
      <c r="H837" s="3" t="s">
        <v>3278</v>
      </c>
      <c r="I837" s="3" t="s">
        <v>3279</v>
      </c>
      <c r="J837" s="3" t="s">
        <v>3280</v>
      </c>
      <c r="K837" s="3" t="s">
        <v>27</v>
      </c>
      <c r="L837" s="3" t="s">
        <v>27</v>
      </c>
      <c r="M837" s="3" t="s">
        <v>27</v>
      </c>
      <c r="N837" s="3" t="s">
        <v>27</v>
      </c>
      <c r="O837" s="3" t="s">
        <v>27</v>
      </c>
      <c r="P837" s="3" t="s">
        <v>28</v>
      </c>
      <c r="Q837" s="3" t="s">
        <v>27</v>
      </c>
      <c r="R837" s="3" t="s">
        <v>28</v>
      </c>
      <c r="S837" s="3" t="s">
        <v>28</v>
      </c>
      <c r="T837" s="3" t="s">
        <v>28</v>
      </c>
    </row>
    <row r="838" spans="1:20" ht="396.75">
      <c r="A838" s="3">
        <v>2742881</v>
      </c>
      <c r="B838" s="3">
        <f>HYPERLINK("https://platform.v2.vetology.net/cases/2742881/screening-report/6?type=pdf&amp;v=v6&amp;scorecard=1&amp;secret_key=BX%25IJ%24%2F65ieZ%29f6", 2742881)</f>
        <v>2742881</v>
      </c>
      <c r="C838" s="3">
        <f>HYPERLINK("https://platform.v2.vetology.net/report/v/final/"&amp;2742881, 2742881)</f>
        <v>2742881</v>
      </c>
      <c r="D838" s="3" t="s">
        <v>3281</v>
      </c>
      <c r="E838" s="3" t="s">
        <v>3282</v>
      </c>
      <c r="F838" s="3" t="s">
        <v>3283</v>
      </c>
      <c r="G838" s="3" t="s">
        <v>64</v>
      </c>
      <c r="H838" s="3" t="s">
        <v>350</v>
      </c>
      <c r="I838" s="3" t="s">
        <v>351</v>
      </c>
      <c r="J838" s="3" t="s">
        <v>352</v>
      </c>
      <c r="K838" s="3" t="s">
        <v>28</v>
      </c>
      <c r="L838" s="3" t="s">
        <v>28</v>
      </c>
      <c r="M838" s="3" t="s">
        <v>28</v>
      </c>
      <c r="N838" s="3" t="s">
        <v>28</v>
      </c>
      <c r="O838" s="3" t="s">
        <v>27</v>
      </c>
      <c r="P838" s="3" t="s">
        <v>28</v>
      </c>
      <c r="Q838" s="3" t="s">
        <v>28</v>
      </c>
      <c r="R838" s="3" t="s">
        <v>28</v>
      </c>
      <c r="S838" s="3" t="s">
        <v>28</v>
      </c>
      <c r="T838" s="3" t="s">
        <v>27</v>
      </c>
    </row>
    <row r="839" spans="1:20" ht="409.6">
      <c r="A839" s="3">
        <v>2742730</v>
      </c>
      <c r="B839" s="3">
        <f>HYPERLINK("https://platform.v2.vetology.net/cases/2742730/screening-report/6?type=pdf&amp;v=v6&amp;scorecard=1&amp;secret_key=BX%25IJ%24%2F65ieZ%29f6", 2742730)</f>
        <v>2742730</v>
      </c>
      <c r="C839" s="3">
        <f>HYPERLINK("https://platform.v2.vetology.net/report/v/final/"&amp;2742730, 2742730)</f>
        <v>2742730</v>
      </c>
      <c r="D839" s="3" t="s">
        <v>3284</v>
      </c>
      <c r="E839" s="3" t="s">
        <v>3285</v>
      </c>
      <c r="F839" s="3" t="s">
        <v>22</v>
      </c>
      <c r="G839" s="3" t="s">
        <v>23</v>
      </c>
      <c r="H839" s="3" t="s">
        <v>3286</v>
      </c>
      <c r="I839" s="3" t="s">
        <v>484</v>
      </c>
      <c r="J839" s="3" t="s">
        <v>53</v>
      </c>
      <c r="K839" s="3" t="s">
        <v>28</v>
      </c>
      <c r="L839" s="3" t="s">
        <v>28</v>
      </c>
      <c r="M839" s="3" t="s">
        <v>28</v>
      </c>
      <c r="N839" s="3" t="s">
        <v>28</v>
      </c>
      <c r="O839" s="3" t="s">
        <v>27</v>
      </c>
      <c r="P839" s="3" t="s">
        <v>28</v>
      </c>
      <c r="Q839" s="3" t="s">
        <v>28</v>
      </c>
      <c r="R839" s="3" t="s">
        <v>28</v>
      </c>
      <c r="S839" s="3" t="s">
        <v>28</v>
      </c>
      <c r="T839" s="3" t="s">
        <v>28</v>
      </c>
    </row>
    <row r="840" spans="1:20" ht="409.6">
      <c r="A840" s="3">
        <v>2742712</v>
      </c>
      <c r="B840" s="3">
        <f>HYPERLINK("https://platform.v2.vetology.net/cases/2742712/screening-report/6?type=pdf&amp;v=v6&amp;scorecard=1&amp;secret_key=BX%25IJ%24%2F65ieZ%29f6", 2742712)</f>
        <v>2742712</v>
      </c>
      <c r="C840" s="3">
        <f>HYPERLINK("https://platform.v2.vetology.net/report/v/final/"&amp;2742712, 2742712)</f>
        <v>2742712</v>
      </c>
      <c r="D840" s="3" t="s">
        <v>3287</v>
      </c>
      <c r="E840" s="3" t="s">
        <v>3288</v>
      </c>
      <c r="F840" s="3" t="s">
        <v>3289</v>
      </c>
      <c r="G840" s="3" t="s">
        <v>179</v>
      </c>
      <c r="H840" s="3" t="s">
        <v>3290</v>
      </c>
      <c r="I840" s="3" t="s">
        <v>1169</v>
      </c>
      <c r="J840" s="3" t="s">
        <v>1170</v>
      </c>
      <c r="K840" s="3" t="s">
        <v>27</v>
      </c>
      <c r="L840" s="3" t="s">
        <v>28</v>
      </c>
      <c r="M840" s="3" t="s">
        <v>27</v>
      </c>
      <c r="N840" s="3" t="s">
        <v>28</v>
      </c>
      <c r="O840" s="3" t="s">
        <v>27</v>
      </c>
      <c r="P840" s="3" t="s">
        <v>28</v>
      </c>
      <c r="Q840" s="3" t="s">
        <v>27</v>
      </c>
      <c r="R840" s="3" t="s">
        <v>28</v>
      </c>
      <c r="S840" s="3" t="s">
        <v>27</v>
      </c>
      <c r="T840" s="3" t="s">
        <v>27</v>
      </c>
    </row>
    <row r="841" spans="1:20" ht="409.6">
      <c r="A841" s="3">
        <v>2742709</v>
      </c>
      <c r="B841" s="3">
        <f>HYPERLINK("https://platform.v2.vetology.net/cases/2742709/screening-report/6?type=pdf&amp;v=v6&amp;scorecard=1&amp;secret_key=BX%25IJ%24%2F65ieZ%29f6", 2742709)</f>
        <v>2742709</v>
      </c>
      <c r="C841" s="3">
        <f>HYPERLINK("https://platform.v2.vetology.net/report/v/final/"&amp;2742709, 2742709)</f>
        <v>2742709</v>
      </c>
      <c r="D841" s="3" t="s">
        <v>3291</v>
      </c>
      <c r="E841" s="3" t="s">
        <v>3292</v>
      </c>
      <c r="F841" s="3"/>
      <c r="G841" s="3" t="s">
        <v>100</v>
      </c>
      <c r="H841" s="3" t="s">
        <v>1285</v>
      </c>
      <c r="I841" s="3" t="s">
        <v>1201</v>
      </c>
      <c r="J841" s="3" t="s">
        <v>1202</v>
      </c>
      <c r="K841" s="3" t="s">
        <v>28</v>
      </c>
      <c r="L841" s="3" t="s">
        <v>28</v>
      </c>
      <c r="M841" s="3" t="s">
        <v>28</v>
      </c>
      <c r="N841" s="3" t="s">
        <v>28</v>
      </c>
      <c r="O841" s="3" t="s">
        <v>28</v>
      </c>
      <c r="P841" s="3" t="s">
        <v>28</v>
      </c>
      <c r="Q841" s="3" t="s">
        <v>28</v>
      </c>
      <c r="R841" s="3" t="s">
        <v>28</v>
      </c>
      <c r="S841" s="3" t="s">
        <v>28</v>
      </c>
      <c r="T841" s="3" t="s">
        <v>27</v>
      </c>
    </row>
    <row r="842" spans="1:20" ht="409.6">
      <c r="A842" s="3">
        <v>2742687</v>
      </c>
      <c r="B842" s="3">
        <f>HYPERLINK("https://platform.v2.vetology.net/cases/2742687/screening-report/6?type=pdf&amp;v=v6&amp;scorecard=1&amp;secret_key=BX%25IJ%24%2F65ieZ%29f6", 2742687)</f>
        <v>2742687</v>
      </c>
      <c r="C842" s="3">
        <f>HYPERLINK("https://platform.v2.vetology.net/report/v/final/"&amp;2742687, 2742687)</f>
        <v>2742687</v>
      </c>
      <c r="D842" s="3" t="s">
        <v>3293</v>
      </c>
      <c r="E842" s="3" t="s">
        <v>3294</v>
      </c>
      <c r="F842" s="3" t="s">
        <v>3295</v>
      </c>
      <c r="G842" s="3" t="s">
        <v>179</v>
      </c>
      <c r="H842" s="3" t="s">
        <v>702</v>
      </c>
      <c r="I842" s="3" t="s">
        <v>32</v>
      </c>
      <c r="J842" s="3" t="s">
        <v>33</v>
      </c>
      <c r="K842" s="3" t="s">
        <v>28</v>
      </c>
      <c r="L842" s="3" t="s">
        <v>28</v>
      </c>
      <c r="M842" s="3" t="s">
        <v>28</v>
      </c>
      <c r="N842" s="3" t="s">
        <v>28</v>
      </c>
      <c r="O842" s="3" t="s">
        <v>28</v>
      </c>
      <c r="P842" s="3" t="s">
        <v>28</v>
      </c>
      <c r="Q842" s="3" t="s">
        <v>28</v>
      </c>
      <c r="R842" s="3" t="s">
        <v>28</v>
      </c>
      <c r="S842" s="3" t="s">
        <v>28</v>
      </c>
      <c r="T842" s="3" t="s">
        <v>28</v>
      </c>
    </row>
    <row r="843" spans="1:20" ht="409.6">
      <c r="A843" s="3">
        <v>2742653</v>
      </c>
      <c r="B843" s="3">
        <f>HYPERLINK("https://platform.v2.vetology.net/cases/2742653/screening-report/6?type=pdf&amp;v=v6&amp;scorecard=1&amp;secret_key=BX%25IJ%24%2F65ieZ%29f6", 2742653)</f>
        <v>2742653</v>
      </c>
      <c r="C843" s="3">
        <f>HYPERLINK("https://platform.v2.vetology.net/report/v/final/"&amp;2742653, 2742653)</f>
        <v>2742653</v>
      </c>
      <c r="D843" s="3" t="s">
        <v>3296</v>
      </c>
      <c r="E843" s="3" t="s">
        <v>3297</v>
      </c>
      <c r="F843" s="3" t="s">
        <v>3298</v>
      </c>
      <c r="G843" s="3" t="s">
        <v>100</v>
      </c>
      <c r="H843" s="3" t="s">
        <v>3299</v>
      </c>
      <c r="I843" s="3" t="s">
        <v>3300</v>
      </c>
      <c r="J843" s="3" t="s">
        <v>3301</v>
      </c>
      <c r="K843" s="3" t="s">
        <v>27</v>
      </c>
      <c r="L843" s="3" t="s">
        <v>27</v>
      </c>
      <c r="M843" s="3" t="s">
        <v>27</v>
      </c>
      <c r="N843" s="3" t="s">
        <v>27</v>
      </c>
      <c r="O843" s="3" t="s">
        <v>27</v>
      </c>
      <c r="P843" s="3" t="s">
        <v>28</v>
      </c>
      <c r="Q843" s="3" t="s">
        <v>27</v>
      </c>
      <c r="R843" s="3" t="s">
        <v>27</v>
      </c>
      <c r="S843" s="3" t="s">
        <v>27</v>
      </c>
      <c r="T843" s="3" t="s">
        <v>27</v>
      </c>
    </row>
    <row r="844" spans="1:20" ht="409.6">
      <c r="A844" s="3">
        <v>2742637</v>
      </c>
      <c r="B844" s="3">
        <f>HYPERLINK("https://platform.v2.vetology.net/cases/2742637/screening-report/6?type=pdf&amp;v=v6&amp;scorecard=1&amp;secret_key=BX%25IJ%24%2F65ieZ%29f6", 2742637)</f>
        <v>2742637</v>
      </c>
      <c r="C844" s="3">
        <f>HYPERLINK("https://platform.v2.vetology.net/report/v/final/"&amp;2742637, 2742637)</f>
        <v>2742637</v>
      </c>
      <c r="D844" s="3" t="s">
        <v>3302</v>
      </c>
      <c r="E844" s="3" t="s">
        <v>3303</v>
      </c>
      <c r="F844" s="3" t="s">
        <v>3304</v>
      </c>
      <c r="G844" s="3" t="s">
        <v>64</v>
      </c>
      <c r="H844" s="3" t="s">
        <v>31</v>
      </c>
      <c r="I844" s="3" t="s">
        <v>32</v>
      </c>
      <c r="J844" s="3" t="s">
        <v>847</v>
      </c>
      <c r="K844" s="3" t="s">
        <v>28</v>
      </c>
      <c r="L844" s="3" t="s">
        <v>28</v>
      </c>
      <c r="M844" s="3" t="s">
        <v>28</v>
      </c>
      <c r="N844" s="3" t="s">
        <v>28</v>
      </c>
      <c r="O844" s="3" t="s">
        <v>27</v>
      </c>
      <c r="P844" s="3" t="s">
        <v>28</v>
      </c>
      <c r="Q844" s="3" t="s">
        <v>28</v>
      </c>
      <c r="R844" s="3" t="s">
        <v>28</v>
      </c>
      <c r="S844" s="3" t="s">
        <v>28</v>
      </c>
      <c r="T844" s="3" t="s">
        <v>28</v>
      </c>
    </row>
    <row r="845" spans="1:20" ht="409.6">
      <c r="A845" s="3">
        <v>2742627</v>
      </c>
      <c r="B845" s="3">
        <f>HYPERLINK("https://platform.v2.vetology.net/cases/2742627/screening-report/6?type=pdf&amp;v=v6&amp;scorecard=1&amp;secret_key=BX%25IJ%24%2F65ieZ%29f6", 2742627)</f>
        <v>2742627</v>
      </c>
      <c r="C845" s="3">
        <f>HYPERLINK("https://platform.v2.vetology.net/report/v/final/"&amp;2742627, 2742627)</f>
        <v>2742627</v>
      </c>
      <c r="D845" s="3" t="s">
        <v>3305</v>
      </c>
      <c r="E845" s="3" t="s">
        <v>3306</v>
      </c>
      <c r="F845" s="3" t="s">
        <v>3307</v>
      </c>
      <c r="G845" s="3" t="s">
        <v>186</v>
      </c>
      <c r="H845" s="3" t="s">
        <v>3308</v>
      </c>
      <c r="I845" s="3" t="s">
        <v>484</v>
      </c>
      <c r="J845" s="3" t="s">
        <v>53</v>
      </c>
      <c r="K845" s="3" t="s">
        <v>28</v>
      </c>
      <c r="L845" s="3" t="s">
        <v>28</v>
      </c>
      <c r="M845" s="3" t="s">
        <v>28</v>
      </c>
      <c r="N845" s="3" t="s">
        <v>28</v>
      </c>
      <c r="O845" s="3" t="s">
        <v>27</v>
      </c>
      <c r="P845" s="3" t="s">
        <v>28</v>
      </c>
      <c r="Q845" s="3" t="s">
        <v>28</v>
      </c>
      <c r="R845" s="3" t="s">
        <v>28</v>
      </c>
      <c r="S845" s="3" t="s">
        <v>28</v>
      </c>
      <c r="T845" s="3" t="s">
        <v>28</v>
      </c>
    </row>
    <row r="846" spans="1:20" ht="409.6">
      <c r="A846" s="3">
        <v>2742614</v>
      </c>
      <c r="B846" s="3">
        <f>HYPERLINK("https://platform.v2.vetology.net/cases/2742614/screening-report/6?type=pdf&amp;v=v6&amp;scorecard=1&amp;secret_key=BX%25IJ%24%2F65ieZ%29f6", 2742614)</f>
        <v>2742614</v>
      </c>
      <c r="C846" s="3">
        <f>HYPERLINK("https://platform.v2.vetology.net/report/v/final/"&amp;2742614, 2742614)</f>
        <v>2742614</v>
      </c>
      <c r="D846" s="3" t="s">
        <v>3309</v>
      </c>
      <c r="E846" s="3" t="s">
        <v>3310</v>
      </c>
      <c r="F846" s="3" t="s">
        <v>3311</v>
      </c>
      <c r="G846" s="3" t="s">
        <v>179</v>
      </c>
      <c r="H846" s="3" t="s">
        <v>3312</v>
      </c>
      <c r="I846" s="3" t="s">
        <v>1011</v>
      </c>
      <c r="J846" s="3" t="s">
        <v>207</v>
      </c>
      <c r="K846" s="3" t="s">
        <v>28</v>
      </c>
      <c r="L846" s="3" t="s">
        <v>28</v>
      </c>
      <c r="M846" s="3" t="s">
        <v>27</v>
      </c>
      <c r="N846" s="3" t="s">
        <v>28</v>
      </c>
      <c r="O846" s="3" t="s">
        <v>27</v>
      </c>
      <c r="P846" s="3" t="s">
        <v>28</v>
      </c>
      <c r="Q846" s="3" t="s">
        <v>27</v>
      </c>
      <c r="R846" s="3" t="s">
        <v>28</v>
      </c>
      <c r="S846" s="3" t="s">
        <v>28</v>
      </c>
      <c r="T846" s="3" t="s">
        <v>28</v>
      </c>
    </row>
    <row r="847" spans="1:20" ht="409.6">
      <c r="A847" s="3">
        <v>2742504</v>
      </c>
      <c r="B847" s="3">
        <f>HYPERLINK("https://platform.v2.vetology.net/cases/2742504/screening-report/6?type=pdf&amp;v=v6&amp;scorecard=1&amp;secret_key=BX%25IJ%24%2F65ieZ%29f6", 2742504)</f>
        <v>2742504</v>
      </c>
      <c r="C847" s="3">
        <f>HYPERLINK("https://platform.v2.vetology.net/report/v/final/"&amp;2742504, 2742504)</f>
        <v>2742504</v>
      </c>
      <c r="D847" s="3" t="s">
        <v>3313</v>
      </c>
      <c r="E847" s="3" t="s">
        <v>3314</v>
      </c>
      <c r="F847" s="3" t="s">
        <v>3315</v>
      </c>
      <c r="G847" s="3" t="s">
        <v>64</v>
      </c>
      <c r="H847" s="3" t="s">
        <v>1915</v>
      </c>
      <c r="I847" s="3" t="s">
        <v>1916</v>
      </c>
      <c r="J847" s="3" t="s">
        <v>1917</v>
      </c>
      <c r="K847" s="3" t="s">
        <v>28</v>
      </c>
      <c r="L847" s="3" t="s">
        <v>28</v>
      </c>
      <c r="M847" s="3" t="s">
        <v>28</v>
      </c>
      <c r="N847" s="3" t="s">
        <v>28</v>
      </c>
      <c r="O847" s="3" t="s">
        <v>27</v>
      </c>
      <c r="P847" s="3" t="s">
        <v>28</v>
      </c>
      <c r="Q847" s="3" t="s">
        <v>28</v>
      </c>
      <c r="R847" s="3" t="s">
        <v>28</v>
      </c>
      <c r="S847" s="3" t="s">
        <v>28</v>
      </c>
      <c r="T847" s="3" t="s">
        <v>28</v>
      </c>
    </row>
    <row r="848" spans="1:20" ht="229.5">
      <c r="A848" s="3">
        <v>2742469</v>
      </c>
      <c r="B848" s="3">
        <f>HYPERLINK("https://platform.v2.vetology.net/cases/2742469/screening-report/6?type=pdf&amp;v=v6&amp;scorecard=1&amp;secret_key=BX%25IJ%24%2F65ieZ%29f6", 2742469)</f>
        <v>2742469</v>
      </c>
      <c r="C848" s="3">
        <f>HYPERLINK("https://platform.v2.vetology.net/report/v/final/"&amp;2742469, 2742469)</f>
        <v>2742469</v>
      </c>
      <c r="D848" s="3" t="s">
        <v>3316</v>
      </c>
      <c r="E848" s="3" t="s">
        <v>3317</v>
      </c>
      <c r="F848" s="3" t="s">
        <v>956</v>
      </c>
      <c r="G848" s="3" t="s">
        <v>100</v>
      </c>
      <c r="H848" s="3" t="s">
        <v>31</v>
      </c>
      <c r="I848" s="3" t="s">
        <v>32</v>
      </c>
      <c r="J848" s="3" t="s">
        <v>119</v>
      </c>
      <c r="K848" s="3" t="s">
        <v>28</v>
      </c>
      <c r="L848" s="3" t="s">
        <v>28</v>
      </c>
      <c r="M848" s="3" t="s">
        <v>28</v>
      </c>
      <c r="N848" s="3" t="s">
        <v>28</v>
      </c>
      <c r="O848" s="3" t="s">
        <v>27</v>
      </c>
      <c r="P848" s="3" t="s">
        <v>28</v>
      </c>
      <c r="Q848" s="3" t="s">
        <v>28</v>
      </c>
      <c r="R848" s="3" t="s">
        <v>28</v>
      </c>
      <c r="S848" s="3" t="s">
        <v>28</v>
      </c>
      <c r="T848" s="3" t="s">
        <v>28</v>
      </c>
    </row>
    <row r="849" spans="1:20" ht="275.25">
      <c r="A849" s="3">
        <v>2742452</v>
      </c>
      <c r="B849" s="3">
        <f>HYPERLINK("https://platform.v2.vetology.net/cases/2742452/screening-report/6?type=pdf&amp;v=v6&amp;scorecard=1&amp;secret_key=BX%25IJ%24%2F65ieZ%29f6", 2742452)</f>
        <v>2742452</v>
      </c>
      <c r="C849" s="3">
        <f>HYPERLINK("https://platform.v2.vetology.net/report/v/final/"&amp;2742452, 2742452)</f>
        <v>2742452</v>
      </c>
      <c r="D849" s="3" t="s">
        <v>3318</v>
      </c>
      <c r="E849" s="3" t="s">
        <v>3319</v>
      </c>
      <c r="F849" s="3" t="s">
        <v>22</v>
      </c>
      <c r="G849" s="3" t="s">
        <v>100</v>
      </c>
      <c r="H849" s="3" t="s">
        <v>3320</v>
      </c>
      <c r="I849" s="3" t="s">
        <v>464</v>
      </c>
      <c r="J849" s="3" t="s">
        <v>297</v>
      </c>
      <c r="K849" s="3" t="s">
        <v>28</v>
      </c>
      <c r="L849" s="3" t="s">
        <v>28</v>
      </c>
      <c r="M849" s="3" t="s">
        <v>28</v>
      </c>
      <c r="N849" s="3" t="s">
        <v>28</v>
      </c>
      <c r="O849" s="3" t="s">
        <v>27</v>
      </c>
      <c r="P849" s="3" t="s">
        <v>28</v>
      </c>
      <c r="Q849" s="3" t="s">
        <v>27</v>
      </c>
      <c r="R849" s="3" t="s">
        <v>28</v>
      </c>
      <c r="S849" s="3" t="s">
        <v>28</v>
      </c>
      <c r="T849" s="3" t="s">
        <v>28</v>
      </c>
    </row>
    <row r="850" spans="1:20" ht="409.6">
      <c r="A850" s="3">
        <v>2742449</v>
      </c>
      <c r="B850" s="3">
        <f>HYPERLINK("https://platform.v2.vetology.net/cases/2742449/screening-report/6?type=pdf&amp;v=v6&amp;scorecard=1&amp;secret_key=BX%25IJ%24%2F65ieZ%29f6", 2742449)</f>
        <v>2742449</v>
      </c>
      <c r="C850" s="3">
        <f>HYPERLINK("https://platform.v2.vetology.net/report/v/final/"&amp;2742449, 2742449)</f>
        <v>2742449</v>
      </c>
      <c r="D850" s="3" t="s">
        <v>3321</v>
      </c>
      <c r="E850" s="3" t="s">
        <v>3322</v>
      </c>
      <c r="F850" s="3" t="s">
        <v>3000</v>
      </c>
      <c r="G850" s="3" t="s">
        <v>64</v>
      </c>
      <c r="H850" s="3" t="s">
        <v>3323</v>
      </c>
      <c r="I850" s="3" t="s">
        <v>659</v>
      </c>
      <c r="J850" s="3" t="s">
        <v>660</v>
      </c>
      <c r="K850" s="3" t="s">
        <v>28</v>
      </c>
      <c r="L850" s="3" t="s">
        <v>28</v>
      </c>
      <c r="M850" s="3" t="s">
        <v>28</v>
      </c>
      <c r="N850" s="3" t="s">
        <v>28</v>
      </c>
      <c r="O850" s="3" t="s">
        <v>27</v>
      </c>
      <c r="P850" s="3" t="s">
        <v>28</v>
      </c>
      <c r="Q850" s="3" t="s">
        <v>28</v>
      </c>
      <c r="R850" s="3" t="s">
        <v>28</v>
      </c>
      <c r="S850" s="3" t="s">
        <v>28</v>
      </c>
      <c r="T850" s="3" t="s">
        <v>28</v>
      </c>
    </row>
    <row r="851" spans="1:20" ht="409.6">
      <c r="A851" s="3">
        <v>2742417</v>
      </c>
      <c r="B851" s="3">
        <f>HYPERLINK("https://platform.v2.vetology.net/cases/2742417/screening-report/6?type=pdf&amp;v=v6&amp;scorecard=1&amp;secret_key=BX%25IJ%24%2F65ieZ%29f6", 2742417)</f>
        <v>2742417</v>
      </c>
      <c r="C851" s="3">
        <f>HYPERLINK("https://platform.v2.vetology.net/report/v/final/"&amp;2742417, 2742417)</f>
        <v>2742417</v>
      </c>
      <c r="D851" s="3" t="s">
        <v>3324</v>
      </c>
      <c r="E851" s="3" t="s">
        <v>3325</v>
      </c>
      <c r="F851" s="3" t="s">
        <v>3326</v>
      </c>
      <c r="G851" s="3" t="s">
        <v>64</v>
      </c>
      <c r="H851" s="3" t="s">
        <v>1158</v>
      </c>
      <c r="I851" s="3" t="s">
        <v>32</v>
      </c>
      <c r="J851" s="3" t="s">
        <v>33</v>
      </c>
      <c r="K851" s="3" t="s">
        <v>28</v>
      </c>
      <c r="L851" s="3" t="s">
        <v>28</v>
      </c>
      <c r="M851" s="3" t="s">
        <v>28</v>
      </c>
      <c r="N851" s="3" t="s">
        <v>28</v>
      </c>
      <c r="O851" s="3" t="s">
        <v>27</v>
      </c>
      <c r="P851" s="3" t="s">
        <v>28</v>
      </c>
      <c r="Q851" s="3" t="s">
        <v>28</v>
      </c>
      <c r="R851" s="3" t="s">
        <v>28</v>
      </c>
      <c r="S851" s="3" t="s">
        <v>28</v>
      </c>
      <c r="T851" s="3" t="s">
        <v>28</v>
      </c>
    </row>
    <row r="852" spans="1:20" ht="305.25">
      <c r="A852" s="3">
        <v>2742401</v>
      </c>
      <c r="B852" s="3">
        <f>HYPERLINK("https://platform.v2.vetology.net/cases/2742401/screening-report/6?type=pdf&amp;v=v6&amp;scorecard=1&amp;secret_key=BX%25IJ%24%2F65ieZ%29f6", 2742401)</f>
        <v>2742401</v>
      </c>
      <c r="C852" s="3">
        <f>HYPERLINK("https://platform.v2.vetology.net/report/v/final/"&amp;2742401, 2742401)</f>
        <v>2742401</v>
      </c>
      <c r="D852" s="3" t="s">
        <v>3327</v>
      </c>
      <c r="E852" s="3" t="s">
        <v>3328</v>
      </c>
      <c r="F852" s="3" t="s">
        <v>3329</v>
      </c>
      <c r="G852" s="3" t="s">
        <v>496</v>
      </c>
      <c r="H852" s="3" t="s">
        <v>3330</v>
      </c>
      <c r="I852" s="3" t="s">
        <v>1373</v>
      </c>
      <c r="J852" s="3" t="s">
        <v>33</v>
      </c>
      <c r="K852" s="3" t="s">
        <v>27</v>
      </c>
      <c r="L852" s="3" t="s">
        <v>28</v>
      </c>
      <c r="M852" s="3" t="s">
        <v>28</v>
      </c>
      <c r="N852" s="3" t="s">
        <v>28</v>
      </c>
      <c r="O852" s="3" t="s">
        <v>27</v>
      </c>
      <c r="P852" s="3" t="s">
        <v>27</v>
      </c>
      <c r="Q852" s="3" t="s">
        <v>27</v>
      </c>
      <c r="R852" s="3" t="s">
        <v>28</v>
      </c>
      <c r="S852" s="3" t="s">
        <v>28</v>
      </c>
      <c r="T852" s="3" t="s">
        <v>27</v>
      </c>
    </row>
    <row r="853" spans="1:20" ht="290.25">
      <c r="A853" s="3">
        <v>2742387</v>
      </c>
      <c r="B853" s="3">
        <f>HYPERLINK("https://platform.v2.vetology.net/cases/2742387/screening-report/6?type=pdf&amp;v=v6&amp;scorecard=1&amp;secret_key=BX%25IJ%24%2F65ieZ%29f6", 2742387)</f>
        <v>2742387</v>
      </c>
      <c r="C853" s="3">
        <f>HYPERLINK("https://platform.v2.vetology.net/report/v/final/"&amp;2742387, 2742387)</f>
        <v>2742387</v>
      </c>
      <c r="D853" s="3" t="s">
        <v>3331</v>
      </c>
      <c r="E853" s="3" t="s">
        <v>3332</v>
      </c>
      <c r="F853" s="3" t="s">
        <v>3333</v>
      </c>
      <c r="G853" s="3" t="s">
        <v>186</v>
      </c>
      <c r="H853" s="3" t="s">
        <v>1768</v>
      </c>
      <c r="I853" s="3" t="s">
        <v>316</v>
      </c>
      <c r="J853" s="3" t="s">
        <v>317</v>
      </c>
      <c r="K853" s="3" t="s">
        <v>28</v>
      </c>
      <c r="L853" s="3" t="s">
        <v>28</v>
      </c>
      <c r="M853" s="3" t="s">
        <v>28</v>
      </c>
      <c r="N853" s="3" t="s">
        <v>28</v>
      </c>
      <c r="O853" s="3" t="s">
        <v>27</v>
      </c>
      <c r="P853" s="3" t="s">
        <v>28</v>
      </c>
      <c r="Q853" s="3" t="s">
        <v>28</v>
      </c>
      <c r="R853" s="3" t="s">
        <v>28</v>
      </c>
      <c r="S853" s="3" t="s">
        <v>28</v>
      </c>
      <c r="T853" s="3" t="s">
        <v>28</v>
      </c>
    </row>
    <row r="854" spans="1:20" ht="351">
      <c r="A854" s="3">
        <v>2742378</v>
      </c>
      <c r="B854" s="3">
        <f>HYPERLINK("https://platform.v2.vetology.net/cases/2742378/screening-report/6?type=pdf&amp;v=v6&amp;scorecard=1&amp;secret_key=BX%25IJ%24%2F65ieZ%29f6", 2742378)</f>
        <v>2742378</v>
      </c>
      <c r="C854" s="3">
        <f>HYPERLINK("https://platform.v2.vetology.net/report/v/final/"&amp;2742378, 2742378)</f>
        <v>2742378</v>
      </c>
      <c r="D854" s="3" t="s">
        <v>3334</v>
      </c>
      <c r="E854" s="3" t="s">
        <v>1362</v>
      </c>
      <c r="F854" s="3" t="s">
        <v>3335</v>
      </c>
      <c r="G854" s="3" t="s">
        <v>211</v>
      </c>
      <c r="H854" s="3" t="s">
        <v>1869</v>
      </c>
      <c r="I854" s="3" t="s">
        <v>626</v>
      </c>
      <c r="J854" s="3" t="s">
        <v>627</v>
      </c>
      <c r="K854" s="3" t="s">
        <v>28</v>
      </c>
      <c r="L854" s="3" t="s">
        <v>28</v>
      </c>
      <c r="M854" s="3" t="s">
        <v>28</v>
      </c>
      <c r="N854" s="3" t="s">
        <v>28</v>
      </c>
      <c r="O854" s="3" t="s">
        <v>27</v>
      </c>
      <c r="P854" s="3" t="s">
        <v>28</v>
      </c>
      <c r="Q854" s="3" t="s">
        <v>27</v>
      </c>
      <c r="R854" s="3" t="s">
        <v>28</v>
      </c>
      <c r="S854" s="3" t="s">
        <v>28</v>
      </c>
      <c r="T854" s="3" t="s">
        <v>28</v>
      </c>
    </row>
    <row r="855" spans="1:20" ht="409.6">
      <c r="A855" s="3">
        <v>2742373</v>
      </c>
      <c r="B855" s="3">
        <f>HYPERLINK("https://platform.v2.vetology.net/cases/2742373/screening-report/6?type=pdf&amp;v=v6&amp;scorecard=1&amp;secret_key=BX%25IJ%24%2F65ieZ%29f6", 2742373)</f>
        <v>2742373</v>
      </c>
      <c r="C855" s="3">
        <f>HYPERLINK("https://platform.v2.vetology.net/report/v/final/"&amp;2742373, 2742373)</f>
        <v>2742373</v>
      </c>
      <c r="D855" s="3" t="s">
        <v>3336</v>
      </c>
      <c r="E855" s="3" t="s">
        <v>3337</v>
      </c>
      <c r="F855" s="3" t="s">
        <v>3338</v>
      </c>
      <c r="G855" s="3" t="s">
        <v>179</v>
      </c>
      <c r="H855" s="3" t="s">
        <v>3339</v>
      </c>
      <c r="I855" s="3" t="s">
        <v>1020</v>
      </c>
      <c r="J855" s="3" t="s">
        <v>1021</v>
      </c>
      <c r="K855" s="3" t="s">
        <v>27</v>
      </c>
      <c r="L855" s="3" t="s">
        <v>28</v>
      </c>
      <c r="M855" s="3" t="s">
        <v>27</v>
      </c>
      <c r="N855" s="3" t="s">
        <v>28</v>
      </c>
      <c r="O855" s="3" t="s">
        <v>27</v>
      </c>
      <c r="P855" s="3" t="s">
        <v>28</v>
      </c>
      <c r="Q855" s="3" t="s">
        <v>27</v>
      </c>
      <c r="R855" s="3" t="s">
        <v>28</v>
      </c>
      <c r="S855" s="3" t="s">
        <v>28</v>
      </c>
      <c r="T855" s="3" t="s">
        <v>28</v>
      </c>
    </row>
    <row r="856" spans="1:20" ht="321">
      <c r="A856" s="3">
        <v>2742341</v>
      </c>
      <c r="B856" s="3">
        <f>HYPERLINK("https://platform.v2.vetology.net/cases/2742341/screening-report/6?type=pdf&amp;v=v6&amp;scorecard=1&amp;secret_key=BX%25IJ%24%2F65ieZ%29f6", 2742341)</f>
        <v>2742341</v>
      </c>
      <c r="C856" s="3">
        <f>HYPERLINK("https://platform.v2.vetology.net/report/v/final/"&amp;2742341, 2742341)</f>
        <v>2742341</v>
      </c>
      <c r="D856" s="3" t="s">
        <v>3340</v>
      </c>
      <c r="E856" s="3" t="s">
        <v>3341</v>
      </c>
      <c r="F856" s="3" t="s">
        <v>3342</v>
      </c>
      <c r="G856" s="3" t="s">
        <v>179</v>
      </c>
      <c r="H856" s="3" t="s">
        <v>3343</v>
      </c>
      <c r="I856" s="3" t="s">
        <v>136</v>
      </c>
      <c r="J856" s="3" t="s">
        <v>137</v>
      </c>
      <c r="K856" s="3" t="s">
        <v>27</v>
      </c>
      <c r="L856" s="3" t="s">
        <v>28</v>
      </c>
      <c r="M856" s="3" t="s">
        <v>28</v>
      </c>
      <c r="N856" s="3" t="s">
        <v>28</v>
      </c>
      <c r="O856" s="3" t="s">
        <v>27</v>
      </c>
      <c r="P856" s="3" t="s">
        <v>28</v>
      </c>
      <c r="Q856" s="3" t="s">
        <v>28</v>
      </c>
      <c r="R856" s="3" t="s">
        <v>28</v>
      </c>
      <c r="S856" s="3" t="s">
        <v>28</v>
      </c>
      <c r="T856" s="3" t="s">
        <v>27</v>
      </c>
    </row>
    <row r="857" spans="1:20" ht="409.6">
      <c r="A857" s="3">
        <v>2742325</v>
      </c>
      <c r="B857" s="3">
        <f>HYPERLINK("https://platform.v2.vetology.net/cases/2742325/screening-report/6?type=pdf&amp;v=v6&amp;scorecard=1&amp;secret_key=BX%25IJ%24%2F65ieZ%29f6", 2742325)</f>
        <v>2742325</v>
      </c>
      <c r="C857" s="3">
        <f>HYPERLINK("https://platform.v2.vetology.net/report/v/final/"&amp;2742325, 2742325)</f>
        <v>2742325</v>
      </c>
      <c r="D857" s="3" t="s">
        <v>3344</v>
      </c>
      <c r="E857" s="3" t="s">
        <v>3345</v>
      </c>
      <c r="F857" s="3" t="s">
        <v>3346</v>
      </c>
      <c r="G857" s="3" t="s">
        <v>64</v>
      </c>
      <c r="H857" s="3" t="s">
        <v>595</v>
      </c>
      <c r="I857" s="3" t="s">
        <v>596</v>
      </c>
      <c r="J857" s="3" t="s">
        <v>597</v>
      </c>
      <c r="K857" s="3" t="s">
        <v>28</v>
      </c>
      <c r="L857" s="3" t="s">
        <v>27</v>
      </c>
      <c r="M857" s="3" t="s">
        <v>28</v>
      </c>
      <c r="N857" s="3" t="s">
        <v>27</v>
      </c>
      <c r="O857" s="3" t="s">
        <v>27</v>
      </c>
      <c r="P857" s="3" t="s">
        <v>28</v>
      </c>
      <c r="Q857" s="3" t="s">
        <v>28</v>
      </c>
      <c r="R857" s="3" t="s">
        <v>27</v>
      </c>
      <c r="S857" s="3" t="s">
        <v>28</v>
      </c>
      <c r="T857" s="3" t="s">
        <v>27</v>
      </c>
    </row>
    <row r="858" spans="1:20" ht="229.5">
      <c r="A858" s="3">
        <v>2742290</v>
      </c>
      <c r="B858" s="3">
        <f>HYPERLINK("https://platform.v2.vetology.net/cases/2742290/screening-report/6?type=pdf&amp;v=v6&amp;scorecard=1&amp;secret_key=BX%25IJ%24%2F65ieZ%29f6", 2742290)</f>
        <v>2742290</v>
      </c>
      <c r="C858" s="3">
        <f>HYPERLINK("https://platform.v2.vetology.net/report/v/final/"&amp;2742290, 2742290)</f>
        <v>2742290</v>
      </c>
      <c r="D858" s="3" t="s">
        <v>3347</v>
      </c>
      <c r="E858" s="3" t="s">
        <v>3348</v>
      </c>
      <c r="F858" s="3" t="s">
        <v>3349</v>
      </c>
      <c r="G858" s="3" t="s">
        <v>186</v>
      </c>
      <c r="H858" s="3" t="s">
        <v>2341</v>
      </c>
      <c r="I858" s="3" t="s">
        <v>2342</v>
      </c>
      <c r="J858" s="3" t="s">
        <v>2343</v>
      </c>
      <c r="K858" s="3" t="s">
        <v>28</v>
      </c>
      <c r="L858" s="3" t="s">
        <v>27</v>
      </c>
      <c r="M858" s="3" t="s">
        <v>28</v>
      </c>
      <c r="N858" s="3" t="s">
        <v>27</v>
      </c>
      <c r="O858" s="3" t="s">
        <v>27</v>
      </c>
      <c r="P858" s="3" t="s">
        <v>28</v>
      </c>
      <c r="Q858" s="3" t="s">
        <v>27</v>
      </c>
      <c r="R858" s="3" t="s">
        <v>28</v>
      </c>
      <c r="S858" s="3" t="s">
        <v>27</v>
      </c>
      <c r="T858" s="3" t="s">
        <v>27</v>
      </c>
    </row>
    <row r="859" spans="1:20" ht="244.5">
      <c r="A859" s="3">
        <v>2742274</v>
      </c>
      <c r="B859" s="3">
        <f>HYPERLINK("https://platform.v2.vetology.net/cases/2742274/screening-report/6?type=pdf&amp;v=v6&amp;scorecard=1&amp;secret_key=BX%25IJ%24%2F65ieZ%29f6", 2742274)</f>
        <v>2742274</v>
      </c>
      <c r="C859" s="3">
        <f>HYPERLINK("https://platform.v2.vetology.net/report/v/final/"&amp;2742274, 2742274)</f>
        <v>2742274</v>
      </c>
      <c r="D859" s="3" t="s">
        <v>3350</v>
      </c>
      <c r="E859" s="3" t="s">
        <v>3351</v>
      </c>
      <c r="F859" s="3" t="s">
        <v>1278</v>
      </c>
      <c r="G859" s="3" t="s">
        <v>100</v>
      </c>
      <c r="H859" s="3" t="s">
        <v>2808</v>
      </c>
      <c r="I859" s="3" t="s">
        <v>136</v>
      </c>
      <c r="J859" s="3" t="s">
        <v>137</v>
      </c>
      <c r="K859" s="3" t="s">
        <v>28</v>
      </c>
      <c r="L859" s="3" t="s">
        <v>28</v>
      </c>
      <c r="M859" s="3" t="s">
        <v>28</v>
      </c>
      <c r="N859" s="3" t="s">
        <v>28</v>
      </c>
      <c r="O859" s="3" t="s">
        <v>27</v>
      </c>
      <c r="P859" s="3" t="s">
        <v>28</v>
      </c>
      <c r="Q859" s="3" t="s">
        <v>27</v>
      </c>
      <c r="R859" s="3" t="s">
        <v>28</v>
      </c>
      <c r="S859" s="3" t="s">
        <v>27</v>
      </c>
      <c r="T859" s="3" t="s">
        <v>27</v>
      </c>
    </row>
    <row r="860" spans="1:20" ht="244.5">
      <c r="A860" s="3">
        <v>2742269</v>
      </c>
      <c r="B860" s="3">
        <f>HYPERLINK("https://platform.v2.vetology.net/cases/2742269/screening-report/6?type=pdf&amp;v=v6&amp;scorecard=1&amp;secret_key=BX%25IJ%24%2F65ieZ%29f6", 2742269)</f>
        <v>2742269</v>
      </c>
      <c r="C860" s="3">
        <f>HYPERLINK("https://platform.v2.vetology.net/report/v/final/"&amp;2742269, 2742269)</f>
        <v>2742269</v>
      </c>
      <c r="D860" s="3" t="s">
        <v>3352</v>
      </c>
      <c r="E860" s="3" t="s">
        <v>3353</v>
      </c>
      <c r="F860" s="3" t="s">
        <v>22</v>
      </c>
      <c r="G860" s="3" t="s">
        <v>100</v>
      </c>
      <c r="H860" s="3" t="s">
        <v>908</v>
      </c>
      <c r="I860" s="3" t="s">
        <v>32</v>
      </c>
      <c r="J860" s="3" t="s">
        <v>119</v>
      </c>
      <c r="K860" s="3" t="s">
        <v>28</v>
      </c>
      <c r="L860" s="3" t="s">
        <v>28</v>
      </c>
      <c r="M860" s="3" t="s">
        <v>28</v>
      </c>
      <c r="N860" s="3" t="s">
        <v>28</v>
      </c>
      <c r="O860" s="3" t="s">
        <v>27</v>
      </c>
      <c r="P860" s="3" t="s">
        <v>28</v>
      </c>
      <c r="Q860" s="3" t="s">
        <v>28</v>
      </c>
      <c r="R860" s="3" t="s">
        <v>28</v>
      </c>
      <c r="S860" s="3" t="s">
        <v>28</v>
      </c>
      <c r="T860" s="3" t="s">
        <v>28</v>
      </c>
    </row>
    <row r="861" spans="1:20" ht="305.25">
      <c r="A861" s="3">
        <v>2742190</v>
      </c>
      <c r="B861" s="3">
        <f>HYPERLINK("https://platform.v2.vetology.net/cases/2742190/screening-report/6?type=pdf&amp;v=v6&amp;scorecard=1&amp;secret_key=BX%25IJ%24%2F65ieZ%29f6", 2742190)</f>
        <v>2742190</v>
      </c>
      <c r="C861" s="3">
        <f>HYPERLINK("https://platform.v2.vetology.net/report/v/final/"&amp;2742190, 2742190)</f>
        <v>2742190</v>
      </c>
      <c r="D861" s="3" t="s">
        <v>3354</v>
      </c>
      <c r="E861" s="3" t="s">
        <v>3355</v>
      </c>
      <c r="F861" s="3" t="s">
        <v>3356</v>
      </c>
      <c r="G861" s="3" t="s">
        <v>186</v>
      </c>
      <c r="H861" s="3" t="s">
        <v>3357</v>
      </c>
      <c r="I861" s="3" t="s">
        <v>1082</v>
      </c>
      <c r="J861" s="3" t="s">
        <v>1083</v>
      </c>
      <c r="K861" s="3" t="s">
        <v>28</v>
      </c>
      <c r="L861" s="3" t="s">
        <v>28</v>
      </c>
      <c r="M861" s="3" t="s">
        <v>28</v>
      </c>
      <c r="N861" s="3" t="s">
        <v>28</v>
      </c>
      <c r="O861" s="3" t="s">
        <v>27</v>
      </c>
      <c r="P861" s="3" t="s">
        <v>28</v>
      </c>
      <c r="Q861" s="3" t="s">
        <v>28</v>
      </c>
      <c r="R861" s="3" t="s">
        <v>28</v>
      </c>
      <c r="S861" s="3" t="s">
        <v>28</v>
      </c>
      <c r="T861" s="3" t="s">
        <v>27</v>
      </c>
    </row>
    <row r="862" spans="1:20" ht="409.6">
      <c r="A862" s="3">
        <v>2742148</v>
      </c>
      <c r="B862" s="3">
        <f>HYPERLINK("https://platform.v2.vetology.net/cases/2742148/screening-report/6?type=pdf&amp;v=v6&amp;scorecard=1&amp;secret_key=BX%25IJ%24%2F65ieZ%29f6", 2742148)</f>
        <v>2742148</v>
      </c>
      <c r="C862" s="3">
        <f>HYPERLINK("https://platform.v2.vetology.net/report/v/final/"&amp;2742148, 2742148)</f>
        <v>2742148</v>
      </c>
      <c r="D862" s="3" t="s">
        <v>3358</v>
      </c>
      <c r="E862" s="3" t="s">
        <v>3359</v>
      </c>
      <c r="F862" s="3" t="s">
        <v>3360</v>
      </c>
      <c r="G862" s="3" t="s">
        <v>64</v>
      </c>
      <c r="H862" s="3" t="s">
        <v>3361</v>
      </c>
      <c r="I862" s="3" t="s">
        <v>2011</v>
      </c>
      <c r="J862" s="3" t="s">
        <v>225</v>
      </c>
      <c r="K862" s="3" t="s">
        <v>28</v>
      </c>
      <c r="L862" s="3" t="s">
        <v>27</v>
      </c>
      <c r="M862" s="3" t="s">
        <v>28</v>
      </c>
      <c r="N862" s="3" t="s">
        <v>27</v>
      </c>
      <c r="O862" s="3" t="s">
        <v>27</v>
      </c>
      <c r="P862" s="3" t="s">
        <v>28</v>
      </c>
      <c r="Q862" s="3" t="s">
        <v>28</v>
      </c>
      <c r="R862" s="3" t="s">
        <v>27</v>
      </c>
      <c r="S862" s="3" t="s">
        <v>27</v>
      </c>
      <c r="T862" s="3" t="s">
        <v>27</v>
      </c>
    </row>
    <row r="863" spans="1:20" ht="336">
      <c r="A863" s="3">
        <v>2742127</v>
      </c>
      <c r="B863" s="3">
        <f>HYPERLINK("https://platform.v2.vetology.net/cases/2742127/screening-report/6?type=pdf&amp;v=v6&amp;scorecard=1&amp;secret_key=BX%25IJ%24%2F65ieZ%29f6", 2742127)</f>
        <v>2742127</v>
      </c>
      <c r="C863" s="3">
        <f>HYPERLINK("https://platform.v2.vetology.net/report/v/final/"&amp;2742127, 2742127)</f>
        <v>2742127</v>
      </c>
      <c r="D863" s="3" t="s">
        <v>3362</v>
      </c>
      <c r="E863" s="3" t="s">
        <v>3363</v>
      </c>
      <c r="F863" s="3" t="s">
        <v>1762</v>
      </c>
      <c r="G863" s="3" t="s">
        <v>100</v>
      </c>
      <c r="H863" s="3" t="s">
        <v>41</v>
      </c>
      <c r="I863" s="3" t="s">
        <v>3364</v>
      </c>
      <c r="J863" s="3" t="s">
        <v>3365</v>
      </c>
      <c r="K863" s="3" t="s">
        <v>28</v>
      </c>
      <c r="L863" s="3" t="s">
        <v>27</v>
      </c>
      <c r="M863" s="3" t="s">
        <v>28</v>
      </c>
      <c r="N863" s="3" t="s">
        <v>27</v>
      </c>
      <c r="O863" s="3" t="s">
        <v>27</v>
      </c>
      <c r="P863" s="3" t="s">
        <v>28</v>
      </c>
      <c r="Q863" s="3" t="s">
        <v>28</v>
      </c>
      <c r="R863" s="3" t="s">
        <v>28</v>
      </c>
      <c r="S863" s="3" t="s">
        <v>28</v>
      </c>
      <c r="T863" s="3" t="s">
        <v>28</v>
      </c>
    </row>
    <row r="864" spans="1:20" ht="290.25">
      <c r="A864" s="3">
        <v>2742106</v>
      </c>
      <c r="B864" s="3">
        <f>HYPERLINK("https://platform.v2.vetology.net/cases/2742106/screening-report/6?type=pdf&amp;v=v6&amp;scorecard=1&amp;secret_key=BX%25IJ%24%2F65ieZ%29f6", 2742106)</f>
        <v>2742106</v>
      </c>
      <c r="C864" s="3">
        <f>HYPERLINK("https://platform.v2.vetology.net/report/v/final/"&amp;2742106, 2742106)</f>
        <v>2742106</v>
      </c>
      <c r="D864" s="3" t="s">
        <v>3366</v>
      </c>
      <c r="E864" s="3" t="s">
        <v>3367</v>
      </c>
      <c r="F864" s="3" t="s">
        <v>1717</v>
      </c>
      <c r="G864" s="3" t="s">
        <v>186</v>
      </c>
      <c r="H864" s="3" t="s">
        <v>3368</v>
      </c>
      <c r="I864" s="3" t="s">
        <v>3369</v>
      </c>
      <c r="J864" s="3" t="s">
        <v>207</v>
      </c>
      <c r="K864" s="3" t="s">
        <v>28</v>
      </c>
      <c r="L864" s="3" t="s">
        <v>28</v>
      </c>
      <c r="M864" s="3" t="s">
        <v>28</v>
      </c>
      <c r="N864" s="3" t="s">
        <v>28</v>
      </c>
      <c r="O864" s="3" t="s">
        <v>28</v>
      </c>
      <c r="P864" s="3" t="s">
        <v>28</v>
      </c>
      <c r="Q864" s="3" t="s">
        <v>28</v>
      </c>
      <c r="R864" s="3" t="s">
        <v>28</v>
      </c>
      <c r="S864" s="3" t="s">
        <v>28</v>
      </c>
      <c r="T864" s="3" t="s">
        <v>27</v>
      </c>
    </row>
    <row r="865" spans="1:20" ht="366">
      <c r="A865" s="3">
        <v>2742105</v>
      </c>
      <c r="B865" s="3">
        <f>HYPERLINK("https://platform.v2.vetology.net/cases/2742105/screening-report/6?type=pdf&amp;v=v6&amp;scorecard=1&amp;secret_key=BX%25IJ%24%2F65ieZ%29f6", 2742105)</f>
        <v>2742105</v>
      </c>
      <c r="C865" s="3">
        <f>HYPERLINK("https://platform.v2.vetology.net/report/v/final/"&amp;2742105, 2742105)</f>
        <v>2742105</v>
      </c>
      <c r="D865" s="3" t="s">
        <v>3370</v>
      </c>
      <c r="E865" s="3" t="s">
        <v>2671</v>
      </c>
      <c r="F865" s="3" t="s">
        <v>3371</v>
      </c>
      <c r="G865" s="3" t="s">
        <v>211</v>
      </c>
      <c r="H865" s="3" t="s">
        <v>3372</v>
      </c>
      <c r="I865" s="3" t="s">
        <v>3373</v>
      </c>
      <c r="J865" s="3" t="s">
        <v>3374</v>
      </c>
      <c r="K865" s="3" t="s">
        <v>28</v>
      </c>
      <c r="L865" s="3" t="s">
        <v>28</v>
      </c>
      <c r="M865" s="3" t="s">
        <v>28</v>
      </c>
      <c r="N865" s="3" t="s">
        <v>28</v>
      </c>
      <c r="O865" s="3" t="s">
        <v>27</v>
      </c>
      <c r="P865" s="3" t="s">
        <v>28</v>
      </c>
      <c r="Q865" s="3" t="s">
        <v>28</v>
      </c>
      <c r="R865" s="3" t="s">
        <v>28</v>
      </c>
      <c r="S865" s="3" t="s">
        <v>27</v>
      </c>
      <c r="T865" s="3" t="s">
        <v>28</v>
      </c>
    </row>
    <row r="866" spans="1:20" ht="213">
      <c r="A866" s="3">
        <v>2742093</v>
      </c>
      <c r="B866" s="3">
        <f>HYPERLINK("https://platform.v2.vetology.net/cases/2742093/screening-report/6?type=pdf&amp;v=v6&amp;scorecard=1&amp;secret_key=BX%25IJ%24%2F65ieZ%29f6", 2742093)</f>
        <v>2742093</v>
      </c>
      <c r="C866" s="3">
        <f>HYPERLINK("https://platform.v2.vetology.net/report/v/final/"&amp;2742093, 2742093)</f>
        <v>2742093</v>
      </c>
      <c r="D866" s="3" t="s">
        <v>3375</v>
      </c>
      <c r="E866" s="3" t="s">
        <v>1023</v>
      </c>
      <c r="F866" s="3" t="s">
        <v>3376</v>
      </c>
      <c r="G866" s="3" t="s">
        <v>179</v>
      </c>
      <c r="H866" s="3" t="s">
        <v>745</v>
      </c>
      <c r="I866" s="3" t="s">
        <v>746</v>
      </c>
      <c r="J866" s="3" t="s">
        <v>207</v>
      </c>
      <c r="K866" s="3" t="s">
        <v>28</v>
      </c>
      <c r="L866" s="3" t="s">
        <v>28</v>
      </c>
      <c r="M866" s="3" t="s">
        <v>28</v>
      </c>
      <c r="N866" s="3" t="s">
        <v>28</v>
      </c>
      <c r="O866" s="3" t="s">
        <v>27</v>
      </c>
      <c r="P866" s="3" t="s">
        <v>28</v>
      </c>
      <c r="Q866" s="3" t="s">
        <v>28</v>
      </c>
      <c r="R866" s="3" t="s">
        <v>28</v>
      </c>
      <c r="S866" s="3" t="s">
        <v>27</v>
      </c>
      <c r="T866" s="3" t="s">
        <v>27</v>
      </c>
    </row>
    <row r="867" spans="1:20" ht="396.75">
      <c r="A867" s="3">
        <v>2742078</v>
      </c>
      <c r="B867" s="3">
        <f>HYPERLINK("https://platform.v2.vetology.net/cases/2742078/screening-report/6?type=pdf&amp;v=v6&amp;scorecard=1&amp;secret_key=BX%25IJ%24%2F65ieZ%29f6", 2742078)</f>
        <v>2742078</v>
      </c>
      <c r="C867" s="3">
        <f>HYPERLINK("https://platform.v2.vetology.net/report/v/final/"&amp;2742078, 2742078)</f>
        <v>2742078</v>
      </c>
      <c r="D867" s="3" t="s">
        <v>3377</v>
      </c>
      <c r="E867" s="3" t="s">
        <v>3378</v>
      </c>
      <c r="F867" s="3" t="s">
        <v>3379</v>
      </c>
      <c r="G867" s="3" t="s">
        <v>496</v>
      </c>
      <c r="H867" s="3" t="s">
        <v>419</v>
      </c>
      <c r="I867" s="3" t="s">
        <v>316</v>
      </c>
      <c r="J867" s="3" t="s">
        <v>317</v>
      </c>
      <c r="K867" s="3" t="s">
        <v>28</v>
      </c>
      <c r="L867" s="3" t="s">
        <v>28</v>
      </c>
      <c r="M867" s="3" t="s">
        <v>28</v>
      </c>
      <c r="N867" s="3" t="s">
        <v>28</v>
      </c>
      <c r="O867" s="3" t="s">
        <v>27</v>
      </c>
      <c r="P867" s="3" t="s">
        <v>28</v>
      </c>
      <c r="Q867" s="3" t="s">
        <v>28</v>
      </c>
      <c r="R867" s="3" t="s">
        <v>28</v>
      </c>
      <c r="S867" s="3" t="s">
        <v>28</v>
      </c>
      <c r="T867" s="3" t="s">
        <v>28</v>
      </c>
    </row>
    <row r="868" spans="1:20" ht="409.6">
      <c r="A868" s="3">
        <v>2742051</v>
      </c>
      <c r="B868" s="3">
        <f>HYPERLINK("https://platform.v2.vetology.net/cases/2742051/screening-report/6?type=pdf&amp;v=v6&amp;scorecard=1&amp;secret_key=BX%25IJ%24%2F65ieZ%29f6", 2742051)</f>
        <v>2742051</v>
      </c>
      <c r="C868" s="3">
        <f>HYPERLINK("https://platform.v2.vetology.net/report/v/final/"&amp;2742051, 2742051)</f>
        <v>2742051</v>
      </c>
      <c r="D868" s="3" t="s">
        <v>3380</v>
      </c>
      <c r="E868" s="3" t="s">
        <v>3381</v>
      </c>
      <c r="F868" s="3" t="s">
        <v>3382</v>
      </c>
      <c r="G868" s="3" t="s">
        <v>186</v>
      </c>
      <c r="H868" s="3" t="s">
        <v>284</v>
      </c>
      <c r="I868" s="3" t="s">
        <v>285</v>
      </c>
      <c r="J868" s="3" t="s">
        <v>286</v>
      </c>
      <c r="K868" s="3" t="s">
        <v>27</v>
      </c>
      <c r="L868" s="3" t="s">
        <v>28</v>
      </c>
      <c r="M868" s="3" t="s">
        <v>28</v>
      </c>
      <c r="N868" s="3" t="s">
        <v>28</v>
      </c>
      <c r="O868" s="3" t="s">
        <v>27</v>
      </c>
      <c r="P868" s="3" t="s">
        <v>28</v>
      </c>
      <c r="Q868" s="3" t="s">
        <v>28</v>
      </c>
      <c r="R868" s="3" t="s">
        <v>28</v>
      </c>
      <c r="S868" s="3" t="s">
        <v>27</v>
      </c>
      <c r="T868" s="3" t="s">
        <v>28</v>
      </c>
    </row>
    <row r="869" spans="1:20" ht="351">
      <c r="A869" s="3">
        <v>2741901</v>
      </c>
      <c r="B869" s="3">
        <f>HYPERLINK("https://platform.v2.vetology.net/cases/2741901/screening-report/6?type=pdf&amp;v=v6&amp;scorecard=1&amp;secret_key=BX%25IJ%24%2F65ieZ%29f6", 2741901)</f>
        <v>2741901</v>
      </c>
      <c r="C869" s="3">
        <f>HYPERLINK("https://platform.v2.vetology.net/report/v/final/"&amp;2741901, 2741901)</f>
        <v>2741901</v>
      </c>
      <c r="D869" s="3" t="s">
        <v>3383</v>
      </c>
      <c r="E869" s="3" t="s">
        <v>3384</v>
      </c>
      <c r="F869" s="3" t="s">
        <v>3385</v>
      </c>
      <c r="G869" s="3" t="s">
        <v>64</v>
      </c>
      <c r="H869" s="3" t="s">
        <v>3386</v>
      </c>
      <c r="I869" s="3" t="s">
        <v>2777</v>
      </c>
      <c r="J869" s="3" t="s">
        <v>2778</v>
      </c>
      <c r="K869" s="3" t="s">
        <v>28</v>
      </c>
      <c r="L869" s="3" t="s">
        <v>27</v>
      </c>
      <c r="M869" s="3" t="s">
        <v>28</v>
      </c>
      <c r="N869" s="3" t="s">
        <v>27</v>
      </c>
      <c r="O869" s="3" t="s">
        <v>27</v>
      </c>
      <c r="P869" s="3" t="s">
        <v>28</v>
      </c>
      <c r="Q869" s="3" t="s">
        <v>28</v>
      </c>
      <c r="R869" s="3" t="s">
        <v>27</v>
      </c>
      <c r="S869" s="3" t="s">
        <v>27</v>
      </c>
      <c r="T869" s="3" t="s">
        <v>28</v>
      </c>
    </row>
    <row r="870" spans="1:20" ht="409.6">
      <c r="A870" s="3">
        <v>2741854</v>
      </c>
      <c r="B870" s="3">
        <f>HYPERLINK("https://platform.v2.vetology.net/cases/2741854/screening-report/6?type=pdf&amp;v=v6&amp;scorecard=1&amp;secret_key=BX%25IJ%24%2F65ieZ%29f6", 2741854)</f>
        <v>2741854</v>
      </c>
      <c r="C870" s="3">
        <f>HYPERLINK("https://platform.v2.vetology.net/report/v/final/"&amp;2741854, 2741854)</f>
        <v>2741854</v>
      </c>
      <c r="D870" s="3" t="s">
        <v>3387</v>
      </c>
      <c r="E870" s="3" t="s">
        <v>3388</v>
      </c>
      <c r="F870" s="3" t="s">
        <v>3389</v>
      </c>
      <c r="G870" s="3" t="s">
        <v>2447</v>
      </c>
      <c r="H870" s="3" t="s">
        <v>3390</v>
      </c>
      <c r="I870" s="3" t="s">
        <v>3391</v>
      </c>
      <c r="J870" s="3" t="s">
        <v>3392</v>
      </c>
      <c r="K870" s="3" t="s">
        <v>27</v>
      </c>
      <c r="L870" s="3" t="s">
        <v>28</v>
      </c>
      <c r="M870" s="3" t="s">
        <v>28</v>
      </c>
      <c r="N870" s="3" t="s">
        <v>28</v>
      </c>
      <c r="O870" s="3" t="s">
        <v>27</v>
      </c>
      <c r="P870" s="3" t="s">
        <v>28</v>
      </c>
      <c r="Q870" s="3" t="s">
        <v>27</v>
      </c>
      <c r="R870" s="3" t="s">
        <v>28</v>
      </c>
      <c r="S870" s="3" t="s">
        <v>28</v>
      </c>
      <c r="T870" s="3" t="s">
        <v>28</v>
      </c>
    </row>
    <row r="871" spans="1:20" ht="409.6">
      <c r="A871" s="3">
        <v>2741779</v>
      </c>
      <c r="B871" s="3">
        <f>HYPERLINK("https://platform.v2.vetology.net/cases/2741779/screening-report/6?type=pdf&amp;v=v6&amp;scorecard=1&amp;secret_key=BX%25IJ%24%2F65ieZ%29f6", 2741779)</f>
        <v>2741779</v>
      </c>
      <c r="C871" s="3">
        <f>HYPERLINK("https://platform.v2.vetology.net/report/v/final/"&amp;2741779, 2741779)</f>
        <v>2741779</v>
      </c>
      <c r="D871" s="3" t="s">
        <v>3393</v>
      </c>
      <c r="E871" s="3" t="s">
        <v>3394</v>
      </c>
      <c r="F871" s="3" t="s">
        <v>3395</v>
      </c>
      <c r="G871" s="3" t="s">
        <v>64</v>
      </c>
      <c r="H871" s="3" t="s">
        <v>2100</v>
      </c>
      <c r="I871" s="3" t="s">
        <v>539</v>
      </c>
      <c r="J871" s="3" t="s">
        <v>540</v>
      </c>
      <c r="K871" s="3" t="s">
        <v>28</v>
      </c>
      <c r="L871" s="3" t="s">
        <v>28</v>
      </c>
      <c r="M871" s="3" t="s">
        <v>28</v>
      </c>
      <c r="N871" s="3" t="s">
        <v>28</v>
      </c>
      <c r="O871" s="3" t="s">
        <v>28</v>
      </c>
      <c r="P871" s="3" t="s">
        <v>28</v>
      </c>
      <c r="Q871" s="3" t="s">
        <v>28</v>
      </c>
      <c r="R871" s="3" t="s">
        <v>28</v>
      </c>
      <c r="S871" s="3" t="s">
        <v>28</v>
      </c>
      <c r="T871" s="3" t="s">
        <v>28</v>
      </c>
    </row>
    <row r="872" spans="1:20" ht="396.75">
      <c r="A872" s="3">
        <v>2741723</v>
      </c>
      <c r="B872" s="3">
        <f>HYPERLINK("https://platform.v2.vetology.net/cases/2741723/screening-report/6?type=pdf&amp;v=v6&amp;scorecard=1&amp;secret_key=BX%25IJ%24%2F65ieZ%29f6", 2741723)</f>
        <v>2741723</v>
      </c>
      <c r="C872" s="3">
        <f>HYPERLINK("https://platform.v2.vetology.net/report/v/final/"&amp;2741723, 2741723)</f>
        <v>2741723</v>
      </c>
      <c r="D872" s="3" t="s">
        <v>3396</v>
      </c>
      <c r="E872" s="3" t="s">
        <v>3397</v>
      </c>
      <c r="F872" s="3" t="s">
        <v>3398</v>
      </c>
      <c r="G872" s="3" t="s">
        <v>211</v>
      </c>
      <c r="H872" s="3" t="s">
        <v>31</v>
      </c>
      <c r="I872" s="3" t="s">
        <v>32</v>
      </c>
      <c r="J872" s="3" t="s">
        <v>33</v>
      </c>
      <c r="K872" s="3" t="s">
        <v>28</v>
      </c>
      <c r="L872" s="3" t="s">
        <v>28</v>
      </c>
      <c r="M872" s="3" t="s">
        <v>28</v>
      </c>
      <c r="N872" s="3" t="s">
        <v>28</v>
      </c>
      <c r="O872" s="3" t="s">
        <v>28</v>
      </c>
      <c r="P872" s="3" t="s">
        <v>28</v>
      </c>
      <c r="Q872" s="3" t="s">
        <v>28</v>
      </c>
      <c r="R872" s="3" t="s">
        <v>28</v>
      </c>
      <c r="S872" s="3" t="s">
        <v>28</v>
      </c>
      <c r="T872" s="3" t="s">
        <v>28</v>
      </c>
    </row>
    <row r="873" spans="1:20" ht="396.75">
      <c r="A873" s="3">
        <v>2741701</v>
      </c>
      <c r="B873" s="3">
        <f>HYPERLINK("https://platform.v2.vetology.net/cases/2741701/screening-report/6?type=pdf&amp;v=v6&amp;scorecard=1&amp;secret_key=BX%25IJ%24%2F65ieZ%29f6", 2741701)</f>
        <v>2741701</v>
      </c>
      <c r="C873" s="3">
        <f>HYPERLINK("https://platform.v2.vetology.net/report/v/final/"&amp;2741701, 2741701)</f>
        <v>2741701</v>
      </c>
      <c r="D873" s="3" t="s">
        <v>3399</v>
      </c>
      <c r="E873" s="3" t="s">
        <v>2332</v>
      </c>
      <c r="F873" s="3" t="s">
        <v>3400</v>
      </c>
      <c r="G873" s="3" t="s">
        <v>211</v>
      </c>
      <c r="H873" s="3" t="s">
        <v>1538</v>
      </c>
      <c r="I873" s="3" t="s">
        <v>72</v>
      </c>
      <c r="J873" s="3" t="s">
        <v>363</v>
      </c>
      <c r="K873" s="3" t="s">
        <v>28</v>
      </c>
      <c r="L873" s="3" t="s">
        <v>28</v>
      </c>
      <c r="M873" s="3" t="s">
        <v>28</v>
      </c>
      <c r="N873" s="3" t="s">
        <v>28</v>
      </c>
      <c r="O873" s="3" t="s">
        <v>27</v>
      </c>
      <c r="P873" s="3" t="s">
        <v>28</v>
      </c>
      <c r="Q873" s="3" t="s">
        <v>28</v>
      </c>
      <c r="R873" s="3" t="s">
        <v>28</v>
      </c>
      <c r="S873" s="3" t="s">
        <v>28</v>
      </c>
      <c r="T873" s="3" t="s">
        <v>27</v>
      </c>
    </row>
    <row r="874" spans="1:20" ht="409.6">
      <c r="A874" s="3">
        <v>2741675</v>
      </c>
      <c r="B874" s="3">
        <f>HYPERLINK("https://platform.v2.vetology.net/cases/2741675/screening-report/6?type=pdf&amp;v=v6&amp;scorecard=1&amp;secret_key=BX%25IJ%24%2F65ieZ%29f6", 2741675)</f>
        <v>2741675</v>
      </c>
      <c r="C874" s="3">
        <f>HYPERLINK("https://platform.v2.vetology.net/report/v/final/"&amp;2741675, 2741675)</f>
        <v>2741675</v>
      </c>
      <c r="D874" s="3" t="s">
        <v>3401</v>
      </c>
      <c r="E874" s="3" t="s">
        <v>3402</v>
      </c>
      <c r="F874" s="3" t="s">
        <v>896</v>
      </c>
      <c r="G874" s="3" t="s">
        <v>211</v>
      </c>
      <c r="H874" s="3" t="s">
        <v>3403</v>
      </c>
      <c r="I874" s="3" t="s">
        <v>3160</v>
      </c>
      <c r="J874" s="3" t="s">
        <v>335</v>
      </c>
      <c r="K874" s="3" t="s">
        <v>28</v>
      </c>
      <c r="L874" s="3" t="s">
        <v>28</v>
      </c>
      <c r="M874" s="3" t="s">
        <v>28</v>
      </c>
      <c r="N874" s="3" t="s">
        <v>28</v>
      </c>
      <c r="O874" s="3" t="s">
        <v>28</v>
      </c>
      <c r="P874" s="3" t="s">
        <v>28</v>
      </c>
      <c r="Q874" s="3" t="s">
        <v>28</v>
      </c>
      <c r="R874" s="3" t="s">
        <v>28</v>
      </c>
      <c r="S874" s="3" t="s">
        <v>27</v>
      </c>
      <c r="T874" s="3" t="s">
        <v>28</v>
      </c>
    </row>
    <row r="875" spans="1:20" ht="381.75">
      <c r="A875" s="3">
        <v>2741667</v>
      </c>
      <c r="B875" s="3">
        <f>HYPERLINK("https://platform.v2.vetology.net/cases/2741667/screening-report/6?type=pdf&amp;v=v6&amp;scorecard=1&amp;secret_key=BX%25IJ%24%2F65ieZ%29f6", 2741667)</f>
        <v>2741667</v>
      </c>
      <c r="C875" s="3">
        <f>HYPERLINK("https://platform.v2.vetology.net/report/v/final/"&amp;2741667, 2741667)</f>
        <v>2741667</v>
      </c>
      <c r="D875" s="3" t="s">
        <v>3404</v>
      </c>
      <c r="E875" s="3" t="s">
        <v>2332</v>
      </c>
      <c r="F875" s="3" t="s">
        <v>3400</v>
      </c>
      <c r="G875" s="3" t="s">
        <v>211</v>
      </c>
      <c r="H875" s="3" t="s">
        <v>2183</v>
      </c>
      <c r="I875" s="3"/>
      <c r="J875" s="3" t="s">
        <v>225</v>
      </c>
      <c r="K875" s="3" t="s">
        <v>27</v>
      </c>
      <c r="L875" s="3" t="s">
        <v>28</v>
      </c>
      <c r="M875" s="3" t="s">
        <v>27</v>
      </c>
      <c r="N875" s="3" t="s">
        <v>27</v>
      </c>
      <c r="O875" s="3" t="s">
        <v>27</v>
      </c>
      <c r="P875" s="3" t="s">
        <v>27</v>
      </c>
      <c r="Q875" s="3" t="s">
        <v>28</v>
      </c>
      <c r="R875" s="3" t="s">
        <v>28</v>
      </c>
      <c r="S875" s="3" t="s">
        <v>27</v>
      </c>
      <c r="T875" s="3" t="s">
        <v>27</v>
      </c>
    </row>
    <row r="876" spans="1:20" ht="305.25">
      <c r="A876" s="3">
        <v>2741615</v>
      </c>
      <c r="B876" s="3">
        <f>HYPERLINK("https://platform.v2.vetology.net/cases/2741615/screening-report/6?type=pdf&amp;v=v6&amp;scorecard=1&amp;secret_key=BX%25IJ%24%2F65ieZ%29f6", 2741615)</f>
        <v>2741615</v>
      </c>
      <c r="C876" s="3">
        <f>HYPERLINK("https://platform.v2.vetology.net/report/v/final/"&amp;2741615, 2741615)</f>
        <v>2741615</v>
      </c>
      <c r="D876" s="3" t="s">
        <v>3405</v>
      </c>
      <c r="E876" s="3" t="s">
        <v>3406</v>
      </c>
      <c r="F876" s="3"/>
      <c r="G876" s="3" t="s">
        <v>122</v>
      </c>
      <c r="H876" s="3" t="s">
        <v>3407</v>
      </c>
      <c r="I876" s="3" t="s">
        <v>1344</v>
      </c>
      <c r="J876" s="3" t="s">
        <v>33</v>
      </c>
      <c r="K876" s="3" t="s">
        <v>28</v>
      </c>
      <c r="L876" s="3" t="s">
        <v>28</v>
      </c>
      <c r="M876" s="3" t="s">
        <v>28</v>
      </c>
      <c r="N876" s="3" t="s">
        <v>28</v>
      </c>
      <c r="O876" s="3" t="s">
        <v>27</v>
      </c>
      <c r="P876" s="3" t="s">
        <v>28</v>
      </c>
      <c r="Q876" s="3" t="s">
        <v>27</v>
      </c>
      <c r="R876" s="3" t="s">
        <v>28</v>
      </c>
      <c r="S876" s="3" t="s">
        <v>28</v>
      </c>
      <c r="T876" s="3" t="s">
        <v>28</v>
      </c>
    </row>
    <row r="877" spans="1:20" ht="290.25">
      <c r="A877" s="3">
        <v>2741612</v>
      </c>
      <c r="B877" s="3">
        <f>HYPERLINK("https://platform.v2.vetology.net/cases/2741612/screening-report/6?type=pdf&amp;v=v6&amp;scorecard=1&amp;secret_key=BX%25IJ%24%2F65ieZ%29f6", 2741612)</f>
        <v>2741612</v>
      </c>
      <c r="C877" s="3">
        <f>HYPERLINK("https://platform.v2.vetology.net/report/v/final/"&amp;2741612, 2741612)</f>
        <v>2741612</v>
      </c>
      <c r="D877" s="3" t="s">
        <v>3408</v>
      </c>
      <c r="E877" s="3" t="s">
        <v>3409</v>
      </c>
      <c r="F877" s="3" t="s">
        <v>22</v>
      </c>
      <c r="G877" s="3" t="s">
        <v>100</v>
      </c>
      <c r="H877" s="3" t="s">
        <v>951</v>
      </c>
      <c r="I877" s="3" t="s">
        <v>952</v>
      </c>
      <c r="J877" s="3" t="s">
        <v>953</v>
      </c>
      <c r="K877" s="3" t="s">
        <v>28</v>
      </c>
      <c r="L877" s="3" t="s">
        <v>28</v>
      </c>
      <c r="M877" s="3" t="s">
        <v>28</v>
      </c>
      <c r="N877" s="3" t="s">
        <v>27</v>
      </c>
      <c r="O877" s="3" t="s">
        <v>27</v>
      </c>
      <c r="P877" s="3" t="s">
        <v>28</v>
      </c>
      <c r="Q877" s="3" t="s">
        <v>28</v>
      </c>
      <c r="R877" s="3" t="s">
        <v>28</v>
      </c>
      <c r="S877" s="3" t="s">
        <v>28</v>
      </c>
      <c r="T877" s="3" t="s">
        <v>27</v>
      </c>
    </row>
    <row r="878" spans="1:20" ht="409.6">
      <c r="A878" s="3">
        <v>2741605</v>
      </c>
      <c r="B878" s="3">
        <f>HYPERLINK("https://platform.v2.vetology.net/cases/2741605/screening-report/6?type=pdf&amp;v=v6&amp;scorecard=1&amp;secret_key=BX%25IJ%24%2F65ieZ%29f6", 2741605)</f>
        <v>2741605</v>
      </c>
      <c r="C878" s="3">
        <f>HYPERLINK("https://platform.v2.vetology.net/report/v/final/"&amp;2741605, 2741605)</f>
        <v>2741605</v>
      </c>
      <c r="D878" s="3" t="s">
        <v>3410</v>
      </c>
      <c r="E878" s="3" t="s">
        <v>3411</v>
      </c>
      <c r="F878" s="3" t="s">
        <v>3412</v>
      </c>
      <c r="G878" s="3" t="s">
        <v>64</v>
      </c>
      <c r="H878" s="3" t="s">
        <v>300</v>
      </c>
      <c r="I878" s="3" t="s">
        <v>32</v>
      </c>
      <c r="J878" s="3" t="s">
        <v>847</v>
      </c>
      <c r="K878" s="3" t="s">
        <v>27</v>
      </c>
      <c r="L878" s="3" t="s">
        <v>28</v>
      </c>
      <c r="M878" s="3" t="s">
        <v>28</v>
      </c>
      <c r="N878" s="3" t="s">
        <v>28</v>
      </c>
      <c r="O878" s="3" t="s">
        <v>27</v>
      </c>
      <c r="P878" s="3" t="s">
        <v>28</v>
      </c>
      <c r="Q878" s="3" t="s">
        <v>28</v>
      </c>
      <c r="R878" s="3" t="s">
        <v>28</v>
      </c>
      <c r="S878" s="3" t="s">
        <v>27</v>
      </c>
      <c r="T878" s="3" t="s">
        <v>28</v>
      </c>
    </row>
    <row r="879" spans="1:20" ht="409.6">
      <c r="A879" s="3">
        <v>2741584</v>
      </c>
      <c r="B879" s="3">
        <f>HYPERLINK("https://platform.v2.vetology.net/cases/2741584/screening-report/6?type=pdf&amp;v=v6&amp;scorecard=1&amp;secret_key=BX%25IJ%24%2F65ieZ%29f6", 2741584)</f>
        <v>2741584</v>
      </c>
      <c r="C879" s="3">
        <f>HYPERLINK("https://platform.v2.vetology.net/report/v/final/"&amp;2741584, 2741584)</f>
        <v>2741584</v>
      </c>
      <c r="D879" s="3" t="s">
        <v>3413</v>
      </c>
      <c r="E879" s="3" t="s">
        <v>3414</v>
      </c>
      <c r="F879" s="3" t="s">
        <v>3415</v>
      </c>
      <c r="G879" s="3" t="s">
        <v>64</v>
      </c>
      <c r="H879" s="3" t="s">
        <v>3416</v>
      </c>
      <c r="I879" s="3" t="s">
        <v>78</v>
      </c>
      <c r="J879" s="3" t="s">
        <v>79</v>
      </c>
      <c r="K879" s="3" t="s">
        <v>28</v>
      </c>
      <c r="L879" s="3" t="s">
        <v>28</v>
      </c>
      <c r="M879" s="3" t="s">
        <v>28</v>
      </c>
      <c r="N879" s="3" t="s">
        <v>28</v>
      </c>
      <c r="O879" s="3" t="s">
        <v>27</v>
      </c>
      <c r="P879" s="3" t="s">
        <v>27</v>
      </c>
      <c r="Q879" s="3" t="s">
        <v>28</v>
      </c>
      <c r="R879" s="3" t="s">
        <v>28</v>
      </c>
      <c r="S879" s="3" t="s">
        <v>28</v>
      </c>
      <c r="T879" s="3" t="s">
        <v>28</v>
      </c>
    </row>
    <row r="880" spans="1:20" ht="409.6">
      <c r="A880" s="3">
        <v>2741571</v>
      </c>
      <c r="B880" s="3">
        <f>HYPERLINK("https://platform.v2.vetology.net/cases/2741571/screening-report/6?type=pdf&amp;v=v6&amp;scorecard=1&amp;secret_key=BX%25IJ%24%2F65ieZ%29f6", 2741571)</f>
        <v>2741571</v>
      </c>
      <c r="C880" s="3">
        <f>HYPERLINK("https://platform.v2.vetology.net/report/v/final/"&amp;2741571, 2741571)</f>
        <v>2741571</v>
      </c>
      <c r="D880" s="3" t="s">
        <v>3417</v>
      </c>
      <c r="E880" s="3" t="s">
        <v>3418</v>
      </c>
      <c r="F880" s="3" t="s">
        <v>3419</v>
      </c>
      <c r="G880" s="3" t="s">
        <v>186</v>
      </c>
      <c r="H880" s="3" t="s">
        <v>3420</v>
      </c>
      <c r="I880" s="3" t="s">
        <v>2397</v>
      </c>
      <c r="J880" s="3" t="s">
        <v>2398</v>
      </c>
      <c r="K880" s="3" t="s">
        <v>27</v>
      </c>
      <c r="L880" s="3" t="s">
        <v>27</v>
      </c>
      <c r="M880" s="3" t="s">
        <v>27</v>
      </c>
      <c r="N880" s="3" t="s">
        <v>27</v>
      </c>
      <c r="O880" s="3" t="s">
        <v>27</v>
      </c>
      <c r="P880" s="3" t="s">
        <v>28</v>
      </c>
      <c r="Q880" s="3" t="s">
        <v>27</v>
      </c>
      <c r="R880" s="3" t="s">
        <v>28</v>
      </c>
      <c r="S880" s="3" t="s">
        <v>27</v>
      </c>
      <c r="T880" s="3" t="s">
        <v>27</v>
      </c>
    </row>
    <row r="881" spans="1:20" ht="409.6">
      <c r="A881" s="3">
        <v>2741520</v>
      </c>
      <c r="B881" s="3">
        <f>HYPERLINK("https://platform.v2.vetology.net/cases/2741520/screening-report/6?type=pdf&amp;v=v6&amp;scorecard=1&amp;secret_key=BX%25IJ%24%2F65ieZ%29f6", 2741520)</f>
        <v>2741520</v>
      </c>
      <c r="C881" s="3">
        <f>HYPERLINK("https://platform.v2.vetology.net/report/v/final/"&amp;2741520, 2741520)</f>
        <v>2741520</v>
      </c>
      <c r="D881" s="3" t="s">
        <v>3421</v>
      </c>
      <c r="E881" s="3" t="s">
        <v>3422</v>
      </c>
      <c r="F881" s="3" t="s">
        <v>3423</v>
      </c>
      <c r="G881" s="3" t="s">
        <v>64</v>
      </c>
      <c r="H881" s="3" t="s">
        <v>3424</v>
      </c>
      <c r="I881" s="3" t="s">
        <v>32</v>
      </c>
      <c r="J881" s="3" t="s">
        <v>578</v>
      </c>
      <c r="K881" s="3" t="s">
        <v>27</v>
      </c>
      <c r="L881" s="3" t="s">
        <v>28</v>
      </c>
      <c r="M881" s="3" t="s">
        <v>27</v>
      </c>
      <c r="N881" s="3" t="s">
        <v>28</v>
      </c>
      <c r="O881" s="3" t="s">
        <v>28</v>
      </c>
      <c r="P881" s="3" t="s">
        <v>28</v>
      </c>
      <c r="Q881" s="3" t="s">
        <v>27</v>
      </c>
      <c r="R881" s="3" t="s">
        <v>28</v>
      </c>
      <c r="S881" s="3" t="s">
        <v>28</v>
      </c>
      <c r="T881" s="3" t="s">
        <v>28</v>
      </c>
    </row>
    <row r="882" spans="1:20" ht="409.6">
      <c r="A882" s="3">
        <v>2741517</v>
      </c>
      <c r="B882" s="3">
        <f>HYPERLINK("https://platform.v2.vetology.net/cases/2741517/screening-report/6?type=pdf&amp;v=v6&amp;scorecard=1&amp;secret_key=BX%25IJ%24%2F65ieZ%29f6", 2741517)</f>
        <v>2741517</v>
      </c>
      <c r="C882" s="3">
        <f>HYPERLINK("https://platform.v2.vetology.net/report/v/final/"&amp;2741517, 2741517)</f>
        <v>2741517</v>
      </c>
      <c r="D882" s="3" t="s">
        <v>3425</v>
      </c>
      <c r="E882" s="3" t="s">
        <v>3426</v>
      </c>
      <c r="F882" s="3" t="s">
        <v>3427</v>
      </c>
      <c r="G882" s="3" t="s">
        <v>186</v>
      </c>
      <c r="H882" s="3" t="s">
        <v>3428</v>
      </c>
      <c r="I882" s="3" t="s">
        <v>345</v>
      </c>
      <c r="J882" s="3" t="s">
        <v>346</v>
      </c>
      <c r="K882" s="3" t="s">
        <v>28</v>
      </c>
      <c r="L882" s="3" t="s">
        <v>28</v>
      </c>
      <c r="M882" s="3" t="s">
        <v>28</v>
      </c>
      <c r="N882" s="3" t="s">
        <v>27</v>
      </c>
      <c r="O882" s="3" t="s">
        <v>28</v>
      </c>
      <c r="P882" s="3" t="s">
        <v>28</v>
      </c>
      <c r="Q882" s="3" t="s">
        <v>28</v>
      </c>
      <c r="R882" s="3" t="s">
        <v>27</v>
      </c>
      <c r="S882" s="3" t="s">
        <v>28</v>
      </c>
      <c r="T882" s="3" t="s">
        <v>27</v>
      </c>
    </row>
    <row r="883" spans="1:20" ht="409.6">
      <c r="A883" s="3">
        <v>2741516</v>
      </c>
      <c r="B883" s="3">
        <f>HYPERLINK("https://platform.v2.vetology.net/cases/2741516/screening-report/6?type=pdf&amp;v=v6&amp;scorecard=1&amp;secret_key=BX%25IJ%24%2F65ieZ%29f6", 2741516)</f>
        <v>2741516</v>
      </c>
      <c r="C883" s="3">
        <f>HYPERLINK("https://platform.v2.vetology.net/report/v/final/"&amp;2741516, 2741516)</f>
        <v>2741516</v>
      </c>
      <c r="D883" s="3" t="s">
        <v>3429</v>
      </c>
      <c r="E883" s="3" t="s">
        <v>3430</v>
      </c>
      <c r="F883" s="3" t="s">
        <v>3431</v>
      </c>
      <c r="G883" s="3" t="s">
        <v>64</v>
      </c>
      <c r="H883" s="3" t="s">
        <v>3432</v>
      </c>
      <c r="I883" s="3" t="s">
        <v>3433</v>
      </c>
      <c r="J883" s="3" t="s">
        <v>3434</v>
      </c>
      <c r="K883" s="3" t="s">
        <v>28</v>
      </c>
      <c r="L883" s="3" t="s">
        <v>28</v>
      </c>
      <c r="M883" s="3" t="s">
        <v>27</v>
      </c>
      <c r="N883" s="3" t="s">
        <v>28</v>
      </c>
      <c r="O883" s="3" t="s">
        <v>28</v>
      </c>
      <c r="P883" s="3" t="s">
        <v>28</v>
      </c>
      <c r="Q883" s="3" t="s">
        <v>28</v>
      </c>
      <c r="R883" s="3" t="s">
        <v>28</v>
      </c>
      <c r="S883" s="3" t="s">
        <v>28</v>
      </c>
      <c r="T883" s="3" t="s">
        <v>27</v>
      </c>
    </row>
    <row r="884" spans="1:20" ht="409.6">
      <c r="A884" s="3">
        <v>2741455</v>
      </c>
      <c r="B884" s="3">
        <f>HYPERLINK("https://platform.v2.vetology.net/cases/2741455/screening-report/6?type=pdf&amp;v=v6&amp;scorecard=1&amp;secret_key=BX%25IJ%24%2F65ieZ%29f6", 2741455)</f>
        <v>2741455</v>
      </c>
      <c r="C884" s="3">
        <f>HYPERLINK("https://platform.v2.vetology.net/report/v/final/"&amp;2741455, 2741455)</f>
        <v>2741455</v>
      </c>
      <c r="D884" s="3" t="s">
        <v>3435</v>
      </c>
      <c r="E884" s="3" t="s">
        <v>3436</v>
      </c>
      <c r="F884" s="3" t="s">
        <v>3437</v>
      </c>
      <c r="G884" s="3" t="s">
        <v>64</v>
      </c>
      <c r="H884" s="3" t="s">
        <v>3164</v>
      </c>
      <c r="I884" s="3" t="s">
        <v>1368</v>
      </c>
      <c r="J884" s="3" t="s">
        <v>1369</v>
      </c>
      <c r="K884" s="3" t="s">
        <v>28</v>
      </c>
      <c r="L884" s="3" t="s">
        <v>28</v>
      </c>
      <c r="M884" s="3" t="s">
        <v>28</v>
      </c>
      <c r="N884" s="3" t="s">
        <v>28</v>
      </c>
      <c r="O884" s="3" t="s">
        <v>28</v>
      </c>
      <c r="P884" s="3" t="s">
        <v>28</v>
      </c>
      <c r="Q884" s="3" t="s">
        <v>28</v>
      </c>
      <c r="R884" s="3" t="s">
        <v>28</v>
      </c>
      <c r="S884" s="3" t="s">
        <v>28</v>
      </c>
      <c r="T884" s="3" t="s">
        <v>27</v>
      </c>
    </row>
    <row r="885" spans="1:20" ht="409.6">
      <c r="A885" s="3">
        <v>2741351</v>
      </c>
      <c r="B885" s="3">
        <f>HYPERLINK("https://platform.v2.vetology.net/cases/2741351/screening-report/6?type=pdf&amp;v=v6&amp;scorecard=1&amp;secret_key=BX%25IJ%24%2F65ieZ%29f6", 2741351)</f>
        <v>2741351</v>
      </c>
      <c r="C885" s="3">
        <f>HYPERLINK("https://platform.v2.vetology.net/report/v/final/"&amp;2741351, 2741351)</f>
        <v>2741351</v>
      </c>
      <c r="D885" s="3" t="s">
        <v>3438</v>
      </c>
      <c r="E885" s="3" t="s">
        <v>3439</v>
      </c>
      <c r="F885" s="3" t="s">
        <v>3440</v>
      </c>
      <c r="G885" s="3" t="s">
        <v>64</v>
      </c>
      <c r="H885" s="3" t="s">
        <v>2528</v>
      </c>
      <c r="I885" s="3" t="s">
        <v>324</v>
      </c>
      <c r="J885" s="3" t="s">
        <v>325</v>
      </c>
      <c r="K885" s="3" t="s">
        <v>27</v>
      </c>
      <c r="L885" s="3" t="s">
        <v>28</v>
      </c>
      <c r="M885" s="3" t="s">
        <v>27</v>
      </c>
      <c r="N885" s="3" t="s">
        <v>28</v>
      </c>
      <c r="O885" s="3" t="s">
        <v>27</v>
      </c>
      <c r="P885" s="3" t="s">
        <v>28</v>
      </c>
      <c r="Q885" s="3" t="s">
        <v>27</v>
      </c>
      <c r="R885" s="3" t="s">
        <v>28</v>
      </c>
      <c r="S885" s="3" t="s">
        <v>27</v>
      </c>
      <c r="T885" s="3" t="s">
        <v>28</v>
      </c>
    </row>
    <row r="886" spans="1:20" ht="409.6">
      <c r="A886" s="3">
        <v>2741322</v>
      </c>
      <c r="B886" s="3">
        <f>HYPERLINK("https://platform.v2.vetology.net/cases/2741322/screening-report/6?type=pdf&amp;v=v6&amp;scorecard=1&amp;secret_key=BX%25IJ%24%2F65ieZ%29f6", 2741322)</f>
        <v>2741322</v>
      </c>
      <c r="C886" s="3">
        <f>HYPERLINK("https://platform.v2.vetology.net/report/v/final/"&amp;2741322, 2741322)</f>
        <v>2741322</v>
      </c>
      <c r="D886" s="3" t="s">
        <v>3441</v>
      </c>
      <c r="E886" s="3" t="s">
        <v>3442</v>
      </c>
      <c r="F886" s="3" t="s">
        <v>3443</v>
      </c>
      <c r="G886" s="3" t="s">
        <v>64</v>
      </c>
      <c r="H886" s="3" t="s">
        <v>463</v>
      </c>
      <c r="I886" s="3" t="s">
        <v>464</v>
      </c>
      <c r="J886" s="3" t="s">
        <v>297</v>
      </c>
      <c r="K886" s="3" t="s">
        <v>28</v>
      </c>
      <c r="L886" s="3" t="s">
        <v>28</v>
      </c>
      <c r="M886" s="3" t="s">
        <v>28</v>
      </c>
      <c r="N886" s="3" t="s">
        <v>28</v>
      </c>
      <c r="O886" s="3" t="s">
        <v>27</v>
      </c>
      <c r="P886" s="3" t="s">
        <v>28</v>
      </c>
      <c r="Q886" s="3" t="s">
        <v>27</v>
      </c>
      <c r="R886" s="3" t="s">
        <v>28</v>
      </c>
      <c r="S886" s="3" t="s">
        <v>28</v>
      </c>
      <c r="T886" s="3" t="s">
        <v>28</v>
      </c>
    </row>
    <row r="887" spans="1:20" ht="305.25">
      <c r="A887" s="3">
        <v>2741316</v>
      </c>
      <c r="B887" s="3">
        <f>HYPERLINK("https://platform.v2.vetology.net/cases/2741316/screening-report/6?type=pdf&amp;v=v6&amp;scorecard=1&amp;secret_key=BX%25IJ%24%2F65ieZ%29f6", 2741316)</f>
        <v>2741316</v>
      </c>
      <c r="C887" s="3">
        <f>HYPERLINK("https://platform.v2.vetology.net/report/v/final/"&amp;2741316, 2741316)</f>
        <v>2741316</v>
      </c>
      <c r="D887" s="3" t="s">
        <v>3444</v>
      </c>
      <c r="E887" s="3" t="s">
        <v>1230</v>
      </c>
      <c r="F887" s="3" t="s">
        <v>1049</v>
      </c>
      <c r="G887" s="3" t="s">
        <v>100</v>
      </c>
      <c r="H887" s="3" t="s">
        <v>3445</v>
      </c>
      <c r="I887" s="3" t="s">
        <v>793</v>
      </c>
      <c r="J887" s="3" t="s">
        <v>794</v>
      </c>
      <c r="K887" s="3" t="s">
        <v>28</v>
      </c>
      <c r="L887" s="3" t="s">
        <v>28</v>
      </c>
      <c r="M887" s="3" t="s">
        <v>28</v>
      </c>
      <c r="N887" s="3" t="s">
        <v>28</v>
      </c>
      <c r="O887" s="3" t="s">
        <v>27</v>
      </c>
      <c r="P887" s="3" t="s">
        <v>28</v>
      </c>
      <c r="Q887" s="3" t="s">
        <v>28</v>
      </c>
      <c r="R887" s="3" t="s">
        <v>28</v>
      </c>
      <c r="S887" s="3" t="s">
        <v>28</v>
      </c>
      <c r="T887" s="3" t="s">
        <v>28</v>
      </c>
    </row>
    <row r="888" spans="1:20" ht="305.25">
      <c r="A888" s="3">
        <v>2741273</v>
      </c>
      <c r="B888" s="3">
        <f>HYPERLINK("https://platform.v2.vetology.net/cases/2741273/screening-report/6?type=pdf&amp;v=v6&amp;scorecard=1&amp;secret_key=BX%25IJ%24%2F65ieZ%29f6", 2741273)</f>
        <v>2741273</v>
      </c>
      <c r="C888" s="3">
        <f>HYPERLINK("https://platform.v2.vetology.net/report/v/final/"&amp;2741273, 2741273)</f>
        <v>2741273</v>
      </c>
      <c r="D888" s="3" t="s">
        <v>3446</v>
      </c>
      <c r="E888" s="3" t="s">
        <v>3447</v>
      </c>
      <c r="F888" s="3" t="s">
        <v>3448</v>
      </c>
      <c r="G888" s="3" t="s">
        <v>186</v>
      </c>
      <c r="H888" s="3" t="s">
        <v>1421</v>
      </c>
      <c r="I888" s="3" t="s">
        <v>32</v>
      </c>
      <c r="J888" s="3" t="s">
        <v>33</v>
      </c>
      <c r="K888" s="3" t="s">
        <v>28</v>
      </c>
      <c r="L888" s="3" t="s">
        <v>28</v>
      </c>
      <c r="M888" s="3" t="s">
        <v>28</v>
      </c>
      <c r="N888" s="3" t="s">
        <v>28</v>
      </c>
      <c r="O888" s="3" t="s">
        <v>27</v>
      </c>
      <c r="P888" s="3" t="s">
        <v>28</v>
      </c>
      <c r="Q888" s="3" t="s">
        <v>28</v>
      </c>
      <c r="R888" s="3" t="s">
        <v>28</v>
      </c>
      <c r="S888" s="3" t="s">
        <v>28</v>
      </c>
      <c r="T888" s="3" t="s">
        <v>27</v>
      </c>
    </row>
    <row r="889" spans="1:20" ht="275.25">
      <c r="A889" s="3">
        <v>2741232</v>
      </c>
      <c r="B889" s="3">
        <f>HYPERLINK("https://platform.v2.vetology.net/cases/2741232/screening-report/6?type=pdf&amp;v=v6&amp;scorecard=1&amp;secret_key=BX%25IJ%24%2F65ieZ%29f6", 2741232)</f>
        <v>2741232</v>
      </c>
      <c r="C889" s="3">
        <f>HYPERLINK("https://platform.v2.vetology.net/report/v/final/"&amp;2741232, 2741232)</f>
        <v>2741232</v>
      </c>
      <c r="D889" s="3" t="s">
        <v>3449</v>
      </c>
      <c r="E889" s="3" t="s">
        <v>3450</v>
      </c>
      <c r="F889" s="3" t="s">
        <v>3451</v>
      </c>
      <c r="G889" s="3" t="s">
        <v>186</v>
      </c>
      <c r="H889" s="3" t="s">
        <v>590</v>
      </c>
      <c r="I889" s="3" t="s">
        <v>291</v>
      </c>
      <c r="J889" s="3" t="s">
        <v>225</v>
      </c>
      <c r="K889" s="3" t="s">
        <v>28</v>
      </c>
      <c r="L889" s="3" t="s">
        <v>27</v>
      </c>
      <c r="M889" s="3" t="s">
        <v>28</v>
      </c>
      <c r="N889" s="3" t="s">
        <v>28</v>
      </c>
      <c r="O889" s="3" t="s">
        <v>27</v>
      </c>
      <c r="P889" s="3" t="s">
        <v>28</v>
      </c>
      <c r="Q889" s="3" t="s">
        <v>27</v>
      </c>
      <c r="R889" s="3" t="s">
        <v>28</v>
      </c>
      <c r="S889" s="3" t="s">
        <v>27</v>
      </c>
      <c r="T889" s="3" t="s">
        <v>27</v>
      </c>
    </row>
    <row r="890" spans="1:20" ht="381.75">
      <c r="A890" s="3">
        <v>2741211</v>
      </c>
      <c r="B890" s="3">
        <f>HYPERLINK("https://platform.v2.vetology.net/cases/2741211/screening-report/6?type=pdf&amp;v=v6&amp;scorecard=1&amp;secret_key=BX%25IJ%24%2F65ieZ%29f6", 2741211)</f>
        <v>2741211</v>
      </c>
      <c r="C890" s="3">
        <f>HYPERLINK("https://platform.v2.vetology.net/report/v/final/"&amp;2741211, 2741211)</f>
        <v>2741211</v>
      </c>
      <c r="D890" s="3" t="s">
        <v>3452</v>
      </c>
      <c r="E890" s="3" t="s">
        <v>3453</v>
      </c>
      <c r="F890" s="3" t="s">
        <v>3454</v>
      </c>
      <c r="G890" s="3" t="s">
        <v>179</v>
      </c>
      <c r="H890" s="3" t="s">
        <v>2279</v>
      </c>
      <c r="I890" s="3" t="s">
        <v>2280</v>
      </c>
      <c r="J890" s="3" t="s">
        <v>562</v>
      </c>
      <c r="K890" s="3" t="s">
        <v>27</v>
      </c>
      <c r="L890" s="3" t="s">
        <v>27</v>
      </c>
      <c r="M890" s="3" t="s">
        <v>28</v>
      </c>
      <c r="N890" s="3" t="s">
        <v>28</v>
      </c>
      <c r="O890" s="3" t="s">
        <v>27</v>
      </c>
      <c r="P890" s="3" t="s">
        <v>28</v>
      </c>
      <c r="Q890" s="3" t="s">
        <v>28</v>
      </c>
      <c r="R890" s="3" t="s">
        <v>28</v>
      </c>
      <c r="S890" s="3" t="s">
        <v>28</v>
      </c>
      <c r="T890" s="3" t="s">
        <v>27</v>
      </c>
    </row>
    <row r="891" spans="1:20" ht="305.25">
      <c r="A891" s="3">
        <v>2741193</v>
      </c>
      <c r="B891" s="3">
        <f>HYPERLINK("https://platform.v2.vetology.net/cases/2741193/screening-report/6?type=pdf&amp;v=v6&amp;scorecard=1&amp;secret_key=BX%25IJ%24%2F65ieZ%29f6", 2741193)</f>
        <v>2741193</v>
      </c>
      <c r="C891" s="3">
        <f>HYPERLINK("https://platform.v2.vetology.net/report/v/final/"&amp;2741193, 2741193)</f>
        <v>2741193</v>
      </c>
      <c r="D891" s="3" t="s">
        <v>3455</v>
      </c>
      <c r="E891" s="3" t="s">
        <v>3456</v>
      </c>
      <c r="F891" s="3"/>
      <c r="G891" s="3" t="s">
        <v>100</v>
      </c>
      <c r="H891" s="3" t="s">
        <v>31</v>
      </c>
      <c r="I891" s="3" t="s">
        <v>32</v>
      </c>
      <c r="J891" s="3" t="s">
        <v>33</v>
      </c>
      <c r="K891" s="3" t="s">
        <v>28</v>
      </c>
      <c r="L891" s="3" t="s">
        <v>28</v>
      </c>
      <c r="M891" s="3" t="s">
        <v>28</v>
      </c>
      <c r="N891" s="3" t="s">
        <v>28</v>
      </c>
      <c r="O891" s="3" t="s">
        <v>28</v>
      </c>
      <c r="P891" s="3" t="s">
        <v>28</v>
      </c>
      <c r="Q891" s="3" t="s">
        <v>28</v>
      </c>
      <c r="R891" s="3" t="s">
        <v>28</v>
      </c>
      <c r="S891" s="3" t="s">
        <v>28</v>
      </c>
      <c r="T891" s="3" t="s">
        <v>28</v>
      </c>
    </row>
    <row r="892" spans="1:20" ht="290.25">
      <c r="A892" s="3">
        <v>2741189</v>
      </c>
      <c r="B892" s="3">
        <f>HYPERLINK("https://platform.v2.vetology.net/cases/2741189/screening-report/6?type=pdf&amp;v=v6&amp;scorecard=1&amp;secret_key=BX%25IJ%24%2F65ieZ%29f6", 2741189)</f>
        <v>2741189</v>
      </c>
      <c r="C892" s="3">
        <f>HYPERLINK("https://platform.v2.vetology.net/report/v/final/"&amp;2741189, 2741189)</f>
        <v>2741189</v>
      </c>
      <c r="D892" s="3" t="s">
        <v>3457</v>
      </c>
      <c r="E892" s="3" t="s">
        <v>3458</v>
      </c>
      <c r="F892" s="3" t="s">
        <v>3459</v>
      </c>
      <c r="G892" s="3" t="s">
        <v>186</v>
      </c>
      <c r="H892" s="3" t="s">
        <v>3460</v>
      </c>
      <c r="I892" s="3" t="s">
        <v>643</v>
      </c>
      <c r="J892" s="3" t="s">
        <v>143</v>
      </c>
      <c r="K892" s="3" t="s">
        <v>28</v>
      </c>
      <c r="L892" s="3" t="s">
        <v>28</v>
      </c>
      <c r="M892" s="3" t="s">
        <v>28</v>
      </c>
      <c r="N892" s="3" t="s">
        <v>28</v>
      </c>
      <c r="O892" s="3" t="s">
        <v>27</v>
      </c>
      <c r="P892" s="3" t="s">
        <v>28</v>
      </c>
      <c r="Q892" s="3" t="s">
        <v>28</v>
      </c>
      <c r="R892" s="3" t="s">
        <v>28</v>
      </c>
      <c r="S892" s="3" t="s">
        <v>28</v>
      </c>
      <c r="T892" s="3" t="s">
        <v>27</v>
      </c>
    </row>
    <row r="893" spans="1:20" ht="305.25">
      <c r="A893" s="3">
        <v>2741147</v>
      </c>
      <c r="B893" s="3">
        <f>HYPERLINK("https://platform.v2.vetology.net/cases/2741147/screening-report/6?type=pdf&amp;v=v6&amp;scorecard=1&amp;secret_key=BX%25IJ%24%2F65ieZ%29f6", 2741147)</f>
        <v>2741147</v>
      </c>
      <c r="C893" s="3">
        <f>HYPERLINK("https://platform.v2.vetology.net/report/v/final/"&amp;2741147, 2741147)</f>
        <v>2741147</v>
      </c>
      <c r="D893" s="3" t="s">
        <v>3461</v>
      </c>
      <c r="E893" s="3" t="s">
        <v>3462</v>
      </c>
      <c r="F893" s="3" t="s">
        <v>3463</v>
      </c>
      <c r="G893" s="3" t="s">
        <v>186</v>
      </c>
      <c r="H893" s="3" t="s">
        <v>3464</v>
      </c>
      <c r="I893" s="3" t="s">
        <v>3465</v>
      </c>
      <c r="J893" s="3" t="s">
        <v>207</v>
      </c>
      <c r="K893" s="3" t="s">
        <v>28</v>
      </c>
      <c r="L893" s="3" t="s">
        <v>28</v>
      </c>
      <c r="M893" s="3" t="s">
        <v>28</v>
      </c>
      <c r="N893" s="3" t="s">
        <v>27</v>
      </c>
      <c r="O893" s="3" t="s">
        <v>27</v>
      </c>
      <c r="P893" s="3" t="s">
        <v>28</v>
      </c>
      <c r="Q893" s="3" t="s">
        <v>28</v>
      </c>
      <c r="R893" s="3" t="s">
        <v>28</v>
      </c>
      <c r="S893" s="3" t="s">
        <v>28</v>
      </c>
      <c r="T893" s="3" t="s">
        <v>27</v>
      </c>
    </row>
    <row r="894" spans="1:20" ht="381.75">
      <c r="A894" s="3">
        <v>2741114</v>
      </c>
      <c r="B894" s="3">
        <f>HYPERLINK("https://platform.v2.vetology.net/cases/2741114/screening-report/6?type=pdf&amp;v=v6&amp;scorecard=1&amp;secret_key=BX%25IJ%24%2F65ieZ%29f6", 2741114)</f>
        <v>2741114</v>
      </c>
      <c r="C894" s="3">
        <f>HYPERLINK("https://platform.v2.vetology.net/report/v/final/"&amp;2741114, 2741114)</f>
        <v>2741114</v>
      </c>
      <c r="D894" s="3" t="s">
        <v>3466</v>
      </c>
      <c r="E894" s="3" t="s">
        <v>3467</v>
      </c>
      <c r="F894" s="3" t="s">
        <v>3468</v>
      </c>
      <c r="G894" s="3" t="s">
        <v>179</v>
      </c>
      <c r="H894" s="3" t="s">
        <v>3469</v>
      </c>
      <c r="I894" s="3" t="s">
        <v>981</v>
      </c>
      <c r="J894" s="3" t="s">
        <v>982</v>
      </c>
      <c r="K894" s="3" t="s">
        <v>27</v>
      </c>
      <c r="L894" s="3" t="s">
        <v>28</v>
      </c>
      <c r="M894" s="3" t="s">
        <v>27</v>
      </c>
      <c r="N894" s="3" t="s">
        <v>28</v>
      </c>
      <c r="O894" s="3" t="s">
        <v>27</v>
      </c>
      <c r="P894" s="3" t="s">
        <v>28</v>
      </c>
      <c r="Q894" s="3" t="s">
        <v>28</v>
      </c>
      <c r="R894" s="3" t="s">
        <v>28</v>
      </c>
      <c r="S894" s="3" t="s">
        <v>28</v>
      </c>
      <c r="T894" s="3" t="s">
        <v>28</v>
      </c>
    </row>
    <row r="895" spans="1:20" ht="305.25">
      <c r="A895" s="3">
        <v>2741106</v>
      </c>
      <c r="B895" s="3">
        <f>HYPERLINK("https://platform.v2.vetology.net/cases/2741106/screening-report/6?type=pdf&amp;v=v6&amp;scorecard=1&amp;secret_key=BX%25IJ%24%2F65ieZ%29f6", 2741106)</f>
        <v>2741106</v>
      </c>
      <c r="C895" s="3">
        <f>HYPERLINK("https://platform.v2.vetology.net/report/v/final/"&amp;2741106, 2741106)</f>
        <v>2741106</v>
      </c>
      <c r="D895" s="3" t="s">
        <v>3470</v>
      </c>
      <c r="E895" s="3" t="s">
        <v>3471</v>
      </c>
      <c r="F895" s="3" t="s">
        <v>22</v>
      </c>
      <c r="G895" s="3" t="s">
        <v>23</v>
      </c>
      <c r="H895" s="3" t="s">
        <v>601</v>
      </c>
      <c r="I895" s="3" t="s">
        <v>32</v>
      </c>
      <c r="J895" s="3" t="s">
        <v>33</v>
      </c>
      <c r="K895" s="3" t="s">
        <v>28</v>
      </c>
      <c r="L895" s="3" t="s">
        <v>28</v>
      </c>
      <c r="M895" s="3" t="s">
        <v>28</v>
      </c>
      <c r="N895" s="3" t="s">
        <v>28</v>
      </c>
      <c r="O895" s="3" t="s">
        <v>27</v>
      </c>
      <c r="P895" s="3" t="s">
        <v>28</v>
      </c>
      <c r="Q895" s="3" t="s">
        <v>28</v>
      </c>
      <c r="R895" s="3" t="s">
        <v>28</v>
      </c>
      <c r="S895" s="3" t="s">
        <v>28</v>
      </c>
      <c r="T895" s="3" t="s">
        <v>28</v>
      </c>
    </row>
    <row r="896" spans="1:20" ht="381.75">
      <c r="A896" s="3">
        <v>2741064</v>
      </c>
      <c r="B896" s="3">
        <f>HYPERLINK("https://platform.v2.vetology.net/cases/2741064/screening-report/6?type=pdf&amp;v=v6&amp;scorecard=1&amp;secret_key=BX%25IJ%24%2F65ieZ%29f6", 2741064)</f>
        <v>2741064</v>
      </c>
      <c r="C896" s="3">
        <f>HYPERLINK("https://platform.v2.vetology.net/report/v/final/"&amp;2741064, 2741064)</f>
        <v>2741064</v>
      </c>
      <c r="D896" s="3" t="s">
        <v>3472</v>
      </c>
      <c r="E896" s="3" t="s">
        <v>3473</v>
      </c>
      <c r="F896" s="3" t="s">
        <v>3474</v>
      </c>
      <c r="G896" s="3" t="s">
        <v>186</v>
      </c>
      <c r="H896" s="3" t="s">
        <v>2528</v>
      </c>
      <c r="I896" s="3" t="s">
        <v>324</v>
      </c>
      <c r="J896" s="3" t="s">
        <v>325</v>
      </c>
      <c r="K896" s="3" t="s">
        <v>27</v>
      </c>
      <c r="L896" s="3" t="s">
        <v>28</v>
      </c>
      <c r="M896" s="3" t="s">
        <v>27</v>
      </c>
      <c r="N896" s="3" t="s">
        <v>28</v>
      </c>
      <c r="O896" s="3" t="s">
        <v>27</v>
      </c>
      <c r="P896" s="3" t="s">
        <v>28</v>
      </c>
      <c r="Q896" s="3" t="s">
        <v>28</v>
      </c>
      <c r="R896" s="3" t="s">
        <v>28</v>
      </c>
      <c r="S896" s="3" t="s">
        <v>27</v>
      </c>
      <c r="T896" s="3" t="s">
        <v>28</v>
      </c>
    </row>
    <row r="897" spans="1:20" ht="409.6">
      <c r="A897" s="3">
        <v>2740944</v>
      </c>
      <c r="B897" s="3">
        <f>HYPERLINK("https://platform.v2.vetology.net/cases/2740944/screening-report/6?type=pdf&amp;v=v6&amp;scorecard=1&amp;secret_key=BX%25IJ%24%2F65ieZ%29f6", 2740944)</f>
        <v>2740944</v>
      </c>
      <c r="C897" s="3">
        <f>HYPERLINK("https://platform.v2.vetology.net/report/v/final/"&amp;2740944, 2740944)</f>
        <v>2740944</v>
      </c>
      <c r="D897" s="3" t="s">
        <v>3475</v>
      </c>
      <c r="E897" s="3" t="s">
        <v>3476</v>
      </c>
      <c r="F897" s="3" t="s">
        <v>3477</v>
      </c>
      <c r="G897" s="3" t="s">
        <v>64</v>
      </c>
      <c r="H897" s="3" t="s">
        <v>2378</v>
      </c>
      <c r="I897" s="3" t="s">
        <v>2379</v>
      </c>
      <c r="J897" s="3" t="s">
        <v>1058</v>
      </c>
      <c r="K897" s="3" t="s">
        <v>28</v>
      </c>
      <c r="L897" s="3" t="s">
        <v>28</v>
      </c>
      <c r="M897" s="3" t="s">
        <v>28</v>
      </c>
      <c r="N897" s="3" t="s">
        <v>27</v>
      </c>
      <c r="O897" s="3" t="s">
        <v>27</v>
      </c>
      <c r="P897" s="3" t="s">
        <v>28</v>
      </c>
      <c r="Q897" s="3" t="s">
        <v>28</v>
      </c>
      <c r="R897" s="3" t="s">
        <v>27</v>
      </c>
      <c r="S897" s="3" t="s">
        <v>27</v>
      </c>
      <c r="T897" s="3" t="s">
        <v>27</v>
      </c>
    </row>
    <row r="898" spans="1:20" ht="409.6">
      <c r="A898" s="3">
        <v>2740911</v>
      </c>
      <c r="B898" s="3">
        <f>HYPERLINK("https://platform.v2.vetology.net/cases/2740911/screening-report/6?type=pdf&amp;v=v6&amp;scorecard=1&amp;secret_key=BX%25IJ%24%2F65ieZ%29f6", 2740911)</f>
        <v>2740911</v>
      </c>
      <c r="C898" s="3">
        <f>HYPERLINK("https://platform.v2.vetology.net/report/v/final/"&amp;2740911, 2740911)</f>
        <v>2740911</v>
      </c>
      <c r="D898" s="3" t="s">
        <v>3478</v>
      </c>
      <c r="E898" s="3" t="s">
        <v>3479</v>
      </c>
      <c r="F898" s="3" t="s">
        <v>3480</v>
      </c>
      <c r="G898" s="3" t="s">
        <v>211</v>
      </c>
      <c r="H898" s="3" t="s">
        <v>2679</v>
      </c>
      <c r="I898" s="3" t="s">
        <v>1660</v>
      </c>
      <c r="J898" s="3" t="s">
        <v>207</v>
      </c>
      <c r="K898" s="3" t="s">
        <v>27</v>
      </c>
      <c r="L898" s="3" t="s">
        <v>28</v>
      </c>
      <c r="M898" s="3" t="s">
        <v>27</v>
      </c>
      <c r="N898" s="3" t="s">
        <v>28</v>
      </c>
      <c r="O898" s="3" t="s">
        <v>27</v>
      </c>
      <c r="P898" s="3" t="s">
        <v>28</v>
      </c>
      <c r="Q898" s="3" t="s">
        <v>28</v>
      </c>
      <c r="R898" s="3" t="s">
        <v>28</v>
      </c>
      <c r="S898" s="3" t="s">
        <v>28</v>
      </c>
      <c r="T898" s="3" t="s">
        <v>28</v>
      </c>
    </row>
    <row r="899" spans="1:20" ht="244.5">
      <c r="A899" s="3">
        <v>2740910</v>
      </c>
      <c r="B899" s="3">
        <f>HYPERLINK("https://platform.v2.vetology.net/cases/2740910/screening-report/6?type=pdf&amp;v=v6&amp;scorecard=1&amp;secret_key=BX%25IJ%24%2F65ieZ%29f6", 2740910)</f>
        <v>2740910</v>
      </c>
      <c r="C899" s="3">
        <f>HYPERLINK("https://platform.v2.vetology.net/report/v/final/"&amp;2740910, 2740910)</f>
        <v>2740910</v>
      </c>
      <c r="D899" s="3" t="s">
        <v>3481</v>
      </c>
      <c r="E899" s="3" t="s">
        <v>3482</v>
      </c>
      <c r="F899" s="3" t="s">
        <v>3483</v>
      </c>
      <c r="G899" s="3" t="s">
        <v>23</v>
      </c>
      <c r="H899" s="3" t="s">
        <v>31</v>
      </c>
      <c r="I899" s="3" t="s">
        <v>32</v>
      </c>
      <c r="J899" s="3" t="s">
        <v>119</v>
      </c>
      <c r="K899" s="3" t="s">
        <v>28</v>
      </c>
      <c r="L899" s="3" t="s">
        <v>28</v>
      </c>
      <c r="M899" s="3" t="s">
        <v>28</v>
      </c>
      <c r="N899" s="3" t="s">
        <v>28</v>
      </c>
      <c r="O899" s="3" t="s">
        <v>28</v>
      </c>
      <c r="P899" s="3" t="s">
        <v>28</v>
      </c>
      <c r="Q899" s="3" t="s">
        <v>28</v>
      </c>
      <c r="R899" s="3" t="s">
        <v>28</v>
      </c>
      <c r="S899" s="3" t="s">
        <v>28</v>
      </c>
      <c r="T899" s="3" t="s">
        <v>28</v>
      </c>
    </row>
    <row r="900" spans="1:20" ht="409.6">
      <c r="A900" s="3">
        <v>2740803</v>
      </c>
      <c r="B900" s="3">
        <f>HYPERLINK("https://platform.v2.vetology.net/cases/2740803/screening-report/6?type=pdf&amp;v=v6&amp;scorecard=1&amp;secret_key=BX%25IJ%24%2F65ieZ%29f6", 2740803)</f>
        <v>2740803</v>
      </c>
      <c r="C900" s="3">
        <f>HYPERLINK("https://platform.v2.vetology.net/report/v/final/"&amp;2740803, 2740803)</f>
        <v>2740803</v>
      </c>
      <c r="D900" s="3" t="s">
        <v>3484</v>
      </c>
      <c r="E900" s="3" t="s">
        <v>3485</v>
      </c>
      <c r="F900" s="3" t="s">
        <v>22</v>
      </c>
      <c r="G900" s="3" t="s">
        <v>23</v>
      </c>
      <c r="H900" s="3" t="s">
        <v>3486</v>
      </c>
      <c r="I900" s="3" t="s">
        <v>3487</v>
      </c>
      <c r="J900" s="3" t="s">
        <v>207</v>
      </c>
      <c r="K900" s="3" t="s">
        <v>27</v>
      </c>
      <c r="L900" s="3" t="s">
        <v>28</v>
      </c>
      <c r="M900" s="3" t="s">
        <v>28</v>
      </c>
      <c r="N900" s="3" t="s">
        <v>27</v>
      </c>
      <c r="O900" s="3" t="s">
        <v>27</v>
      </c>
      <c r="P900" s="3" t="s">
        <v>28</v>
      </c>
      <c r="Q900" s="3" t="s">
        <v>28</v>
      </c>
      <c r="R900" s="3" t="s">
        <v>28</v>
      </c>
      <c r="S900" s="3" t="s">
        <v>28</v>
      </c>
      <c r="T900" s="3" t="s">
        <v>27</v>
      </c>
    </row>
    <row r="901" spans="1:20" ht="409.6">
      <c r="A901" s="3">
        <v>2740773</v>
      </c>
      <c r="B901" s="3">
        <f>HYPERLINK("https://platform.v2.vetology.net/cases/2740773/screening-report/6?type=pdf&amp;v=v6&amp;scorecard=1&amp;secret_key=BX%25IJ%24%2F65ieZ%29f6", 2740773)</f>
        <v>2740773</v>
      </c>
      <c r="C901" s="3">
        <f>HYPERLINK("https://platform.v2.vetology.net/report/v/final/"&amp;2740773, 2740773)</f>
        <v>2740773</v>
      </c>
      <c r="D901" s="3" t="s">
        <v>3488</v>
      </c>
      <c r="E901" s="3" t="s">
        <v>3489</v>
      </c>
      <c r="F901" s="3" t="s">
        <v>3490</v>
      </c>
      <c r="G901" s="3" t="s">
        <v>186</v>
      </c>
      <c r="H901" s="3" t="s">
        <v>3491</v>
      </c>
      <c r="I901" s="3" t="s">
        <v>3492</v>
      </c>
      <c r="J901" s="3" t="s">
        <v>154</v>
      </c>
      <c r="K901" s="3" t="s">
        <v>28</v>
      </c>
      <c r="L901" s="3" t="s">
        <v>27</v>
      </c>
      <c r="M901" s="3" t="s">
        <v>27</v>
      </c>
      <c r="N901" s="3" t="s">
        <v>28</v>
      </c>
      <c r="O901" s="3" t="s">
        <v>27</v>
      </c>
      <c r="P901" s="3" t="s">
        <v>28</v>
      </c>
      <c r="Q901" s="3" t="s">
        <v>27</v>
      </c>
      <c r="R901" s="3" t="s">
        <v>28</v>
      </c>
      <c r="S901" s="3" t="s">
        <v>28</v>
      </c>
      <c r="T901" s="3" t="s">
        <v>28</v>
      </c>
    </row>
    <row r="902" spans="1:20" ht="305.25">
      <c r="A902" s="3">
        <v>2740768</v>
      </c>
      <c r="B902" s="3">
        <f>HYPERLINK("https://platform.v2.vetology.net/cases/2740768/screening-report/6?type=pdf&amp;v=v6&amp;scorecard=1&amp;secret_key=BX%25IJ%24%2F65ieZ%29f6", 2740768)</f>
        <v>2740768</v>
      </c>
      <c r="C902" s="3">
        <f>HYPERLINK("https://platform.v2.vetology.net/report/v/final/"&amp;2740768, 2740768)</f>
        <v>2740768</v>
      </c>
      <c r="D902" s="3" t="s">
        <v>3493</v>
      </c>
      <c r="E902" s="3" t="s">
        <v>3494</v>
      </c>
      <c r="F902" s="3" t="s">
        <v>22</v>
      </c>
      <c r="G902" s="3" t="s">
        <v>23</v>
      </c>
      <c r="H902" s="3" t="s">
        <v>601</v>
      </c>
      <c r="I902" s="3" t="s">
        <v>32</v>
      </c>
      <c r="J902" s="3" t="s">
        <v>33</v>
      </c>
      <c r="K902" s="3" t="s">
        <v>28</v>
      </c>
      <c r="L902" s="3" t="s">
        <v>28</v>
      </c>
      <c r="M902" s="3" t="s">
        <v>28</v>
      </c>
      <c r="N902" s="3" t="s">
        <v>28</v>
      </c>
      <c r="O902" s="3" t="s">
        <v>28</v>
      </c>
      <c r="P902" s="3" t="s">
        <v>28</v>
      </c>
      <c r="Q902" s="3" t="s">
        <v>28</v>
      </c>
      <c r="R902" s="3" t="s">
        <v>28</v>
      </c>
      <c r="S902" s="3" t="s">
        <v>28</v>
      </c>
      <c r="T902" s="3" t="s">
        <v>28</v>
      </c>
    </row>
    <row r="903" spans="1:20" ht="409.6">
      <c r="A903" s="3">
        <v>2740720</v>
      </c>
      <c r="B903" s="3">
        <f>HYPERLINK("https://platform.v2.vetology.net/cases/2740720/screening-report/6?type=pdf&amp;v=v6&amp;scorecard=1&amp;secret_key=BX%25IJ%24%2F65ieZ%29f6", 2740720)</f>
        <v>2740720</v>
      </c>
      <c r="C903" s="3">
        <f>HYPERLINK("https://platform.v2.vetology.net/report/v/final/"&amp;2740720, 2740720)</f>
        <v>2740720</v>
      </c>
      <c r="D903" s="3" t="s">
        <v>3495</v>
      </c>
      <c r="E903" s="3" t="s">
        <v>3496</v>
      </c>
      <c r="F903" s="3" t="s">
        <v>3497</v>
      </c>
      <c r="G903" s="3" t="s">
        <v>496</v>
      </c>
      <c r="H903" s="3" t="s">
        <v>3498</v>
      </c>
      <c r="I903" s="3" t="s">
        <v>520</v>
      </c>
      <c r="J903" s="3" t="s">
        <v>335</v>
      </c>
      <c r="K903" s="3" t="s">
        <v>28</v>
      </c>
      <c r="L903" s="3" t="s">
        <v>28</v>
      </c>
      <c r="M903" s="3" t="s">
        <v>28</v>
      </c>
      <c r="N903" s="3" t="s">
        <v>28</v>
      </c>
      <c r="O903" s="3" t="s">
        <v>28</v>
      </c>
      <c r="P903" s="3" t="s">
        <v>28</v>
      </c>
      <c r="Q903" s="3" t="s">
        <v>28</v>
      </c>
      <c r="R903" s="3" t="s">
        <v>28</v>
      </c>
      <c r="S903" s="3" t="s">
        <v>28</v>
      </c>
      <c r="T903" s="3" t="s">
        <v>28</v>
      </c>
    </row>
    <row r="904" spans="1:20" ht="381.75">
      <c r="A904" s="3">
        <v>2740715</v>
      </c>
      <c r="B904" s="3">
        <f>HYPERLINK("https://platform.v2.vetology.net/cases/2740715/screening-report/6?type=pdf&amp;v=v6&amp;scorecard=1&amp;secret_key=BX%25IJ%24%2F65ieZ%29f6", 2740715)</f>
        <v>2740715</v>
      </c>
      <c r="C904" s="3">
        <f>HYPERLINK("https://platform.v2.vetology.net/report/v/final/"&amp;2740715, 2740715)</f>
        <v>2740715</v>
      </c>
      <c r="D904" s="3" t="s">
        <v>3499</v>
      </c>
      <c r="E904" s="3" t="s">
        <v>3500</v>
      </c>
      <c r="F904" s="3" t="s">
        <v>3501</v>
      </c>
      <c r="G904" s="3" t="s">
        <v>186</v>
      </c>
      <c r="H904" s="3" t="s">
        <v>3502</v>
      </c>
      <c r="I904" s="3" t="s">
        <v>1248</v>
      </c>
      <c r="J904" s="3" t="s">
        <v>325</v>
      </c>
      <c r="K904" s="3" t="s">
        <v>28</v>
      </c>
      <c r="L904" s="3" t="s">
        <v>28</v>
      </c>
      <c r="M904" s="3" t="s">
        <v>27</v>
      </c>
      <c r="N904" s="3" t="s">
        <v>28</v>
      </c>
      <c r="O904" s="3" t="s">
        <v>27</v>
      </c>
      <c r="P904" s="3" t="s">
        <v>28</v>
      </c>
      <c r="Q904" s="3" t="s">
        <v>27</v>
      </c>
      <c r="R904" s="3" t="s">
        <v>28</v>
      </c>
      <c r="S904" s="3" t="s">
        <v>28</v>
      </c>
      <c r="T904" s="3" t="s">
        <v>28</v>
      </c>
    </row>
    <row r="905" spans="1:20" ht="305.25">
      <c r="A905" s="3">
        <v>2740680</v>
      </c>
      <c r="B905" s="3">
        <f>HYPERLINK("https://platform.v2.vetology.net/cases/2740680/screening-report/6?type=pdf&amp;v=v6&amp;scorecard=1&amp;secret_key=BX%25IJ%24%2F65ieZ%29f6", 2740680)</f>
        <v>2740680</v>
      </c>
      <c r="C905" s="3">
        <f>HYPERLINK("https://platform.v2.vetology.net/report/v/final/"&amp;2740680, 2740680)</f>
        <v>2740680</v>
      </c>
      <c r="D905" s="3" t="s">
        <v>3503</v>
      </c>
      <c r="E905" s="3" t="s">
        <v>3504</v>
      </c>
      <c r="F905" s="3" t="s">
        <v>3505</v>
      </c>
      <c r="G905" s="3" t="s">
        <v>64</v>
      </c>
      <c r="H905" s="3" t="s">
        <v>419</v>
      </c>
      <c r="I905" s="3" t="s">
        <v>316</v>
      </c>
      <c r="J905" s="3" t="s">
        <v>317</v>
      </c>
      <c r="K905" s="3" t="s">
        <v>28</v>
      </c>
      <c r="L905" s="3" t="s">
        <v>28</v>
      </c>
      <c r="M905" s="3" t="s">
        <v>28</v>
      </c>
      <c r="N905" s="3" t="s">
        <v>28</v>
      </c>
      <c r="O905" s="3" t="s">
        <v>27</v>
      </c>
      <c r="P905" s="3" t="s">
        <v>28</v>
      </c>
      <c r="Q905" s="3" t="s">
        <v>28</v>
      </c>
      <c r="R905" s="3" t="s">
        <v>28</v>
      </c>
      <c r="S905" s="3" t="s">
        <v>28</v>
      </c>
      <c r="T905" s="3" t="s">
        <v>28</v>
      </c>
    </row>
    <row r="906" spans="1:20" ht="396.75">
      <c r="A906" s="3">
        <v>2740659</v>
      </c>
      <c r="B906" s="3">
        <f>HYPERLINK("https://platform.v2.vetology.net/cases/2740659/screening-report/6?type=pdf&amp;v=v6&amp;scorecard=1&amp;secret_key=BX%25IJ%24%2F65ieZ%29f6", 2740659)</f>
        <v>2740659</v>
      </c>
      <c r="C906" s="3">
        <f>HYPERLINK("https://platform.v2.vetology.net/report/v/final/"&amp;2740659, 2740659)</f>
        <v>2740659</v>
      </c>
      <c r="D906" s="3" t="s">
        <v>3506</v>
      </c>
      <c r="E906" s="3" t="s">
        <v>3507</v>
      </c>
      <c r="F906" s="3" t="s">
        <v>3508</v>
      </c>
      <c r="G906" s="3" t="s">
        <v>211</v>
      </c>
      <c r="H906" s="3" t="s">
        <v>135</v>
      </c>
      <c r="I906" s="3" t="s">
        <v>136</v>
      </c>
      <c r="J906" s="3" t="s">
        <v>137</v>
      </c>
      <c r="K906" s="3" t="s">
        <v>28</v>
      </c>
      <c r="L906" s="3" t="s">
        <v>28</v>
      </c>
      <c r="M906" s="3" t="s">
        <v>28</v>
      </c>
      <c r="N906" s="3" t="s">
        <v>27</v>
      </c>
      <c r="O906" s="3" t="s">
        <v>27</v>
      </c>
      <c r="P906" s="3" t="s">
        <v>28</v>
      </c>
      <c r="Q906" s="3" t="s">
        <v>27</v>
      </c>
      <c r="R906" s="3" t="s">
        <v>28</v>
      </c>
      <c r="S906" s="3" t="s">
        <v>28</v>
      </c>
      <c r="T906" s="3" t="s">
        <v>27</v>
      </c>
    </row>
    <row r="907" spans="1:20" ht="381.75">
      <c r="A907" s="3">
        <v>2740583</v>
      </c>
      <c r="B907" s="3">
        <f>HYPERLINK("https://platform.v2.vetology.net/cases/2740583/screening-report/6?type=pdf&amp;v=v6&amp;scorecard=1&amp;secret_key=BX%25IJ%24%2F65ieZ%29f6", 2740583)</f>
        <v>2740583</v>
      </c>
      <c r="C907" s="3">
        <f>HYPERLINK("https://platform.v2.vetology.net/report/v/final/"&amp;2740583, 2740583)</f>
        <v>2740583</v>
      </c>
      <c r="D907" s="3" t="s">
        <v>3509</v>
      </c>
      <c r="E907" s="3" t="s">
        <v>3510</v>
      </c>
      <c r="F907" s="3" t="s">
        <v>3511</v>
      </c>
      <c r="G907" s="3" t="s">
        <v>23</v>
      </c>
      <c r="H907" s="3" t="s">
        <v>533</v>
      </c>
      <c r="I907" s="3" t="s">
        <v>345</v>
      </c>
      <c r="J907" s="3" t="s">
        <v>534</v>
      </c>
      <c r="K907" s="3" t="s">
        <v>28</v>
      </c>
      <c r="L907" s="3" t="s">
        <v>28</v>
      </c>
      <c r="M907" s="3" t="s">
        <v>28</v>
      </c>
      <c r="N907" s="3" t="s">
        <v>27</v>
      </c>
      <c r="O907" s="3" t="s">
        <v>27</v>
      </c>
      <c r="P907" s="3" t="s">
        <v>28</v>
      </c>
      <c r="Q907" s="3" t="s">
        <v>28</v>
      </c>
      <c r="R907" s="3" t="s">
        <v>28</v>
      </c>
      <c r="S907" s="3" t="s">
        <v>27</v>
      </c>
      <c r="T907" s="3" t="s">
        <v>27</v>
      </c>
    </row>
    <row r="908" spans="1:20" ht="409.6">
      <c r="A908" s="3">
        <v>2740518</v>
      </c>
      <c r="B908" s="3">
        <f>HYPERLINK("https://platform.v2.vetology.net/cases/2740518/screening-report/6?type=pdf&amp;v=v6&amp;scorecard=1&amp;secret_key=BX%25IJ%24%2F65ieZ%29f6", 2740518)</f>
        <v>2740518</v>
      </c>
      <c r="C908" s="3">
        <f>HYPERLINK("https://platform.v2.vetology.net/report/v/final/"&amp;2740518, 2740518)</f>
        <v>2740518</v>
      </c>
      <c r="D908" s="3" t="s">
        <v>3512</v>
      </c>
      <c r="E908" s="3" t="s">
        <v>3513</v>
      </c>
      <c r="F908" s="3"/>
      <c r="G908" s="3" t="s">
        <v>122</v>
      </c>
      <c r="H908" s="3" t="s">
        <v>3514</v>
      </c>
      <c r="I908" s="3" t="s">
        <v>429</v>
      </c>
      <c r="J908" s="3" t="s">
        <v>430</v>
      </c>
      <c r="K908" s="3" t="s">
        <v>27</v>
      </c>
      <c r="L908" s="3" t="s">
        <v>27</v>
      </c>
      <c r="M908" s="3" t="s">
        <v>27</v>
      </c>
      <c r="N908" s="3" t="s">
        <v>27</v>
      </c>
      <c r="O908" s="3" t="s">
        <v>27</v>
      </c>
      <c r="P908" s="3" t="s">
        <v>28</v>
      </c>
      <c r="Q908" s="3" t="s">
        <v>27</v>
      </c>
      <c r="R908" s="3" t="s">
        <v>27</v>
      </c>
      <c r="S908" s="3" t="s">
        <v>28</v>
      </c>
      <c r="T908" s="3" t="s">
        <v>27</v>
      </c>
    </row>
    <row r="909" spans="1:20" ht="381.75">
      <c r="A909" s="3">
        <v>2740500</v>
      </c>
      <c r="B909" s="3">
        <f>HYPERLINK("https://platform.v2.vetology.net/cases/2740500/screening-report/6?type=pdf&amp;v=v6&amp;scorecard=1&amp;secret_key=BX%25IJ%24%2F65ieZ%29f6", 2740500)</f>
        <v>2740500</v>
      </c>
      <c r="C909" s="3">
        <f>HYPERLINK("https://platform.v2.vetology.net/report/v/final/"&amp;2740500, 2740500)</f>
        <v>2740500</v>
      </c>
      <c r="D909" s="3" t="s">
        <v>3515</v>
      </c>
      <c r="E909" s="3" t="s">
        <v>3516</v>
      </c>
      <c r="F909" s="3" t="s">
        <v>3517</v>
      </c>
      <c r="G909" s="3" t="s">
        <v>57</v>
      </c>
      <c r="H909" s="3" t="s">
        <v>31</v>
      </c>
      <c r="I909" s="3" t="s">
        <v>32</v>
      </c>
      <c r="J909" s="3" t="s">
        <v>33</v>
      </c>
      <c r="K909" s="3" t="s">
        <v>28</v>
      </c>
      <c r="L909" s="3" t="s">
        <v>28</v>
      </c>
      <c r="M909" s="3" t="s">
        <v>28</v>
      </c>
      <c r="N909" s="3" t="s">
        <v>28</v>
      </c>
      <c r="O909" s="3" t="s">
        <v>27</v>
      </c>
      <c r="P909" s="3" t="s">
        <v>28</v>
      </c>
      <c r="Q909" s="3" t="s">
        <v>28</v>
      </c>
      <c r="R909" s="3" t="s">
        <v>28</v>
      </c>
      <c r="S909" s="3" t="s">
        <v>28</v>
      </c>
      <c r="T909" s="3" t="s">
        <v>27</v>
      </c>
    </row>
    <row r="910" spans="1:20" ht="351">
      <c r="A910" s="3">
        <v>2740483</v>
      </c>
      <c r="B910" s="3">
        <f>HYPERLINK("https://platform.v2.vetology.net/cases/2740483/screening-report/6?type=pdf&amp;v=v6&amp;scorecard=1&amp;secret_key=BX%25IJ%24%2F65ieZ%29f6", 2740483)</f>
        <v>2740483</v>
      </c>
      <c r="C910" s="3">
        <f>HYPERLINK("https://platform.v2.vetology.net/report/v/final/"&amp;2740483, 2740483)</f>
        <v>2740483</v>
      </c>
      <c r="D910" s="3" t="s">
        <v>3518</v>
      </c>
      <c r="E910" s="3" t="s">
        <v>3519</v>
      </c>
      <c r="F910" s="3" t="s">
        <v>22</v>
      </c>
      <c r="G910" s="3" t="s">
        <v>372</v>
      </c>
      <c r="H910" s="3" t="s">
        <v>3520</v>
      </c>
      <c r="I910" s="3" t="s">
        <v>224</v>
      </c>
      <c r="J910" s="3" t="s">
        <v>225</v>
      </c>
      <c r="K910" s="3" t="s">
        <v>28</v>
      </c>
      <c r="L910" s="3" t="s">
        <v>27</v>
      </c>
      <c r="M910" s="3" t="s">
        <v>28</v>
      </c>
      <c r="N910" s="3" t="s">
        <v>27</v>
      </c>
      <c r="O910" s="3" t="s">
        <v>27</v>
      </c>
      <c r="P910" s="3" t="s">
        <v>28</v>
      </c>
      <c r="Q910" s="3" t="s">
        <v>27</v>
      </c>
      <c r="R910" s="3" t="s">
        <v>27</v>
      </c>
      <c r="S910" s="3" t="s">
        <v>28</v>
      </c>
      <c r="T910" s="3" t="s">
        <v>27</v>
      </c>
    </row>
    <row r="911" spans="1:20" ht="290.25">
      <c r="A911" s="3">
        <v>2740451</v>
      </c>
      <c r="B911" s="3">
        <f>HYPERLINK("https://platform.v2.vetology.net/cases/2740451/screening-report/6?type=pdf&amp;v=v6&amp;scorecard=1&amp;secret_key=BX%25IJ%24%2F65ieZ%29f6", 2740451)</f>
        <v>2740451</v>
      </c>
      <c r="C911" s="3">
        <f>HYPERLINK("https://platform.v2.vetology.net/report/v/final/"&amp;2740451, 2740451)</f>
        <v>2740451</v>
      </c>
      <c r="D911" s="3" t="s">
        <v>3521</v>
      </c>
      <c r="E911" s="3" t="s">
        <v>3522</v>
      </c>
      <c r="F911" s="3" t="s">
        <v>76</v>
      </c>
      <c r="G911" s="3" t="s">
        <v>23</v>
      </c>
      <c r="H911" s="3" t="s">
        <v>419</v>
      </c>
      <c r="I911" s="3" t="s">
        <v>316</v>
      </c>
      <c r="J911" s="3" t="s">
        <v>317</v>
      </c>
      <c r="K911" s="3" t="s">
        <v>28</v>
      </c>
      <c r="L911" s="3" t="s">
        <v>28</v>
      </c>
      <c r="M911" s="3" t="s">
        <v>28</v>
      </c>
      <c r="N911" s="3" t="s">
        <v>28</v>
      </c>
      <c r="O911" s="3" t="s">
        <v>27</v>
      </c>
      <c r="P911" s="3" t="s">
        <v>28</v>
      </c>
      <c r="Q911" s="3" t="s">
        <v>28</v>
      </c>
      <c r="R911" s="3" t="s">
        <v>28</v>
      </c>
      <c r="S911" s="3" t="s">
        <v>28</v>
      </c>
      <c r="T911" s="3" t="s">
        <v>28</v>
      </c>
    </row>
    <row r="912" spans="1:20" ht="409.6">
      <c r="A912" s="3">
        <v>2740446</v>
      </c>
      <c r="B912" s="3">
        <f>HYPERLINK("https://platform.v2.vetology.net/cases/2740446/screening-report/6?type=pdf&amp;v=v6&amp;scorecard=1&amp;secret_key=BX%25IJ%24%2F65ieZ%29f6", 2740446)</f>
        <v>2740446</v>
      </c>
      <c r="C912" s="3">
        <f>HYPERLINK("https://platform.v2.vetology.net/report/v/final/"&amp;2740446, 2740446)</f>
        <v>2740446</v>
      </c>
      <c r="D912" s="3" t="s">
        <v>3523</v>
      </c>
      <c r="E912" s="3" t="s">
        <v>3524</v>
      </c>
      <c r="F912" s="3" t="s">
        <v>3525</v>
      </c>
      <c r="G912" s="3" t="s">
        <v>179</v>
      </c>
      <c r="H912" s="3" t="s">
        <v>403</v>
      </c>
      <c r="I912" s="3" t="s">
        <v>643</v>
      </c>
      <c r="J912" s="3" t="s">
        <v>143</v>
      </c>
      <c r="K912" s="3" t="s">
        <v>28</v>
      </c>
      <c r="L912" s="3" t="s">
        <v>28</v>
      </c>
      <c r="M912" s="3" t="s">
        <v>28</v>
      </c>
      <c r="N912" s="3" t="s">
        <v>28</v>
      </c>
      <c r="O912" s="3" t="s">
        <v>27</v>
      </c>
      <c r="P912" s="3" t="s">
        <v>28</v>
      </c>
      <c r="Q912" s="3" t="s">
        <v>28</v>
      </c>
      <c r="R912" s="3" t="s">
        <v>28</v>
      </c>
      <c r="S912" s="3" t="s">
        <v>28</v>
      </c>
      <c r="T912" s="3" t="s">
        <v>27</v>
      </c>
    </row>
    <row r="913" spans="1:20" ht="396.75">
      <c r="A913" s="3">
        <v>2740420</v>
      </c>
      <c r="B913" s="3">
        <f>HYPERLINK("https://platform.v2.vetology.net/cases/2740420/screening-report/6?type=pdf&amp;v=v6&amp;scorecard=1&amp;secret_key=BX%25IJ%24%2F65ieZ%29f6", 2740420)</f>
        <v>2740420</v>
      </c>
      <c r="C913" s="3">
        <f>HYPERLINK("https://platform.v2.vetology.net/report/v/final/"&amp;2740420, 2740420)</f>
        <v>2740420</v>
      </c>
      <c r="D913" s="3" t="s">
        <v>3526</v>
      </c>
      <c r="E913" s="3" t="s">
        <v>3527</v>
      </c>
      <c r="F913" s="3" t="s">
        <v>3528</v>
      </c>
      <c r="G913" s="3" t="s">
        <v>211</v>
      </c>
      <c r="H913" s="3" t="s">
        <v>1033</v>
      </c>
      <c r="I913" s="3" t="s">
        <v>1034</v>
      </c>
      <c r="J913" s="3" t="s">
        <v>1035</v>
      </c>
      <c r="K913" s="3" t="s">
        <v>28</v>
      </c>
      <c r="L913" s="3" t="s">
        <v>28</v>
      </c>
      <c r="M913" s="3" t="s">
        <v>28</v>
      </c>
      <c r="N913" s="3" t="s">
        <v>27</v>
      </c>
      <c r="O913" s="3" t="s">
        <v>27</v>
      </c>
      <c r="P913" s="3" t="s">
        <v>28</v>
      </c>
      <c r="Q913" s="3" t="s">
        <v>28</v>
      </c>
      <c r="R913" s="3" t="s">
        <v>28</v>
      </c>
      <c r="S913" s="3" t="s">
        <v>28</v>
      </c>
      <c r="T913" s="3" t="s">
        <v>27</v>
      </c>
    </row>
    <row r="914" spans="1:20" ht="409.6">
      <c r="A914" s="3">
        <v>2740418</v>
      </c>
      <c r="B914" s="3">
        <f>HYPERLINK("https://platform.v2.vetology.net/cases/2740418/screening-report/6?type=pdf&amp;v=v6&amp;scorecard=1&amp;secret_key=BX%25IJ%24%2F65ieZ%29f6", 2740418)</f>
        <v>2740418</v>
      </c>
      <c r="C914" s="3">
        <f>HYPERLINK("https://platform.v2.vetology.net/report/v/final/"&amp;2740418, 2740418)</f>
        <v>2740418</v>
      </c>
      <c r="D914" s="3" t="s">
        <v>3529</v>
      </c>
      <c r="E914" s="3" t="s">
        <v>3530</v>
      </c>
      <c r="F914" s="3" t="s">
        <v>3531</v>
      </c>
      <c r="G914" s="3" t="s">
        <v>57</v>
      </c>
      <c r="H914" s="3" t="s">
        <v>3240</v>
      </c>
      <c r="I914" s="3" t="s">
        <v>32</v>
      </c>
      <c r="J914" s="3" t="s">
        <v>578</v>
      </c>
      <c r="K914" s="3" t="s">
        <v>27</v>
      </c>
      <c r="L914" s="3" t="s">
        <v>28</v>
      </c>
      <c r="M914" s="3" t="s">
        <v>28</v>
      </c>
      <c r="N914" s="3" t="s">
        <v>28</v>
      </c>
      <c r="O914" s="3" t="s">
        <v>27</v>
      </c>
      <c r="P914" s="3" t="s">
        <v>28</v>
      </c>
      <c r="Q914" s="3" t="s">
        <v>27</v>
      </c>
      <c r="R914" s="3" t="s">
        <v>28</v>
      </c>
      <c r="S914" s="3" t="s">
        <v>28</v>
      </c>
      <c r="T914" s="3" t="s">
        <v>28</v>
      </c>
    </row>
    <row r="915" spans="1:20" ht="409.6">
      <c r="A915" s="3">
        <v>2740386</v>
      </c>
      <c r="B915" s="3">
        <f>HYPERLINK("https://platform.v2.vetology.net/cases/2740386/screening-report/6?type=pdf&amp;v=v6&amp;scorecard=1&amp;secret_key=BX%25IJ%24%2F65ieZ%29f6", 2740386)</f>
        <v>2740386</v>
      </c>
      <c r="C915" s="3">
        <f>HYPERLINK("https://platform.v2.vetology.net/report/v/final/"&amp;2740386, 2740386)</f>
        <v>2740386</v>
      </c>
      <c r="D915" s="3" t="s">
        <v>3532</v>
      </c>
      <c r="E915" s="3" t="s">
        <v>3533</v>
      </c>
      <c r="F915" s="3" t="s">
        <v>22</v>
      </c>
      <c r="G915" s="3" t="s">
        <v>372</v>
      </c>
      <c r="H915" s="3" t="s">
        <v>135</v>
      </c>
      <c r="I915" s="3" t="s">
        <v>136</v>
      </c>
      <c r="J915" s="3" t="s">
        <v>137</v>
      </c>
      <c r="K915" s="3" t="s">
        <v>28</v>
      </c>
      <c r="L915" s="3" t="s">
        <v>28</v>
      </c>
      <c r="M915" s="3" t="s">
        <v>28</v>
      </c>
      <c r="N915" s="3" t="s">
        <v>28</v>
      </c>
      <c r="O915" s="3" t="s">
        <v>27</v>
      </c>
      <c r="P915" s="3" t="s">
        <v>28</v>
      </c>
      <c r="Q915" s="3" t="s">
        <v>28</v>
      </c>
      <c r="R915" s="3" t="s">
        <v>28</v>
      </c>
      <c r="S915" s="3" t="s">
        <v>28</v>
      </c>
      <c r="T915" s="3" t="s">
        <v>27</v>
      </c>
    </row>
    <row r="916" spans="1:20" ht="409.6">
      <c r="A916" s="3">
        <v>2740373</v>
      </c>
      <c r="B916" s="3">
        <f>HYPERLINK("https://platform.v2.vetology.net/cases/2740373/screening-report/6?type=pdf&amp;v=v6&amp;scorecard=1&amp;secret_key=BX%25IJ%24%2F65ieZ%29f6", 2740373)</f>
        <v>2740373</v>
      </c>
      <c r="C916" s="3">
        <f>HYPERLINK("https://platform.v2.vetology.net/report/v/final/"&amp;2740373, 2740373)</f>
        <v>2740373</v>
      </c>
      <c r="D916" s="3" t="s">
        <v>3534</v>
      </c>
      <c r="E916" s="3" t="s">
        <v>3535</v>
      </c>
      <c r="F916" s="3" t="s">
        <v>3536</v>
      </c>
      <c r="G916" s="3" t="s">
        <v>57</v>
      </c>
      <c r="H916" s="3" t="s">
        <v>3007</v>
      </c>
      <c r="I916" s="3" t="s">
        <v>3008</v>
      </c>
      <c r="J916" s="3" t="s">
        <v>3009</v>
      </c>
      <c r="K916" s="3" t="s">
        <v>27</v>
      </c>
      <c r="L916" s="3" t="s">
        <v>28</v>
      </c>
      <c r="M916" s="3" t="s">
        <v>28</v>
      </c>
      <c r="N916" s="3" t="s">
        <v>28</v>
      </c>
      <c r="O916" s="3" t="s">
        <v>27</v>
      </c>
      <c r="P916" s="3" t="s">
        <v>28</v>
      </c>
      <c r="Q916" s="3" t="s">
        <v>27</v>
      </c>
      <c r="R916" s="3" t="s">
        <v>28</v>
      </c>
      <c r="S916" s="3" t="s">
        <v>28</v>
      </c>
      <c r="T916" s="3" t="s">
        <v>28</v>
      </c>
    </row>
    <row r="917" spans="1:20" ht="396.75">
      <c r="A917" s="3">
        <v>2740362</v>
      </c>
      <c r="B917" s="3">
        <f>HYPERLINK("https://platform.v2.vetology.net/cases/2740362/screening-report/6?type=pdf&amp;v=v6&amp;scorecard=1&amp;secret_key=BX%25IJ%24%2F65ieZ%29f6", 2740362)</f>
        <v>2740362</v>
      </c>
      <c r="C917" s="3">
        <f>HYPERLINK("https://platform.v2.vetology.net/report/v/final/"&amp;2740362, 2740362)</f>
        <v>2740362</v>
      </c>
      <c r="D917" s="3" t="s">
        <v>3537</v>
      </c>
      <c r="E917" s="3" t="s">
        <v>3538</v>
      </c>
      <c r="F917" s="3" t="s">
        <v>3539</v>
      </c>
      <c r="G917" s="3" t="s">
        <v>186</v>
      </c>
      <c r="H917" s="3" t="s">
        <v>3540</v>
      </c>
      <c r="I917" s="3" t="s">
        <v>351</v>
      </c>
      <c r="J917" s="3" t="s">
        <v>352</v>
      </c>
      <c r="K917" s="3" t="s">
        <v>28</v>
      </c>
      <c r="L917" s="3" t="s">
        <v>28</v>
      </c>
      <c r="M917" s="3" t="s">
        <v>28</v>
      </c>
      <c r="N917" s="3" t="s">
        <v>28</v>
      </c>
      <c r="O917" s="3" t="s">
        <v>27</v>
      </c>
      <c r="P917" s="3" t="s">
        <v>28</v>
      </c>
      <c r="Q917" s="3" t="s">
        <v>28</v>
      </c>
      <c r="R917" s="3" t="s">
        <v>28</v>
      </c>
      <c r="S917" s="3" t="s">
        <v>28</v>
      </c>
      <c r="T917" s="3" t="s">
        <v>27</v>
      </c>
    </row>
    <row r="918" spans="1:20" ht="366">
      <c r="A918" s="3">
        <v>2740317</v>
      </c>
      <c r="B918" s="3">
        <f>HYPERLINK("https://platform.v2.vetology.net/cases/2740317/screening-report/6?type=pdf&amp;v=v6&amp;scorecard=1&amp;secret_key=BX%25IJ%24%2F65ieZ%29f6", 2740317)</f>
        <v>2740317</v>
      </c>
      <c r="C918" s="3">
        <f>HYPERLINK("https://platform.v2.vetology.net/report/v/final/"&amp;2740317, 2740317)</f>
        <v>2740317</v>
      </c>
      <c r="D918" s="3" t="s">
        <v>3541</v>
      </c>
      <c r="E918" s="3" t="s">
        <v>3542</v>
      </c>
      <c r="F918" s="3" t="s">
        <v>3245</v>
      </c>
      <c r="G918" s="3" t="s">
        <v>57</v>
      </c>
      <c r="H918" s="3" t="s">
        <v>2784</v>
      </c>
      <c r="I918" s="3" t="s">
        <v>206</v>
      </c>
      <c r="J918" s="3" t="s">
        <v>207</v>
      </c>
      <c r="K918" s="3" t="s">
        <v>27</v>
      </c>
      <c r="L918" s="3" t="s">
        <v>28</v>
      </c>
      <c r="M918" s="3" t="s">
        <v>28</v>
      </c>
      <c r="N918" s="3" t="s">
        <v>28</v>
      </c>
      <c r="O918" s="3" t="s">
        <v>27</v>
      </c>
      <c r="P918" s="3" t="s">
        <v>28</v>
      </c>
      <c r="Q918" s="3" t="s">
        <v>27</v>
      </c>
      <c r="R918" s="3" t="s">
        <v>28</v>
      </c>
      <c r="S918" s="3" t="s">
        <v>28</v>
      </c>
      <c r="T918" s="3" t="s">
        <v>28</v>
      </c>
    </row>
    <row r="919" spans="1:20" ht="409.6">
      <c r="A919" s="3">
        <v>2740286</v>
      </c>
      <c r="B919" s="3">
        <f>HYPERLINK("https://platform.v2.vetology.net/cases/2740286/screening-report/6?type=pdf&amp;v=v6&amp;scorecard=1&amp;secret_key=BX%25IJ%24%2F65ieZ%29f6", 2740286)</f>
        <v>2740286</v>
      </c>
      <c r="C919" s="3">
        <f>HYPERLINK("https://platform.v2.vetology.net/report/v/final/"&amp;2740286, 2740286)</f>
        <v>2740286</v>
      </c>
      <c r="D919" s="3" t="s">
        <v>3543</v>
      </c>
      <c r="E919" s="3" t="s">
        <v>3544</v>
      </c>
      <c r="F919" s="3" t="s">
        <v>3545</v>
      </c>
      <c r="G919" s="3" t="s">
        <v>57</v>
      </c>
      <c r="H919" s="3" t="s">
        <v>3546</v>
      </c>
      <c r="I919" s="3" t="s">
        <v>305</v>
      </c>
      <c r="J919" s="3" t="s">
        <v>2419</v>
      </c>
      <c r="K919" s="3" t="s">
        <v>27</v>
      </c>
      <c r="L919" s="3" t="s">
        <v>28</v>
      </c>
      <c r="M919" s="3" t="s">
        <v>27</v>
      </c>
      <c r="N919" s="3" t="s">
        <v>28</v>
      </c>
      <c r="O919" s="3" t="s">
        <v>27</v>
      </c>
      <c r="P919" s="3" t="s">
        <v>27</v>
      </c>
      <c r="Q919" s="3" t="s">
        <v>27</v>
      </c>
      <c r="R919" s="3" t="s">
        <v>28</v>
      </c>
      <c r="S919" s="3" t="s">
        <v>27</v>
      </c>
      <c r="T919" s="3" t="s">
        <v>28</v>
      </c>
    </row>
    <row r="920" spans="1:20" ht="321">
      <c r="A920" s="3">
        <v>2740267</v>
      </c>
      <c r="B920" s="3">
        <f>HYPERLINK("https://platform.v2.vetology.net/cases/2740267/screening-report/6?type=pdf&amp;v=v6&amp;scorecard=1&amp;secret_key=BX%25IJ%24%2F65ieZ%29f6", 2740267)</f>
        <v>2740267</v>
      </c>
      <c r="C920" s="3">
        <f>HYPERLINK("https://platform.v2.vetology.net/report/v/final/"&amp;2740267, 2740267)</f>
        <v>2740267</v>
      </c>
      <c r="D920" s="3" t="s">
        <v>3547</v>
      </c>
      <c r="E920" s="3" t="s">
        <v>3548</v>
      </c>
      <c r="F920" s="3" t="s">
        <v>3549</v>
      </c>
      <c r="G920" s="3" t="s">
        <v>23</v>
      </c>
      <c r="H920" s="3" t="s">
        <v>31</v>
      </c>
      <c r="I920" s="3" t="s">
        <v>32</v>
      </c>
      <c r="J920" s="3" t="s">
        <v>33</v>
      </c>
      <c r="K920" s="3" t="s">
        <v>28</v>
      </c>
      <c r="L920" s="3" t="s">
        <v>28</v>
      </c>
      <c r="M920" s="3" t="s">
        <v>28</v>
      </c>
      <c r="N920" s="3" t="s">
        <v>28</v>
      </c>
      <c r="O920" s="3" t="s">
        <v>28</v>
      </c>
      <c r="P920" s="3" t="s">
        <v>28</v>
      </c>
      <c r="Q920" s="3" t="s">
        <v>28</v>
      </c>
      <c r="R920" s="3" t="s">
        <v>28</v>
      </c>
      <c r="S920" s="3" t="s">
        <v>28</v>
      </c>
      <c r="T920" s="3" t="s">
        <v>28</v>
      </c>
    </row>
    <row r="921" spans="1:20" ht="409.6">
      <c r="A921" s="3">
        <v>2740236</v>
      </c>
      <c r="B921" s="3">
        <f>HYPERLINK("https://platform.v2.vetology.net/cases/2740236/screening-report/6?type=pdf&amp;v=v6&amp;scorecard=1&amp;secret_key=BX%25IJ%24%2F65ieZ%29f6", 2740236)</f>
        <v>2740236</v>
      </c>
      <c r="C921" s="3">
        <f>HYPERLINK("https://platform.v2.vetology.net/report/v/final/"&amp;2740236, 2740236)</f>
        <v>2740236</v>
      </c>
      <c r="D921" s="3" t="s">
        <v>3550</v>
      </c>
      <c r="E921" s="3" t="s">
        <v>3551</v>
      </c>
      <c r="F921" s="3" t="s">
        <v>3552</v>
      </c>
      <c r="G921" s="3" t="s">
        <v>64</v>
      </c>
      <c r="H921" s="3" t="s">
        <v>658</v>
      </c>
      <c r="I921" s="3" t="s">
        <v>659</v>
      </c>
      <c r="J921" s="3" t="s">
        <v>660</v>
      </c>
      <c r="K921" s="3" t="s">
        <v>27</v>
      </c>
      <c r="L921" s="3" t="s">
        <v>28</v>
      </c>
      <c r="M921" s="3" t="s">
        <v>28</v>
      </c>
      <c r="N921" s="3" t="s">
        <v>28</v>
      </c>
      <c r="O921" s="3" t="s">
        <v>27</v>
      </c>
      <c r="P921" s="3" t="s">
        <v>28</v>
      </c>
      <c r="Q921" s="3" t="s">
        <v>27</v>
      </c>
      <c r="R921" s="3" t="s">
        <v>28</v>
      </c>
      <c r="S921" s="3" t="s">
        <v>28</v>
      </c>
      <c r="T921" s="3" t="s">
        <v>28</v>
      </c>
    </row>
    <row r="922" spans="1:20" ht="351">
      <c r="A922" s="3">
        <v>2740224</v>
      </c>
      <c r="B922" s="3">
        <f>HYPERLINK("https://platform.v2.vetology.net/cases/2740224/screening-report/6?type=pdf&amp;v=v6&amp;scorecard=1&amp;secret_key=BX%25IJ%24%2F65ieZ%29f6", 2740224)</f>
        <v>2740224</v>
      </c>
      <c r="C922" s="3">
        <f>HYPERLINK("https://platform.v2.vetology.net/report/v/final/"&amp;2740224, 2740224)</f>
        <v>2740224</v>
      </c>
      <c r="D922" s="3" t="s">
        <v>3553</v>
      </c>
      <c r="E922" s="3" t="s">
        <v>3554</v>
      </c>
      <c r="F922" s="3" t="s">
        <v>3555</v>
      </c>
      <c r="G922" s="3" t="s">
        <v>23</v>
      </c>
      <c r="H922" s="3" t="s">
        <v>2064</v>
      </c>
      <c r="I922" s="3" t="s">
        <v>1472</v>
      </c>
      <c r="J922" s="3" t="s">
        <v>1374</v>
      </c>
      <c r="K922" s="3" t="s">
        <v>27</v>
      </c>
      <c r="L922" s="3" t="s">
        <v>28</v>
      </c>
      <c r="M922" s="3" t="s">
        <v>27</v>
      </c>
      <c r="N922" s="3" t="s">
        <v>28</v>
      </c>
      <c r="O922" s="3" t="s">
        <v>28</v>
      </c>
      <c r="P922" s="3" t="s">
        <v>28</v>
      </c>
      <c r="Q922" s="3" t="s">
        <v>28</v>
      </c>
      <c r="R922" s="3" t="s">
        <v>28</v>
      </c>
      <c r="S922" s="3" t="s">
        <v>28</v>
      </c>
      <c r="T922" s="3" t="s">
        <v>28</v>
      </c>
    </row>
    <row r="923" spans="1:20" ht="366">
      <c r="A923" s="3">
        <v>2740159</v>
      </c>
      <c r="B923" s="3">
        <f>HYPERLINK("https://platform.v2.vetology.net/cases/2740159/screening-report/6?type=pdf&amp;v=v6&amp;scorecard=1&amp;secret_key=BX%25IJ%24%2F65ieZ%29f6", 2740159)</f>
        <v>2740159</v>
      </c>
      <c r="C923" s="3">
        <f>HYPERLINK("https://platform.v2.vetology.net/report/v/final/"&amp;2740159, 2740159)</f>
        <v>2740159</v>
      </c>
      <c r="D923" s="3" t="s">
        <v>3556</v>
      </c>
      <c r="E923" s="3" t="s">
        <v>3557</v>
      </c>
      <c r="F923" s="3" t="s">
        <v>3558</v>
      </c>
      <c r="G923" s="3" t="s">
        <v>211</v>
      </c>
      <c r="H923" s="3" t="s">
        <v>3559</v>
      </c>
      <c r="I923" s="3" t="s">
        <v>993</v>
      </c>
      <c r="J923" s="3" t="s">
        <v>994</v>
      </c>
      <c r="K923" s="3" t="s">
        <v>28</v>
      </c>
      <c r="L923" s="3" t="s">
        <v>28</v>
      </c>
      <c r="M923" s="3" t="s">
        <v>28</v>
      </c>
      <c r="N923" s="3" t="s">
        <v>28</v>
      </c>
      <c r="O923" s="3" t="s">
        <v>28</v>
      </c>
      <c r="P923" s="3" t="s">
        <v>28</v>
      </c>
      <c r="Q923" s="3" t="s">
        <v>28</v>
      </c>
      <c r="R923" s="3" t="s">
        <v>28</v>
      </c>
      <c r="S923" s="3" t="s">
        <v>28</v>
      </c>
      <c r="T923" s="3" t="s">
        <v>28</v>
      </c>
    </row>
    <row r="924" spans="1:20" ht="366">
      <c r="A924" s="3">
        <v>2740089</v>
      </c>
      <c r="B924" s="3">
        <f>HYPERLINK("https://platform.v2.vetology.net/cases/2740089/screening-report/6?type=pdf&amp;v=v6&amp;scorecard=1&amp;secret_key=BX%25IJ%24%2F65ieZ%29f6", 2740089)</f>
        <v>2740089</v>
      </c>
      <c r="C924" s="3">
        <f>HYPERLINK("https://platform.v2.vetology.net/report/v/final/"&amp;2740089, 2740089)</f>
        <v>2740089</v>
      </c>
      <c r="D924" s="3" t="s">
        <v>3560</v>
      </c>
      <c r="E924" s="3" t="s">
        <v>531</v>
      </c>
      <c r="F924" s="3" t="s">
        <v>3561</v>
      </c>
      <c r="G924" s="3" t="s">
        <v>211</v>
      </c>
      <c r="H924" s="3" t="s">
        <v>3562</v>
      </c>
      <c r="I924" s="3" t="s">
        <v>1483</v>
      </c>
      <c r="J924" s="3" t="s">
        <v>207</v>
      </c>
      <c r="K924" s="3" t="s">
        <v>28</v>
      </c>
      <c r="L924" s="3" t="s">
        <v>28</v>
      </c>
      <c r="M924" s="3" t="s">
        <v>28</v>
      </c>
      <c r="N924" s="3" t="s">
        <v>28</v>
      </c>
      <c r="O924" s="3" t="s">
        <v>27</v>
      </c>
      <c r="P924" s="3" t="s">
        <v>28</v>
      </c>
      <c r="Q924" s="3" t="s">
        <v>28</v>
      </c>
      <c r="R924" s="3" t="s">
        <v>28</v>
      </c>
      <c r="S924" s="3" t="s">
        <v>28</v>
      </c>
      <c r="T924" s="3" t="s">
        <v>27</v>
      </c>
    </row>
    <row r="925" spans="1:20" ht="409.6">
      <c r="A925" s="3">
        <v>2740007</v>
      </c>
      <c r="B925" s="3">
        <f>HYPERLINK("https://platform.v2.vetology.net/cases/2740007/screening-report/6?type=pdf&amp;v=v6&amp;scorecard=1&amp;secret_key=BX%25IJ%24%2F65ieZ%29f6", 2740007)</f>
        <v>2740007</v>
      </c>
      <c r="C925" s="3">
        <f>HYPERLINK("https://platform.v2.vetology.net/report/v/final/"&amp;2740007, 2740007)</f>
        <v>2740007</v>
      </c>
      <c r="D925" s="3" t="s">
        <v>3563</v>
      </c>
      <c r="E925" s="3" t="s">
        <v>3564</v>
      </c>
      <c r="F925" s="3" t="s">
        <v>22</v>
      </c>
      <c r="G925" s="3" t="s">
        <v>23</v>
      </c>
      <c r="H925" s="3" t="s">
        <v>3565</v>
      </c>
      <c r="I925" s="3" t="s">
        <v>878</v>
      </c>
      <c r="J925" s="3" t="s">
        <v>879</v>
      </c>
      <c r="K925" s="3" t="s">
        <v>27</v>
      </c>
      <c r="L925" s="3" t="s">
        <v>27</v>
      </c>
      <c r="M925" s="3" t="s">
        <v>28</v>
      </c>
      <c r="N925" s="3" t="s">
        <v>27</v>
      </c>
      <c r="O925" s="3" t="s">
        <v>27</v>
      </c>
      <c r="P925" s="3" t="s">
        <v>28</v>
      </c>
      <c r="Q925" s="3" t="s">
        <v>28</v>
      </c>
      <c r="R925" s="3" t="s">
        <v>27</v>
      </c>
      <c r="S925" s="3" t="s">
        <v>27</v>
      </c>
      <c r="T925" s="3" t="s">
        <v>27</v>
      </c>
    </row>
    <row r="926" spans="1:20" ht="305.25">
      <c r="A926" s="3">
        <v>2740001</v>
      </c>
      <c r="B926" s="3">
        <f>HYPERLINK("https://platform.v2.vetology.net/cases/2740001/screening-report/6?type=pdf&amp;v=v6&amp;scorecard=1&amp;secret_key=BX%25IJ%24%2F65ieZ%29f6", 2740001)</f>
        <v>2740001</v>
      </c>
      <c r="C926" s="3">
        <f>HYPERLINK("https://platform.v2.vetology.net/report/v/final/"&amp;2740001, 2740001)</f>
        <v>2740001</v>
      </c>
      <c r="D926" s="3" t="s">
        <v>3566</v>
      </c>
      <c r="E926" s="3" t="s">
        <v>3567</v>
      </c>
      <c r="F926" s="3" t="s">
        <v>3568</v>
      </c>
      <c r="G926" s="3" t="s">
        <v>211</v>
      </c>
      <c r="H926" s="3" t="s">
        <v>1421</v>
      </c>
      <c r="I926" s="3" t="s">
        <v>32</v>
      </c>
      <c r="J926" s="3" t="s">
        <v>33</v>
      </c>
      <c r="K926" s="3" t="s">
        <v>28</v>
      </c>
      <c r="L926" s="3" t="s">
        <v>28</v>
      </c>
      <c r="M926" s="3" t="s">
        <v>28</v>
      </c>
      <c r="N926" s="3" t="s">
        <v>28</v>
      </c>
      <c r="O926" s="3" t="s">
        <v>27</v>
      </c>
      <c r="P926" s="3" t="s">
        <v>28</v>
      </c>
      <c r="Q926" s="3" t="s">
        <v>28</v>
      </c>
      <c r="R926" s="3" t="s">
        <v>28</v>
      </c>
      <c r="S926" s="3" t="s">
        <v>28</v>
      </c>
      <c r="T926" s="3" t="s">
        <v>28</v>
      </c>
    </row>
    <row r="927" spans="1:20" ht="409.6">
      <c r="A927" s="3">
        <v>2739994</v>
      </c>
      <c r="B927" s="3">
        <f>HYPERLINK("https://platform.v2.vetology.net/cases/2739994/screening-report/6?type=pdf&amp;v=v6&amp;scorecard=1&amp;secret_key=BX%25IJ%24%2F65ieZ%29f6", 2739994)</f>
        <v>2739994</v>
      </c>
      <c r="C927" s="3">
        <f>HYPERLINK("https://platform.v2.vetology.net/report/v/final/"&amp;2739994, 2739994)</f>
        <v>2739994</v>
      </c>
      <c r="D927" s="3" t="s">
        <v>3569</v>
      </c>
      <c r="E927" s="3" t="s">
        <v>3570</v>
      </c>
      <c r="F927" s="3" t="s">
        <v>3571</v>
      </c>
      <c r="G927" s="3" t="s">
        <v>372</v>
      </c>
      <c r="H927" s="3" t="s">
        <v>1802</v>
      </c>
      <c r="I927" s="3" t="s">
        <v>1803</v>
      </c>
      <c r="J927" s="3" t="s">
        <v>1804</v>
      </c>
      <c r="K927" s="3" t="s">
        <v>28</v>
      </c>
      <c r="L927" s="3" t="s">
        <v>27</v>
      </c>
      <c r="M927" s="3" t="s">
        <v>28</v>
      </c>
      <c r="N927" s="3" t="s">
        <v>27</v>
      </c>
      <c r="O927" s="3" t="s">
        <v>27</v>
      </c>
      <c r="P927" s="3" t="s">
        <v>28</v>
      </c>
      <c r="Q927" s="3" t="s">
        <v>27</v>
      </c>
      <c r="R927" s="3" t="s">
        <v>27</v>
      </c>
      <c r="S927" s="3" t="s">
        <v>27</v>
      </c>
      <c r="T927" s="3" t="s">
        <v>27</v>
      </c>
    </row>
    <row r="928" spans="1:20" ht="409.6">
      <c r="A928" s="3">
        <v>2739959</v>
      </c>
      <c r="B928" s="3">
        <f>HYPERLINK("https://platform.v2.vetology.net/cases/2739959/screening-report/6?type=pdf&amp;v=v6&amp;scorecard=1&amp;secret_key=BX%25IJ%24%2F65ieZ%29f6", 2739959)</f>
        <v>2739959</v>
      </c>
      <c r="C928" s="3">
        <f>HYPERLINK("https://platform.v2.vetology.net/report/v/final/"&amp;2739959, 2739959)</f>
        <v>2739959</v>
      </c>
      <c r="D928" s="3" t="s">
        <v>3572</v>
      </c>
      <c r="E928" s="3" t="s">
        <v>3573</v>
      </c>
      <c r="F928" s="3" t="s">
        <v>22</v>
      </c>
      <c r="G928" s="3" t="s">
        <v>372</v>
      </c>
      <c r="H928" s="3" t="s">
        <v>3574</v>
      </c>
      <c r="I928" s="3" t="s">
        <v>285</v>
      </c>
      <c r="J928" s="3" t="s">
        <v>2264</v>
      </c>
      <c r="K928" s="3" t="s">
        <v>28</v>
      </c>
      <c r="L928" s="3" t="s">
        <v>28</v>
      </c>
      <c r="M928" s="3" t="s">
        <v>28</v>
      </c>
      <c r="N928" s="3" t="s">
        <v>28</v>
      </c>
      <c r="O928" s="3" t="s">
        <v>27</v>
      </c>
      <c r="P928" s="3" t="s">
        <v>28</v>
      </c>
      <c r="Q928" s="3" t="s">
        <v>28</v>
      </c>
      <c r="R928" s="3" t="s">
        <v>28</v>
      </c>
      <c r="S928" s="3" t="s">
        <v>27</v>
      </c>
      <c r="T928" s="3" t="s">
        <v>27</v>
      </c>
    </row>
    <row r="929" spans="1:20" ht="409.6">
      <c r="A929" s="3">
        <v>2739938</v>
      </c>
      <c r="B929" s="3">
        <f>HYPERLINK("https://platform.v2.vetology.net/cases/2739938/screening-report/6?type=pdf&amp;v=v6&amp;scorecard=1&amp;secret_key=BX%25IJ%24%2F65ieZ%29f6", 2739938)</f>
        <v>2739938</v>
      </c>
      <c r="C929" s="3">
        <f>HYPERLINK("https://platform.v2.vetology.net/report/v/final/"&amp;2739938, 2739938)</f>
        <v>2739938</v>
      </c>
      <c r="D929" s="3" t="s">
        <v>3575</v>
      </c>
      <c r="E929" s="3" t="s">
        <v>3576</v>
      </c>
      <c r="F929" s="3" t="s">
        <v>3577</v>
      </c>
      <c r="G929" s="3" t="s">
        <v>64</v>
      </c>
      <c r="H929" s="3" t="s">
        <v>3578</v>
      </c>
      <c r="I929" s="3" t="s">
        <v>291</v>
      </c>
      <c r="J929" s="3" t="s">
        <v>225</v>
      </c>
      <c r="K929" s="3" t="s">
        <v>28</v>
      </c>
      <c r="L929" s="3" t="s">
        <v>27</v>
      </c>
      <c r="M929" s="3" t="s">
        <v>28</v>
      </c>
      <c r="N929" s="3" t="s">
        <v>28</v>
      </c>
      <c r="O929" s="3" t="s">
        <v>27</v>
      </c>
      <c r="P929" s="3" t="s">
        <v>28</v>
      </c>
      <c r="Q929" s="3" t="s">
        <v>28</v>
      </c>
      <c r="R929" s="3" t="s">
        <v>27</v>
      </c>
      <c r="S929" s="3" t="s">
        <v>28</v>
      </c>
      <c r="T929" s="3" t="s">
        <v>27</v>
      </c>
    </row>
    <row r="930" spans="1:20" ht="409.6">
      <c r="A930" s="3">
        <v>2739913</v>
      </c>
      <c r="B930" s="3">
        <f>HYPERLINK("https://platform.v2.vetology.net/cases/2739913/screening-report/6?type=pdf&amp;v=v6&amp;scorecard=1&amp;secret_key=BX%25IJ%24%2F65ieZ%29f6", 2739913)</f>
        <v>2739913</v>
      </c>
      <c r="C930" s="3">
        <f>HYPERLINK("https://platform.v2.vetology.net/report/v/final/"&amp;2739913, 2739913)</f>
        <v>2739913</v>
      </c>
      <c r="D930" s="3" t="s">
        <v>3579</v>
      </c>
      <c r="E930" s="3" t="s">
        <v>3580</v>
      </c>
      <c r="F930" s="3" t="s">
        <v>56</v>
      </c>
      <c r="G930" s="3" t="s">
        <v>57</v>
      </c>
      <c r="H930" s="3" t="s">
        <v>3581</v>
      </c>
      <c r="I930" s="3" t="s">
        <v>2565</v>
      </c>
      <c r="J930" s="3" t="s">
        <v>2566</v>
      </c>
      <c r="K930" s="3" t="s">
        <v>27</v>
      </c>
      <c r="L930" s="3" t="s">
        <v>27</v>
      </c>
      <c r="M930" s="3" t="s">
        <v>28</v>
      </c>
      <c r="N930" s="3" t="s">
        <v>27</v>
      </c>
      <c r="O930" s="3" t="s">
        <v>27</v>
      </c>
      <c r="P930" s="3" t="s">
        <v>28</v>
      </c>
      <c r="Q930" s="3" t="s">
        <v>27</v>
      </c>
      <c r="R930" s="3" t="s">
        <v>28</v>
      </c>
      <c r="S930" s="3" t="s">
        <v>27</v>
      </c>
      <c r="T930" s="3" t="s">
        <v>27</v>
      </c>
    </row>
    <row r="931" spans="1:20" ht="409.6">
      <c r="A931" s="3">
        <v>2739897</v>
      </c>
      <c r="B931" s="3">
        <f>HYPERLINK("https://platform.v2.vetology.net/cases/2739897/screening-report/6?type=pdf&amp;v=v6&amp;scorecard=1&amp;secret_key=BX%25IJ%24%2F65ieZ%29f6", 2739897)</f>
        <v>2739897</v>
      </c>
      <c r="C931" s="3">
        <f>HYPERLINK("https://platform.v2.vetology.net/report/v/final/"&amp;2739897, 2739897)</f>
        <v>2739897</v>
      </c>
      <c r="D931" s="3" t="s">
        <v>3582</v>
      </c>
      <c r="E931" s="3" t="s">
        <v>531</v>
      </c>
      <c r="F931" s="3" t="s">
        <v>3583</v>
      </c>
      <c r="G931" s="3" t="s">
        <v>211</v>
      </c>
      <c r="H931" s="3" t="s">
        <v>3584</v>
      </c>
      <c r="I931" s="3" t="s">
        <v>59</v>
      </c>
      <c r="J931" s="3" t="s">
        <v>60</v>
      </c>
      <c r="K931" s="3" t="s">
        <v>28</v>
      </c>
      <c r="L931" s="3" t="s">
        <v>28</v>
      </c>
      <c r="M931" s="3" t="s">
        <v>28</v>
      </c>
      <c r="N931" s="3" t="s">
        <v>27</v>
      </c>
      <c r="O931" s="3" t="s">
        <v>28</v>
      </c>
      <c r="P931" s="3" t="s">
        <v>28</v>
      </c>
      <c r="Q931" s="3" t="s">
        <v>28</v>
      </c>
      <c r="R931" s="3" t="s">
        <v>28</v>
      </c>
      <c r="S931" s="3" t="s">
        <v>28</v>
      </c>
      <c r="T931" s="3" t="s">
        <v>27</v>
      </c>
    </row>
    <row r="932" spans="1:20" ht="229.5">
      <c r="A932" s="3">
        <v>2739866</v>
      </c>
      <c r="B932" s="3">
        <f>HYPERLINK("https://platform.v2.vetology.net/cases/2739866/screening-report/6?type=pdf&amp;v=v6&amp;scorecard=1&amp;secret_key=BX%25IJ%24%2F65ieZ%29f6", 2739866)</f>
        <v>2739866</v>
      </c>
      <c r="C932" s="3">
        <f>HYPERLINK("https://platform.v2.vetology.net/report/v/final/"&amp;2739866, 2739866)</f>
        <v>2739866</v>
      </c>
      <c r="D932" s="3" t="s">
        <v>3585</v>
      </c>
      <c r="E932" s="3" t="s">
        <v>3586</v>
      </c>
      <c r="F932" s="3" t="s">
        <v>3587</v>
      </c>
      <c r="G932" s="3" t="s">
        <v>100</v>
      </c>
      <c r="H932" s="3" t="s">
        <v>3588</v>
      </c>
      <c r="I932" s="3" t="s">
        <v>305</v>
      </c>
      <c r="J932" s="3" t="s">
        <v>2419</v>
      </c>
      <c r="K932" s="3" t="s">
        <v>27</v>
      </c>
      <c r="L932" s="3" t="s">
        <v>27</v>
      </c>
      <c r="M932" s="3" t="s">
        <v>27</v>
      </c>
      <c r="N932" s="3" t="s">
        <v>28</v>
      </c>
      <c r="O932" s="3" t="s">
        <v>27</v>
      </c>
      <c r="P932" s="3" t="s">
        <v>28</v>
      </c>
      <c r="Q932" s="3" t="s">
        <v>27</v>
      </c>
      <c r="R932" s="3" t="s">
        <v>28</v>
      </c>
      <c r="S932" s="3" t="s">
        <v>27</v>
      </c>
      <c r="T932" s="3" t="s">
        <v>28</v>
      </c>
    </row>
    <row r="933" spans="1:20" ht="409.6">
      <c r="A933" s="3">
        <v>2739833</v>
      </c>
      <c r="B933" s="3">
        <f>HYPERLINK("https://platform.v2.vetology.net/cases/2739833/screening-report/6?type=pdf&amp;v=v6&amp;scorecard=1&amp;secret_key=BX%25IJ%24%2F65ieZ%29f6", 2739833)</f>
        <v>2739833</v>
      </c>
      <c r="C933" s="3">
        <f>HYPERLINK("https://platform.v2.vetology.net/report/v/final/"&amp;2739833, 2739833)</f>
        <v>2739833</v>
      </c>
      <c r="D933" s="3" t="s">
        <v>3589</v>
      </c>
      <c r="E933" s="3" t="s">
        <v>3590</v>
      </c>
      <c r="F933" s="3" t="s">
        <v>22</v>
      </c>
      <c r="G933" s="3" t="s">
        <v>23</v>
      </c>
      <c r="H933" s="3" t="s">
        <v>3591</v>
      </c>
      <c r="I933" s="3" t="s">
        <v>147</v>
      </c>
      <c r="J933" s="3" t="s">
        <v>148</v>
      </c>
      <c r="K933" s="3" t="s">
        <v>28</v>
      </c>
      <c r="L933" s="3" t="s">
        <v>28</v>
      </c>
      <c r="M933" s="3" t="s">
        <v>28</v>
      </c>
      <c r="N933" s="3" t="s">
        <v>28</v>
      </c>
      <c r="O933" s="3" t="s">
        <v>27</v>
      </c>
      <c r="P933" s="3" t="s">
        <v>27</v>
      </c>
      <c r="Q933" s="3" t="s">
        <v>28</v>
      </c>
      <c r="R933" s="3" t="s">
        <v>28</v>
      </c>
      <c r="S933" s="3" t="s">
        <v>28</v>
      </c>
      <c r="T933" s="3" t="s">
        <v>28</v>
      </c>
    </row>
    <row r="934" spans="1:20" ht="244.5">
      <c r="A934" s="3">
        <v>2739822</v>
      </c>
      <c r="B934" s="3">
        <f>HYPERLINK("https://platform.v2.vetology.net/cases/2739822/screening-report/6?type=pdf&amp;v=v6&amp;scorecard=1&amp;secret_key=BX%25IJ%24%2F65ieZ%29f6", 2739822)</f>
        <v>2739822</v>
      </c>
      <c r="C934" s="3">
        <f>HYPERLINK("https://platform.v2.vetology.net/report/v/final/"&amp;2739822, 2739822)</f>
        <v>2739822</v>
      </c>
      <c r="D934" s="3" t="s">
        <v>3592</v>
      </c>
      <c r="E934" s="3" t="s">
        <v>3593</v>
      </c>
      <c r="F934" s="3" t="s">
        <v>22</v>
      </c>
      <c r="G934" s="3" t="s">
        <v>23</v>
      </c>
      <c r="H934" s="3" t="s">
        <v>300</v>
      </c>
      <c r="I934" s="3" t="s">
        <v>32</v>
      </c>
      <c r="J934" s="3" t="s">
        <v>119</v>
      </c>
      <c r="K934" s="3" t="s">
        <v>28</v>
      </c>
      <c r="L934" s="3" t="s">
        <v>28</v>
      </c>
      <c r="M934" s="3" t="s">
        <v>28</v>
      </c>
      <c r="N934" s="3" t="s">
        <v>28</v>
      </c>
      <c r="O934" s="3" t="s">
        <v>27</v>
      </c>
      <c r="P934" s="3" t="s">
        <v>28</v>
      </c>
      <c r="Q934" s="3" t="s">
        <v>28</v>
      </c>
      <c r="R934" s="3" t="s">
        <v>28</v>
      </c>
      <c r="S934" s="3" t="s">
        <v>28</v>
      </c>
      <c r="T934" s="3" t="s">
        <v>28</v>
      </c>
    </row>
    <row r="935" spans="1:20" ht="409.6">
      <c r="A935" s="3">
        <v>2739780</v>
      </c>
      <c r="B935" s="3">
        <f>HYPERLINK("https://platform.v2.vetology.net/cases/2739780/screening-report/6?type=pdf&amp;v=v6&amp;scorecard=1&amp;secret_key=BX%25IJ%24%2F65ieZ%29f6", 2739780)</f>
        <v>2739780</v>
      </c>
      <c r="C935" s="3">
        <f>HYPERLINK("https://platform.v2.vetology.net/report/v/final/"&amp;2739780, 2739780)</f>
        <v>2739780</v>
      </c>
      <c r="D935" s="3" t="s">
        <v>3594</v>
      </c>
      <c r="E935" s="3" t="s">
        <v>3595</v>
      </c>
      <c r="F935" s="3" t="s">
        <v>3596</v>
      </c>
      <c r="G935" s="3" t="s">
        <v>64</v>
      </c>
      <c r="H935" s="3" t="s">
        <v>31</v>
      </c>
      <c r="I935" s="3" t="s">
        <v>32</v>
      </c>
      <c r="J935" s="3" t="s">
        <v>33</v>
      </c>
      <c r="K935" s="3" t="s">
        <v>28</v>
      </c>
      <c r="L935" s="3" t="s">
        <v>28</v>
      </c>
      <c r="M935" s="3" t="s">
        <v>28</v>
      </c>
      <c r="N935" s="3" t="s">
        <v>28</v>
      </c>
      <c r="O935" s="3" t="s">
        <v>28</v>
      </c>
      <c r="P935" s="3" t="s">
        <v>28</v>
      </c>
      <c r="Q935" s="3" t="s">
        <v>28</v>
      </c>
      <c r="R935" s="3" t="s">
        <v>28</v>
      </c>
      <c r="S935" s="3" t="s">
        <v>28</v>
      </c>
      <c r="T935" s="3" t="s">
        <v>28</v>
      </c>
    </row>
    <row r="936" spans="1:20" ht="305.25">
      <c r="A936" s="3">
        <v>2739745</v>
      </c>
      <c r="B936" s="3">
        <f>HYPERLINK("https://platform.v2.vetology.net/cases/2739745/screening-report/6?type=pdf&amp;v=v6&amp;scorecard=1&amp;secret_key=BX%25IJ%24%2F65ieZ%29f6", 2739745)</f>
        <v>2739745</v>
      </c>
      <c r="C936" s="3">
        <f>HYPERLINK("https://platform.v2.vetology.net/report/v/final/"&amp;2739745, 2739745)</f>
        <v>2739745</v>
      </c>
      <c r="D936" s="3" t="s">
        <v>3597</v>
      </c>
      <c r="E936" s="3" t="s">
        <v>3598</v>
      </c>
      <c r="F936" s="3" t="s">
        <v>3599</v>
      </c>
      <c r="G936" s="3" t="s">
        <v>64</v>
      </c>
      <c r="H936" s="3" t="s">
        <v>1597</v>
      </c>
      <c r="I936" s="3" t="s">
        <v>32</v>
      </c>
      <c r="J936" s="3" t="s">
        <v>33</v>
      </c>
      <c r="K936" s="3" t="s">
        <v>28</v>
      </c>
      <c r="L936" s="3" t="s">
        <v>28</v>
      </c>
      <c r="M936" s="3" t="s">
        <v>28</v>
      </c>
      <c r="N936" s="3" t="s">
        <v>28</v>
      </c>
      <c r="O936" s="3" t="s">
        <v>28</v>
      </c>
      <c r="P936" s="3" t="s">
        <v>28</v>
      </c>
      <c r="Q936" s="3" t="s">
        <v>28</v>
      </c>
      <c r="R936" s="3" t="s">
        <v>28</v>
      </c>
      <c r="S936" s="3" t="s">
        <v>28</v>
      </c>
      <c r="T936" s="3" t="s">
        <v>28</v>
      </c>
    </row>
    <row r="937" spans="1:20" ht="409.6">
      <c r="A937" s="3">
        <v>2739652</v>
      </c>
      <c r="B937" s="3">
        <f>HYPERLINK("https://platform.v2.vetology.net/cases/2739652/screening-report/6?type=pdf&amp;v=v6&amp;scorecard=1&amp;secret_key=BX%25IJ%24%2F65ieZ%29f6", 2739652)</f>
        <v>2739652</v>
      </c>
      <c r="C937" s="3">
        <f>HYPERLINK("https://platform.v2.vetology.net/report/v/final/"&amp;2739652, 2739652)</f>
        <v>2739652</v>
      </c>
      <c r="D937" s="3" t="s">
        <v>3600</v>
      </c>
      <c r="E937" s="3" t="s">
        <v>3601</v>
      </c>
      <c r="F937" s="3" t="s">
        <v>22</v>
      </c>
      <c r="G937" s="3" t="s">
        <v>100</v>
      </c>
      <c r="H937" s="3" t="s">
        <v>2702</v>
      </c>
      <c r="I937" s="3" t="s">
        <v>59</v>
      </c>
      <c r="J937" s="3" t="s">
        <v>60</v>
      </c>
      <c r="K937" s="3" t="s">
        <v>28</v>
      </c>
      <c r="L937" s="3" t="s">
        <v>28</v>
      </c>
      <c r="M937" s="3" t="s">
        <v>28</v>
      </c>
      <c r="N937" s="3" t="s">
        <v>27</v>
      </c>
      <c r="O937" s="3" t="s">
        <v>27</v>
      </c>
      <c r="P937" s="3" t="s">
        <v>28</v>
      </c>
      <c r="Q937" s="3" t="s">
        <v>28</v>
      </c>
      <c r="R937" s="3" t="s">
        <v>27</v>
      </c>
      <c r="S937" s="3" t="s">
        <v>28</v>
      </c>
      <c r="T937" s="3" t="s">
        <v>27</v>
      </c>
    </row>
    <row r="938" spans="1:20" ht="409.6">
      <c r="A938" s="3">
        <v>2739619</v>
      </c>
      <c r="B938" s="3">
        <f>HYPERLINK("https://platform.v2.vetology.net/cases/2739619/screening-report/6?type=pdf&amp;v=v6&amp;scorecard=1&amp;secret_key=BX%25IJ%24%2F65ieZ%29f6", 2739619)</f>
        <v>2739619</v>
      </c>
      <c r="C938" s="3">
        <f>HYPERLINK("https://platform.v2.vetology.net/report/v/final/"&amp;2739619, 2739619)</f>
        <v>2739619</v>
      </c>
      <c r="D938" s="3" t="s">
        <v>3602</v>
      </c>
      <c r="E938" s="3" t="s">
        <v>3603</v>
      </c>
      <c r="F938" s="3" t="s">
        <v>22</v>
      </c>
      <c r="G938" s="3" t="s">
        <v>372</v>
      </c>
      <c r="H938" s="3" t="s">
        <v>3604</v>
      </c>
      <c r="I938" s="3" t="s">
        <v>1135</v>
      </c>
      <c r="J938" s="3" t="s">
        <v>1136</v>
      </c>
      <c r="K938" s="3" t="s">
        <v>28</v>
      </c>
      <c r="L938" s="3" t="s">
        <v>27</v>
      </c>
      <c r="M938" s="3" t="s">
        <v>28</v>
      </c>
      <c r="N938" s="3" t="s">
        <v>27</v>
      </c>
      <c r="O938" s="3" t="s">
        <v>27</v>
      </c>
      <c r="P938" s="3" t="s">
        <v>28</v>
      </c>
      <c r="Q938" s="3" t="s">
        <v>27</v>
      </c>
      <c r="R938" s="3" t="s">
        <v>27</v>
      </c>
      <c r="S938" s="3" t="s">
        <v>27</v>
      </c>
      <c r="T938" s="3" t="s">
        <v>27</v>
      </c>
    </row>
    <row r="939" spans="1:20" ht="396.75">
      <c r="A939" s="3">
        <v>2739599</v>
      </c>
      <c r="B939" s="3">
        <f>HYPERLINK("https://platform.v2.vetology.net/cases/2739599/screening-report/6?type=pdf&amp;v=v6&amp;scorecard=1&amp;secret_key=BX%25IJ%24%2F65ieZ%29f6", 2739599)</f>
        <v>2739599</v>
      </c>
      <c r="C939" s="3">
        <f>HYPERLINK("https://platform.v2.vetology.net/report/v/final/"&amp;2739599, 2739599)</f>
        <v>2739599</v>
      </c>
      <c r="D939" s="3" t="s">
        <v>3605</v>
      </c>
      <c r="E939" s="3" t="s">
        <v>3606</v>
      </c>
      <c r="F939" s="3" t="s">
        <v>22</v>
      </c>
      <c r="G939" s="3" t="s">
        <v>372</v>
      </c>
      <c r="H939" s="3" t="s">
        <v>3607</v>
      </c>
      <c r="I939" s="3" t="s">
        <v>768</v>
      </c>
      <c r="J939" s="3" t="s">
        <v>769</v>
      </c>
      <c r="K939" s="3" t="s">
        <v>28</v>
      </c>
      <c r="L939" s="3" t="s">
        <v>28</v>
      </c>
      <c r="M939" s="3" t="s">
        <v>28</v>
      </c>
      <c r="N939" s="3" t="s">
        <v>28</v>
      </c>
      <c r="O939" s="3" t="s">
        <v>28</v>
      </c>
      <c r="P939" s="3" t="s">
        <v>28</v>
      </c>
      <c r="Q939" s="3" t="s">
        <v>27</v>
      </c>
      <c r="R939" s="3" t="s">
        <v>28</v>
      </c>
      <c r="S939" s="3" t="s">
        <v>28</v>
      </c>
      <c r="T939" s="3" t="s">
        <v>27</v>
      </c>
    </row>
    <row r="940" spans="1:20" ht="305.25">
      <c r="A940" s="3">
        <v>2739534</v>
      </c>
      <c r="B940" s="3">
        <f>HYPERLINK("https://platform.v2.vetology.net/cases/2739534/screening-report/6?type=pdf&amp;v=v6&amp;scorecard=1&amp;secret_key=BX%25IJ%24%2F65ieZ%29f6", 2739534)</f>
        <v>2739534</v>
      </c>
      <c r="C940" s="3">
        <f>HYPERLINK("https://platform.v2.vetology.net/report/v/final/"&amp;2739534, 2739534)</f>
        <v>2739534</v>
      </c>
      <c r="D940" s="3" t="s">
        <v>3608</v>
      </c>
      <c r="E940" s="3" t="s">
        <v>3609</v>
      </c>
      <c r="F940" s="3" t="s">
        <v>22</v>
      </c>
      <c r="G940" s="3" t="s">
        <v>23</v>
      </c>
      <c r="H940" s="3" t="s">
        <v>403</v>
      </c>
      <c r="I940" s="3" t="s">
        <v>643</v>
      </c>
      <c r="J940" s="3" t="s">
        <v>143</v>
      </c>
      <c r="K940" s="3" t="s">
        <v>28</v>
      </c>
      <c r="L940" s="3" t="s">
        <v>27</v>
      </c>
      <c r="M940" s="3" t="s">
        <v>28</v>
      </c>
      <c r="N940" s="3" t="s">
        <v>27</v>
      </c>
      <c r="O940" s="3" t="s">
        <v>27</v>
      </c>
      <c r="P940" s="3" t="s">
        <v>28</v>
      </c>
      <c r="Q940" s="3" t="s">
        <v>28</v>
      </c>
      <c r="R940" s="3" t="s">
        <v>28</v>
      </c>
      <c r="S940" s="3" t="s">
        <v>28</v>
      </c>
      <c r="T940" s="3" t="s">
        <v>27</v>
      </c>
    </row>
    <row r="941" spans="1:20" ht="396.75">
      <c r="A941" s="3">
        <v>2739517</v>
      </c>
      <c r="B941" s="3">
        <f>HYPERLINK("https://platform.v2.vetology.net/cases/2739517/screening-report/6?type=pdf&amp;v=v6&amp;scorecard=1&amp;secret_key=BX%25IJ%24%2F65ieZ%29f6", 2739517)</f>
        <v>2739517</v>
      </c>
      <c r="C941" s="3">
        <f>HYPERLINK("https://platform.v2.vetology.net/report/v/final/"&amp;2739517, 2739517)</f>
        <v>2739517</v>
      </c>
      <c r="D941" s="3" t="s">
        <v>3610</v>
      </c>
      <c r="E941" s="3" t="s">
        <v>3611</v>
      </c>
      <c r="F941" s="3" t="s">
        <v>3612</v>
      </c>
      <c r="G941" s="3" t="s">
        <v>211</v>
      </c>
      <c r="H941" s="3" t="s">
        <v>3613</v>
      </c>
      <c r="I941" s="3" t="s">
        <v>3614</v>
      </c>
      <c r="J941" s="3" t="s">
        <v>3615</v>
      </c>
      <c r="K941" s="3" t="s">
        <v>28</v>
      </c>
      <c r="L941" s="3" t="s">
        <v>27</v>
      </c>
      <c r="M941" s="3" t="s">
        <v>27</v>
      </c>
      <c r="N941" s="3" t="s">
        <v>28</v>
      </c>
      <c r="O941" s="3" t="s">
        <v>27</v>
      </c>
      <c r="P941" s="3" t="s">
        <v>27</v>
      </c>
      <c r="Q941" s="3" t="s">
        <v>28</v>
      </c>
      <c r="R941" s="3" t="s">
        <v>28</v>
      </c>
      <c r="S941" s="3" t="s">
        <v>28</v>
      </c>
      <c r="T941" s="3" t="s">
        <v>27</v>
      </c>
    </row>
    <row r="942" spans="1:20" ht="290.25">
      <c r="A942" s="3">
        <v>2739513</v>
      </c>
      <c r="B942" s="3">
        <f>HYPERLINK("https://platform.v2.vetology.net/cases/2739513/screening-report/6?type=pdf&amp;v=v6&amp;scorecard=1&amp;secret_key=BX%25IJ%24%2F65ieZ%29f6", 2739513)</f>
        <v>2739513</v>
      </c>
      <c r="C942" s="3">
        <f>HYPERLINK("https://platform.v2.vetology.net/report/v/final/"&amp;2739513, 2739513)</f>
        <v>2739513</v>
      </c>
      <c r="D942" s="3" t="s">
        <v>3616</v>
      </c>
      <c r="E942" s="3" t="s">
        <v>3617</v>
      </c>
      <c r="F942" s="3"/>
      <c r="G942" s="3" t="s">
        <v>122</v>
      </c>
      <c r="H942" s="3" t="s">
        <v>3618</v>
      </c>
      <c r="I942" s="3" t="s">
        <v>3619</v>
      </c>
      <c r="J942" s="3" t="s">
        <v>3620</v>
      </c>
      <c r="K942" s="3" t="s">
        <v>27</v>
      </c>
      <c r="L942" s="3" t="s">
        <v>28</v>
      </c>
      <c r="M942" s="3" t="s">
        <v>28</v>
      </c>
      <c r="N942" s="3" t="s">
        <v>27</v>
      </c>
      <c r="O942" s="3" t="s">
        <v>27</v>
      </c>
      <c r="P942" s="3" t="s">
        <v>27</v>
      </c>
      <c r="Q942" s="3" t="s">
        <v>27</v>
      </c>
      <c r="R942" s="3" t="s">
        <v>28</v>
      </c>
      <c r="S942" s="3" t="s">
        <v>28</v>
      </c>
      <c r="T942" s="3" t="s">
        <v>27</v>
      </c>
    </row>
    <row r="943" spans="1:20" ht="409.6">
      <c r="A943" s="3">
        <v>2739512</v>
      </c>
      <c r="B943" s="3">
        <f>HYPERLINK("https://platform.v2.vetology.net/cases/2739512/screening-report/6?type=pdf&amp;v=v6&amp;scorecard=1&amp;secret_key=BX%25IJ%24%2F65ieZ%29f6", 2739512)</f>
        <v>2739512</v>
      </c>
      <c r="C943" s="3">
        <f>HYPERLINK("https://platform.v2.vetology.net/report/v/final/"&amp;2739512, 2739512)</f>
        <v>2739512</v>
      </c>
      <c r="D943" s="3" t="s">
        <v>3621</v>
      </c>
      <c r="E943" s="3" t="s">
        <v>1089</v>
      </c>
      <c r="F943" s="3" t="s">
        <v>1090</v>
      </c>
      <c r="G943" s="3" t="s">
        <v>100</v>
      </c>
      <c r="H943" s="3" t="s">
        <v>3622</v>
      </c>
      <c r="I943" s="3" t="s">
        <v>852</v>
      </c>
      <c r="J943" s="3" t="s">
        <v>335</v>
      </c>
      <c r="K943" s="3" t="s">
        <v>28</v>
      </c>
      <c r="L943" s="3" t="s">
        <v>28</v>
      </c>
      <c r="M943" s="3" t="s">
        <v>28</v>
      </c>
      <c r="N943" s="3" t="s">
        <v>28</v>
      </c>
      <c r="O943" s="3" t="s">
        <v>28</v>
      </c>
      <c r="P943" s="3" t="s">
        <v>28</v>
      </c>
      <c r="Q943" s="3" t="s">
        <v>28</v>
      </c>
      <c r="R943" s="3" t="s">
        <v>28</v>
      </c>
      <c r="S943" s="3" t="s">
        <v>28</v>
      </c>
      <c r="T943" s="3" t="s">
        <v>28</v>
      </c>
    </row>
    <row r="944" spans="1:20" ht="305.25">
      <c r="A944" s="3">
        <v>2739455</v>
      </c>
      <c r="B944" s="3">
        <f>HYPERLINK("https://platform.v2.vetology.net/cases/2739455/screening-report/6?type=pdf&amp;v=v6&amp;scorecard=1&amp;secret_key=BX%25IJ%24%2F65ieZ%29f6", 2739455)</f>
        <v>2739455</v>
      </c>
      <c r="C944" s="3">
        <f>HYPERLINK("https://platform.v2.vetology.net/report/v/final/"&amp;2739455, 2739455)</f>
        <v>2739455</v>
      </c>
      <c r="D944" s="3" t="s">
        <v>3623</v>
      </c>
      <c r="E944" s="3" t="s">
        <v>3624</v>
      </c>
      <c r="F944" s="3" t="s">
        <v>902</v>
      </c>
      <c r="G944" s="3" t="s">
        <v>186</v>
      </c>
      <c r="H944" s="3" t="s">
        <v>3625</v>
      </c>
      <c r="I944" s="3" t="s">
        <v>1373</v>
      </c>
      <c r="J944" s="3" t="s">
        <v>33</v>
      </c>
      <c r="K944" s="3" t="s">
        <v>28</v>
      </c>
      <c r="L944" s="3" t="s">
        <v>28</v>
      </c>
      <c r="M944" s="3" t="s">
        <v>28</v>
      </c>
      <c r="N944" s="3" t="s">
        <v>28</v>
      </c>
      <c r="O944" s="3" t="s">
        <v>27</v>
      </c>
      <c r="P944" s="3" t="s">
        <v>27</v>
      </c>
      <c r="Q944" s="3" t="s">
        <v>27</v>
      </c>
      <c r="R944" s="3" t="s">
        <v>27</v>
      </c>
      <c r="S944" s="3" t="s">
        <v>28</v>
      </c>
      <c r="T944" s="3" t="s">
        <v>27</v>
      </c>
    </row>
    <row r="945" spans="1:20" ht="366">
      <c r="A945" s="3">
        <v>2739407</v>
      </c>
      <c r="B945" s="3">
        <f>HYPERLINK("https://platform.v2.vetology.net/cases/2739407/screening-report/6?type=pdf&amp;v=v6&amp;scorecard=1&amp;secret_key=BX%25IJ%24%2F65ieZ%29f6", 2739407)</f>
        <v>2739407</v>
      </c>
      <c r="C945" s="3">
        <f>HYPERLINK("https://platform.v2.vetology.net/report/v/final/"&amp;2739407, 2739407)</f>
        <v>2739407</v>
      </c>
      <c r="D945" s="3" t="s">
        <v>3626</v>
      </c>
      <c r="E945" s="3" t="s">
        <v>3627</v>
      </c>
      <c r="F945" s="3" t="s">
        <v>3628</v>
      </c>
      <c r="G945" s="3" t="s">
        <v>57</v>
      </c>
      <c r="H945" s="3" t="s">
        <v>3629</v>
      </c>
      <c r="I945" s="3" t="s">
        <v>3630</v>
      </c>
      <c r="J945" s="3" t="s">
        <v>207</v>
      </c>
      <c r="K945" s="3" t="s">
        <v>27</v>
      </c>
      <c r="L945" s="3" t="s">
        <v>27</v>
      </c>
      <c r="M945" s="3" t="s">
        <v>27</v>
      </c>
      <c r="N945" s="3" t="s">
        <v>28</v>
      </c>
      <c r="O945" s="3" t="s">
        <v>27</v>
      </c>
      <c r="P945" s="3" t="s">
        <v>27</v>
      </c>
      <c r="Q945" s="3" t="s">
        <v>27</v>
      </c>
      <c r="R945" s="3" t="s">
        <v>28</v>
      </c>
      <c r="S945" s="3" t="s">
        <v>27</v>
      </c>
      <c r="T945" s="3" t="s">
        <v>27</v>
      </c>
    </row>
    <row r="946" spans="1:20" ht="336">
      <c r="A946" s="3">
        <v>2739392</v>
      </c>
      <c r="B946" s="3">
        <f>HYPERLINK("https://platform.v2.vetology.net/cases/2739392/screening-report/6?type=pdf&amp;v=v6&amp;scorecard=1&amp;secret_key=BX%25IJ%24%2F65ieZ%29f6", 2739392)</f>
        <v>2739392</v>
      </c>
      <c r="C946" s="3">
        <f>HYPERLINK("https://platform.v2.vetology.net/report/v/final/"&amp;2739392, 2739392)</f>
        <v>2739392</v>
      </c>
      <c r="D946" s="3" t="s">
        <v>3631</v>
      </c>
      <c r="E946" s="3" t="s">
        <v>3632</v>
      </c>
      <c r="F946" s="3" t="s">
        <v>1762</v>
      </c>
      <c r="G946" s="3" t="s">
        <v>100</v>
      </c>
      <c r="H946" s="3" t="s">
        <v>3633</v>
      </c>
      <c r="I946" s="3" t="s">
        <v>124</v>
      </c>
      <c r="J946" s="3" t="s">
        <v>125</v>
      </c>
      <c r="K946" s="3" t="s">
        <v>27</v>
      </c>
      <c r="L946" s="3" t="s">
        <v>28</v>
      </c>
      <c r="M946" s="3" t="s">
        <v>27</v>
      </c>
      <c r="N946" s="3" t="s">
        <v>28</v>
      </c>
      <c r="O946" s="3" t="s">
        <v>27</v>
      </c>
      <c r="P946" s="3" t="s">
        <v>28</v>
      </c>
      <c r="Q946" s="3" t="s">
        <v>28</v>
      </c>
      <c r="R946" s="3" t="s">
        <v>28</v>
      </c>
      <c r="S946" s="3" t="s">
        <v>28</v>
      </c>
      <c r="T946" s="3" t="s">
        <v>28</v>
      </c>
    </row>
    <row r="947" spans="1:20" ht="381.75">
      <c r="A947" s="3">
        <v>2739376</v>
      </c>
      <c r="B947" s="3">
        <f>HYPERLINK("https://platform.v2.vetology.net/cases/2739376/screening-report/6?type=pdf&amp;v=v6&amp;scorecard=1&amp;secret_key=BX%25IJ%24%2F65ieZ%29f6", 2739376)</f>
        <v>2739376</v>
      </c>
      <c r="C947" s="3">
        <f>HYPERLINK("https://platform.v2.vetology.net/report/v/final/"&amp;2739376, 2739376)</f>
        <v>2739376</v>
      </c>
      <c r="D947" s="3" t="s">
        <v>3634</v>
      </c>
      <c r="E947" s="3" t="s">
        <v>3635</v>
      </c>
      <c r="F947" s="3" t="s">
        <v>3636</v>
      </c>
      <c r="G947" s="3" t="s">
        <v>186</v>
      </c>
      <c r="H947" s="3" t="s">
        <v>1478</v>
      </c>
      <c r="I947" s="3" t="s">
        <v>279</v>
      </c>
      <c r="J947" s="3" t="s">
        <v>280</v>
      </c>
      <c r="K947" s="3" t="s">
        <v>28</v>
      </c>
      <c r="L947" s="3" t="s">
        <v>28</v>
      </c>
      <c r="M947" s="3" t="s">
        <v>28</v>
      </c>
      <c r="N947" s="3" t="s">
        <v>28</v>
      </c>
      <c r="O947" s="3" t="s">
        <v>28</v>
      </c>
      <c r="P947" s="3" t="s">
        <v>28</v>
      </c>
      <c r="Q947" s="3" t="s">
        <v>28</v>
      </c>
      <c r="R947" s="3" t="s">
        <v>28</v>
      </c>
      <c r="S947" s="3" t="s">
        <v>28</v>
      </c>
      <c r="T947" s="3" t="s">
        <v>27</v>
      </c>
    </row>
    <row r="948" spans="1:20" ht="409.6">
      <c r="A948" s="3">
        <v>2739374</v>
      </c>
      <c r="B948" s="3">
        <f>HYPERLINK("https://platform.v2.vetology.net/cases/2739374/screening-report/6?type=pdf&amp;v=v6&amp;scorecard=1&amp;secret_key=BX%25IJ%24%2F65ieZ%29f6", 2739374)</f>
        <v>2739374</v>
      </c>
      <c r="C948" s="3">
        <f>HYPERLINK("https://platform.v2.vetology.net/report/v/final/"&amp;2739374, 2739374)</f>
        <v>2739374</v>
      </c>
      <c r="D948" s="3" t="s">
        <v>3637</v>
      </c>
      <c r="E948" s="3" t="s">
        <v>3638</v>
      </c>
      <c r="F948" s="3" t="s">
        <v>3639</v>
      </c>
      <c r="G948" s="3" t="s">
        <v>57</v>
      </c>
      <c r="H948" s="3" t="s">
        <v>241</v>
      </c>
      <c r="I948" s="3"/>
      <c r="J948" s="3" t="s">
        <v>207</v>
      </c>
      <c r="K948" s="3" t="s">
        <v>28</v>
      </c>
      <c r="L948" s="3" t="s">
        <v>28</v>
      </c>
      <c r="M948" s="3" t="s">
        <v>28</v>
      </c>
      <c r="N948" s="3" t="s">
        <v>28</v>
      </c>
      <c r="O948" s="3" t="s">
        <v>27</v>
      </c>
      <c r="P948" s="3" t="s">
        <v>28</v>
      </c>
      <c r="Q948" s="3" t="s">
        <v>28</v>
      </c>
      <c r="R948" s="3" t="s">
        <v>28</v>
      </c>
      <c r="S948" s="3" t="s">
        <v>28</v>
      </c>
      <c r="T948" s="3" t="s">
        <v>27</v>
      </c>
    </row>
    <row r="949" spans="1:20" ht="409.6">
      <c r="A949" s="3">
        <v>2739342</v>
      </c>
      <c r="B949" s="3">
        <f>HYPERLINK("https://platform.v2.vetology.net/cases/2739342/screening-report/6?type=pdf&amp;v=v6&amp;scorecard=1&amp;secret_key=BX%25IJ%24%2F65ieZ%29f6", 2739342)</f>
        <v>2739342</v>
      </c>
      <c r="C949" s="3">
        <f>HYPERLINK("https://platform.v2.vetology.net/report/v/final/"&amp;2739342, 2739342)</f>
        <v>2739342</v>
      </c>
      <c r="D949" s="3" t="s">
        <v>3640</v>
      </c>
      <c r="E949" s="3" t="s">
        <v>3641</v>
      </c>
      <c r="F949" s="3" t="s">
        <v>3642</v>
      </c>
      <c r="G949" s="3" t="s">
        <v>186</v>
      </c>
      <c r="H949" s="3" t="s">
        <v>1437</v>
      </c>
      <c r="I949" s="3" t="s">
        <v>1438</v>
      </c>
      <c r="J949" s="3" t="s">
        <v>1439</v>
      </c>
      <c r="K949" s="3" t="s">
        <v>28</v>
      </c>
      <c r="L949" s="3" t="s">
        <v>28</v>
      </c>
      <c r="M949" s="3" t="s">
        <v>28</v>
      </c>
      <c r="N949" s="3" t="s">
        <v>28</v>
      </c>
      <c r="O949" s="3" t="s">
        <v>27</v>
      </c>
      <c r="P949" s="3" t="s">
        <v>28</v>
      </c>
      <c r="Q949" s="3" t="s">
        <v>28</v>
      </c>
      <c r="R949" s="3" t="s">
        <v>28</v>
      </c>
      <c r="S949" s="3" t="s">
        <v>28</v>
      </c>
      <c r="T949" s="3" t="s">
        <v>28</v>
      </c>
    </row>
    <row r="950" spans="1:20" ht="290.25">
      <c r="A950" s="3">
        <v>2739323</v>
      </c>
      <c r="B950" s="3">
        <f>HYPERLINK("https://platform.v2.vetology.net/cases/2739323/screening-report/6?type=pdf&amp;v=v6&amp;scorecard=1&amp;secret_key=BX%25IJ%24%2F65ieZ%29f6", 2739323)</f>
        <v>2739323</v>
      </c>
      <c r="C950" s="3">
        <f>HYPERLINK("https://platform.v2.vetology.net/report/v/final/"&amp;2739323, 2739323)</f>
        <v>2739323</v>
      </c>
      <c r="D950" s="3" t="s">
        <v>3643</v>
      </c>
      <c r="E950" s="3" t="s">
        <v>3644</v>
      </c>
      <c r="F950" s="3" t="s">
        <v>3645</v>
      </c>
      <c r="G950" s="3" t="s">
        <v>100</v>
      </c>
      <c r="H950" s="3" t="s">
        <v>951</v>
      </c>
      <c r="I950" s="3" t="s">
        <v>952</v>
      </c>
      <c r="J950" s="3" t="s">
        <v>953</v>
      </c>
      <c r="K950" s="3" t="s">
        <v>28</v>
      </c>
      <c r="L950" s="3" t="s">
        <v>28</v>
      </c>
      <c r="M950" s="3" t="s">
        <v>28</v>
      </c>
      <c r="N950" s="3" t="s">
        <v>28</v>
      </c>
      <c r="O950" s="3" t="s">
        <v>27</v>
      </c>
      <c r="P950" s="3" t="s">
        <v>27</v>
      </c>
      <c r="Q950" s="3" t="s">
        <v>28</v>
      </c>
      <c r="R950" s="3" t="s">
        <v>28</v>
      </c>
      <c r="S950" s="3" t="s">
        <v>28</v>
      </c>
      <c r="T950" s="3" t="s">
        <v>27</v>
      </c>
    </row>
    <row r="951" spans="1:20" ht="366">
      <c r="A951" s="3">
        <v>2739283</v>
      </c>
      <c r="B951" s="3">
        <f>HYPERLINK("https://platform.v2.vetology.net/cases/2739283/screening-report/6?type=pdf&amp;v=v6&amp;scorecard=1&amp;secret_key=BX%25IJ%24%2F65ieZ%29f6", 2739283)</f>
        <v>2739283</v>
      </c>
      <c r="C951" s="3">
        <f>HYPERLINK("https://platform.v2.vetology.net/report/v/final/"&amp;2739283, 2739283)</f>
        <v>2739283</v>
      </c>
      <c r="D951" s="3" t="s">
        <v>3646</v>
      </c>
      <c r="E951" s="3" t="s">
        <v>3647</v>
      </c>
      <c r="F951" s="3" t="s">
        <v>3648</v>
      </c>
      <c r="G951" s="3" t="s">
        <v>211</v>
      </c>
      <c r="H951" s="3" t="s">
        <v>745</v>
      </c>
      <c r="I951" s="3" t="s">
        <v>746</v>
      </c>
      <c r="J951" s="3" t="s">
        <v>207</v>
      </c>
      <c r="K951" s="3" t="s">
        <v>28</v>
      </c>
      <c r="L951" s="3" t="s">
        <v>28</v>
      </c>
      <c r="M951" s="3" t="s">
        <v>28</v>
      </c>
      <c r="N951" s="3" t="s">
        <v>28</v>
      </c>
      <c r="O951" s="3" t="s">
        <v>27</v>
      </c>
      <c r="P951" s="3" t="s">
        <v>28</v>
      </c>
      <c r="Q951" s="3" t="s">
        <v>28</v>
      </c>
      <c r="R951" s="3" t="s">
        <v>28</v>
      </c>
      <c r="S951" s="3" t="s">
        <v>28</v>
      </c>
      <c r="T951" s="3" t="s">
        <v>27</v>
      </c>
    </row>
    <row r="952" spans="1:20" ht="409.6">
      <c r="A952" s="3">
        <v>2739265</v>
      </c>
      <c r="B952" s="3">
        <f>HYPERLINK("https://platform.v2.vetology.net/cases/2739265/screening-report/6?type=pdf&amp;v=v6&amp;scorecard=1&amp;secret_key=BX%25IJ%24%2F65ieZ%29f6", 2739265)</f>
        <v>2739265</v>
      </c>
      <c r="C952" s="3">
        <f>HYPERLINK("https://platform.v2.vetology.net/report/v/final/"&amp;2739265, 2739265)</f>
        <v>2739265</v>
      </c>
      <c r="D952" s="3" t="s">
        <v>3649</v>
      </c>
      <c r="E952" s="3" t="s">
        <v>3650</v>
      </c>
      <c r="F952" s="3" t="s">
        <v>3651</v>
      </c>
      <c r="G952" s="3" t="s">
        <v>1772</v>
      </c>
      <c r="H952" s="3" t="s">
        <v>1905</v>
      </c>
      <c r="I952" s="3" t="s">
        <v>37</v>
      </c>
      <c r="J952" s="3" t="s">
        <v>38</v>
      </c>
      <c r="K952" s="3" t="s">
        <v>28</v>
      </c>
      <c r="L952" s="3" t="s">
        <v>28</v>
      </c>
      <c r="M952" s="3" t="s">
        <v>28</v>
      </c>
      <c r="N952" s="3" t="s">
        <v>28</v>
      </c>
      <c r="O952" s="3" t="s">
        <v>27</v>
      </c>
      <c r="P952" s="3" t="s">
        <v>28</v>
      </c>
      <c r="Q952" s="3" t="s">
        <v>28</v>
      </c>
      <c r="R952" s="3" t="s">
        <v>28</v>
      </c>
      <c r="S952" s="3" t="s">
        <v>28</v>
      </c>
      <c r="T952" s="3" t="s">
        <v>28</v>
      </c>
    </row>
    <row r="953" spans="1:20" ht="409.6">
      <c r="A953" s="3">
        <v>2739218</v>
      </c>
      <c r="B953" s="3">
        <f>HYPERLINK("https://platform.v2.vetology.net/cases/2739218/screening-report/6?type=pdf&amp;v=v6&amp;scorecard=1&amp;secret_key=BX%25IJ%24%2F65ieZ%29f6", 2739218)</f>
        <v>2739218</v>
      </c>
      <c r="C953" s="3">
        <f>HYPERLINK("https://platform.v2.vetology.net/report/v/final/"&amp;2739218, 2739218)</f>
        <v>2739218</v>
      </c>
      <c r="D953" s="3" t="s">
        <v>3652</v>
      </c>
      <c r="E953" s="3" t="s">
        <v>3653</v>
      </c>
      <c r="F953" s="3" t="s">
        <v>22</v>
      </c>
      <c r="G953" s="3" t="s">
        <v>23</v>
      </c>
      <c r="H953" s="3" t="s">
        <v>1046</v>
      </c>
      <c r="I953" s="3" t="s">
        <v>59</v>
      </c>
      <c r="J953" s="3" t="s">
        <v>60</v>
      </c>
      <c r="K953" s="3" t="s">
        <v>28</v>
      </c>
      <c r="L953" s="3" t="s">
        <v>28</v>
      </c>
      <c r="M953" s="3" t="s">
        <v>28</v>
      </c>
      <c r="N953" s="3" t="s">
        <v>28</v>
      </c>
      <c r="O953" s="3" t="s">
        <v>28</v>
      </c>
      <c r="P953" s="3" t="s">
        <v>28</v>
      </c>
      <c r="Q953" s="3" t="s">
        <v>28</v>
      </c>
      <c r="R953" s="3" t="s">
        <v>28</v>
      </c>
      <c r="S953" s="3" t="s">
        <v>28</v>
      </c>
      <c r="T953" s="3" t="s">
        <v>27</v>
      </c>
    </row>
    <row r="954" spans="1:20" ht="409.6">
      <c r="A954" s="3">
        <v>2739191</v>
      </c>
      <c r="B954" s="3">
        <f>HYPERLINK("https://platform.v2.vetology.net/cases/2739191/screening-report/6?type=pdf&amp;v=v6&amp;scorecard=1&amp;secret_key=BX%25IJ%24%2F65ieZ%29f6", 2739191)</f>
        <v>2739191</v>
      </c>
      <c r="C954" s="3">
        <f>HYPERLINK("https://platform.v2.vetology.net/report/v/final/"&amp;2739191, 2739191)</f>
        <v>2739191</v>
      </c>
      <c r="D954" s="3" t="s">
        <v>3654</v>
      </c>
      <c r="E954" s="3" t="s">
        <v>3655</v>
      </c>
      <c r="F954" s="3" t="s">
        <v>956</v>
      </c>
      <c r="G954" s="3" t="s">
        <v>100</v>
      </c>
      <c r="H954" s="3" t="s">
        <v>3186</v>
      </c>
      <c r="I954" s="3" t="s">
        <v>3187</v>
      </c>
      <c r="J954" s="3" t="s">
        <v>154</v>
      </c>
      <c r="K954" s="3" t="s">
        <v>27</v>
      </c>
      <c r="L954" s="3" t="s">
        <v>27</v>
      </c>
      <c r="M954" s="3" t="s">
        <v>28</v>
      </c>
      <c r="N954" s="3" t="s">
        <v>28</v>
      </c>
      <c r="O954" s="3" t="s">
        <v>28</v>
      </c>
      <c r="P954" s="3" t="s">
        <v>28</v>
      </c>
      <c r="Q954" s="3" t="s">
        <v>27</v>
      </c>
      <c r="R954" s="3" t="s">
        <v>28</v>
      </c>
      <c r="S954" s="3" t="s">
        <v>27</v>
      </c>
      <c r="T954" s="3" t="s">
        <v>28</v>
      </c>
    </row>
    <row r="955" spans="1:20" ht="409.6">
      <c r="A955" s="3">
        <v>2739138</v>
      </c>
      <c r="B955" s="3">
        <f>HYPERLINK("https://platform.v2.vetology.net/cases/2739138/screening-report/6?type=pdf&amp;v=v6&amp;scorecard=1&amp;secret_key=BX%25IJ%24%2F65ieZ%29f6", 2739138)</f>
        <v>2739138</v>
      </c>
      <c r="C955" s="3">
        <f>HYPERLINK("https://platform.v2.vetology.net/report/v/final/"&amp;2739138, 2739138)</f>
        <v>2739138</v>
      </c>
      <c r="D955" s="3" t="s">
        <v>3656</v>
      </c>
      <c r="E955" s="3" t="s">
        <v>3657</v>
      </c>
      <c r="F955" s="3" t="s">
        <v>3658</v>
      </c>
      <c r="G955" s="3" t="s">
        <v>23</v>
      </c>
      <c r="H955" s="3" t="s">
        <v>3659</v>
      </c>
      <c r="I955" s="3" t="s">
        <v>878</v>
      </c>
      <c r="J955" s="3" t="s">
        <v>879</v>
      </c>
      <c r="K955" s="3" t="s">
        <v>27</v>
      </c>
      <c r="L955" s="3" t="s">
        <v>27</v>
      </c>
      <c r="M955" s="3" t="s">
        <v>28</v>
      </c>
      <c r="N955" s="3" t="s">
        <v>27</v>
      </c>
      <c r="O955" s="3" t="s">
        <v>27</v>
      </c>
      <c r="P955" s="3" t="s">
        <v>28</v>
      </c>
      <c r="Q955" s="3" t="s">
        <v>27</v>
      </c>
      <c r="R955" s="3" t="s">
        <v>27</v>
      </c>
      <c r="S955" s="3" t="s">
        <v>27</v>
      </c>
      <c r="T955" s="3" t="s">
        <v>27</v>
      </c>
    </row>
    <row r="956" spans="1:20" ht="409.6">
      <c r="A956" s="3">
        <v>2739083</v>
      </c>
      <c r="B956" s="3">
        <f>HYPERLINK("https://platform.v2.vetology.net/cases/2739083/screening-report/6?type=pdf&amp;v=v6&amp;scorecard=1&amp;secret_key=BX%25IJ%24%2F65ieZ%29f6", 2739083)</f>
        <v>2739083</v>
      </c>
      <c r="C956" s="3">
        <f>HYPERLINK("https://platform.v2.vetology.net/report/v/final/"&amp;2739083, 2739083)</f>
        <v>2739083</v>
      </c>
      <c r="D956" s="3" t="s">
        <v>3660</v>
      </c>
      <c r="E956" s="3" t="s">
        <v>3661</v>
      </c>
      <c r="F956" s="3"/>
      <c r="G956" s="3" t="s">
        <v>100</v>
      </c>
      <c r="H956" s="3" t="s">
        <v>3662</v>
      </c>
      <c r="I956" s="3" t="s">
        <v>89</v>
      </c>
      <c r="J956" s="3" t="s">
        <v>90</v>
      </c>
      <c r="K956" s="3" t="s">
        <v>27</v>
      </c>
      <c r="L956" s="3" t="s">
        <v>28</v>
      </c>
      <c r="M956" s="3" t="s">
        <v>28</v>
      </c>
      <c r="N956" s="3" t="s">
        <v>28</v>
      </c>
      <c r="O956" s="3" t="s">
        <v>27</v>
      </c>
      <c r="P956" s="3" t="s">
        <v>28</v>
      </c>
      <c r="Q956" s="3" t="s">
        <v>28</v>
      </c>
      <c r="R956" s="3" t="s">
        <v>28</v>
      </c>
      <c r="S956" s="3" t="s">
        <v>28</v>
      </c>
      <c r="T956" s="3" t="s">
        <v>28</v>
      </c>
    </row>
    <row r="957" spans="1:20" ht="381.75">
      <c r="A957" s="3">
        <v>2739031</v>
      </c>
      <c r="B957" s="3">
        <f>HYPERLINK("https://platform.v2.vetology.net/cases/2739031/screening-report/6?type=pdf&amp;v=v6&amp;scorecard=1&amp;secret_key=BX%25IJ%24%2F65ieZ%29f6", 2739031)</f>
        <v>2739031</v>
      </c>
      <c r="C957" s="3">
        <f>HYPERLINK("https://platform.v2.vetology.net/report/v/final/"&amp;2739031, 2739031)</f>
        <v>2739031</v>
      </c>
      <c r="D957" s="3" t="s">
        <v>3663</v>
      </c>
      <c r="E957" s="3" t="s">
        <v>3664</v>
      </c>
      <c r="F957" s="3" t="s">
        <v>3665</v>
      </c>
      <c r="G957" s="3" t="s">
        <v>211</v>
      </c>
      <c r="H957" s="3" t="s">
        <v>31</v>
      </c>
      <c r="I957" s="3" t="s">
        <v>1497</v>
      </c>
      <c r="J957" s="3" t="s">
        <v>847</v>
      </c>
      <c r="K957" s="3" t="s">
        <v>28</v>
      </c>
      <c r="L957" s="3" t="s">
        <v>28</v>
      </c>
      <c r="M957" s="3" t="s">
        <v>28</v>
      </c>
      <c r="N957" s="3" t="s">
        <v>28</v>
      </c>
      <c r="O957" s="3" t="s">
        <v>27</v>
      </c>
      <c r="P957" s="3" t="s">
        <v>28</v>
      </c>
      <c r="Q957" s="3" t="s">
        <v>28</v>
      </c>
      <c r="R957" s="3" t="s">
        <v>28</v>
      </c>
      <c r="S957" s="3" t="s">
        <v>28</v>
      </c>
      <c r="T957" s="3" t="s">
        <v>28</v>
      </c>
    </row>
    <row r="958" spans="1:20" ht="409.6">
      <c r="A958" s="3">
        <v>2739022</v>
      </c>
      <c r="B958" s="3">
        <f>HYPERLINK("https://platform.v2.vetology.net/cases/2739022/screening-report/6?type=pdf&amp;v=v6&amp;scorecard=1&amp;secret_key=BX%25IJ%24%2F65ieZ%29f6", 2739022)</f>
        <v>2739022</v>
      </c>
      <c r="C958" s="3">
        <f>HYPERLINK("https://platform.v2.vetology.net/report/v/final/"&amp;2739022, 2739022)</f>
        <v>2739022</v>
      </c>
      <c r="D958" s="3" t="s">
        <v>3666</v>
      </c>
      <c r="E958" s="3" t="s">
        <v>3667</v>
      </c>
      <c r="F958" s="3" t="s">
        <v>3668</v>
      </c>
      <c r="G958" s="3" t="s">
        <v>64</v>
      </c>
      <c r="H958" s="3" t="s">
        <v>3669</v>
      </c>
      <c r="I958" s="3" t="s">
        <v>136</v>
      </c>
      <c r="J958" s="3" t="s">
        <v>424</v>
      </c>
      <c r="K958" s="3" t="s">
        <v>28</v>
      </c>
      <c r="L958" s="3" t="s">
        <v>28</v>
      </c>
      <c r="M958" s="3" t="s">
        <v>28</v>
      </c>
      <c r="N958" s="3" t="s">
        <v>28</v>
      </c>
      <c r="O958" s="3" t="s">
        <v>27</v>
      </c>
      <c r="P958" s="3" t="s">
        <v>28</v>
      </c>
      <c r="Q958" s="3" t="s">
        <v>28</v>
      </c>
      <c r="R958" s="3" t="s">
        <v>28</v>
      </c>
      <c r="S958" s="3" t="s">
        <v>28</v>
      </c>
      <c r="T958" s="3" t="s">
        <v>27</v>
      </c>
    </row>
    <row r="959" spans="1:20" ht="305.25">
      <c r="A959" s="3">
        <v>2738944</v>
      </c>
      <c r="B959" s="3">
        <f>HYPERLINK("https://platform.v2.vetology.net/cases/2738944/screening-report/6?type=pdf&amp;v=v6&amp;scorecard=1&amp;secret_key=BX%25IJ%24%2F65ieZ%29f6", 2738944)</f>
        <v>2738944</v>
      </c>
      <c r="C959" s="3">
        <f>HYPERLINK("https://platform.v2.vetology.net/report/v/final/"&amp;2738944, 2738944)</f>
        <v>2738944</v>
      </c>
      <c r="D959" s="3" t="s">
        <v>3670</v>
      </c>
      <c r="E959" s="3" t="s">
        <v>3671</v>
      </c>
      <c r="F959" s="3"/>
      <c r="G959" s="3" t="s">
        <v>122</v>
      </c>
      <c r="H959" s="3" t="s">
        <v>158</v>
      </c>
      <c r="I959" s="3" t="s">
        <v>32</v>
      </c>
      <c r="J959" s="3" t="s">
        <v>33</v>
      </c>
      <c r="K959" s="3" t="s">
        <v>28</v>
      </c>
      <c r="L959" s="3" t="s">
        <v>28</v>
      </c>
      <c r="M959" s="3" t="s">
        <v>28</v>
      </c>
      <c r="N959" s="3" t="s">
        <v>28</v>
      </c>
      <c r="O959" s="3" t="s">
        <v>28</v>
      </c>
      <c r="P959" s="3" t="s">
        <v>28</v>
      </c>
      <c r="Q959" s="3" t="s">
        <v>28</v>
      </c>
      <c r="R959" s="3" t="s">
        <v>28</v>
      </c>
      <c r="S959" s="3" t="s">
        <v>28</v>
      </c>
      <c r="T959" s="3" t="s">
        <v>28</v>
      </c>
    </row>
    <row r="960" spans="1:20" ht="351">
      <c r="A960" s="3">
        <v>2738905</v>
      </c>
      <c r="B960" s="3">
        <f>HYPERLINK("https://platform.v2.vetology.net/cases/2738905/screening-report/6?type=pdf&amp;v=v6&amp;scorecard=1&amp;secret_key=BX%25IJ%24%2F65ieZ%29f6", 2738905)</f>
        <v>2738905</v>
      </c>
      <c r="C960" s="3">
        <f>HYPERLINK("https://platform.v2.vetology.net/report/v/final/"&amp;2738905, 2738905)</f>
        <v>2738905</v>
      </c>
      <c r="D960" s="3" t="s">
        <v>3672</v>
      </c>
      <c r="E960" s="3" t="s">
        <v>3673</v>
      </c>
      <c r="F960" s="3" t="s">
        <v>772</v>
      </c>
      <c r="G960" s="3" t="s">
        <v>57</v>
      </c>
      <c r="H960" s="3" t="s">
        <v>3674</v>
      </c>
      <c r="I960" s="3"/>
      <c r="J960" s="3" t="s">
        <v>207</v>
      </c>
      <c r="K960" s="3" t="s">
        <v>28</v>
      </c>
      <c r="L960" s="3" t="s">
        <v>28</v>
      </c>
      <c r="M960" s="3" t="s">
        <v>28</v>
      </c>
      <c r="N960" s="3" t="s">
        <v>28</v>
      </c>
      <c r="O960" s="3" t="s">
        <v>28</v>
      </c>
      <c r="P960" s="3" t="s">
        <v>28</v>
      </c>
      <c r="Q960" s="3" t="s">
        <v>28</v>
      </c>
      <c r="R960" s="3" t="s">
        <v>28</v>
      </c>
      <c r="S960" s="3" t="s">
        <v>28</v>
      </c>
      <c r="T960" s="3" t="s">
        <v>28</v>
      </c>
    </row>
    <row r="961" spans="1:20" ht="409.6">
      <c r="A961" s="3">
        <v>2738771</v>
      </c>
      <c r="B961" s="3">
        <f>HYPERLINK("https://platform.v2.vetology.net/cases/2738771/screening-report/6?type=pdf&amp;v=v6&amp;scorecard=1&amp;secret_key=BX%25IJ%24%2F65ieZ%29f6", 2738771)</f>
        <v>2738771</v>
      </c>
      <c r="C961" s="3">
        <f>HYPERLINK("https://platform.v2.vetology.net/report/v/final/"&amp;2738771, 2738771)</f>
        <v>2738771</v>
      </c>
      <c r="D961" s="3" t="s">
        <v>3675</v>
      </c>
      <c r="E961" s="3" t="s">
        <v>3676</v>
      </c>
      <c r="F961" s="3" t="s">
        <v>3677</v>
      </c>
      <c r="G961" s="3" t="s">
        <v>179</v>
      </c>
      <c r="H961" s="3" t="s">
        <v>3678</v>
      </c>
      <c r="I961" s="3" t="s">
        <v>3160</v>
      </c>
      <c r="J961" s="3" t="s">
        <v>335</v>
      </c>
      <c r="K961" s="3" t="s">
        <v>28</v>
      </c>
      <c r="L961" s="3" t="s">
        <v>28</v>
      </c>
      <c r="M961" s="3" t="s">
        <v>28</v>
      </c>
      <c r="N961" s="3" t="s">
        <v>28</v>
      </c>
      <c r="O961" s="3" t="s">
        <v>28</v>
      </c>
      <c r="P961" s="3" t="s">
        <v>28</v>
      </c>
      <c r="Q961" s="3" t="s">
        <v>28</v>
      </c>
      <c r="R961" s="3" t="s">
        <v>28</v>
      </c>
      <c r="S961" s="3" t="s">
        <v>28</v>
      </c>
      <c r="T961" s="3" t="s">
        <v>28</v>
      </c>
    </row>
    <row r="962" spans="1:20" ht="351">
      <c r="A962" s="3">
        <v>2738727</v>
      </c>
      <c r="B962" s="3">
        <f>HYPERLINK("https://platform.v2.vetology.net/cases/2738727/screening-report/6?type=pdf&amp;v=v6&amp;scorecard=1&amp;secret_key=BX%25IJ%24%2F65ieZ%29f6", 2738727)</f>
        <v>2738727</v>
      </c>
      <c r="C962" s="3">
        <f>HYPERLINK("https://platform.v2.vetology.net/report/v/final/"&amp;2738727, 2738727)</f>
        <v>2738727</v>
      </c>
      <c r="D962" s="3" t="s">
        <v>3679</v>
      </c>
      <c r="E962" s="3" t="s">
        <v>3680</v>
      </c>
      <c r="F962" s="3" t="s">
        <v>22</v>
      </c>
      <c r="G962" s="3" t="s">
        <v>372</v>
      </c>
      <c r="H962" s="3" t="s">
        <v>3681</v>
      </c>
      <c r="I962" s="3" t="s">
        <v>1901</v>
      </c>
      <c r="J962" s="3" t="s">
        <v>1902</v>
      </c>
      <c r="K962" s="3" t="s">
        <v>27</v>
      </c>
      <c r="L962" s="3" t="s">
        <v>28</v>
      </c>
      <c r="M962" s="3" t="s">
        <v>27</v>
      </c>
      <c r="N962" s="3" t="s">
        <v>28</v>
      </c>
      <c r="O962" s="3" t="s">
        <v>27</v>
      </c>
      <c r="P962" s="3" t="s">
        <v>27</v>
      </c>
      <c r="Q962" s="3" t="s">
        <v>27</v>
      </c>
      <c r="R962" s="3" t="s">
        <v>28</v>
      </c>
      <c r="S962" s="3" t="s">
        <v>28</v>
      </c>
      <c r="T962" s="3" t="s">
        <v>28</v>
      </c>
    </row>
    <row r="963" spans="1:20" ht="290.25">
      <c r="A963" s="3">
        <v>2738714</v>
      </c>
      <c r="B963" s="3">
        <f>HYPERLINK("https://platform.v2.vetology.net/cases/2738714/screening-report/6?type=pdf&amp;v=v6&amp;scorecard=1&amp;secret_key=BX%25IJ%24%2F65ieZ%29f6", 2738714)</f>
        <v>2738714</v>
      </c>
      <c r="C963" s="3">
        <f>HYPERLINK("https://platform.v2.vetology.net/report/v/final/"&amp;2738714, 2738714)</f>
        <v>2738714</v>
      </c>
      <c r="D963" s="3" t="s">
        <v>3682</v>
      </c>
      <c r="E963" s="3" t="s">
        <v>3683</v>
      </c>
      <c r="F963" s="3" t="s">
        <v>1055</v>
      </c>
      <c r="G963" s="3" t="s">
        <v>186</v>
      </c>
      <c r="H963" s="3" t="s">
        <v>3684</v>
      </c>
      <c r="I963" s="3"/>
      <c r="J963" s="3" t="s">
        <v>207</v>
      </c>
      <c r="K963" s="3" t="s">
        <v>28</v>
      </c>
      <c r="L963" s="3" t="s">
        <v>28</v>
      </c>
      <c r="M963" s="3" t="s">
        <v>28</v>
      </c>
      <c r="N963" s="3" t="s">
        <v>28</v>
      </c>
      <c r="O963" s="3" t="s">
        <v>28</v>
      </c>
      <c r="P963" s="3" t="s">
        <v>28</v>
      </c>
      <c r="Q963" s="3" t="s">
        <v>28</v>
      </c>
      <c r="R963" s="3" t="s">
        <v>28</v>
      </c>
      <c r="S963" s="3" t="s">
        <v>28</v>
      </c>
      <c r="T963" s="3" t="s">
        <v>28</v>
      </c>
    </row>
    <row r="964" spans="1:20" ht="381.75">
      <c r="A964" s="3">
        <v>2738608</v>
      </c>
      <c r="B964" s="3">
        <f>HYPERLINK("https://platform.v2.vetology.net/cases/2738608/screening-report/6?type=pdf&amp;v=v6&amp;scorecard=1&amp;secret_key=BX%25IJ%24%2F65ieZ%29f6", 2738608)</f>
        <v>2738608</v>
      </c>
      <c r="C964" s="3">
        <f>HYPERLINK("https://platform.v2.vetology.net/report/v/final/"&amp;2738608, 2738608)</f>
        <v>2738608</v>
      </c>
      <c r="D964" s="3" t="s">
        <v>3685</v>
      </c>
      <c r="E964" s="3" t="s">
        <v>3686</v>
      </c>
      <c r="F964" s="3" t="s">
        <v>22</v>
      </c>
      <c r="G964" s="3" t="s">
        <v>372</v>
      </c>
      <c r="H964" s="3" t="s">
        <v>2552</v>
      </c>
      <c r="I964" s="3" t="s">
        <v>856</v>
      </c>
      <c r="J964" s="3" t="s">
        <v>857</v>
      </c>
      <c r="K964" s="3" t="s">
        <v>28</v>
      </c>
      <c r="L964" s="3" t="s">
        <v>28</v>
      </c>
      <c r="M964" s="3" t="s">
        <v>27</v>
      </c>
      <c r="N964" s="3" t="s">
        <v>28</v>
      </c>
      <c r="O964" s="3" t="s">
        <v>27</v>
      </c>
      <c r="P964" s="3" t="s">
        <v>28</v>
      </c>
      <c r="Q964" s="3" t="s">
        <v>28</v>
      </c>
      <c r="R964" s="3" t="s">
        <v>28</v>
      </c>
      <c r="S964" s="3" t="s">
        <v>28</v>
      </c>
      <c r="T964" s="3" t="s">
        <v>28</v>
      </c>
    </row>
    <row r="965" spans="1:20" ht="305.25">
      <c r="A965" s="3">
        <v>2738599</v>
      </c>
      <c r="B965" s="3">
        <f>HYPERLINK("https://platform.v2.vetology.net/cases/2738599/screening-report/6?type=pdf&amp;v=v6&amp;scorecard=1&amp;secret_key=BX%25IJ%24%2F65ieZ%29f6", 2738599)</f>
        <v>2738599</v>
      </c>
      <c r="C965" s="3">
        <f>HYPERLINK("https://platform.v2.vetology.net/report/v/final/"&amp;2738599, 2738599)</f>
        <v>2738599</v>
      </c>
      <c r="D965" s="3" t="s">
        <v>3687</v>
      </c>
      <c r="E965" s="3" t="s">
        <v>3688</v>
      </c>
      <c r="F965" s="3" t="s">
        <v>1762</v>
      </c>
      <c r="G965" s="3" t="s">
        <v>100</v>
      </c>
      <c r="H965" s="3" t="s">
        <v>3689</v>
      </c>
      <c r="I965" s="3" t="s">
        <v>1344</v>
      </c>
      <c r="J965" s="3" t="s">
        <v>33</v>
      </c>
      <c r="K965" s="3" t="s">
        <v>28</v>
      </c>
      <c r="L965" s="3" t="s">
        <v>28</v>
      </c>
      <c r="M965" s="3" t="s">
        <v>28</v>
      </c>
      <c r="N965" s="3" t="s">
        <v>28</v>
      </c>
      <c r="O965" s="3" t="s">
        <v>28</v>
      </c>
      <c r="P965" s="3" t="s">
        <v>28</v>
      </c>
      <c r="Q965" s="3" t="s">
        <v>27</v>
      </c>
      <c r="R965" s="3" t="s">
        <v>28</v>
      </c>
      <c r="S965" s="3" t="s">
        <v>28</v>
      </c>
      <c r="T965" s="3" t="s">
        <v>28</v>
      </c>
    </row>
    <row r="966" spans="1:20" ht="229.5">
      <c r="A966" s="3">
        <v>2738588</v>
      </c>
      <c r="B966" s="3">
        <f>HYPERLINK("https://platform.v2.vetology.net/cases/2738588/screening-report/6?type=pdf&amp;v=v6&amp;scorecard=1&amp;secret_key=BX%25IJ%24%2F65ieZ%29f6", 2738588)</f>
        <v>2738588</v>
      </c>
      <c r="C966" s="3">
        <f>HYPERLINK("https://platform.v2.vetology.net/report/v/final/"&amp;2738588, 2738588)</f>
        <v>2738588</v>
      </c>
      <c r="D966" s="3" t="s">
        <v>3690</v>
      </c>
      <c r="E966" s="3" t="s">
        <v>3691</v>
      </c>
      <c r="F966" s="3" t="s">
        <v>3692</v>
      </c>
      <c r="G966" s="3" t="s">
        <v>186</v>
      </c>
      <c r="H966" s="3" t="s">
        <v>238</v>
      </c>
      <c r="I966" s="3"/>
      <c r="J966" s="3" t="s">
        <v>207</v>
      </c>
      <c r="K966" s="3" t="s">
        <v>28</v>
      </c>
      <c r="L966" s="3" t="s">
        <v>28</v>
      </c>
      <c r="M966" s="3" t="s">
        <v>28</v>
      </c>
      <c r="N966" s="3" t="s">
        <v>28</v>
      </c>
      <c r="O966" s="3" t="s">
        <v>27</v>
      </c>
      <c r="P966" s="3" t="s">
        <v>28</v>
      </c>
      <c r="Q966" s="3" t="s">
        <v>28</v>
      </c>
      <c r="R966" s="3" t="s">
        <v>28</v>
      </c>
      <c r="S966" s="3" t="s">
        <v>28</v>
      </c>
      <c r="T966" s="3" t="s">
        <v>28</v>
      </c>
    </row>
    <row r="967" spans="1:20" ht="409.6">
      <c r="A967" s="3">
        <v>2738575</v>
      </c>
      <c r="B967" s="3">
        <f>HYPERLINK("https://platform.v2.vetology.net/cases/2738575/screening-report/6?type=pdf&amp;v=v6&amp;scorecard=1&amp;secret_key=BX%25IJ%24%2F65ieZ%29f6", 2738575)</f>
        <v>2738575</v>
      </c>
      <c r="C967" s="3">
        <f>HYPERLINK("https://platform.v2.vetology.net/report/v/final/"&amp;2738575, 2738575)</f>
        <v>2738575</v>
      </c>
      <c r="D967" s="3" t="s">
        <v>3693</v>
      </c>
      <c r="E967" s="3" t="s">
        <v>3694</v>
      </c>
      <c r="F967" s="3" t="s">
        <v>3695</v>
      </c>
      <c r="G967" s="3" t="s">
        <v>57</v>
      </c>
      <c r="H967" s="3" t="s">
        <v>3696</v>
      </c>
      <c r="I967" s="3" t="s">
        <v>1529</v>
      </c>
      <c r="J967" s="3" t="s">
        <v>1530</v>
      </c>
      <c r="K967" s="3" t="s">
        <v>28</v>
      </c>
      <c r="L967" s="3" t="s">
        <v>27</v>
      </c>
      <c r="M967" s="3" t="s">
        <v>28</v>
      </c>
      <c r="N967" s="3" t="s">
        <v>28</v>
      </c>
      <c r="O967" s="3" t="s">
        <v>27</v>
      </c>
      <c r="P967" s="3" t="s">
        <v>28</v>
      </c>
      <c r="Q967" s="3" t="s">
        <v>27</v>
      </c>
      <c r="R967" s="3" t="s">
        <v>28</v>
      </c>
      <c r="S967" s="3" t="s">
        <v>28</v>
      </c>
      <c r="T967" s="3" t="s">
        <v>28</v>
      </c>
    </row>
    <row r="968" spans="1:20" ht="396.75">
      <c r="A968" s="3">
        <v>2738564</v>
      </c>
      <c r="B968" s="3">
        <f>HYPERLINK("https://platform.v2.vetology.net/cases/2738564/screening-report/6?type=pdf&amp;v=v6&amp;scorecard=1&amp;secret_key=BX%25IJ%24%2F65ieZ%29f6", 2738564)</f>
        <v>2738564</v>
      </c>
      <c r="C968" s="3">
        <f>HYPERLINK("https://platform.v2.vetology.net/report/v/final/"&amp;2738564, 2738564)</f>
        <v>2738564</v>
      </c>
      <c r="D968" s="3" t="s">
        <v>3697</v>
      </c>
      <c r="E968" s="3" t="s">
        <v>3698</v>
      </c>
      <c r="F968" s="3" t="s">
        <v>1061</v>
      </c>
      <c r="G968" s="3" t="s">
        <v>100</v>
      </c>
      <c r="H968" s="3" t="s">
        <v>3699</v>
      </c>
      <c r="I968" s="3" t="s">
        <v>3700</v>
      </c>
      <c r="J968" s="3" t="s">
        <v>3701</v>
      </c>
      <c r="K968" s="3" t="s">
        <v>28</v>
      </c>
      <c r="L968" s="3" t="s">
        <v>28</v>
      </c>
      <c r="M968" s="3" t="s">
        <v>28</v>
      </c>
      <c r="N968" s="3" t="s">
        <v>28</v>
      </c>
      <c r="O968" s="3" t="s">
        <v>27</v>
      </c>
      <c r="P968" s="3" t="s">
        <v>27</v>
      </c>
      <c r="Q968" s="3" t="s">
        <v>27</v>
      </c>
      <c r="R968" s="3" t="s">
        <v>28</v>
      </c>
      <c r="S968" s="3" t="s">
        <v>27</v>
      </c>
      <c r="T968" s="3" t="s">
        <v>28</v>
      </c>
    </row>
    <row r="969" spans="1:20" ht="275.25">
      <c r="A969" s="3">
        <v>2738542</v>
      </c>
      <c r="B969" s="3">
        <f>HYPERLINK("https://platform.v2.vetology.net/cases/2738542/screening-report/6?type=pdf&amp;v=v6&amp;scorecard=1&amp;secret_key=BX%25IJ%24%2F65ieZ%29f6", 2738542)</f>
        <v>2738542</v>
      </c>
      <c r="C969" s="3">
        <f>HYPERLINK("https://platform.v2.vetology.net/report/v/final/"&amp;2738542, 2738542)</f>
        <v>2738542</v>
      </c>
      <c r="D969" s="3" t="s">
        <v>3702</v>
      </c>
      <c r="E969" s="3" t="s">
        <v>3703</v>
      </c>
      <c r="F969" s="3" t="s">
        <v>22</v>
      </c>
      <c r="G969" s="3" t="s">
        <v>23</v>
      </c>
      <c r="H969" s="3" t="s">
        <v>3704</v>
      </c>
      <c r="I969" s="3" t="s">
        <v>1011</v>
      </c>
      <c r="J969" s="3" t="s">
        <v>207</v>
      </c>
      <c r="K969" s="3" t="s">
        <v>27</v>
      </c>
      <c r="L969" s="3" t="s">
        <v>28</v>
      </c>
      <c r="M969" s="3" t="s">
        <v>28</v>
      </c>
      <c r="N969" s="3" t="s">
        <v>28</v>
      </c>
      <c r="O969" s="3" t="s">
        <v>27</v>
      </c>
      <c r="P969" s="3" t="s">
        <v>28</v>
      </c>
      <c r="Q969" s="3" t="s">
        <v>28</v>
      </c>
      <c r="R969" s="3" t="s">
        <v>28</v>
      </c>
      <c r="S969" s="3" t="s">
        <v>28</v>
      </c>
      <c r="T969" s="3" t="s">
        <v>28</v>
      </c>
    </row>
    <row r="970" spans="1:20" ht="409.6">
      <c r="A970" s="3">
        <v>2738515</v>
      </c>
      <c r="B970" s="3">
        <f>HYPERLINK("https://platform.v2.vetology.net/cases/2738515/screening-report/6?type=pdf&amp;v=v6&amp;scorecard=1&amp;secret_key=BX%25IJ%24%2F65ieZ%29f6", 2738515)</f>
        <v>2738515</v>
      </c>
      <c r="C970" s="3">
        <f>HYPERLINK("https://platform.v2.vetology.net/report/v/final/"&amp;2738515, 2738515)</f>
        <v>2738515</v>
      </c>
      <c r="D970" s="3" t="s">
        <v>3705</v>
      </c>
      <c r="E970" s="3" t="s">
        <v>3706</v>
      </c>
      <c r="F970" s="3" t="s">
        <v>3707</v>
      </c>
      <c r="G970" s="3" t="s">
        <v>186</v>
      </c>
      <c r="H970" s="3" t="s">
        <v>3708</v>
      </c>
      <c r="I970" s="3" t="s">
        <v>3709</v>
      </c>
      <c r="J970" s="3" t="s">
        <v>3710</v>
      </c>
      <c r="K970" s="3" t="s">
        <v>28</v>
      </c>
      <c r="L970" s="3" t="s">
        <v>28</v>
      </c>
      <c r="M970" s="3" t="s">
        <v>28</v>
      </c>
      <c r="N970" s="3" t="s">
        <v>28</v>
      </c>
      <c r="O970" s="3" t="s">
        <v>27</v>
      </c>
      <c r="P970" s="3" t="s">
        <v>27</v>
      </c>
      <c r="Q970" s="3" t="s">
        <v>27</v>
      </c>
      <c r="R970" s="3" t="s">
        <v>28</v>
      </c>
      <c r="S970" s="3" t="s">
        <v>28</v>
      </c>
      <c r="T970" s="3" t="s">
        <v>28</v>
      </c>
    </row>
    <row r="971" spans="1:20" ht="409.6">
      <c r="A971" s="3">
        <v>2738454</v>
      </c>
      <c r="B971" s="3">
        <f>HYPERLINK("https://platform.v2.vetology.net/cases/2738454/screening-report/6?type=pdf&amp;v=v6&amp;scorecard=1&amp;secret_key=BX%25IJ%24%2F65ieZ%29f6", 2738454)</f>
        <v>2738454</v>
      </c>
      <c r="C971" s="3">
        <f>HYPERLINK("https://platform.v2.vetology.net/report/v/final/"&amp;2738454, 2738454)</f>
        <v>2738454</v>
      </c>
      <c r="D971" s="3" t="s">
        <v>3711</v>
      </c>
      <c r="E971" s="3" t="s">
        <v>3712</v>
      </c>
      <c r="F971" s="3" t="s">
        <v>3713</v>
      </c>
      <c r="G971" s="3" t="s">
        <v>1772</v>
      </c>
      <c r="H971" s="3" t="s">
        <v>601</v>
      </c>
      <c r="I971" s="3" t="s">
        <v>32</v>
      </c>
      <c r="J971" s="3" t="s">
        <v>33</v>
      </c>
      <c r="K971" s="3" t="s">
        <v>28</v>
      </c>
      <c r="L971" s="3" t="s">
        <v>28</v>
      </c>
      <c r="M971" s="3" t="s">
        <v>28</v>
      </c>
      <c r="N971" s="3" t="s">
        <v>28</v>
      </c>
      <c r="O971" s="3" t="s">
        <v>28</v>
      </c>
      <c r="P971" s="3" t="s">
        <v>28</v>
      </c>
      <c r="Q971" s="3" t="s">
        <v>28</v>
      </c>
      <c r="R971" s="3" t="s">
        <v>28</v>
      </c>
      <c r="S971" s="3" t="s">
        <v>28</v>
      </c>
      <c r="T971" s="3" t="s">
        <v>28</v>
      </c>
    </row>
    <row r="972" spans="1:20" ht="290.25">
      <c r="A972" s="3">
        <v>2738444</v>
      </c>
      <c r="B972" s="3">
        <f>HYPERLINK("https://platform.v2.vetology.net/cases/2738444/screening-report/6?type=pdf&amp;v=v6&amp;scorecard=1&amp;secret_key=BX%25IJ%24%2F65ieZ%29f6", 2738444)</f>
        <v>2738444</v>
      </c>
      <c r="C972" s="3">
        <f>HYPERLINK("https://platform.v2.vetology.net/report/v/final/"&amp;2738444, 2738444)</f>
        <v>2738444</v>
      </c>
      <c r="D972" s="3" t="s">
        <v>3714</v>
      </c>
      <c r="E972" s="3" t="s">
        <v>3715</v>
      </c>
      <c r="F972" s="3" t="s">
        <v>3716</v>
      </c>
      <c r="G972" s="3" t="s">
        <v>496</v>
      </c>
      <c r="H972" s="3" t="s">
        <v>3717</v>
      </c>
      <c r="I972" s="3" t="s">
        <v>3718</v>
      </c>
      <c r="J972" s="3" t="s">
        <v>3719</v>
      </c>
      <c r="K972" s="3" t="s">
        <v>28</v>
      </c>
      <c r="L972" s="3" t="s">
        <v>28</v>
      </c>
      <c r="M972" s="3" t="s">
        <v>28</v>
      </c>
      <c r="N972" s="3" t="s">
        <v>28</v>
      </c>
      <c r="O972" s="3" t="s">
        <v>28</v>
      </c>
      <c r="P972" s="3" t="s">
        <v>27</v>
      </c>
      <c r="Q972" s="3" t="s">
        <v>28</v>
      </c>
      <c r="R972" s="3" t="s">
        <v>28</v>
      </c>
      <c r="S972" s="3" t="s">
        <v>28</v>
      </c>
      <c r="T972" s="3" t="s">
        <v>28</v>
      </c>
    </row>
    <row r="973" spans="1:20" ht="259.5">
      <c r="A973" s="3">
        <v>2738433</v>
      </c>
      <c r="B973" s="3">
        <f>HYPERLINK("https://platform.v2.vetology.net/cases/2738433/screening-report/6?type=pdf&amp;v=v6&amp;scorecard=1&amp;secret_key=BX%25IJ%24%2F65ieZ%29f6", 2738433)</f>
        <v>2738433</v>
      </c>
      <c r="C973" s="3">
        <f>HYPERLINK("https://platform.v2.vetology.net/report/v/final/"&amp;2738433, 2738433)</f>
        <v>2738433</v>
      </c>
      <c r="D973" s="3" t="s">
        <v>3720</v>
      </c>
      <c r="E973" s="3" t="s">
        <v>3721</v>
      </c>
      <c r="F973" s="3" t="s">
        <v>22</v>
      </c>
      <c r="G973" s="3" t="s">
        <v>23</v>
      </c>
      <c r="H973" s="3" t="s">
        <v>31</v>
      </c>
      <c r="I973" s="3" t="s">
        <v>129</v>
      </c>
      <c r="J973" s="3" t="s">
        <v>119</v>
      </c>
      <c r="K973" s="3" t="s">
        <v>28</v>
      </c>
      <c r="L973" s="3" t="s">
        <v>28</v>
      </c>
      <c r="M973" s="3" t="s">
        <v>28</v>
      </c>
      <c r="N973" s="3" t="s">
        <v>28</v>
      </c>
      <c r="O973" s="3" t="s">
        <v>27</v>
      </c>
      <c r="P973" s="3" t="s">
        <v>28</v>
      </c>
      <c r="Q973" s="3" t="s">
        <v>28</v>
      </c>
      <c r="R973" s="3" t="s">
        <v>28</v>
      </c>
      <c r="S973" s="3" t="s">
        <v>28</v>
      </c>
      <c r="T973" s="3" t="s">
        <v>28</v>
      </c>
    </row>
    <row r="974" spans="1:20" ht="409.6">
      <c r="A974" s="3">
        <v>2738412</v>
      </c>
      <c r="B974" s="3">
        <f>HYPERLINK("https://platform.v2.vetology.net/cases/2738412/screening-report/6?type=pdf&amp;v=v6&amp;scorecard=1&amp;secret_key=BX%25IJ%24%2F65ieZ%29f6", 2738412)</f>
        <v>2738412</v>
      </c>
      <c r="C974" s="3">
        <f>HYPERLINK("https://platform.v2.vetology.net/report/v/final/"&amp;2738412, 2738412)</f>
        <v>2738412</v>
      </c>
      <c r="D974" s="3" t="s">
        <v>3722</v>
      </c>
      <c r="E974" s="3" t="s">
        <v>3723</v>
      </c>
      <c r="F974" s="3" t="s">
        <v>3724</v>
      </c>
      <c r="G974" s="3" t="s">
        <v>1772</v>
      </c>
      <c r="H974" s="3" t="s">
        <v>1046</v>
      </c>
      <c r="I974" s="3" t="s">
        <v>59</v>
      </c>
      <c r="J974" s="3" t="s">
        <v>60</v>
      </c>
      <c r="K974" s="3" t="s">
        <v>28</v>
      </c>
      <c r="L974" s="3" t="s">
        <v>28</v>
      </c>
      <c r="M974" s="3" t="s">
        <v>28</v>
      </c>
      <c r="N974" s="3" t="s">
        <v>28</v>
      </c>
      <c r="O974" s="3" t="s">
        <v>27</v>
      </c>
      <c r="P974" s="3" t="s">
        <v>28</v>
      </c>
      <c r="Q974" s="3" t="s">
        <v>28</v>
      </c>
      <c r="R974" s="3" t="s">
        <v>27</v>
      </c>
      <c r="S974" s="3" t="s">
        <v>28</v>
      </c>
      <c r="T974" s="3" t="s">
        <v>27</v>
      </c>
    </row>
    <row r="975" spans="1:20" ht="275.25">
      <c r="A975" s="3">
        <v>2738408</v>
      </c>
      <c r="B975" s="3">
        <f>HYPERLINK("https://platform.v2.vetology.net/cases/2738408/screening-report/6?type=pdf&amp;v=v6&amp;scorecard=1&amp;secret_key=BX%25IJ%24%2F65ieZ%29f6", 2738408)</f>
        <v>2738408</v>
      </c>
      <c r="C975" s="3">
        <f>HYPERLINK("https://platform.v2.vetology.net/report/v/final/"&amp;2738408, 2738408)</f>
        <v>2738408</v>
      </c>
      <c r="D975" s="3" t="s">
        <v>3725</v>
      </c>
      <c r="E975" s="3" t="s">
        <v>3726</v>
      </c>
      <c r="F975" s="3" t="s">
        <v>3727</v>
      </c>
      <c r="G975" s="3" t="s">
        <v>496</v>
      </c>
      <c r="H975" s="3" t="s">
        <v>3728</v>
      </c>
      <c r="I975" s="3" t="s">
        <v>305</v>
      </c>
      <c r="J975" s="3" t="s">
        <v>799</v>
      </c>
      <c r="K975" s="3" t="s">
        <v>27</v>
      </c>
      <c r="L975" s="3" t="s">
        <v>28</v>
      </c>
      <c r="M975" s="3" t="s">
        <v>28</v>
      </c>
      <c r="N975" s="3" t="s">
        <v>28</v>
      </c>
      <c r="O975" s="3" t="s">
        <v>28</v>
      </c>
      <c r="P975" s="3" t="s">
        <v>28</v>
      </c>
      <c r="Q975" s="3" t="s">
        <v>28</v>
      </c>
      <c r="R975" s="3" t="s">
        <v>28</v>
      </c>
      <c r="S975" s="3" t="s">
        <v>28</v>
      </c>
      <c r="T975" s="3" t="s">
        <v>28</v>
      </c>
    </row>
    <row r="976" spans="1:20" ht="396.75">
      <c r="A976" s="3">
        <v>2738404</v>
      </c>
      <c r="B976" s="3">
        <f>HYPERLINK("https://platform.v2.vetology.net/cases/2738404/screening-report/6?type=pdf&amp;v=v6&amp;scorecard=1&amp;secret_key=BX%25IJ%24%2F65ieZ%29f6", 2738404)</f>
        <v>2738404</v>
      </c>
      <c r="C976" s="3">
        <f>HYPERLINK("https://platform.v2.vetology.net/report/v/final/"&amp;2738404, 2738404)</f>
        <v>2738404</v>
      </c>
      <c r="D976" s="3" t="s">
        <v>3729</v>
      </c>
      <c r="E976" s="3" t="s">
        <v>3730</v>
      </c>
      <c r="F976" s="3" t="s">
        <v>3731</v>
      </c>
      <c r="G976" s="3" t="s">
        <v>57</v>
      </c>
      <c r="H976" s="3" t="s">
        <v>3732</v>
      </c>
      <c r="I976" s="3" t="s">
        <v>3733</v>
      </c>
      <c r="J976" s="3" t="s">
        <v>3734</v>
      </c>
      <c r="K976" s="3" t="s">
        <v>27</v>
      </c>
      <c r="L976" s="3" t="s">
        <v>27</v>
      </c>
      <c r="M976" s="3" t="s">
        <v>27</v>
      </c>
      <c r="N976" s="3" t="s">
        <v>28</v>
      </c>
      <c r="O976" s="3" t="s">
        <v>28</v>
      </c>
      <c r="P976" s="3" t="s">
        <v>28</v>
      </c>
      <c r="Q976" s="3" t="s">
        <v>28</v>
      </c>
      <c r="R976" s="3" t="s">
        <v>28</v>
      </c>
      <c r="S976" s="3" t="s">
        <v>28</v>
      </c>
      <c r="T976" s="3" t="s">
        <v>27</v>
      </c>
    </row>
    <row r="977" spans="1:20" ht="381.75">
      <c r="A977" s="3">
        <v>2738380</v>
      </c>
      <c r="B977" s="3">
        <f>HYPERLINK("https://platform.v2.vetology.net/cases/2738380/screening-report/6?type=pdf&amp;v=v6&amp;scorecard=1&amp;secret_key=BX%25IJ%24%2F65ieZ%29f6", 2738380)</f>
        <v>2738380</v>
      </c>
      <c r="C977" s="3">
        <f>HYPERLINK("https://platform.v2.vetology.net/report/v/final/"&amp;2738380, 2738380)</f>
        <v>2738380</v>
      </c>
      <c r="D977" s="3" t="s">
        <v>3735</v>
      </c>
      <c r="E977" s="3" t="s">
        <v>3736</v>
      </c>
      <c r="F977" s="3" t="s">
        <v>22</v>
      </c>
      <c r="G977" s="3" t="s">
        <v>23</v>
      </c>
      <c r="H977" s="3" t="s">
        <v>3737</v>
      </c>
      <c r="I977" s="3" t="s">
        <v>1897</v>
      </c>
      <c r="J977" s="3" t="s">
        <v>325</v>
      </c>
      <c r="K977" s="3" t="s">
        <v>28</v>
      </c>
      <c r="L977" s="3" t="s">
        <v>28</v>
      </c>
      <c r="M977" s="3" t="s">
        <v>27</v>
      </c>
      <c r="N977" s="3" t="s">
        <v>28</v>
      </c>
      <c r="O977" s="3" t="s">
        <v>27</v>
      </c>
      <c r="P977" s="3" t="s">
        <v>27</v>
      </c>
      <c r="Q977" s="3" t="s">
        <v>27</v>
      </c>
      <c r="R977" s="3" t="s">
        <v>28</v>
      </c>
      <c r="S977" s="3" t="s">
        <v>28</v>
      </c>
      <c r="T977" s="3" t="s">
        <v>28</v>
      </c>
    </row>
    <row r="978" spans="1:20" ht="409.6">
      <c r="A978" s="3">
        <v>2738346</v>
      </c>
      <c r="B978" s="3">
        <f>HYPERLINK("https://platform.v2.vetology.net/cases/2738346/screening-report/6?type=pdf&amp;v=v6&amp;scorecard=1&amp;secret_key=BX%25IJ%24%2F65ieZ%29f6", 2738346)</f>
        <v>2738346</v>
      </c>
      <c r="C978" s="3">
        <f>HYPERLINK("https://platform.v2.vetology.net/report/v/final/"&amp;2738346, 2738346)</f>
        <v>2738346</v>
      </c>
      <c r="D978" s="3" t="s">
        <v>3738</v>
      </c>
      <c r="E978" s="3" t="s">
        <v>3739</v>
      </c>
      <c r="F978" s="3" t="s">
        <v>3740</v>
      </c>
      <c r="G978" s="3" t="s">
        <v>496</v>
      </c>
      <c r="H978" s="3" t="s">
        <v>3741</v>
      </c>
      <c r="I978" s="3" t="s">
        <v>1426</v>
      </c>
      <c r="J978" s="3" t="s">
        <v>207</v>
      </c>
      <c r="K978" s="3" t="s">
        <v>27</v>
      </c>
      <c r="L978" s="3" t="s">
        <v>27</v>
      </c>
      <c r="M978" s="3" t="s">
        <v>27</v>
      </c>
      <c r="N978" s="3" t="s">
        <v>27</v>
      </c>
      <c r="O978" s="3" t="s">
        <v>27</v>
      </c>
      <c r="P978" s="3" t="s">
        <v>28</v>
      </c>
      <c r="Q978" s="3" t="s">
        <v>27</v>
      </c>
      <c r="R978" s="3" t="s">
        <v>28</v>
      </c>
      <c r="S978" s="3" t="s">
        <v>28</v>
      </c>
      <c r="T978" s="3" t="s">
        <v>27</v>
      </c>
    </row>
    <row r="979" spans="1:20" ht="381.75">
      <c r="A979" s="3">
        <v>2738343</v>
      </c>
      <c r="B979" s="3">
        <f>HYPERLINK("https://platform.v2.vetology.net/cases/2738343/screening-report/6?type=pdf&amp;v=v6&amp;scorecard=1&amp;secret_key=BX%25IJ%24%2F65ieZ%29f6", 2738343)</f>
        <v>2738343</v>
      </c>
      <c r="C979" s="3">
        <f>HYPERLINK("https://platform.v2.vetology.net/report/v/final/"&amp;2738343, 2738343)</f>
        <v>2738343</v>
      </c>
      <c r="D979" s="3" t="s">
        <v>3742</v>
      </c>
      <c r="E979" s="3" t="s">
        <v>2036</v>
      </c>
      <c r="F979" s="3" t="s">
        <v>3743</v>
      </c>
      <c r="G979" s="3" t="s">
        <v>186</v>
      </c>
      <c r="H979" s="3" t="s">
        <v>3744</v>
      </c>
      <c r="I979" s="3" t="s">
        <v>981</v>
      </c>
      <c r="J979" s="3" t="s">
        <v>982</v>
      </c>
      <c r="K979" s="3" t="s">
        <v>28</v>
      </c>
      <c r="L979" s="3" t="s">
        <v>28</v>
      </c>
      <c r="M979" s="3" t="s">
        <v>27</v>
      </c>
      <c r="N979" s="3" t="s">
        <v>28</v>
      </c>
      <c r="O979" s="3" t="s">
        <v>27</v>
      </c>
      <c r="P979" s="3" t="s">
        <v>27</v>
      </c>
      <c r="Q979" s="3" t="s">
        <v>27</v>
      </c>
      <c r="R979" s="3" t="s">
        <v>28</v>
      </c>
      <c r="S979" s="3" t="s">
        <v>28</v>
      </c>
      <c r="T979" s="3" t="s">
        <v>28</v>
      </c>
    </row>
    <row r="980" spans="1:20" ht="305.25">
      <c r="A980" s="3">
        <v>2738342</v>
      </c>
      <c r="B980" s="3">
        <f>HYPERLINK("https://platform.v2.vetology.net/cases/2738342/screening-report/6?type=pdf&amp;v=v6&amp;scorecard=1&amp;secret_key=BX%25IJ%24%2F65ieZ%29f6", 2738342)</f>
        <v>2738342</v>
      </c>
      <c r="C980" s="3">
        <f>HYPERLINK("https://platform.v2.vetology.net/report/v/final/"&amp;2738342, 2738342)</f>
        <v>2738342</v>
      </c>
      <c r="D980" s="3" t="s">
        <v>3745</v>
      </c>
      <c r="E980" s="3" t="s">
        <v>3746</v>
      </c>
      <c r="F980" s="3" t="s">
        <v>3747</v>
      </c>
      <c r="G980" s="3" t="s">
        <v>186</v>
      </c>
      <c r="H980" s="3" t="s">
        <v>3748</v>
      </c>
      <c r="I980" s="3" t="s">
        <v>2068</v>
      </c>
      <c r="J980" s="3" t="s">
        <v>2069</v>
      </c>
      <c r="K980" s="3" t="s">
        <v>28</v>
      </c>
      <c r="L980" s="3" t="s">
        <v>27</v>
      </c>
      <c r="M980" s="3" t="s">
        <v>28</v>
      </c>
      <c r="N980" s="3" t="s">
        <v>27</v>
      </c>
      <c r="O980" s="3" t="s">
        <v>27</v>
      </c>
      <c r="P980" s="3" t="s">
        <v>28</v>
      </c>
      <c r="Q980" s="3" t="s">
        <v>27</v>
      </c>
      <c r="R980" s="3" t="s">
        <v>27</v>
      </c>
      <c r="S980" s="3" t="s">
        <v>27</v>
      </c>
      <c r="T980" s="3" t="s">
        <v>27</v>
      </c>
    </row>
    <row r="981" spans="1:20" ht="305.25">
      <c r="A981" s="3">
        <v>2738183</v>
      </c>
      <c r="B981" s="3">
        <f>HYPERLINK("https://platform.v2.vetology.net/cases/2738183/screening-report/6?type=pdf&amp;v=v6&amp;scorecard=1&amp;secret_key=BX%25IJ%24%2F65ieZ%29f6", 2738183)</f>
        <v>2738183</v>
      </c>
      <c r="C981" s="3">
        <f>HYPERLINK("https://platform.v2.vetology.net/report/v/final/"&amp;2738183, 2738183)</f>
        <v>2738183</v>
      </c>
      <c r="D981" s="3" t="s">
        <v>3749</v>
      </c>
      <c r="E981" s="3" t="s">
        <v>3750</v>
      </c>
      <c r="F981" s="3" t="s">
        <v>3751</v>
      </c>
      <c r="G981" s="3" t="s">
        <v>186</v>
      </c>
      <c r="H981" s="3" t="s">
        <v>3752</v>
      </c>
      <c r="I981" s="3" t="s">
        <v>784</v>
      </c>
      <c r="J981" s="3" t="s">
        <v>785</v>
      </c>
      <c r="K981" s="3" t="s">
        <v>28</v>
      </c>
      <c r="L981" s="3" t="s">
        <v>27</v>
      </c>
      <c r="M981" s="3" t="s">
        <v>27</v>
      </c>
      <c r="N981" s="3" t="s">
        <v>27</v>
      </c>
      <c r="O981" s="3" t="s">
        <v>27</v>
      </c>
      <c r="P981" s="3" t="s">
        <v>28</v>
      </c>
      <c r="Q981" s="3" t="s">
        <v>27</v>
      </c>
      <c r="R981" s="3" t="s">
        <v>28</v>
      </c>
      <c r="S981" s="3" t="s">
        <v>27</v>
      </c>
      <c r="T981" s="3" t="s">
        <v>27</v>
      </c>
    </row>
    <row r="982" spans="1:20" ht="409.6">
      <c r="A982" s="3">
        <v>2738083</v>
      </c>
      <c r="B982" s="3">
        <f>HYPERLINK("https://platform.v2.vetology.net/cases/2738083/screening-report/6?type=pdf&amp;v=v6&amp;scorecard=1&amp;secret_key=BX%25IJ%24%2F65ieZ%29f6", 2738083)</f>
        <v>2738083</v>
      </c>
      <c r="C982" s="3">
        <f>HYPERLINK("https://platform.v2.vetology.net/report/v/final/"&amp;2738083, 2738083)</f>
        <v>2738083</v>
      </c>
      <c r="D982" s="3" t="s">
        <v>3753</v>
      </c>
      <c r="E982" s="3" t="s">
        <v>2501</v>
      </c>
      <c r="F982" s="3" t="s">
        <v>3754</v>
      </c>
      <c r="G982" s="3" t="s">
        <v>64</v>
      </c>
      <c r="H982" s="3" t="s">
        <v>3755</v>
      </c>
      <c r="I982" s="3" t="s">
        <v>464</v>
      </c>
      <c r="J982" s="3" t="s">
        <v>688</v>
      </c>
      <c r="K982" s="3" t="s">
        <v>28</v>
      </c>
      <c r="L982" s="3" t="s">
        <v>28</v>
      </c>
      <c r="M982" s="3" t="s">
        <v>28</v>
      </c>
      <c r="N982" s="3" t="s">
        <v>28</v>
      </c>
      <c r="O982" s="3" t="s">
        <v>27</v>
      </c>
      <c r="P982" s="3" t="s">
        <v>28</v>
      </c>
      <c r="Q982" s="3" t="s">
        <v>28</v>
      </c>
      <c r="R982" s="3" t="s">
        <v>28</v>
      </c>
      <c r="S982" s="3" t="s">
        <v>28</v>
      </c>
      <c r="T982" s="3" t="s">
        <v>28</v>
      </c>
    </row>
    <row r="983" spans="1:20" ht="275.25">
      <c r="A983" s="3">
        <v>2738059</v>
      </c>
      <c r="B983" s="3">
        <f>HYPERLINK("https://platform.v2.vetology.net/cases/2738059/screening-report/6?type=pdf&amp;v=v6&amp;scorecard=1&amp;secret_key=BX%25IJ%24%2F65ieZ%29f6", 2738059)</f>
        <v>2738059</v>
      </c>
      <c r="C983" s="3">
        <f>HYPERLINK("https://platform.v2.vetology.net/report/v/final/"&amp;2738059, 2738059)</f>
        <v>2738059</v>
      </c>
      <c r="D983" s="3" t="s">
        <v>3756</v>
      </c>
      <c r="E983" s="3" t="s">
        <v>3757</v>
      </c>
      <c r="F983" s="3" t="s">
        <v>3758</v>
      </c>
      <c r="G983" s="3" t="s">
        <v>186</v>
      </c>
      <c r="H983" s="3" t="s">
        <v>3759</v>
      </c>
      <c r="I983" s="3" t="s">
        <v>1109</v>
      </c>
      <c r="J983" s="3" t="s">
        <v>1110</v>
      </c>
      <c r="K983" s="3" t="s">
        <v>28</v>
      </c>
      <c r="L983" s="3" t="s">
        <v>28</v>
      </c>
      <c r="M983" s="3" t="s">
        <v>28</v>
      </c>
      <c r="N983" s="3" t="s">
        <v>28</v>
      </c>
      <c r="O983" s="3" t="s">
        <v>28</v>
      </c>
      <c r="P983" s="3" t="s">
        <v>28</v>
      </c>
      <c r="Q983" s="3" t="s">
        <v>28</v>
      </c>
      <c r="R983" s="3" t="s">
        <v>28</v>
      </c>
      <c r="S983" s="3" t="s">
        <v>28</v>
      </c>
      <c r="T983" s="3" t="s">
        <v>27</v>
      </c>
    </row>
    <row r="984" spans="1:20" ht="409.6">
      <c r="A984" s="3">
        <v>2737934</v>
      </c>
      <c r="B984" s="3">
        <f>HYPERLINK("https://platform.v2.vetology.net/cases/2737934/screening-report/6?type=pdf&amp;v=v6&amp;scorecard=1&amp;secret_key=BX%25IJ%24%2F65ieZ%29f6", 2737934)</f>
        <v>2737934</v>
      </c>
      <c r="C984" s="3">
        <f>HYPERLINK("https://platform.v2.vetology.net/report/v/final/"&amp;2737934, 2737934)</f>
        <v>2737934</v>
      </c>
      <c r="D984" s="3" t="s">
        <v>3760</v>
      </c>
      <c r="E984" s="3" t="s">
        <v>3761</v>
      </c>
      <c r="F984" s="3" t="s">
        <v>1765</v>
      </c>
      <c r="G984" s="3" t="s">
        <v>57</v>
      </c>
      <c r="H984" s="3" t="s">
        <v>3762</v>
      </c>
      <c r="I984" s="3" t="s">
        <v>3763</v>
      </c>
      <c r="J984" s="3" t="s">
        <v>3764</v>
      </c>
      <c r="K984" s="3" t="s">
        <v>28</v>
      </c>
      <c r="L984" s="3" t="s">
        <v>27</v>
      </c>
      <c r="M984" s="3" t="s">
        <v>27</v>
      </c>
      <c r="N984" s="3" t="s">
        <v>28</v>
      </c>
      <c r="O984" s="3" t="s">
        <v>27</v>
      </c>
      <c r="P984" s="3" t="s">
        <v>27</v>
      </c>
      <c r="Q984" s="3" t="s">
        <v>28</v>
      </c>
      <c r="R984" s="3" t="s">
        <v>27</v>
      </c>
      <c r="S984" s="3" t="s">
        <v>28</v>
      </c>
      <c r="T984" s="3" t="s">
        <v>27</v>
      </c>
    </row>
    <row r="985" spans="1:20" ht="305.25">
      <c r="A985" s="3">
        <v>2737910</v>
      </c>
      <c r="B985" s="3">
        <f>HYPERLINK("https://platform.v2.vetology.net/cases/2737910/screening-report/6?type=pdf&amp;v=v6&amp;scorecard=1&amp;secret_key=BX%25IJ%24%2F65ieZ%29f6", 2737910)</f>
        <v>2737910</v>
      </c>
      <c r="C985" s="3">
        <f>HYPERLINK("https://platform.v2.vetology.net/report/v/final/"&amp;2737910, 2737910)</f>
        <v>2737910</v>
      </c>
      <c r="D985" s="3" t="s">
        <v>3765</v>
      </c>
      <c r="E985" s="3" t="s">
        <v>3766</v>
      </c>
      <c r="F985" s="3" t="s">
        <v>3767</v>
      </c>
      <c r="G985" s="3" t="s">
        <v>211</v>
      </c>
      <c r="H985" s="3" t="s">
        <v>3768</v>
      </c>
      <c r="I985" s="3" t="s">
        <v>1070</v>
      </c>
      <c r="J985" s="3" t="s">
        <v>207</v>
      </c>
      <c r="K985" s="3" t="s">
        <v>28</v>
      </c>
      <c r="L985" s="3" t="s">
        <v>28</v>
      </c>
      <c r="M985" s="3" t="s">
        <v>28</v>
      </c>
      <c r="N985" s="3" t="s">
        <v>28</v>
      </c>
      <c r="O985" s="3" t="s">
        <v>27</v>
      </c>
      <c r="P985" s="3" t="s">
        <v>28</v>
      </c>
      <c r="Q985" s="3" t="s">
        <v>28</v>
      </c>
      <c r="R985" s="3" t="s">
        <v>28</v>
      </c>
      <c r="S985" s="3" t="s">
        <v>28</v>
      </c>
      <c r="T985" s="3" t="s">
        <v>28</v>
      </c>
    </row>
    <row r="986" spans="1:20" ht="409.6">
      <c r="A986" s="3">
        <v>2737895</v>
      </c>
      <c r="B986" s="3">
        <f>HYPERLINK("https://platform.v2.vetology.net/cases/2737895/screening-report/6?type=pdf&amp;v=v6&amp;scorecard=1&amp;secret_key=BX%25IJ%24%2F65ieZ%29f6", 2737895)</f>
        <v>2737895</v>
      </c>
      <c r="C986" s="3">
        <f>HYPERLINK("https://platform.v2.vetology.net/report/v/final/"&amp;2737895, 2737895)</f>
        <v>2737895</v>
      </c>
      <c r="D986" s="3" t="s">
        <v>3769</v>
      </c>
      <c r="E986" s="3" t="s">
        <v>3770</v>
      </c>
      <c r="F986" s="3" t="s">
        <v>3771</v>
      </c>
      <c r="G986" s="3" t="s">
        <v>57</v>
      </c>
      <c r="H986" s="3" t="s">
        <v>3772</v>
      </c>
      <c r="I986" s="3" t="s">
        <v>883</v>
      </c>
      <c r="J986" s="3" t="s">
        <v>884</v>
      </c>
      <c r="K986" s="3" t="s">
        <v>28</v>
      </c>
      <c r="L986" s="3" t="s">
        <v>28</v>
      </c>
      <c r="M986" s="3" t="s">
        <v>28</v>
      </c>
      <c r="N986" s="3" t="s">
        <v>28</v>
      </c>
      <c r="O986" s="3" t="s">
        <v>28</v>
      </c>
      <c r="P986" s="3" t="s">
        <v>28</v>
      </c>
      <c r="Q986" s="3" t="s">
        <v>28</v>
      </c>
      <c r="R986" s="3" t="s">
        <v>28</v>
      </c>
      <c r="S986" s="3" t="s">
        <v>28</v>
      </c>
      <c r="T986" s="3" t="s">
        <v>28</v>
      </c>
    </row>
    <row r="987" spans="1:20" ht="409.6">
      <c r="A987" s="3">
        <v>2737867</v>
      </c>
      <c r="B987" s="3">
        <f>HYPERLINK("https://platform.v2.vetology.net/cases/2737867/screening-report/6?type=pdf&amp;v=v6&amp;scorecard=1&amp;secret_key=BX%25IJ%24%2F65ieZ%29f6", 2737867)</f>
        <v>2737867</v>
      </c>
      <c r="C987" s="3">
        <f>HYPERLINK("https://platform.v2.vetology.net/report/v/final/"&amp;2737867, 2737867)</f>
        <v>2737867</v>
      </c>
      <c r="D987" s="3" t="s">
        <v>3773</v>
      </c>
      <c r="E987" s="3" t="s">
        <v>3774</v>
      </c>
      <c r="F987" s="3" t="s">
        <v>3775</v>
      </c>
      <c r="G987" s="3" t="s">
        <v>57</v>
      </c>
      <c r="H987" s="3" t="s">
        <v>3776</v>
      </c>
      <c r="I987" s="3" t="s">
        <v>1020</v>
      </c>
      <c r="J987" s="3" t="s">
        <v>1021</v>
      </c>
      <c r="K987" s="3" t="s">
        <v>27</v>
      </c>
      <c r="L987" s="3" t="s">
        <v>28</v>
      </c>
      <c r="M987" s="3" t="s">
        <v>27</v>
      </c>
      <c r="N987" s="3" t="s">
        <v>28</v>
      </c>
      <c r="O987" s="3" t="s">
        <v>27</v>
      </c>
      <c r="P987" s="3" t="s">
        <v>28</v>
      </c>
      <c r="Q987" s="3" t="s">
        <v>27</v>
      </c>
      <c r="R987" s="3" t="s">
        <v>28</v>
      </c>
      <c r="S987" s="3" t="s">
        <v>28</v>
      </c>
      <c r="T987" s="3" t="s">
        <v>28</v>
      </c>
    </row>
    <row r="988" spans="1:20" ht="396.75">
      <c r="A988" s="3">
        <v>2737860</v>
      </c>
      <c r="B988" s="3">
        <f>HYPERLINK("https://platform.v2.vetology.net/cases/2737860/screening-report/6?type=pdf&amp;v=v6&amp;scorecard=1&amp;secret_key=BX%25IJ%24%2F65ieZ%29f6", 2737860)</f>
        <v>2737860</v>
      </c>
      <c r="C988" s="3">
        <f>HYPERLINK("https://platform.v2.vetology.net/report/v/final/"&amp;2737860, 2737860)</f>
        <v>2737860</v>
      </c>
      <c r="D988" s="3" t="s">
        <v>3777</v>
      </c>
      <c r="E988" s="3" t="s">
        <v>3778</v>
      </c>
      <c r="F988" s="3" t="s">
        <v>3245</v>
      </c>
      <c r="G988" s="3" t="s">
        <v>57</v>
      </c>
      <c r="H988" s="3" t="s">
        <v>3779</v>
      </c>
      <c r="I988" s="3" t="s">
        <v>572</v>
      </c>
      <c r="J988" s="3" t="s">
        <v>573</v>
      </c>
      <c r="K988" s="3" t="s">
        <v>27</v>
      </c>
      <c r="L988" s="3" t="s">
        <v>28</v>
      </c>
      <c r="M988" s="3" t="s">
        <v>27</v>
      </c>
      <c r="N988" s="3" t="s">
        <v>28</v>
      </c>
      <c r="O988" s="3" t="s">
        <v>27</v>
      </c>
      <c r="P988" s="3" t="s">
        <v>28</v>
      </c>
      <c r="Q988" s="3" t="s">
        <v>28</v>
      </c>
      <c r="R988" s="3" t="s">
        <v>28</v>
      </c>
      <c r="S988" s="3" t="s">
        <v>28</v>
      </c>
      <c r="T988" s="3" t="s">
        <v>28</v>
      </c>
    </row>
    <row r="989" spans="1:20" ht="409.6">
      <c r="A989" s="3">
        <v>2737792</v>
      </c>
      <c r="B989" s="3">
        <f>HYPERLINK("https://platform.v2.vetology.net/cases/2737792/screening-report/6?type=pdf&amp;v=v6&amp;scorecard=1&amp;secret_key=BX%25IJ%24%2F65ieZ%29f6", 2737792)</f>
        <v>2737792</v>
      </c>
      <c r="C989" s="3">
        <f>HYPERLINK("https://platform.v2.vetology.net/report/v/final/"&amp;2737792, 2737792)</f>
        <v>2737792</v>
      </c>
      <c r="D989" s="3" t="s">
        <v>3780</v>
      </c>
      <c r="E989" s="3" t="s">
        <v>3781</v>
      </c>
      <c r="F989" s="3" t="s">
        <v>3782</v>
      </c>
      <c r="G989" s="3" t="s">
        <v>57</v>
      </c>
      <c r="H989" s="3" t="s">
        <v>31</v>
      </c>
      <c r="I989" s="3" t="s">
        <v>32</v>
      </c>
      <c r="J989" s="3" t="s">
        <v>33</v>
      </c>
      <c r="K989" s="3" t="s">
        <v>28</v>
      </c>
      <c r="L989" s="3" t="s">
        <v>28</v>
      </c>
      <c r="M989" s="3" t="s">
        <v>28</v>
      </c>
      <c r="N989" s="3" t="s">
        <v>28</v>
      </c>
      <c r="O989" s="3" t="s">
        <v>28</v>
      </c>
      <c r="P989" s="3" t="s">
        <v>28</v>
      </c>
      <c r="Q989" s="3" t="s">
        <v>28</v>
      </c>
      <c r="R989" s="3" t="s">
        <v>28</v>
      </c>
      <c r="S989" s="3" t="s">
        <v>28</v>
      </c>
      <c r="T989" s="3" t="s">
        <v>28</v>
      </c>
    </row>
    <row r="990" spans="1:20" ht="229.5">
      <c r="A990" s="3">
        <v>2737726</v>
      </c>
      <c r="B990" s="3">
        <f>HYPERLINK("https://platform.v2.vetology.net/cases/2737726/screening-report/6?type=pdf&amp;v=v6&amp;scorecard=1&amp;secret_key=BX%25IJ%24%2F65ieZ%29f6", 2737726)</f>
        <v>2737726</v>
      </c>
      <c r="C990" s="3">
        <f>HYPERLINK("https://platform.v2.vetology.net/report/v/final/"&amp;2737726, 2737726)</f>
        <v>2737726</v>
      </c>
      <c r="D990" s="3" t="s">
        <v>3783</v>
      </c>
      <c r="E990" s="3" t="s">
        <v>3784</v>
      </c>
      <c r="F990" s="3"/>
      <c r="G990" s="3" t="s">
        <v>122</v>
      </c>
      <c r="H990" s="3" t="s">
        <v>1960</v>
      </c>
      <c r="I990" s="3" t="s">
        <v>305</v>
      </c>
      <c r="J990" s="3" t="s">
        <v>119</v>
      </c>
      <c r="K990" s="3" t="s">
        <v>28</v>
      </c>
      <c r="L990" s="3" t="s">
        <v>28</v>
      </c>
      <c r="M990" s="3" t="s">
        <v>28</v>
      </c>
      <c r="N990" s="3" t="s">
        <v>28</v>
      </c>
      <c r="O990" s="3" t="s">
        <v>28</v>
      </c>
      <c r="P990" s="3" t="s">
        <v>28</v>
      </c>
      <c r="Q990" s="3" t="s">
        <v>28</v>
      </c>
      <c r="R990" s="3" t="s">
        <v>28</v>
      </c>
      <c r="S990" s="3" t="s">
        <v>28</v>
      </c>
      <c r="T990" s="3" t="s">
        <v>28</v>
      </c>
    </row>
    <row r="991" spans="1:20" ht="409.6">
      <c r="A991" s="3">
        <v>2737724</v>
      </c>
      <c r="B991" s="3">
        <f>HYPERLINK("https://platform.v2.vetology.net/cases/2737724/screening-report/6?type=pdf&amp;v=v6&amp;scorecard=1&amp;secret_key=BX%25IJ%24%2F65ieZ%29f6", 2737724)</f>
        <v>2737724</v>
      </c>
      <c r="C991" s="3">
        <f>HYPERLINK("https://platform.v2.vetology.net/report/v/final/"&amp;2737724, 2737724)</f>
        <v>2737724</v>
      </c>
      <c r="D991" s="3" t="s">
        <v>3785</v>
      </c>
      <c r="E991" s="3" t="s">
        <v>3786</v>
      </c>
      <c r="F991" s="3" t="s">
        <v>1668</v>
      </c>
      <c r="G991" s="3" t="s">
        <v>122</v>
      </c>
      <c r="H991" s="3" t="s">
        <v>3787</v>
      </c>
      <c r="I991" s="3" t="s">
        <v>3788</v>
      </c>
      <c r="J991" s="3" t="s">
        <v>3789</v>
      </c>
      <c r="K991" s="3" t="s">
        <v>28</v>
      </c>
      <c r="L991" s="3" t="s">
        <v>27</v>
      </c>
      <c r="M991" s="3" t="s">
        <v>27</v>
      </c>
      <c r="N991" s="3" t="s">
        <v>27</v>
      </c>
      <c r="O991" s="3" t="s">
        <v>27</v>
      </c>
      <c r="P991" s="3" t="s">
        <v>28</v>
      </c>
      <c r="Q991" s="3" t="s">
        <v>27</v>
      </c>
      <c r="R991" s="3" t="s">
        <v>27</v>
      </c>
      <c r="S991" s="3" t="s">
        <v>28</v>
      </c>
      <c r="T991" s="3" t="s">
        <v>27</v>
      </c>
    </row>
    <row r="992" spans="1:20" ht="336">
      <c r="A992" s="3">
        <v>2737712</v>
      </c>
      <c r="B992" s="3">
        <f>HYPERLINK("https://platform.v2.vetology.net/cases/2737712/screening-report/6?type=pdf&amp;v=v6&amp;scorecard=1&amp;secret_key=BX%25IJ%24%2F65ieZ%29f6", 2737712)</f>
        <v>2737712</v>
      </c>
      <c r="C992" s="3">
        <f>HYPERLINK("https://platform.v2.vetology.net/report/v/final/"&amp;2737712, 2737712)</f>
        <v>2737712</v>
      </c>
      <c r="D992" s="3" t="s">
        <v>3790</v>
      </c>
      <c r="E992" s="3" t="s">
        <v>3791</v>
      </c>
      <c r="F992" s="3" t="s">
        <v>3792</v>
      </c>
      <c r="G992" s="3" t="s">
        <v>186</v>
      </c>
      <c r="H992" s="3" t="s">
        <v>3793</v>
      </c>
      <c r="I992" s="3" t="s">
        <v>763</v>
      </c>
      <c r="J992" s="3" t="s">
        <v>764</v>
      </c>
      <c r="K992" s="3" t="s">
        <v>27</v>
      </c>
      <c r="L992" s="3" t="s">
        <v>27</v>
      </c>
      <c r="M992" s="3" t="s">
        <v>27</v>
      </c>
      <c r="N992" s="3" t="s">
        <v>28</v>
      </c>
      <c r="O992" s="3" t="s">
        <v>28</v>
      </c>
      <c r="P992" s="3" t="s">
        <v>28</v>
      </c>
      <c r="Q992" s="3" t="s">
        <v>27</v>
      </c>
      <c r="R992" s="3" t="s">
        <v>28</v>
      </c>
      <c r="S992" s="3" t="s">
        <v>28</v>
      </c>
      <c r="T992" s="3" t="s">
        <v>28</v>
      </c>
    </row>
    <row r="993" spans="1:20" ht="409.6">
      <c r="A993" s="3">
        <v>2737691</v>
      </c>
      <c r="B993" s="3">
        <f>HYPERLINK("https://platform.v2.vetology.net/cases/2737691/screening-report/6?type=pdf&amp;v=v6&amp;scorecard=1&amp;secret_key=BX%25IJ%24%2F65ieZ%29f6", 2737691)</f>
        <v>2737691</v>
      </c>
      <c r="C993" s="3">
        <f>HYPERLINK("https://platform.v2.vetology.net/report/v/final/"&amp;2737691, 2737691)</f>
        <v>2737691</v>
      </c>
      <c r="D993" s="3" t="s">
        <v>3794</v>
      </c>
      <c r="E993" s="3" t="s">
        <v>3795</v>
      </c>
      <c r="F993" s="3" t="s">
        <v>3796</v>
      </c>
      <c r="G993" s="3" t="s">
        <v>211</v>
      </c>
      <c r="H993" s="3" t="s">
        <v>3797</v>
      </c>
      <c r="I993" s="3" t="s">
        <v>2486</v>
      </c>
      <c r="J993" s="3" t="s">
        <v>2487</v>
      </c>
      <c r="K993" s="3" t="s">
        <v>28</v>
      </c>
      <c r="L993" s="3" t="s">
        <v>28</v>
      </c>
      <c r="M993" s="3" t="s">
        <v>28</v>
      </c>
      <c r="N993" s="3" t="s">
        <v>28</v>
      </c>
      <c r="O993" s="3" t="s">
        <v>27</v>
      </c>
      <c r="P993" s="3" t="s">
        <v>28</v>
      </c>
      <c r="Q993" s="3" t="s">
        <v>28</v>
      </c>
      <c r="R993" s="3" t="s">
        <v>28</v>
      </c>
      <c r="S993" s="3" t="s">
        <v>28</v>
      </c>
      <c r="T993" s="3" t="s">
        <v>28</v>
      </c>
    </row>
    <row r="994" spans="1:20" ht="409.6">
      <c r="A994" s="3">
        <v>2737676</v>
      </c>
      <c r="B994" s="3">
        <f>HYPERLINK("https://platform.v2.vetology.net/cases/2737676/screening-report/6?type=pdf&amp;v=v6&amp;scorecard=1&amp;secret_key=BX%25IJ%24%2F65ieZ%29f6", 2737676)</f>
        <v>2737676</v>
      </c>
      <c r="C994" s="3">
        <f>HYPERLINK("https://platform.v2.vetology.net/report/v/final/"&amp;2737676, 2737676)</f>
        <v>2737676</v>
      </c>
      <c r="D994" s="3" t="s">
        <v>3798</v>
      </c>
      <c r="E994" s="3" t="s">
        <v>3799</v>
      </c>
      <c r="F994" s="3" t="s">
        <v>3800</v>
      </c>
      <c r="G994" s="3" t="s">
        <v>64</v>
      </c>
      <c r="H994" s="3" t="s">
        <v>3801</v>
      </c>
      <c r="I994" s="3" t="s">
        <v>2045</v>
      </c>
      <c r="J994" s="3" t="s">
        <v>2046</v>
      </c>
      <c r="K994" s="3" t="s">
        <v>28</v>
      </c>
      <c r="L994" s="3" t="s">
        <v>27</v>
      </c>
      <c r="M994" s="3" t="s">
        <v>28</v>
      </c>
      <c r="N994" s="3" t="s">
        <v>28</v>
      </c>
      <c r="O994" s="3" t="s">
        <v>27</v>
      </c>
      <c r="P994" s="3" t="s">
        <v>28</v>
      </c>
      <c r="Q994" s="3" t="s">
        <v>27</v>
      </c>
      <c r="R994" s="3" t="s">
        <v>27</v>
      </c>
      <c r="S994" s="3" t="s">
        <v>28</v>
      </c>
      <c r="T994" s="3" t="s">
        <v>28</v>
      </c>
    </row>
    <row r="995" spans="1:20" ht="351">
      <c r="A995" s="3">
        <v>2737642</v>
      </c>
      <c r="B995" s="3">
        <f>HYPERLINK("https://platform.v2.vetology.net/cases/2737642/screening-report/6?type=pdf&amp;v=v6&amp;scorecard=1&amp;secret_key=BX%25IJ%24%2F65ieZ%29f6", 2737642)</f>
        <v>2737642</v>
      </c>
      <c r="C995" s="3">
        <f>HYPERLINK("https://platform.v2.vetology.net/report/v/final/"&amp;2737642, 2737642)</f>
        <v>2737642</v>
      </c>
      <c r="D995" s="3" t="s">
        <v>3802</v>
      </c>
      <c r="E995" s="3" t="s">
        <v>3803</v>
      </c>
      <c r="F995" s="3" t="s">
        <v>3804</v>
      </c>
      <c r="G995" s="3" t="s">
        <v>211</v>
      </c>
      <c r="H995" s="3" t="s">
        <v>31</v>
      </c>
      <c r="I995" s="3" t="s">
        <v>32</v>
      </c>
      <c r="J995" s="3" t="s">
        <v>33</v>
      </c>
      <c r="K995" s="3" t="s">
        <v>28</v>
      </c>
      <c r="L995" s="3" t="s">
        <v>28</v>
      </c>
      <c r="M995" s="3" t="s">
        <v>28</v>
      </c>
      <c r="N995" s="3" t="s">
        <v>28</v>
      </c>
      <c r="O995" s="3" t="s">
        <v>28</v>
      </c>
      <c r="P995" s="3" t="s">
        <v>28</v>
      </c>
      <c r="Q995" s="3" t="s">
        <v>28</v>
      </c>
      <c r="R995" s="3" t="s">
        <v>28</v>
      </c>
      <c r="S995" s="3" t="s">
        <v>28</v>
      </c>
      <c r="T995" s="3" t="s">
        <v>28</v>
      </c>
    </row>
    <row r="996" spans="1:20" ht="305.25">
      <c r="A996" s="3">
        <v>2737627</v>
      </c>
      <c r="B996" s="3">
        <f>HYPERLINK("https://platform.v2.vetology.net/cases/2737627/screening-report/6?type=pdf&amp;v=v6&amp;scorecard=1&amp;secret_key=BX%25IJ%24%2F65ieZ%29f6", 2737627)</f>
        <v>2737627</v>
      </c>
      <c r="C996" s="3">
        <f>HYPERLINK("https://platform.v2.vetology.net/report/v/final/"&amp;2737627, 2737627)</f>
        <v>2737627</v>
      </c>
      <c r="D996" s="3" t="s">
        <v>3805</v>
      </c>
      <c r="E996" s="3" t="s">
        <v>3806</v>
      </c>
      <c r="F996" s="3" t="s">
        <v>22</v>
      </c>
      <c r="G996" s="3" t="s">
        <v>23</v>
      </c>
      <c r="H996" s="3" t="s">
        <v>3807</v>
      </c>
      <c r="I996" s="3" t="s">
        <v>233</v>
      </c>
      <c r="J996" s="3" t="s">
        <v>502</v>
      </c>
      <c r="K996" s="3" t="s">
        <v>27</v>
      </c>
      <c r="L996" s="3" t="s">
        <v>28</v>
      </c>
      <c r="M996" s="3" t="s">
        <v>28</v>
      </c>
      <c r="N996" s="3" t="s">
        <v>28</v>
      </c>
      <c r="O996" s="3" t="s">
        <v>27</v>
      </c>
      <c r="P996" s="3" t="s">
        <v>28</v>
      </c>
      <c r="Q996" s="3" t="s">
        <v>28</v>
      </c>
      <c r="R996" s="3" t="s">
        <v>28</v>
      </c>
      <c r="S996" s="3" t="s">
        <v>27</v>
      </c>
      <c r="T996" s="3" t="s">
        <v>28</v>
      </c>
    </row>
    <row r="997" spans="1:20" ht="409.6">
      <c r="A997" s="3">
        <v>2737622</v>
      </c>
      <c r="B997" s="3">
        <f>HYPERLINK("https://platform.v2.vetology.net/cases/2737622/screening-report/6?type=pdf&amp;v=v6&amp;scorecard=1&amp;secret_key=BX%25IJ%24%2F65ieZ%29f6", 2737622)</f>
        <v>2737622</v>
      </c>
      <c r="C997" s="3">
        <f>HYPERLINK("https://platform.v2.vetology.net/report/v/final/"&amp;2737622, 2737622)</f>
        <v>2737622</v>
      </c>
      <c r="D997" s="3" t="s">
        <v>3808</v>
      </c>
      <c r="E997" s="3" t="s">
        <v>3809</v>
      </c>
      <c r="F997" s="3" t="s">
        <v>3810</v>
      </c>
      <c r="G997" s="3" t="s">
        <v>23</v>
      </c>
      <c r="H997" s="3" t="s">
        <v>3811</v>
      </c>
      <c r="I997" s="3" t="s">
        <v>768</v>
      </c>
      <c r="J997" s="3" t="s">
        <v>769</v>
      </c>
      <c r="K997" s="3" t="s">
        <v>28</v>
      </c>
      <c r="L997" s="3" t="s">
        <v>28</v>
      </c>
      <c r="M997" s="3" t="s">
        <v>28</v>
      </c>
      <c r="N997" s="3" t="s">
        <v>28</v>
      </c>
      <c r="O997" s="3" t="s">
        <v>27</v>
      </c>
      <c r="P997" s="3" t="s">
        <v>27</v>
      </c>
      <c r="Q997" s="3" t="s">
        <v>28</v>
      </c>
      <c r="R997" s="3" t="s">
        <v>28</v>
      </c>
      <c r="S997" s="3" t="s">
        <v>28</v>
      </c>
      <c r="T997" s="3" t="s">
        <v>27</v>
      </c>
    </row>
    <row r="998" spans="1:20" ht="409.6">
      <c r="A998" s="3">
        <v>2737613</v>
      </c>
      <c r="B998" s="3">
        <f>HYPERLINK("https://platform.v2.vetology.net/cases/2737613/screening-report/6?type=pdf&amp;v=v6&amp;scorecard=1&amp;secret_key=BX%25IJ%24%2F65ieZ%29f6", 2737613)</f>
        <v>2737613</v>
      </c>
      <c r="C998" s="3">
        <f>HYPERLINK("https://platform.v2.vetology.net/report/v/final/"&amp;2737613, 2737613)</f>
        <v>2737613</v>
      </c>
      <c r="D998" s="3" t="s">
        <v>3812</v>
      </c>
      <c r="E998" s="3" t="s">
        <v>3813</v>
      </c>
      <c r="F998" s="3" t="s">
        <v>3814</v>
      </c>
      <c r="G998" s="3" t="s">
        <v>64</v>
      </c>
      <c r="H998" s="3" t="s">
        <v>3815</v>
      </c>
      <c r="I998" s="3" t="s">
        <v>3492</v>
      </c>
      <c r="J998" s="3" t="s">
        <v>154</v>
      </c>
      <c r="K998" s="3" t="s">
        <v>27</v>
      </c>
      <c r="L998" s="3" t="s">
        <v>28</v>
      </c>
      <c r="M998" s="3" t="s">
        <v>27</v>
      </c>
      <c r="N998" s="3" t="s">
        <v>28</v>
      </c>
      <c r="O998" s="3" t="s">
        <v>27</v>
      </c>
      <c r="P998" s="3" t="s">
        <v>28</v>
      </c>
      <c r="Q998" s="3" t="s">
        <v>27</v>
      </c>
      <c r="R998" s="3" t="s">
        <v>28</v>
      </c>
      <c r="S998" s="3" t="s">
        <v>27</v>
      </c>
      <c r="T998" s="3" t="s">
        <v>28</v>
      </c>
    </row>
    <row r="999" spans="1:20" ht="259.5">
      <c r="A999" s="3">
        <v>2737607</v>
      </c>
      <c r="B999" s="3">
        <f>HYPERLINK("https://platform.v2.vetology.net/cases/2737607/screening-report/6?type=pdf&amp;v=v6&amp;scorecard=1&amp;secret_key=BX%25IJ%24%2F65ieZ%29f6", 2737607)</f>
        <v>2737607</v>
      </c>
      <c r="C999" s="3">
        <f>HYPERLINK("https://platform.v2.vetology.net/report/v/final/"&amp;2737607, 2737607)</f>
        <v>2737607</v>
      </c>
      <c r="D999" s="3" t="s">
        <v>3816</v>
      </c>
      <c r="E999" s="3" t="s">
        <v>3817</v>
      </c>
      <c r="F999" s="3" t="s">
        <v>22</v>
      </c>
      <c r="G999" s="3" t="s">
        <v>100</v>
      </c>
      <c r="H999" s="3" t="s">
        <v>1928</v>
      </c>
      <c r="I999" s="3" t="s">
        <v>1373</v>
      </c>
      <c r="J999" s="3" t="s">
        <v>207</v>
      </c>
      <c r="K999" s="3" t="s">
        <v>27</v>
      </c>
      <c r="L999" s="3" t="s">
        <v>28</v>
      </c>
      <c r="M999" s="3" t="s">
        <v>27</v>
      </c>
      <c r="N999" s="3" t="s">
        <v>28</v>
      </c>
      <c r="O999" s="3" t="s">
        <v>27</v>
      </c>
      <c r="P999" s="3" t="s">
        <v>28</v>
      </c>
      <c r="Q999" s="3" t="s">
        <v>27</v>
      </c>
      <c r="R999" s="3" t="s">
        <v>28</v>
      </c>
      <c r="S999" s="3" t="s">
        <v>28</v>
      </c>
      <c r="T999" s="3" t="s">
        <v>27</v>
      </c>
    </row>
    <row r="1000" spans="1:20" ht="396.75">
      <c r="A1000" s="3">
        <v>2737596</v>
      </c>
      <c r="B1000" s="3">
        <f>HYPERLINK("https://platform.v2.vetology.net/cases/2737596/screening-report/6?type=pdf&amp;v=v6&amp;scorecard=1&amp;secret_key=BX%25IJ%24%2F65ieZ%29f6", 2737596)</f>
        <v>2737596</v>
      </c>
      <c r="C1000" s="3">
        <f>HYPERLINK("https://platform.v2.vetology.net/report/v/final/"&amp;2737596, 2737596)</f>
        <v>2737596</v>
      </c>
      <c r="D1000" s="3" t="s">
        <v>3818</v>
      </c>
      <c r="E1000" s="3" t="s">
        <v>3819</v>
      </c>
      <c r="F1000" s="3" t="s">
        <v>22</v>
      </c>
      <c r="G1000" s="3" t="s">
        <v>372</v>
      </c>
      <c r="H1000" s="3" t="s">
        <v>350</v>
      </c>
      <c r="I1000" s="3" t="s">
        <v>351</v>
      </c>
      <c r="J1000" s="3" t="s">
        <v>352</v>
      </c>
      <c r="K1000" s="3" t="s">
        <v>28</v>
      </c>
      <c r="L1000" s="3" t="s">
        <v>28</v>
      </c>
      <c r="M1000" s="3" t="s">
        <v>28</v>
      </c>
      <c r="N1000" s="3" t="s">
        <v>28</v>
      </c>
      <c r="O1000" s="3" t="s">
        <v>28</v>
      </c>
      <c r="P1000" s="3" t="s">
        <v>28</v>
      </c>
      <c r="Q1000" s="3" t="s">
        <v>28</v>
      </c>
      <c r="R1000" s="3" t="s">
        <v>28</v>
      </c>
      <c r="S1000" s="3" t="s">
        <v>28</v>
      </c>
      <c r="T1000" s="3" t="s">
        <v>27</v>
      </c>
    </row>
    <row r="1001" spans="1:20" ht="409.6">
      <c r="A1001" s="3">
        <v>2737587</v>
      </c>
      <c r="B1001" s="3">
        <f>HYPERLINK("https://platform.v2.vetology.net/cases/2737587/screening-report/6?type=pdf&amp;v=v6&amp;scorecard=1&amp;secret_key=BX%25IJ%24%2F65ieZ%29f6", 2737587)</f>
        <v>2737587</v>
      </c>
      <c r="C1001" s="3">
        <f>HYPERLINK("https://platform.v2.vetology.net/report/v/final/"&amp;2737587, 2737587)</f>
        <v>2737587</v>
      </c>
      <c r="D1001" s="3" t="s">
        <v>3820</v>
      </c>
      <c r="E1001" s="3" t="s">
        <v>3821</v>
      </c>
      <c r="F1001" s="3" t="s">
        <v>22</v>
      </c>
      <c r="G1001" s="3" t="s">
        <v>23</v>
      </c>
      <c r="H1001" s="3" t="s">
        <v>590</v>
      </c>
      <c r="I1001" s="3" t="s">
        <v>291</v>
      </c>
      <c r="J1001" s="3" t="s">
        <v>225</v>
      </c>
      <c r="K1001" s="3" t="s">
        <v>28</v>
      </c>
      <c r="L1001" s="3" t="s">
        <v>28</v>
      </c>
      <c r="M1001" s="3" t="s">
        <v>28</v>
      </c>
      <c r="N1001" s="3" t="s">
        <v>28</v>
      </c>
      <c r="O1001" s="3" t="s">
        <v>27</v>
      </c>
      <c r="P1001" s="3" t="s">
        <v>28</v>
      </c>
      <c r="Q1001" s="3" t="s">
        <v>28</v>
      </c>
      <c r="R1001" s="3" t="s">
        <v>27</v>
      </c>
      <c r="S1001" s="3" t="s">
        <v>27</v>
      </c>
      <c r="T1001" s="3" t="s">
        <v>27</v>
      </c>
    </row>
    <row r="1002" spans="1:20" ht="229.5">
      <c r="A1002" s="3">
        <v>2737508</v>
      </c>
      <c r="B1002" s="3">
        <f>HYPERLINK("https://platform.v2.vetology.net/cases/2737508/screening-report/6?type=pdf&amp;v=v6&amp;scorecard=1&amp;secret_key=BX%25IJ%24%2F65ieZ%29f6", 2737508)</f>
        <v>2737508</v>
      </c>
      <c r="C1002" s="3">
        <f>HYPERLINK("https://platform.v2.vetology.net/report/v/final/"&amp;2737508, 2737508)</f>
        <v>2737508</v>
      </c>
      <c r="D1002" s="3" t="s">
        <v>954</v>
      </c>
      <c r="E1002" s="3" t="s">
        <v>955</v>
      </c>
      <c r="F1002" s="3" t="s">
        <v>956</v>
      </c>
      <c r="G1002" s="3" t="s">
        <v>100</v>
      </c>
      <c r="H1002" s="3" t="s">
        <v>31</v>
      </c>
      <c r="I1002" s="3" t="s">
        <v>32</v>
      </c>
      <c r="J1002" s="3" t="s">
        <v>119</v>
      </c>
      <c r="K1002" s="3" t="s">
        <v>28</v>
      </c>
      <c r="L1002" s="3" t="s">
        <v>28</v>
      </c>
      <c r="M1002" s="3" t="s">
        <v>28</v>
      </c>
      <c r="N1002" s="3" t="s">
        <v>28</v>
      </c>
      <c r="O1002" s="3" t="s">
        <v>28</v>
      </c>
      <c r="P1002" s="3" t="s">
        <v>28</v>
      </c>
      <c r="Q1002" s="3" t="s">
        <v>28</v>
      </c>
      <c r="R1002" s="3" t="s">
        <v>28</v>
      </c>
      <c r="S1002" s="3" t="s">
        <v>28</v>
      </c>
      <c r="T1002" s="3" t="s">
        <v>28</v>
      </c>
    </row>
    <row r="1003" spans="1:20" ht="351">
      <c r="A1003" s="3">
        <v>2737484</v>
      </c>
      <c r="B1003" s="3">
        <f>HYPERLINK("https://platform.v2.vetology.net/cases/2737484/screening-report/6?type=pdf&amp;v=v6&amp;scorecard=1&amp;secret_key=BX%25IJ%24%2F65ieZ%29f6", 2737484)</f>
        <v>2737484</v>
      </c>
      <c r="C1003" s="3">
        <f>HYPERLINK("https://platform.v2.vetology.net/report/v/final/"&amp;2737484, 2737484)</f>
        <v>2737484</v>
      </c>
      <c r="D1003" s="3" t="s">
        <v>3822</v>
      </c>
      <c r="E1003" s="3" t="s">
        <v>3823</v>
      </c>
      <c r="F1003" s="3" t="s">
        <v>1963</v>
      </c>
      <c r="G1003" s="3" t="s">
        <v>186</v>
      </c>
      <c r="H1003" s="3" t="s">
        <v>3824</v>
      </c>
      <c r="I1003" s="3" t="s">
        <v>316</v>
      </c>
      <c r="J1003" s="3" t="s">
        <v>317</v>
      </c>
      <c r="K1003" s="3" t="s">
        <v>28</v>
      </c>
      <c r="L1003" s="3" t="s">
        <v>28</v>
      </c>
      <c r="M1003" s="3" t="s">
        <v>28</v>
      </c>
      <c r="N1003" s="3" t="s">
        <v>28</v>
      </c>
      <c r="O1003" s="3" t="s">
        <v>27</v>
      </c>
      <c r="P1003" s="3" t="s">
        <v>28</v>
      </c>
      <c r="Q1003" s="3" t="s">
        <v>28</v>
      </c>
      <c r="R1003" s="3" t="s">
        <v>28</v>
      </c>
      <c r="S1003" s="3" t="s">
        <v>28</v>
      </c>
      <c r="T1003" s="3" t="s">
        <v>28</v>
      </c>
    </row>
    <row r="1004" spans="1:20" ht="381.75">
      <c r="A1004" s="3">
        <v>2737450</v>
      </c>
      <c r="B1004" s="3">
        <f>HYPERLINK("https://platform.v2.vetology.net/cases/2737450/screening-report/6?type=pdf&amp;v=v6&amp;scorecard=1&amp;secret_key=BX%25IJ%24%2F65ieZ%29f6", 2737450)</f>
        <v>2737450</v>
      </c>
      <c r="C1004" s="3">
        <f>HYPERLINK("https://platform.v2.vetology.net/report/v/final/"&amp;2737450, 2737450)</f>
        <v>2737450</v>
      </c>
      <c r="D1004" s="3" t="s">
        <v>3825</v>
      </c>
      <c r="E1004" s="3" t="s">
        <v>3826</v>
      </c>
      <c r="F1004" s="3" t="s">
        <v>3827</v>
      </c>
      <c r="G1004" s="3" t="s">
        <v>186</v>
      </c>
      <c r="H1004" s="3" t="s">
        <v>1714</v>
      </c>
      <c r="I1004" s="3" t="s">
        <v>561</v>
      </c>
      <c r="J1004" s="3" t="s">
        <v>562</v>
      </c>
      <c r="K1004" s="3" t="s">
        <v>28</v>
      </c>
      <c r="L1004" s="3" t="s">
        <v>28</v>
      </c>
      <c r="M1004" s="3" t="s">
        <v>28</v>
      </c>
      <c r="N1004" s="3" t="s">
        <v>28</v>
      </c>
      <c r="O1004" s="3" t="s">
        <v>28</v>
      </c>
      <c r="P1004" s="3" t="s">
        <v>27</v>
      </c>
      <c r="Q1004" s="3" t="s">
        <v>28</v>
      </c>
      <c r="R1004" s="3" t="s">
        <v>28</v>
      </c>
      <c r="S1004" s="3" t="s">
        <v>28</v>
      </c>
      <c r="T1004" s="3" t="s">
        <v>27</v>
      </c>
    </row>
    <row r="1005" spans="1:20" ht="409.6">
      <c r="A1005" s="3">
        <v>2737412</v>
      </c>
      <c r="B1005" s="3">
        <f>HYPERLINK("https://platform.v2.vetology.net/cases/2737412/screening-report/6?type=pdf&amp;v=v6&amp;scorecard=1&amp;secret_key=BX%25IJ%24%2F65ieZ%29f6", 2737412)</f>
        <v>2737412</v>
      </c>
      <c r="C1005" s="3">
        <f>HYPERLINK("https://platform.v2.vetology.net/report/v/final/"&amp;2737412, 2737412)</f>
        <v>2737412</v>
      </c>
      <c r="D1005" s="3" t="s">
        <v>3828</v>
      </c>
      <c r="E1005" s="3" t="s">
        <v>3829</v>
      </c>
      <c r="F1005" s="3" t="s">
        <v>3830</v>
      </c>
      <c r="G1005" s="3" t="s">
        <v>23</v>
      </c>
      <c r="H1005" s="3" t="s">
        <v>3831</v>
      </c>
      <c r="I1005" s="3" t="s">
        <v>136</v>
      </c>
      <c r="J1005" s="3" t="s">
        <v>424</v>
      </c>
      <c r="K1005" s="3" t="s">
        <v>27</v>
      </c>
      <c r="L1005" s="3" t="s">
        <v>28</v>
      </c>
      <c r="M1005" s="3" t="s">
        <v>28</v>
      </c>
      <c r="N1005" s="3" t="s">
        <v>27</v>
      </c>
      <c r="O1005" s="3" t="s">
        <v>27</v>
      </c>
      <c r="P1005" s="3" t="s">
        <v>28</v>
      </c>
      <c r="Q1005" s="3" t="s">
        <v>28</v>
      </c>
      <c r="R1005" s="3" t="s">
        <v>28</v>
      </c>
      <c r="S1005" s="3" t="s">
        <v>28</v>
      </c>
      <c r="T1005" s="3" t="s">
        <v>27</v>
      </c>
    </row>
    <row r="1006" spans="1:20" ht="351">
      <c r="A1006" s="3">
        <v>2737409</v>
      </c>
      <c r="B1006" s="3">
        <f>HYPERLINK("https://platform.v2.vetology.net/cases/2737409/screening-report/6?type=pdf&amp;v=v6&amp;scorecard=1&amp;secret_key=BX%25IJ%24%2F65ieZ%29f6", 2737409)</f>
        <v>2737409</v>
      </c>
      <c r="C1006" s="3">
        <f>HYPERLINK("https://platform.v2.vetology.net/report/v/final/"&amp;2737409, 2737409)</f>
        <v>2737409</v>
      </c>
      <c r="D1006" s="3" t="s">
        <v>3832</v>
      </c>
      <c r="E1006" s="3" t="s">
        <v>3833</v>
      </c>
      <c r="F1006" s="3" t="s">
        <v>22</v>
      </c>
      <c r="G1006" s="3" t="s">
        <v>23</v>
      </c>
      <c r="H1006" s="3" t="s">
        <v>3834</v>
      </c>
      <c r="I1006" s="3" t="s">
        <v>3835</v>
      </c>
      <c r="J1006" s="3" t="s">
        <v>3009</v>
      </c>
      <c r="K1006" s="3" t="s">
        <v>27</v>
      </c>
      <c r="L1006" s="3" t="s">
        <v>28</v>
      </c>
      <c r="M1006" s="3" t="s">
        <v>27</v>
      </c>
      <c r="N1006" s="3" t="s">
        <v>28</v>
      </c>
      <c r="O1006" s="3" t="s">
        <v>27</v>
      </c>
      <c r="P1006" s="3" t="s">
        <v>28</v>
      </c>
      <c r="Q1006" s="3" t="s">
        <v>27</v>
      </c>
      <c r="R1006" s="3" t="s">
        <v>28</v>
      </c>
      <c r="S1006" s="3" t="s">
        <v>28</v>
      </c>
      <c r="T1006" s="3" t="s">
        <v>28</v>
      </c>
    </row>
    <row r="1007" spans="1:20" ht="409.6">
      <c r="A1007" s="3">
        <v>2737407</v>
      </c>
      <c r="B1007" s="3">
        <f>HYPERLINK("https://platform.v2.vetology.net/cases/2737407/screening-report/6?type=pdf&amp;v=v6&amp;scorecard=1&amp;secret_key=BX%25IJ%24%2F65ieZ%29f6", 2737407)</f>
        <v>2737407</v>
      </c>
      <c r="C1007" s="3">
        <f>HYPERLINK("https://platform.v2.vetology.net/report/v/final/"&amp;2737407, 2737407)</f>
        <v>2737407</v>
      </c>
      <c r="D1007" s="3" t="s">
        <v>3836</v>
      </c>
      <c r="E1007" s="3" t="s">
        <v>3837</v>
      </c>
      <c r="F1007" s="3" t="s">
        <v>3838</v>
      </c>
      <c r="G1007" s="3" t="s">
        <v>186</v>
      </c>
      <c r="H1007" s="3" t="s">
        <v>3839</v>
      </c>
      <c r="I1007" s="3" t="s">
        <v>3840</v>
      </c>
      <c r="J1007" s="3" t="s">
        <v>286</v>
      </c>
      <c r="K1007" s="3" t="s">
        <v>27</v>
      </c>
      <c r="L1007" s="3" t="s">
        <v>27</v>
      </c>
      <c r="M1007" s="3" t="s">
        <v>28</v>
      </c>
      <c r="N1007" s="3" t="s">
        <v>28</v>
      </c>
      <c r="O1007" s="3" t="s">
        <v>27</v>
      </c>
      <c r="P1007" s="3" t="s">
        <v>28</v>
      </c>
      <c r="Q1007" s="3" t="s">
        <v>27</v>
      </c>
      <c r="R1007" s="3" t="s">
        <v>28</v>
      </c>
      <c r="S1007" s="3" t="s">
        <v>27</v>
      </c>
      <c r="T1007" s="3" t="s">
        <v>28</v>
      </c>
    </row>
    <row r="1008" spans="1:20" ht="229.5">
      <c r="A1008" s="3">
        <v>2737369</v>
      </c>
      <c r="B1008" s="3">
        <f>HYPERLINK("https://platform.v2.vetology.net/cases/2737369/screening-report/6?type=pdf&amp;v=v6&amp;scorecard=1&amp;secret_key=BX%25IJ%24%2F65ieZ%29f6", 2737369)</f>
        <v>2737369</v>
      </c>
      <c r="C1008" s="3">
        <f>HYPERLINK("https://platform.v2.vetology.net/report/v/final/"&amp;2737369, 2737369)</f>
        <v>2737369</v>
      </c>
      <c r="D1008" s="3" t="s">
        <v>3841</v>
      </c>
      <c r="E1008" s="3" t="s">
        <v>3842</v>
      </c>
      <c r="F1008" s="3" t="s">
        <v>3843</v>
      </c>
      <c r="G1008" s="3" t="s">
        <v>186</v>
      </c>
      <c r="H1008" s="3" t="s">
        <v>118</v>
      </c>
      <c r="I1008" s="3" t="s">
        <v>1497</v>
      </c>
      <c r="J1008" s="3" t="s">
        <v>847</v>
      </c>
      <c r="K1008" s="3" t="s">
        <v>28</v>
      </c>
      <c r="L1008" s="3" t="s">
        <v>28</v>
      </c>
      <c r="M1008" s="3" t="s">
        <v>28</v>
      </c>
      <c r="N1008" s="3" t="s">
        <v>28</v>
      </c>
      <c r="O1008" s="3" t="s">
        <v>27</v>
      </c>
      <c r="P1008" s="3" t="s">
        <v>28</v>
      </c>
      <c r="Q1008" s="3" t="s">
        <v>28</v>
      </c>
      <c r="R1008" s="3" t="s">
        <v>28</v>
      </c>
      <c r="S1008" s="3" t="s">
        <v>28</v>
      </c>
      <c r="T1008" s="3" t="s">
        <v>28</v>
      </c>
    </row>
    <row r="1009" spans="1:20" ht="259.5">
      <c r="A1009" s="3">
        <v>2737368</v>
      </c>
      <c r="B1009" s="3">
        <f>HYPERLINK("https://platform.v2.vetology.net/cases/2737368/screening-report/6?type=pdf&amp;v=v6&amp;scorecard=1&amp;secret_key=BX%25IJ%24%2F65ieZ%29f6", 2737368)</f>
        <v>2737368</v>
      </c>
      <c r="C1009" s="3">
        <f>HYPERLINK("https://platform.v2.vetology.net/report/v/final/"&amp;2737368, 2737368)</f>
        <v>2737368</v>
      </c>
      <c r="D1009" s="3" t="s">
        <v>3844</v>
      </c>
      <c r="E1009" s="3" t="s">
        <v>3845</v>
      </c>
      <c r="F1009" s="3" t="s">
        <v>3846</v>
      </c>
      <c r="G1009" s="3" t="s">
        <v>186</v>
      </c>
      <c r="H1009" s="3" t="s">
        <v>31</v>
      </c>
      <c r="I1009" s="3" t="s">
        <v>1497</v>
      </c>
      <c r="J1009" s="3" t="s">
        <v>847</v>
      </c>
      <c r="K1009" s="3" t="s">
        <v>28</v>
      </c>
      <c r="L1009" s="3" t="s">
        <v>28</v>
      </c>
      <c r="M1009" s="3" t="s">
        <v>28</v>
      </c>
      <c r="N1009" s="3" t="s">
        <v>28</v>
      </c>
      <c r="O1009" s="3" t="s">
        <v>27</v>
      </c>
      <c r="P1009" s="3" t="s">
        <v>28</v>
      </c>
      <c r="Q1009" s="3" t="s">
        <v>28</v>
      </c>
      <c r="R1009" s="3" t="s">
        <v>28</v>
      </c>
      <c r="S1009" s="3" t="s">
        <v>28</v>
      </c>
      <c r="T1009" s="3" t="s">
        <v>28</v>
      </c>
    </row>
    <row r="1010" spans="1:20" ht="336">
      <c r="A1010" s="3">
        <v>2737359</v>
      </c>
      <c r="B1010" s="3">
        <f>HYPERLINK("https://platform.v2.vetology.net/cases/2737359/screening-report/6?type=pdf&amp;v=v6&amp;scorecard=1&amp;secret_key=BX%25IJ%24%2F65ieZ%29f6", 2737359)</f>
        <v>2737359</v>
      </c>
      <c r="C1010" s="3">
        <f>HYPERLINK("https://platform.v2.vetology.net/report/v/final/"&amp;2737359, 2737359)</f>
        <v>2737359</v>
      </c>
      <c r="D1010" s="3" t="s">
        <v>3847</v>
      </c>
      <c r="E1010" s="3" t="s">
        <v>3848</v>
      </c>
      <c r="F1010" s="3" t="s">
        <v>3849</v>
      </c>
      <c r="G1010" s="3" t="s">
        <v>186</v>
      </c>
      <c r="H1010" s="3" t="s">
        <v>3850</v>
      </c>
      <c r="I1010" s="3"/>
      <c r="J1010" s="3" t="s">
        <v>207</v>
      </c>
      <c r="K1010" s="3" t="s">
        <v>28</v>
      </c>
      <c r="L1010" s="3" t="s">
        <v>28</v>
      </c>
      <c r="M1010" s="3" t="s">
        <v>28</v>
      </c>
      <c r="N1010" s="3" t="s">
        <v>28</v>
      </c>
      <c r="O1010" s="3" t="s">
        <v>28</v>
      </c>
      <c r="P1010" s="3" t="s">
        <v>28</v>
      </c>
      <c r="Q1010" s="3" t="s">
        <v>28</v>
      </c>
      <c r="R1010" s="3" t="s">
        <v>28</v>
      </c>
      <c r="S1010" s="3" t="s">
        <v>28</v>
      </c>
      <c r="T1010" s="3" t="s">
        <v>28</v>
      </c>
    </row>
    <row r="1011" spans="1:20" ht="275.25">
      <c r="A1011" s="3">
        <v>2737236</v>
      </c>
      <c r="B1011" s="3">
        <f>HYPERLINK("https://platform.v2.vetology.net/cases/2737236/screening-report/6?type=pdf&amp;v=v6&amp;scorecard=1&amp;secret_key=BX%25IJ%24%2F65ieZ%29f6", 2737236)</f>
        <v>2737236</v>
      </c>
      <c r="C1011" s="3">
        <f>HYPERLINK("https://platform.v2.vetology.net/report/v/final/"&amp;2737236, 2737236)</f>
        <v>2737236</v>
      </c>
      <c r="D1011" s="3" t="s">
        <v>3851</v>
      </c>
      <c r="E1011" s="3" t="s">
        <v>3852</v>
      </c>
      <c r="F1011" s="3" t="s">
        <v>22</v>
      </c>
      <c r="G1011" s="3" t="s">
        <v>372</v>
      </c>
      <c r="H1011" s="3" t="s">
        <v>295</v>
      </c>
      <c r="I1011" s="3" t="s">
        <v>1497</v>
      </c>
      <c r="J1011" s="3" t="s">
        <v>847</v>
      </c>
      <c r="K1011" s="3" t="s">
        <v>28</v>
      </c>
      <c r="L1011" s="3" t="s">
        <v>28</v>
      </c>
      <c r="M1011" s="3" t="s">
        <v>28</v>
      </c>
      <c r="N1011" s="3" t="s">
        <v>28</v>
      </c>
      <c r="O1011" s="3" t="s">
        <v>27</v>
      </c>
      <c r="P1011" s="3" t="s">
        <v>28</v>
      </c>
      <c r="Q1011" s="3" t="s">
        <v>28</v>
      </c>
      <c r="R1011" s="3" t="s">
        <v>28</v>
      </c>
      <c r="S1011" s="3" t="s">
        <v>28</v>
      </c>
      <c r="T1011" s="3" t="s">
        <v>28</v>
      </c>
    </row>
    <row r="1012" spans="1:20" ht="409.6">
      <c r="A1012" s="3">
        <v>2737228</v>
      </c>
      <c r="B1012" s="3">
        <f>HYPERLINK("https://platform.v2.vetology.net/cases/2737228/screening-report/6?type=pdf&amp;v=v6&amp;scorecard=1&amp;secret_key=BX%25IJ%24%2F65ieZ%29f6", 2737228)</f>
        <v>2737228</v>
      </c>
      <c r="C1012" s="3">
        <f>HYPERLINK("https://platform.v2.vetology.net/report/v/final/"&amp;2737228, 2737228)</f>
        <v>2737228</v>
      </c>
      <c r="D1012" s="3" t="s">
        <v>3853</v>
      </c>
      <c r="E1012" s="3" t="s">
        <v>3854</v>
      </c>
      <c r="F1012" s="3" t="s">
        <v>3855</v>
      </c>
      <c r="G1012" s="3" t="s">
        <v>496</v>
      </c>
      <c r="H1012" s="3" t="s">
        <v>3856</v>
      </c>
      <c r="I1012" s="3" t="s">
        <v>3857</v>
      </c>
      <c r="J1012" s="3" t="s">
        <v>3858</v>
      </c>
      <c r="K1012" s="3" t="s">
        <v>28</v>
      </c>
      <c r="L1012" s="3" t="s">
        <v>28</v>
      </c>
      <c r="M1012" s="3" t="s">
        <v>28</v>
      </c>
      <c r="N1012" s="3" t="s">
        <v>28</v>
      </c>
      <c r="O1012" s="3" t="s">
        <v>28</v>
      </c>
      <c r="P1012" s="3" t="s">
        <v>27</v>
      </c>
      <c r="Q1012" s="3" t="s">
        <v>28</v>
      </c>
      <c r="R1012" s="3" t="s">
        <v>28</v>
      </c>
      <c r="S1012" s="3" t="s">
        <v>28</v>
      </c>
      <c r="T1012" s="3" t="s">
        <v>28</v>
      </c>
    </row>
    <row r="1013" spans="1:20" ht="366">
      <c r="A1013" s="3">
        <v>2737208</v>
      </c>
      <c r="B1013" s="3">
        <f>HYPERLINK("https://platform.v2.vetology.net/cases/2737208/screening-report/6?type=pdf&amp;v=v6&amp;scorecard=1&amp;secret_key=BX%25IJ%24%2F65ieZ%29f6", 2737208)</f>
        <v>2737208</v>
      </c>
      <c r="C1013" s="3">
        <f>HYPERLINK("https://platform.v2.vetology.net/report/v/final/"&amp;2737208, 2737208)</f>
        <v>2737208</v>
      </c>
      <c r="D1013" s="3" t="s">
        <v>3859</v>
      </c>
      <c r="E1013" s="3" t="s">
        <v>3860</v>
      </c>
      <c r="F1013" s="3"/>
      <c r="G1013" s="3" t="s">
        <v>122</v>
      </c>
      <c r="H1013" s="3" t="s">
        <v>3861</v>
      </c>
      <c r="I1013" s="3" t="s">
        <v>3862</v>
      </c>
      <c r="J1013" s="3" t="s">
        <v>713</v>
      </c>
      <c r="K1013" s="3" t="s">
        <v>28</v>
      </c>
      <c r="L1013" s="3" t="s">
        <v>28</v>
      </c>
      <c r="M1013" s="3" t="s">
        <v>28</v>
      </c>
      <c r="N1013" s="3" t="s">
        <v>28</v>
      </c>
      <c r="O1013" s="3" t="s">
        <v>27</v>
      </c>
      <c r="P1013" s="3" t="s">
        <v>28</v>
      </c>
      <c r="Q1013" s="3" t="s">
        <v>28</v>
      </c>
      <c r="R1013" s="3" t="s">
        <v>28</v>
      </c>
      <c r="S1013" s="3" t="s">
        <v>27</v>
      </c>
      <c r="T1013" s="3" t="s">
        <v>28</v>
      </c>
    </row>
    <row r="1014" spans="1:20" ht="409.6">
      <c r="A1014" s="3">
        <v>2737180</v>
      </c>
      <c r="B1014" s="3">
        <f>HYPERLINK("https://platform.v2.vetology.net/cases/2737180/screening-report/6?type=pdf&amp;v=v6&amp;scorecard=1&amp;secret_key=BX%25IJ%24%2F65ieZ%29f6", 2737180)</f>
        <v>2737180</v>
      </c>
      <c r="C1014" s="3">
        <f>HYPERLINK("https://platform.v2.vetology.net/report/v/final/"&amp;2737180, 2737180)</f>
        <v>2737180</v>
      </c>
      <c r="D1014" s="3" t="s">
        <v>3863</v>
      </c>
      <c r="E1014" s="3" t="s">
        <v>3864</v>
      </c>
      <c r="F1014" s="3" t="s">
        <v>3865</v>
      </c>
      <c r="G1014" s="3" t="s">
        <v>64</v>
      </c>
      <c r="H1014" s="3" t="s">
        <v>3420</v>
      </c>
      <c r="I1014" s="3" t="s">
        <v>2397</v>
      </c>
      <c r="J1014" s="3" t="s">
        <v>2398</v>
      </c>
      <c r="K1014" s="3" t="s">
        <v>27</v>
      </c>
      <c r="L1014" s="3" t="s">
        <v>27</v>
      </c>
      <c r="M1014" s="3" t="s">
        <v>27</v>
      </c>
      <c r="N1014" s="3" t="s">
        <v>28</v>
      </c>
      <c r="O1014" s="3" t="s">
        <v>27</v>
      </c>
      <c r="P1014" s="3" t="s">
        <v>28</v>
      </c>
      <c r="Q1014" s="3" t="s">
        <v>27</v>
      </c>
      <c r="R1014" s="3" t="s">
        <v>28</v>
      </c>
      <c r="S1014" s="3" t="s">
        <v>27</v>
      </c>
      <c r="T1014" s="3" t="s">
        <v>27</v>
      </c>
    </row>
    <row r="1015" spans="1:20" ht="409.6">
      <c r="A1015" s="3">
        <v>2737175</v>
      </c>
      <c r="B1015" s="3">
        <f>HYPERLINK("https://platform.v2.vetology.net/cases/2737175/screening-report/6?type=pdf&amp;v=v6&amp;scorecard=1&amp;secret_key=BX%25IJ%24%2F65ieZ%29f6", 2737175)</f>
        <v>2737175</v>
      </c>
      <c r="C1015" s="3">
        <f>HYPERLINK("https://platform.v2.vetology.net/report/v/final/"&amp;2737175, 2737175)</f>
        <v>2737175</v>
      </c>
      <c r="D1015" s="3" t="s">
        <v>3866</v>
      </c>
      <c r="E1015" s="3" t="s">
        <v>3867</v>
      </c>
      <c r="F1015" s="3" t="s">
        <v>3868</v>
      </c>
      <c r="G1015" s="3" t="s">
        <v>186</v>
      </c>
      <c r="H1015" s="3" t="s">
        <v>3801</v>
      </c>
      <c r="I1015" s="3" t="s">
        <v>2045</v>
      </c>
      <c r="J1015" s="3" t="s">
        <v>2046</v>
      </c>
      <c r="K1015" s="3" t="s">
        <v>27</v>
      </c>
      <c r="L1015" s="3" t="s">
        <v>28</v>
      </c>
      <c r="M1015" s="3" t="s">
        <v>28</v>
      </c>
      <c r="N1015" s="3" t="s">
        <v>27</v>
      </c>
      <c r="O1015" s="3" t="s">
        <v>27</v>
      </c>
      <c r="P1015" s="3" t="s">
        <v>28</v>
      </c>
      <c r="Q1015" s="3" t="s">
        <v>27</v>
      </c>
      <c r="R1015" s="3" t="s">
        <v>28</v>
      </c>
      <c r="S1015" s="3" t="s">
        <v>27</v>
      </c>
      <c r="T1015" s="3" t="s">
        <v>28</v>
      </c>
    </row>
    <row r="1016" spans="1:20" ht="409.6">
      <c r="A1016" s="3">
        <v>2737165</v>
      </c>
      <c r="B1016" s="3">
        <f>HYPERLINK("https://platform.v2.vetology.net/cases/2737165/screening-report/6?type=pdf&amp;v=v6&amp;scorecard=1&amp;secret_key=BX%25IJ%24%2F65ieZ%29f6", 2737165)</f>
        <v>2737165</v>
      </c>
      <c r="C1016" s="3">
        <f>HYPERLINK("https://platform.v2.vetology.net/report/v/final/"&amp;2737165, 2737165)</f>
        <v>2737165</v>
      </c>
      <c r="D1016" s="3" t="s">
        <v>3869</v>
      </c>
      <c r="E1016" s="3" t="s">
        <v>3870</v>
      </c>
      <c r="F1016" s="3" t="s">
        <v>3871</v>
      </c>
      <c r="G1016" s="3" t="s">
        <v>64</v>
      </c>
      <c r="H1016" s="3" t="s">
        <v>595</v>
      </c>
      <c r="I1016" s="3" t="s">
        <v>596</v>
      </c>
      <c r="J1016" s="3" t="s">
        <v>597</v>
      </c>
      <c r="K1016" s="3" t="s">
        <v>28</v>
      </c>
      <c r="L1016" s="3" t="s">
        <v>28</v>
      </c>
      <c r="M1016" s="3" t="s">
        <v>28</v>
      </c>
      <c r="N1016" s="3" t="s">
        <v>27</v>
      </c>
      <c r="O1016" s="3" t="s">
        <v>27</v>
      </c>
      <c r="P1016" s="3" t="s">
        <v>28</v>
      </c>
      <c r="Q1016" s="3" t="s">
        <v>28</v>
      </c>
      <c r="R1016" s="3" t="s">
        <v>27</v>
      </c>
      <c r="S1016" s="3" t="s">
        <v>28</v>
      </c>
      <c r="T1016" s="3" t="s">
        <v>27</v>
      </c>
    </row>
    <row r="1017" spans="1:20" ht="290.25">
      <c r="A1017" s="3">
        <v>2737119</v>
      </c>
      <c r="B1017" s="3">
        <f>HYPERLINK("https://platform.v2.vetology.net/cases/2737119/screening-report/6?type=pdf&amp;v=v6&amp;scorecard=1&amp;secret_key=BX%25IJ%24%2F65ieZ%29f6", 2737119)</f>
        <v>2737119</v>
      </c>
      <c r="C1017" s="3">
        <f>HYPERLINK("https://platform.v2.vetology.net/report/v/final/"&amp;2737119, 2737119)</f>
        <v>2737119</v>
      </c>
      <c r="D1017" s="3" t="s">
        <v>3872</v>
      </c>
      <c r="E1017" s="3" t="s">
        <v>3873</v>
      </c>
      <c r="F1017" s="3" t="s">
        <v>3874</v>
      </c>
      <c r="G1017" s="3" t="s">
        <v>186</v>
      </c>
      <c r="H1017" s="3" t="s">
        <v>2383</v>
      </c>
      <c r="I1017" s="3" t="s">
        <v>316</v>
      </c>
      <c r="J1017" s="3" t="s">
        <v>317</v>
      </c>
      <c r="K1017" s="3" t="s">
        <v>28</v>
      </c>
      <c r="L1017" s="3" t="s">
        <v>28</v>
      </c>
      <c r="M1017" s="3" t="s">
        <v>28</v>
      </c>
      <c r="N1017" s="3" t="s">
        <v>28</v>
      </c>
      <c r="O1017" s="3" t="s">
        <v>27</v>
      </c>
      <c r="P1017" s="3" t="s">
        <v>28</v>
      </c>
      <c r="Q1017" s="3" t="s">
        <v>28</v>
      </c>
      <c r="R1017" s="3" t="s">
        <v>28</v>
      </c>
      <c r="S1017" s="3" t="s">
        <v>28</v>
      </c>
      <c r="T1017" s="3" t="s">
        <v>28</v>
      </c>
    </row>
    <row r="1018" spans="1:20" ht="275.25">
      <c r="A1018" s="3">
        <v>2737006</v>
      </c>
      <c r="B1018" s="3">
        <f>HYPERLINK("https://platform.v2.vetology.net/cases/2737006/screening-report/6?type=pdf&amp;v=v6&amp;scorecard=1&amp;secret_key=BX%25IJ%24%2F65ieZ%29f6", 2737006)</f>
        <v>2737006</v>
      </c>
      <c r="C1018" s="3">
        <f>HYPERLINK("https://platform.v2.vetology.net/report/v/final/"&amp;2737006, 2737006)</f>
        <v>2737006</v>
      </c>
      <c r="D1018" s="3" t="s">
        <v>3875</v>
      </c>
      <c r="E1018" s="3" t="s">
        <v>3876</v>
      </c>
      <c r="F1018" s="3" t="s">
        <v>22</v>
      </c>
      <c r="G1018" s="3" t="s">
        <v>100</v>
      </c>
      <c r="H1018" s="3" t="s">
        <v>3877</v>
      </c>
      <c r="I1018" s="3" t="s">
        <v>2011</v>
      </c>
      <c r="J1018" s="3" t="s">
        <v>225</v>
      </c>
      <c r="K1018" s="3" t="s">
        <v>28</v>
      </c>
      <c r="L1018" s="3" t="s">
        <v>27</v>
      </c>
      <c r="M1018" s="3" t="s">
        <v>28</v>
      </c>
      <c r="N1018" s="3" t="s">
        <v>27</v>
      </c>
      <c r="O1018" s="3" t="s">
        <v>27</v>
      </c>
      <c r="P1018" s="3" t="s">
        <v>28</v>
      </c>
      <c r="Q1018" s="3" t="s">
        <v>28</v>
      </c>
      <c r="R1018" s="3" t="s">
        <v>27</v>
      </c>
      <c r="S1018" s="3" t="s">
        <v>27</v>
      </c>
      <c r="T1018" s="3" t="s">
        <v>27</v>
      </c>
    </row>
    <row r="1019" spans="1:20" ht="366">
      <c r="A1019" s="3">
        <v>2736967</v>
      </c>
      <c r="B1019" s="3">
        <f>HYPERLINK("https://platform.v2.vetology.net/cases/2736967/screening-report/6?type=pdf&amp;v=v6&amp;scorecard=1&amp;secret_key=BX%25IJ%24%2F65ieZ%29f6", 2736967)</f>
        <v>2736967</v>
      </c>
      <c r="C1019" s="3">
        <f>HYPERLINK("https://platform.v2.vetology.net/report/v/final/"&amp;2736967, 2736967)</f>
        <v>2736967</v>
      </c>
      <c r="D1019" s="3" t="s">
        <v>3878</v>
      </c>
      <c r="E1019" s="3" t="s">
        <v>3879</v>
      </c>
      <c r="F1019" s="3" t="s">
        <v>3880</v>
      </c>
      <c r="G1019" s="3" t="s">
        <v>186</v>
      </c>
      <c r="H1019" s="3" t="s">
        <v>3881</v>
      </c>
      <c r="I1019" s="3" t="s">
        <v>2432</v>
      </c>
      <c r="J1019" s="3" t="s">
        <v>2433</v>
      </c>
      <c r="K1019" s="3" t="s">
        <v>28</v>
      </c>
      <c r="L1019" s="3" t="s">
        <v>28</v>
      </c>
      <c r="M1019" s="3" t="s">
        <v>28</v>
      </c>
      <c r="N1019" s="3" t="s">
        <v>28</v>
      </c>
      <c r="O1019" s="3" t="s">
        <v>28</v>
      </c>
      <c r="P1019" s="3" t="s">
        <v>28</v>
      </c>
      <c r="Q1019" s="3" t="s">
        <v>28</v>
      </c>
      <c r="R1019" s="3" t="s">
        <v>27</v>
      </c>
      <c r="S1019" s="3" t="s">
        <v>27</v>
      </c>
      <c r="T1019" s="3" t="s">
        <v>27</v>
      </c>
    </row>
    <row r="1020" spans="1:20" ht="409.6">
      <c r="A1020" s="3">
        <v>2736965</v>
      </c>
      <c r="B1020" s="3">
        <f>HYPERLINK("https://platform.v2.vetology.net/cases/2736965/screening-report/6?type=pdf&amp;v=v6&amp;scorecard=1&amp;secret_key=BX%25IJ%24%2F65ieZ%29f6", 2736965)</f>
        <v>2736965</v>
      </c>
      <c r="C1020" s="3">
        <f>HYPERLINK("https://platform.v2.vetology.net/report/v/final/"&amp;2736965, 2736965)</f>
        <v>2736965</v>
      </c>
      <c r="D1020" s="3" t="s">
        <v>3882</v>
      </c>
      <c r="E1020" s="3" t="s">
        <v>3883</v>
      </c>
      <c r="F1020" s="3" t="s">
        <v>3884</v>
      </c>
      <c r="G1020" s="3" t="s">
        <v>186</v>
      </c>
      <c r="H1020" s="3" t="s">
        <v>31</v>
      </c>
      <c r="I1020" s="3" t="s">
        <v>32</v>
      </c>
      <c r="J1020" s="3" t="s">
        <v>119</v>
      </c>
      <c r="K1020" s="3" t="s">
        <v>28</v>
      </c>
      <c r="L1020" s="3" t="s">
        <v>28</v>
      </c>
      <c r="M1020" s="3" t="s">
        <v>28</v>
      </c>
      <c r="N1020" s="3" t="s">
        <v>28</v>
      </c>
      <c r="O1020" s="3" t="s">
        <v>28</v>
      </c>
      <c r="P1020" s="3" t="s">
        <v>28</v>
      </c>
      <c r="Q1020" s="3" t="s">
        <v>28</v>
      </c>
      <c r="R1020" s="3" t="s">
        <v>28</v>
      </c>
      <c r="S1020" s="3" t="s">
        <v>28</v>
      </c>
      <c r="T1020" s="3" t="s">
        <v>28</v>
      </c>
    </row>
    <row r="1021" spans="1:20" ht="409.6">
      <c r="A1021" s="3">
        <v>2736948</v>
      </c>
      <c r="B1021" s="3">
        <f>HYPERLINK("https://platform.v2.vetology.net/cases/2736948/screening-report/6?type=pdf&amp;v=v6&amp;scorecard=1&amp;secret_key=BX%25IJ%24%2F65ieZ%29f6", 2736948)</f>
        <v>2736948</v>
      </c>
      <c r="C1021" s="3">
        <f>HYPERLINK("https://platform.v2.vetology.net/report/v/final/"&amp;2736948, 2736948)</f>
        <v>2736948</v>
      </c>
      <c r="D1021" s="3" t="s">
        <v>3885</v>
      </c>
      <c r="E1021" s="3" t="s">
        <v>3886</v>
      </c>
      <c r="F1021" s="3" t="s">
        <v>3887</v>
      </c>
      <c r="G1021" s="3" t="s">
        <v>566</v>
      </c>
      <c r="H1021" s="3" t="s">
        <v>3888</v>
      </c>
      <c r="I1021" s="3" t="s">
        <v>572</v>
      </c>
      <c r="J1021" s="3" t="s">
        <v>573</v>
      </c>
      <c r="K1021" s="3" t="s">
        <v>28</v>
      </c>
      <c r="L1021" s="3" t="s">
        <v>28</v>
      </c>
      <c r="M1021" s="3" t="s">
        <v>28</v>
      </c>
      <c r="N1021" s="3" t="s">
        <v>28</v>
      </c>
      <c r="O1021" s="3" t="s">
        <v>27</v>
      </c>
      <c r="P1021" s="3" t="s">
        <v>28</v>
      </c>
      <c r="Q1021" s="3" t="s">
        <v>28</v>
      </c>
      <c r="R1021" s="3" t="s">
        <v>28</v>
      </c>
      <c r="S1021" s="3" t="s">
        <v>28</v>
      </c>
      <c r="T1021" s="3" t="s">
        <v>28</v>
      </c>
    </row>
    <row r="1022" spans="1:20" ht="259.5">
      <c r="A1022" s="3">
        <v>2736913</v>
      </c>
      <c r="B1022" s="3">
        <f>HYPERLINK("https://platform.v2.vetology.net/cases/2736913/screening-report/6?type=pdf&amp;v=v6&amp;scorecard=1&amp;secret_key=BX%25IJ%24%2F65ieZ%29f6", 2736913)</f>
        <v>2736913</v>
      </c>
      <c r="C1022" s="3">
        <f>HYPERLINK("https://platform.v2.vetology.net/report/v/final/"&amp;2736913, 2736913)</f>
        <v>2736913</v>
      </c>
      <c r="D1022" s="3" t="s">
        <v>3889</v>
      </c>
      <c r="E1022" s="3" t="s">
        <v>3890</v>
      </c>
      <c r="F1022" s="3" t="s">
        <v>3891</v>
      </c>
      <c r="G1022" s="3" t="s">
        <v>186</v>
      </c>
      <c r="H1022" s="3" t="s">
        <v>702</v>
      </c>
      <c r="I1022" s="3" t="s">
        <v>32</v>
      </c>
      <c r="J1022" s="3" t="s">
        <v>119</v>
      </c>
      <c r="K1022" s="3" t="s">
        <v>28</v>
      </c>
      <c r="L1022" s="3" t="s">
        <v>28</v>
      </c>
      <c r="M1022" s="3" t="s">
        <v>28</v>
      </c>
      <c r="N1022" s="3" t="s">
        <v>28</v>
      </c>
      <c r="O1022" s="3" t="s">
        <v>27</v>
      </c>
      <c r="P1022" s="3" t="s">
        <v>28</v>
      </c>
      <c r="Q1022" s="3" t="s">
        <v>28</v>
      </c>
      <c r="R1022" s="3" t="s">
        <v>28</v>
      </c>
      <c r="S1022" s="3" t="s">
        <v>28</v>
      </c>
      <c r="T1022" s="3" t="s">
        <v>28</v>
      </c>
    </row>
    <row r="1023" spans="1:20" ht="366">
      <c r="A1023" s="3">
        <v>2736781</v>
      </c>
      <c r="B1023" s="3">
        <f>HYPERLINK("https://platform.v2.vetology.net/cases/2736781/screening-report/6?type=pdf&amp;v=v6&amp;scorecard=1&amp;secret_key=BX%25IJ%24%2F65ieZ%29f6", 2736781)</f>
        <v>2736781</v>
      </c>
      <c r="C1023" s="3">
        <f>HYPERLINK("https://platform.v2.vetology.net/report/v/final/"&amp;2736781, 2736781)</f>
        <v>2736781</v>
      </c>
      <c r="D1023" s="3" t="s">
        <v>3892</v>
      </c>
      <c r="E1023" s="3" t="s">
        <v>3893</v>
      </c>
      <c r="F1023" s="3" t="s">
        <v>1049</v>
      </c>
      <c r="G1023" s="3" t="s">
        <v>100</v>
      </c>
      <c r="H1023" s="3" t="s">
        <v>3894</v>
      </c>
      <c r="I1023" s="3" t="s">
        <v>1875</v>
      </c>
      <c r="J1023" s="3" t="s">
        <v>755</v>
      </c>
      <c r="K1023" s="3" t="s">
        <v>27</v>
      </c>
      <c r="L1023" s="3" t="s">
        <v>28</v>
      </c>
      <c r="M1023" s="3" t="s">
        <v>27</v>
      </c>
      <c r="N1023" s="3" t="s">
        <v>28</v>
      </c>
      <c r="O1023" s="3" t="s">
        <v>27</v>
      </c>
      <c r="P1023" s="3" t="s">
        <v>28</v>
      </c>
      <c r="Q1023" s="3" t="s">
        <v>27</v>
      </c>
      <c r="R1023" s="3" t="s">
        <v>28</v>
      </c>
      <c r="S1023" s="3" t="s">
        <v>28</v>
      </c>
      <c r="T1023" s="3" t="s">
        <v>28</v>
      </c>
    </row>
    <row r="1024" spans="1:20" ht="229.5">
      <c r="A1024" s="3">
        <v>2736773</v>
      </c>
      <c r="B1024" s="3">
        <f>HYPERLINK("https://platform.v2.vetology.net/cases/2736773/screening-report/6?type=pdf&amp;v=v6&amp;scorecard=1&amp;secret_key=BX%25IJ%24%2F65ieZ%29f6", 2736773)</f>
        <v>2736773</v>
      </c>
      <c r="C1024" s="3">
        <f>HYPERLINK("https://platform.v2.vetology.net/report/v/final/"&amp;2736773, 2736773)</f>
        <v>2736773</v>
      </c>
      <c r="D1024" s="3" t="s">
        <v>3895</v>
      </c>
      <c r="E1024" s="3" t="s">
        <v>1230</v>
      </c>
      <c r="F1024" s="3" t="s">
        <v>1049</v>
      </c>
      <c r="G1024" s="3" t="s">
        <v>100</v>
      </c>
      <c r="H1024" s="3" t="s">
        <v>3312</v>
      </c>
      <c r="I1024" s="3" t="s">
        <v>1011</v>
      </c>
      <c r="J1024" s="3" t="s">
        <v>207</v>
      </c>
      <c r="K1024" s="3" t="s">
        <v>27</v>
      </c>
      <c r="L1024" s="3" t="s">
        <v>28</v>
      </c>
      <c r="M1024" s="3" t="s">
        <v>27</v>
      </c>
      <c r="N1024" s="3" t="s">
        <v>28</v>
      </c>
      <c r="O1024" s="3" t="s">
        <v>27</v>
      </c>
      <c r="P1024" s="3" t="s">
        <v>28</v>
      </c>
      <c r="Q1024" s="3" t="s">
        <v>28</v>
      </c>
      <c r="R1024" s="3" t="s">
        <v>28</v>
      </c>
      <c r="S1024" s="3" t="s">
        <v>28</v>
      </c>
      <c r="T1024" s="3" t="s">
        <v>28</v>
      </c>
    </row>
    <row r="1025" spans="1:20" ht="409.6">
      <c r="A1025" s="3">
        <v>2736744</v>
      </c>
      <c r="B1025" s="3">
        <f>HYPERLINK("https://platform.v2.vetology.net/cases/2736744/screening-report/6?type=pdf&amp;v=v6&amp;scorecard=1&amp;secret_key=BX%25IJ%24%2F65ieZ%29f6", 2736744)</f>
        <v>2736744</v>
      </c>
      <c r="C1025" s="3">
        <f>HYPERLINK("https://platform.v2.vetology.net/report/v/final/"&amp;2736744, 2736744)</f>
        <v>2736744</v>
      </c>
      <c r="D1025" s="3" t="s">
        <v>3124</v>
      </c>
      <c r="E1025" s="3" t="s">
        <v>3896</v>
      </c>
      <c r="F1025" s="3" t="s">
        <v>956</v>
      </c>
      <c r="G1025" s="3" t="s">
        <v>100</v>
      </c>
      <c r="H1025" s="3" t="s">
        <v>3897</v>
      </c>
      <c r="I1025" s="3" t="s">
        <v>3187</v>
      </c>
      <c r="J1025" s="3" t="s">
        <v>154</v>
      </c>
      <c r="K1025" s="3" t="s">
        <v>27</v>
      </c>
      <c r="L1025" s="3" t="s">
        <v>28</v>
      </c>
      <c r="M1025" s="3" t="s">
        <v>27</v>
      </c>
      <c r="N1025" s="3" t="s">
        <v>28</v>
      </c>
      <c r="O1025" s="3" t="s">
        <v>27</v>
      </c>
      <c r="P1025" s="3" t="s">
        <v>28</v>
      </c>
      <c r="Q1025" s="3" t="s">
        <v>27</v>
      </c>
      <c r="R1025" s="3" t="s">
        <v>28</v>
      </c>
      <c r="S1025" s="3" t="s">
        <v>28</v>
      </c>
      <c r="T1025" s="3" t="s">
        <v>28</v>
      </c>
    </row>
    <row r="1026" spans="1:20" ht="305.25">
      <c r="A1026" s="3">
        <v>2736716</v>
      </c>
      <c r="B1026" s="3">
        <f>HYPERLINK("https://platform.v2.vetology.net/cases/2736716/screening-report/6?type=pdf&amp;v=v6&amp;scorecard=1&amp;secret_key=BX%25IJ%24%2F65ieZ%29f6", 2736716)</f>
        <v>2736716</v>
      </c>
      <c r="C1026" s="3">
        <f>HYPERLINK("https://platform.v2.vetology.net/report/v/final/"&amp;2736716, 2736716)</f>
        <v>2736716</v>
      </c>
      <c r="D1026" s="3" t="s">
        <v>3898</v>
      </c>
      <c r="E1026" s="3" t="s">
        <v>3899</v>
      </c>
      <c r="F1026" s="3" t="s">
        <v>3900</v>
      </c>
      <c r="G1026" s="3" t="s">
        <v>100</v>
      </c>
      <c r="H1026" s="3" t="s">
        <v>1421</v>
      </c>
      <c r="I1026" s="3" t="s">
        <v>32</v>
      </c>
      <c r="J1026" s="3" t="s">
        <v>33</v>
      </c>
      <c r="K1026" s="3" t="s">
        <v>28</v>
      </c>
      <c r="L1026" s="3" t="s">
        <v>28</v>
      </c>
      <c r="M1026" s="3" t="s">
        <v>28</v>
      </c>
      <c r="N1026" s="3" t="s">
        <v>28</v>
      </c>
      <c r="O1026" s="3" t="s">
        <v>28</v>
      </c>
      <c r="P1026" s="3" t="s">
        <v>28</v>
      </c>
      <c r="Q1026" s="3" t="s">
        <v>28</v>
      </c>
      <c r="R1026" s="3" t="s">
        <v>28</v>
      </c>
      <c r="S1026" s="3" t="s">
        <v>28</v>
      </c>
      <c r="T1026" s="3" t="s">
        <v>28</v>
      </c>
    </row>
    <row r="1027" spans="1:20" ht="409.6">
      <c r="A1027" s="3">
        <v>2736697</v>
      </c>
      <c r="B1027" s="3">
        <f>HYPERLINK("https://platform.v2.vetology.net/cases/2736697/screening-report/6?type=pdf&amp;v=v6&amp;scorecard=1&amp;secret_key=BX%25IJ%24%2F65ieZ%29f6", 2736697)</f>
        <v>2736697</v>
      </c>
      <c r="C1027" s="3">
        <f>HYPERLINK("https://platform.v2.vetology.net/report/v/final/"&amp;2736697, 2736697)</f>
        <v>2736697</v>
      </c>
      <c r="D1027" s="3" t="s">
        <v>3901</v>
      </c>
      <c r="E1027" s="3" t="s">
        <v>3902</v>
      </c>
      <c r="F1027" s="3" t="s">
        <v>22</v>
      </c>
      <c r="G1027" s="3" t="s">
        <v>23</v>
      </c>
      <c r="H1027" s="3" t="s">
        <v>3903</v>
      </c>
      <c r="I1027" s="3" t="s">
        <v>672</v>
      </c>
      <c r="J1027" s="3" t="s">
        <v>673</v>
      </c>
      <c r="K1027" s="3" t="s">
        <v>28</v>
      </c>
      <c r="L1027" s="3" t="s">
        <v>28</v>
      </c>
      <c r="M1027" s="3" t="s">
        <v>28</v>
      </c>
      <c r="N1027" s="3" t="s">
        <v>28</v>
      </c>
      <c r="O1027" s="3" t="s">
        <v>27</v>
      </c>
      <c r="P1027" s="3" t="s">
        <v>28</v>
      </c>
      <c r="Q1027" s="3" t="s">
        <v>28</v>
      </c>
      <c r="R1027" s="3" t="s">
        <v>28</v>
      </c>
      <c r="S1027" s="3" t="s">
        <v>28</v>
      </c>
      <c r="T1027" s="3" t="s">
        <v>28</v>
      </c>
    </row>
    <row r="1028" spans="1:20" ht="305.25">
      <c r="A1028" s="3">
        <v>2736693</v>
      </c>
      <c r="B1028" s="3">
        <f>HYPERLINK("https://platform.v2.vetology.net/cases/2736693/screening-report/6?type=pdf&amp;v=v6&amp;scorecard=1&amp;secret_key=BX%25IJ%24%2F65ieZ%29f6", 2736693)</f>
        <v>2736693</v>
      </c>
      <c r="C1028" s="3">
        <f>HYPERLINK("https://platform.v2.vetology.net/report/v/final/"&amp;2736693, 2736693)</f>
        <v>2736693</v>
      </c>
      <c r="D1028" s="3" t="s">
        <v>3904</v>
      </c>
      <c r="E1028" s="3" t="s">
        <v>3905</v>
      </c>
      <c r="F1028" s="3" t="s">
        <v>3906</v>
      </c>
      <c r="G1028" s="3" t="s">
        <v>64</v>
      </c>
      <c r="H1028" s="3" t="s">
        <v>419</v>
      </c>
      <c r="I1028" s="3" t="s">
        <v>316</v>
      </c>
      <c r="J1028" s="3" t="s">
        <v>317</v>
      </c>
      <c r="K1028" s="3" t="s">
        <v>28</v>
      </c>
      <c r="L1028" s="3" t="s">
        <v>28</v>
      </c>
      <c r="M1028" s="3" t="s">
        <v>28</v>
      </c>
      <c r="N1028" s="3" t="s">
        <v>28</v>
      </c>
      <c r="O1028" s="3" t="s">
        <v>27</v>
      </c>
      <c r="P1028" s="3" t="s">
        <v>28</v>
      </c>
      <c r="Q1028" s="3" t="s">
        <v>28</v>
      </c>
      <c r="R1028" s="3" t="s">
        <v>28</v>
      </c>
      <c r="S1028" s="3" t="s">
        <v>28</v>
      </c>
      <c r="T1028" s="3" t="s">
        <v>28</v>
      </c>
    </row>
    <row r="1029" spans="1:20" ht="336">
      <c r="A1029" s="3">
        <v>2736659</v>
      </c>
      <c r="B1029" s="3">
        <f>HYPERLINK("https://platform.v2.vetology.net/cases/2736659/screening-report/6?type=pdf&amp;v=v6&amp;scorecard=1&amp;secret_key=BX%25IJ%24%2F65ieZ%29f6", 2736659)</f>
        <v>2736659</v>
      </c>
      <c r="C1029" s="3">
        <f>HYPERLINK("https://platform.v2.vetology.net/report/v/final/"&amp;2736659, 2736659)</f>
        <v>2736659</v>
      </c>
      <c r="D1029" s="3" t="s">
        <v>3907</v>
      </c>
      <c r="E1029" s="3" t="s">
        <v>3908</v>
      </c>
      <c r="F1029" s="3" t="s">
        <v>22</v>
      </c>
      <c r="G1029" s="3" t="s">
        <v>23</v>
      </c>
      <c r="H1029" s="3" t="s">
        <v>135</v>
      </c>
      <c r="I1029" s="3" t="s">
        <v>136</v>
      </c>
      <c r="J1029" s="3" t="s">
        <v>424</v>
      </c>
      <c r="K1029" s="3" t="s">
        <v>28</v>
      </c>
      <c r="L1029" s="3" t="s">
        <v>28</v>
      </c>
      <c r="M1029" s="3" t="s">
        <v>28</v>
      </c>
      <c r="N1029" s="3" t="s">
        <v>28</v>
      </c>
      <c r="O1029" s="3" t="s">
        <v>27</v>
      </c>
      <c r="P1029" s="3" t="s">
        <v>28</v>
      </c>
      <c r="Q1029" s="3" t="s">
        <v>28</v>
      </c>
      <c r="R1029" s="3" t="s">
        <v>28</v>
      </c>
      <c r="S1029" s="3" t="s">
        <v>28</v>
      </c>
      <c r="T1029" s="3" t="s">
        <v>27</v>
      </c>
    </row>
    <row r="1030" spans="1:20" ht="409.6">
      <c r="A1030" s="3">
        <v>2736614</v>
      </c>
      <c r="B1030" s="3">
        <f>HYPERLINK("https://platform.v2.vetology.net/cases/2736614/screening-report/6?type=pdf&amp;v=v6&amp;scorecard=1&amp;secret_key=BX%25IJ%24%2F65ieZ%29f6", 2736614)</f>
        <v>2736614</v>
      </c>
      <c r="C1030" s="3">
        <f>HYPERLINK("https://platform.v2.vetology.net/report/v/final/"&amp;2736614, 2736614)</f>
        <v>2736614</v>
      </c>
      <c r="D1030" s="3" t="s">
        <v>3909</v>
      </c>
      <c r="E1030" s="3" t="s">
        <v>3910</v>
      </c>
      <c r="F1030" s="3" t="s">
        <v>3911</v>
      </c>
      <c r="G1030" s="3" t="s">
        <v>64</v>
      </c>
      <c r="H1030" s="3" t="s">
        <v>31</v>
      </c>
      <c r="I1030" s="3" t="s">
        <v>129</v>
      </c>
      <c r="J1030" s="3" t="s">
        <v>119</v>
      </c>
      <c r="K1030" s="3" t="s">
        <v>28</v>
      </c>
      <c r="L1030" s="3" t="s">
        <v>28</v>
      </c>
      <c r="M1030" s="3" t="s">
        <v>28</v>
      </c>
      <c r="N1030" s="3" t="s">
        <v>28</v>
      </c>
      <c r="O1030" s="3" t="s">
        <v>27</v>
      </c>
      <c r="P1030" s="3" t="s">
        <v>28</v>
      </c>
      <c r="Q1030" s="3" t="s">
        <v>28</v>
      </c>
      <c r="R1030" s="3" t="s">
        <v>28</v>
      </c>
      <c r="S1030" s="3" t="s">
        <v>28</v>
      </c>
      <c r="T1030" s="3" t="s">
        <v>28</v>
      </c>
    </row>
    <row r="1031" spans="1:20" ht="244.5">
      <c r="A1031" s="3">
        <v>2736609</v>
      </c>
      <c r="B1031" s="3">
        <f>HYPERLINK("https://platform.v2.vetology.net/cases/2736609/screening-report/6?type=pdf&amp;v=v6&amp;scorecard=1&amp;secret_key=BX%25IJ%24%2F65ieZ%29f6", 2736609)</f>
        <v>2736609</v>
      </c>
      <c r="C1031" s="3">
        <f>HYPERLINK("https://platform.v2.vetology.net/report/v/final/"&amp;2736609, 2736609)</f>
        <v>2736609</v>
      </c>
      <c r="D1031" s="3" t="s">
        <v>3912</v>
      </c>
      <c r="E1031" s="3" t="s">
        <v>3913</v>
      </c>
      <c r="F1031" s="3"/>
      <c r="G1031" s="3" t="s">
        <v>122</v>
      </c>
      <c r="H1031" s="3" t="s">
        <v>2267</v>
      </c>
      <c r="I1031" s="3" t="s">
        <v>305</v>
      </c>
      <c r="J1031" s="3" t="s">
        <v>119</v>
      </c>
      <c r="K1031" s="3" t="s">
        <v>28</v>
      </c>
      <c r="L1031" s="3" t="s">
        <v>28</v>
      </c>
      <c r="M1031" s="3" t="s">
        <v>28</v>
      </c>
      <c r="N1031" s="3" t="s">
        <v>28</v>
      </c>
      <c r="O1031" s="3" t="s">
        <v>28</v>
      </c>
      <c r="P1031" s="3" t="s">
        <v>28</v>
      </c>
      <c r="Q1031" s="3" t="s">
        <v>28</v>
      </c>
      <c r="R1031" s="3" t="s">
        <v>28</v>
      </c>
      <c r="S1031" s="3" t="s">
        <v>28</v>
      </c>
      <c r="T1031" s="3" t="s">
        <v>28</v>
      </c>
    </row>
    <row r="1032" spans="1:20" ht="409.6">
      <c r="A1032" s="3">
        <v>2736607</v>
      </c>
      <c r="B1032" s="3">
        <f>HYPERLINK("https://platform.v2.vetology.net/cases/2736607/screening-report/6?type=pdf&amp;v=v6&amp;scorecard=1&amp;secret_key=BX%25IJ%24%2F65ieZ%29f6", 2736607)</f>
        <v>2736607</v>
      </c>
      <c r="C1032" s="3">
        <f>HYPERLINK("https://platform.v2.vetology.net/report/v/final/"&amp;2736607, 2736607)</f>
        <v>2736607</v>
      </c>
      <c r="D1032" s="3" t="s">
        <v>3914</v>
      </c>
      <c r="E1032" s="3" t="s">
        <v>3915</v>
      </c>
      <c r="F1032" s="3" t="s">
        <v>3916</v>
      </c>
      <c r="G1032" s="3" t="s">
        <v>64</v>
      </c>
      <c r="H1032" s="3" t="s">
        <v>3917</v>
      </c>
      <c r="I1032" s="3" t="s">
        <v>520</v>
      </c>
      <c r="J1032" s="3" t="s">
        <v>335</v>
      </c>
      <c r="K1032" s="3" t="s">
        <v>28</v>
      </c>
      <c r="L1032" s="3" t="s">
        <v>28</v>
      </c>
      <c r="M1032" s="3" t="s">
        <v>27</v>
      </c>
      <c r="N1032" s="3" t="s">
        <v>28</v>
      </c>
      <c r="O1032" s="3" t="s">
        <v>28</v>
      </c>
      <c r="P1032" s="3" t="s">
        <v>28</v>
      </c>
      <c r="Q1032" s="3" t="s">
        <v>28</v>
      </c>
      <c r="R1032" s="3" t="s">
        <v>28</v>
      </c>
      <c r="S1032" s="3" t="s">
        <v>28</v>
      </c>
      <c r="T1032" s="3" t="s">
        <v>28</v>
      </c>
    </row>
    <row r="1033" spans="1:20" ht="366">
      <c r="A1033" s="3">
        <v>2736579</v>
      </c>
      <c r="B1033" s="3">
        <f>HYPERLINK("https://platform.v2.vetology.net/cases/2736579/screening-report/6?type=pdf&amp;v=v6&amp;scorecard=1&amp;secret_key=BX%25IJ%24%2F65ieZ%29f6", 2736579)</f>
        <v>2736579</v>
      </c>
      <c r="C1033" s="3">
        <f>HYPERLINK("https://platform.v2.vetology.net/report/v/final/"&amp;2736579, 2736579)</f>
        <v>2736579</v>
      </c>
      <c r="D1033" s="3" t="s">
        <v>3918</v>
      </c>
      <c r="E1033" s="3" t="s">
        <v>3919</v>
      </c>
      <c r="F1033" s="3" t="s">
        <v>22</v>
      </c>
      <c r="G1033" s="3" t="s">
        <v>100</v>
      </c>
      <c r="H1033" s="3" t="s">
        <v>3920</v>
      </c>
      <c r="I1033" s="3" t="s">
        <v>1483</v>
      </c>
      <c r="J1033" s="3" t="s">
        <v>207</v>
      </c>
      <c r="K1033" s="3" t="s">
        <v>28</v>
      </c>
      <c r="L1033" s="3" t="s">
        <v>28</v>
      </c>
      <c r="M1033" s="3" t="s">
        <v>28</v>
      </c>
      <c r="N1033" s="3" t="s">
        <v>28</v>
      </c>
      <c r="O1033" s="3" t="s">
        <v>27</v>
      </c>
      <c r="P1033" s="3" t="s">
        <v>28</v>
      </c>
      <c r="Q1033" s="3" t="s">
        <v>28</v>
      </c>
      <c r="R1033" s="3" t="s">
        <v>28</v>
      </c>
      <c r="S1033" s="3" t="s">
        <v>28</v>
      </c>
      <c r="T1033" s="3" t="s">
        <v>27</v>
      </c>
    </row>
    <row r="1034" spans="1:20" ht="409.6">
      <c r="A1034" s="3">
        <v>2736538</v>
      </c>
      <c r="B1034" s="3">
        <f>HYPERLINK("https://platform.v2.vetology.net/cases/2736538/screening-report/6?type=pdf&amp;v=v6&amp;scorecard=1&amp;secret_key=BX%25IJ%24%2F65ieZ%29f6", 2736538)</f>
        <v>2736538</v>
      </c>
      <c r="C1034" s="3">
        <f>HYPERLINK("https://platform.v2.vetology.net/report/v/final/"&amp;2736538, 2736538)</f>
        <v>2736538</v>
      </c>
      <c r="D1034" s="3" t="s">
        <v>3921</v>
      </c>
      <c r="E1034" s="3" t="s">
        <v>3922</v>
      </c>
      <c r="F1034" s="3" t="s">
        <v>3923</v>
      </c>
      <c r="G1034" s="3" t="s">
        <v>64</v>
      </c>
      <c r="H1034" s="3" t="s">
        <v>3924</v>
      </c>
      <c r="I1034" s="3" t="s">
        <v>3925</v>
      </c>
      <c r="J1034" s="3" t="s">
        <v>3926</v>
      </c>
      <c r="K1034" s="3" t="s">
        <v>28</v>
      </c>
      <c r="L1034" s="3" t="s">
        <v>28</v>
      </c>
      <c r="M1034" s="3" t="s">
        <v>28</v>
      </c>
      <c r="N1034" s="3" t="s">
        <v>28</v>
      </c>
      <c r="O1034" s="3" t="s">
        <v>28</v>
      </c>
      <c r="P1034" s="3" t="s">
        <v>28</v>
      </c>
      <c r="Q1034" s="3" t="s">
        <v>28</v>
      </c>
      <c r="R1034" s="3" t="s">
        <v>28</v>
      </c>
      <c r="S1034" s="3" t="s">
        <v>28</v>
      </c>
      <c r="T1034" s="3" t="s">
        <v>28</v>
      </c>
    </row>
    <row r="1035" spans="1:20" ht="409.6">
      <c r="A1035" s="3">
        <v>2736510</v>
      </c>
      <c r="B1035" s="3">
        <f>HYPERLINK("https://platform.v2.vetology.net/cases/2736510/screening-report/6?type=pdf&amp;v=v6&amp;scorecard=1&amp;secret_key=BX%25IJ%24%2F65ieZ%29f6", 2736510)</f>
        <v>2736510</v>
      </c>
      <c r="C1035" s="3">
        <f>HYPERLINK("https://platform.v2.vetology.net/report/v/final/"&amp;2736510, 2736510)</f>
        <v>2736510</v>
      </c>
      <c r="D1035" s="3" t="s">
        <v>3927</v>
      </c>
      <c r="E1035" s="3" t="s">
        <v>3928</v>
      </c>
      <c r="F1035" s="3" t="s">
        <v>3929</v>
      </c>
      <c r="G1035" s="3" t="s">
        <v>496</v>
      </c>
      <c r="H1035" s="3" t="s">
        <v>1046</v>
      </c>
      <c r="I1035" s="3" t="s">
        <v>59</v>
      </c>
      <c r="J1035" s="3" t="s">
        <v>60</v>
      </c>
      <c r="K1035" s="3" t="s">
        <v>28</v>
      </c>
      <c r="L1035" s="3" t="s">
        <v>28</v>
      </c>
      <c r="M1035" s="3" t="s">
        <v>28</v>
      </c>
      <c r="N1035" s="3" t="s">
        <v>28</v>
      </c>
      <c r="O1035" s="3" t="s">
        <v>27</v>
      </c>
      <c r="P1035" s="3" t="s">
        <v>28</v>
      </c>
      <c r="Q1035" s="3" t="s">
        <v>28</v>
      </c>
      <c r="R1035" s="3" t="s">
        <v>28</v>
      </c>
      <c r="S1035" s="3" t="s">
        <v>28</v>
      </c>
      <c r="T1035" s="3" t="s">
        <v>27</v>
      </c>
    </row>
    <row r="1036" spans="1:20" ht="409.6">
      <c r="A1036" s="3">
        <v>2736438</v>
      </c>
      <c r="B1036" s="3">
        <f>HYPERLINK("https://platform.v2.vetology.net/cases/2736438/screening-report/6?type=pdf&amp;v=v6&amp;scorecard=1&amp;secret_key=BX%25IJ%24%2F65ieZ%29f6", 2736438)</f>
        <v>2736438</v>
      </c>
      <c r="C1036" s="3">
        <f>HYPERLINK("https://platform.v2.vetology.net/report/v/final/"&amp;2736438, 2736438)</f>
        <v>2736438</v>
      </c>
      <c r="D1036" s="3" t="s">
        <v>3930</v>
      </c>
      <c r="E1036" s="3" t="s">
        <v>3931</v>
      </c>
      <c r="F1036" s="3" t="s">
        <v>3932</v>
      </c>
      <c r="G1036" s="3" t="s">
        <v>186</v>
      </c>
      <c r="H1036" s="3" t="s">
        <v>31</v>
      </c>
      <c r="I1036" s="3" t="s">
        <v>32</v>
      </c>
      <c r="J1036" s="3" t="s">
        <v>119</v>
      </c>
      <c r="K1036" s="3" t="s">
        <v>28</v>
      </c>
      <c r="L1036" s="3" t="s">
        <v>28</v>
      </c>
      <c r="M1036" s="3" t="s">
        <v>28</v>
      </c>
      <c r="N1036" s="3" t="s">
        <v>28</v>
      </c>
      <c r="O1036" s="3" t="s">
        <v>27</v>
      </c>
      <c r="P1036" s="3" t="s">
        <v>28</v>
      </c>
      <c r="Q1036" s="3" t="s">
        <v>28</v>
      </c>
      <c r="R1036" s="3" t="s">
        <v>28</v>
      </c>
      <c r="S1036" s="3" t="s">
        <v>28</v>
      </c>
      <c r="T1036" s="3" t="s">
        <v>28</v>
      </c>
    </row>
    <row r="1037" spans="1:20" ht="290.25">
      <c r="A1037" s="3">
        <v>2736371</v>
      </c>
      <c r="B1037" s="3">
        <f>HYPERLINK("https://platform.v2.vetology.net/cases/2736371/screening-report/6?type=pdf&amp;v=v6&amp;scorecard=1&amp;secret_key=BX%25IJ%24%2F65ieZ%29f6", 2736371)</f>
        <v>2736371</v>
      </c>
      <c r="C1037" s="3">
        <f>HYPERLINK("https://platform.v2.vetology.net/report/v/final/"&amp;2736371, 2736371)</f>
        <v>2736371</v>
      </c>
      <c r="D1037" s="3" t="s">
        <v>3933</v>
      </c>
      <c r="E1037" s="3" t="s">
        <v>3934</v>
      </c>
      <c r="F1037" s="3"/>
      <c r="G1037" s="3" t="s">
        <v>100</v>
      </c>
      <c r="H1037" s="3" t="s">
        <v>419</v>
      </c>
      <c r="I1037" s="3" t="s">
        <v>316</v>
      </c>
      <c r="J1037" s="3" t="s">
        <v>317</v>
      </c>
      <c r="K1037" s="3" t="s">
        <v>27</v>
      </c>
      <c r="L1037" s="3" t="s">
        <v>28</v>
      </c>
      <c r="M1037" s="3" t="s">
        <v>28</v>
      </c>
      <c r="N1037" s="3" t="s">
        <v>28</v>
      </c>
      <c r="O1037" s="3" t="s">
        <v>27</v>
      </c>
      <c r="P1037" s="3" t="s">
        <v>28</v>
      </c>
      <c r="Q1037" s="3" t="s">
        <v>28</v>
      </c>
      <c r="R1037" s="3" t="s">
        <v>28</v>
      </c>
      <c r="S1037" s="3" t="s">
        <v>28</v>
      </c>
      <c r="T1037" s="3" t="s">
        <v>28</v>
      </c>
    </row>
    <row r="1038" spans="1:20" ht="336">
      <c r="A1038" s="3">
        <v>2736363</v>
      </c>
      <c r="B1038" s="3">
        <f>HYPERLINK("https://platform.v2.vetology.net/cases/2736363/screening-report/6?type=pdf&amp;v=v6&amp;scorecard=1&amp;secret_key=BX%25IJ%24%2F65ieZ%29f6", 2736363)</f>
        <v>2736363</v>
      </c>
      <c r="C1038" s="3">
        <f>HYPERLINK("https://platform.v2.vetology.net/report/v/final/"&amp;2736363, 2736363)</f>
        <v>2736363</v>
      </c>
      <c r="D1038" s="3" t="s">
        <v>3935</v>
      </c>
      <c r="E1038" s="3" t="s">
        <v>3936</v>
      </c>
      <c r="F1038" s="3" t="s">
        <v>3937</v>
      </c>
      <c r="G1038" s="3" t="s">
        <v>186</v>
      </c>
      <c r="H1038" s="3" t="s">
        <v>31</v>
      </c>
      <c r="I1038" s="3" t="s">
        <v>32</v>
      </c>
      <c r="J1038" s="3" t="s">
        <v>33</v>
      </c>
      <c r="K1038" s="3" t="s">
        <v>28</v>
      </c>
      <c r="L1038" s="3" t="s">
        <v>28</v>
      </c>
      <c r="M1038" s="3" t="s">
        <v>28</v>
      </c>
      <c r="N1038" s="3" t="s">
        <v>28</v>
      </c>
      <c r="O1038" s="3" t="s">
        <v>27</v>
      </c>
      <c r="P1038" s="3" t="s">
        <v>28</v>
      </c>
      <c r="Q1038" s="3" t="s">
        <v>28</v>
      </c>
      <c r="R1038" s="3" t="s">
        <v>28</v>
      </c>
      <c r="S1038" s="3" t="s">
        <v>28</v>
      </c>
      <c r="T1038" s="3" t="s">
        <v>28</v>
      </c>
    </row>
    <row r="1039" spans="1:20" ht="167.25">
      <c r="A1039" s="3">
        <v>2736262</v>
      </c>
      <c r="B1039" s="3">
        <f>HYPERLINK("https://platform.v2.vetology.net/cases/2736262/screening-report/6?type=pdf&amp;v=v6&amp;scorecard=1&amp;secret_key=BX%25IJ%24%2F65ieZ%29f6", 2736262)</f>
        <v>2736262</v>
      </c>
      <c r="C1039" s="3">
        <f>HYPERLINK("https://platform.v2.vetology.net/report/v/final/"&amp;2736262, 2736262)</f>
        <v>2736262</v>
      </c>
      <c r="D1039" s="3" t="s">
        <v>3938</v>
      </c>
      <c r="E1039" s="3" t="s">
        <v>3939</v>
      </c>
      <c r="F1039" s="3" t="s">
        <v>1762</v>
      </c>
      <c r="G1039" s="3" t="s">
        <v>100</v>
      </c>
      <c r="H1039" s="3" t="s">
        <v>3940</v>
      </c>
      <c r="I1039" s="3" t="s">
        <v>305</v>
      </c>
      <c r="J1039" s="3" t="s">
        <v>847</v>
      </c>
      <c r="K1039" s="3" t="s">
        <v>28</v>
      </c>
      <c r="L1039" s="3" t="s">
        <v>28</v>
      </c>
      <c r="M1039" s="3" t="s">
        <v>28</v>
      </c>
      <c r="N1039" s="3" t="s">
        <v>28</v>
      </c>
      <c r="O1039" s="3" t="s">
        <v>28</v>
      </c>
      <c r="P1039" s="3" t="s">
        <v>27</v>
      </c>
      <c r="Q1039" s="3" t="s">
        <v>28</v>
      </c>
      <c r="R1039" s="3" t="s">
        <v>28</v>
      </c>
      <c r="S1039" s="3" t="s">
        <v>28</v>
      </c>
      <c r="T1039" s="3" t="s">
        <v>28</v>
      </c>
    </row>
    <row r="1040" spans="1:20" ht="409.6">
      <c r="A1040" s="3">
        <v>2736215</v>
      </c>
      <c r="B1040" s="3">
        <f>HYPERLINK("https://platform.v2.vetology.net/cases/2736215/screening-report/6?type=pdf&amp;v=v6&amp;scorecard=1&amp;secret_key=BX%25IJ%24%2F65ieZ%29f6", 2736215)</f>
        <v>2736215</v>
      </c>
      <c r="C1040" s="3">
        <f>HYPERLINK("https://platform.v2.vetology.net/report/v/final/"&amp;2736215, 2736215)</f>
        <v>2736215</v>
      </c>
      <c r="D1040" s="3" t="s">
        <v>3941</v>
      </c>
      <c r="E1040" s="3" t="s">
        <v>3942</v>
      </c>
      <c r="F1040" s="3" t="s">
        <v>22</v>
      </c>
      <c r="G1040" s="3" t="s">
        <v>23</v>
      </c>
      <c r="H1040" s="3" t="s">
        <v>3943</v>
      </c>
      <c r="I1040" s="3" t="s">
        <v>3944</v>
      </c>
      <c r="J1040" s="3" t="s">
        <v>148</v>
      </c>
      <c r="K1040" s="3" t="s">
        <v>28</v>
      </c>
      <c r="L1040" s="3" t="s">
        <v>28</v>
      </c>
      <c r="M1040" s="3" t="s">
        <v>28</v>
      </c>
      <c r="N1040" s="3" t="s">
        <v>28</v>
      </c>
      <c r="O1040" s="3" t="s">
        <v>28</v>
      </c>
      <c r="P1040" s="3" t="s">
        <v>28</v>
      </c>
      <c r="Q1040" s="3" t="s">
        <v>28</v>
      </c>
      <c r="R1040" s="3" t="s">
        <v>28</v>
      </c>
      <c r="S1040" s="3" t="s">
        <v>28</v>
      </c>
      <c r="T1040" s="3" t="s">
        <v>28</v>
      </c>
    </row>
    <row r="1041" spans="1:20" ht="290.25">
      <c r="A1041" s="3">
        <v>2736190</v>
      </c>
      <c r="B1041" s="3">
        <f>HYPERLINK("https://platform.v2.vetology.net/cases/2736190/screening-report/6?type=pdf&amp;v=v6&amp;scorecard=1&amp;secret_key=BX%25IJ%24%2F65ieZ%29f6", 2736190)</f>
        <v>2736190</v>
      </c>
      <c r="C1041" s="3">
        <f>HYPERLINK("https://platform.v2.vetology.net/report/v/final/"&amp;2736190, 2736190)</f>
        <v>2736190</v>
      </c>
      <c r="D1041" s="3" t="s">
        <v>3945</v>
      </c>
      <c r="E1041" s="3" t="s">
        <v>3946</v>
      </c>
      <c r="F1041" s="3"/>
      <c r="G1041" s="3" t="s">
        <v>122</v>
      </c>
      <c r="H1041" s="3" t="s">
        <v>419</v>
      </c>
      <c r="I1041" s="3" t="s">
        <v>316</v>
      </c>
      <c r="J1041" s="3" t="s">
        <v>317</v>
      </c>
      <c r="K1041" s="3" t="s">
        <v>28</v>
      </c>
      <c r="L1041" s="3" t="s">
        <v>28</v>
      </c>
      <c r="M1041" s="3" t="s">
        <v>28</v>
      </c>
      <c r="N1041" s="3" t="s">
        <v>28</v>
      </c>
      <c r="O1041" s="3" t="s">
        <v>27</v>
      </c>
      <c r="P1041" s="3" t="s">
        <v>28</v>
      </c>
      <c r="Q1041" s="3" t="s">
        <v>28</v>
      </c>
      <c r="R1041" s="3" t="s">
        <v>28</v>
      </c>
      <c r="S1041" s="3" t="s">
        <v>28</v>
      </c>
      <c r="T1041" s="3" t="s">
        <v>28</v>
      </c>
    </row>
    <row r="1042" spans="1:20" ht="366">
      <c r="A1042" s="3">
        <v>2736143</v>
      </c>
      <c r="B1042" s="3">
        <f>HYPERLINK("https://platform.v2.vetology.net/cases/2736143/screening-report/6?type=pdf&amp;v=v6&amp;scorecard=1&amp;secret_key=BX%25IJ%24%2F65ieZ%29f6", 2736143)</f>
        <v>2736143</v>
      </c>
      <c r="C1042" s="3">
        <f>HYPERLINK("https://platform.v2.vetology.net/report/v/final/"&amp;2736143, 2736143)</f>
        <v>2736143</v>
      </c>
      <c r="D1042" s="3" t="s">
        <v>3124</v>
      </c>
      <c r="E1042" s="3" t="s">
        <v>955</v>
      </c>
      <c r="F1042" s="3" t="s">
        <v>956</v>
      </c>
      <c r="G1042" s="3" t="s">
        <v>100</v>
      </c>
      <c r="H1042" s="3" t="s">
        <v>3947</v>
      </c>
      <c r="I1042" s="3" t="s">
        <v>883</v>
      </c>
      <c r="J1042" s="3" t="s">
        <v>884</v>
      </c>
      <c r="K1042" s="3" t="s">
        <v>28</v>
      </c>
      <c r="L1042" s="3" t="s">
        <v>28</v>
      </c>
      <c r="M1042" s="3" t="s">
        <v>28</v>
      </c>
      <c r="N1042" s="3" t="s">
        <v>28</v>
      </c>
      <c r="O1042" s="3" t="s">
        <v>27</v>
      </c>
      <c r="P1042" s="3" t="s">
        <v>28</v>
      </c>
      <c r="Q1042" s="3" t="s">
        <v>28</v>
      </c>
      <c r="R1042" s="3" t="s">
        <v>28</v>
      </c>
      <c r="S1042" s="3" t="s">
        <v>28</v>
      </c>
      <c r="T1042" s="3" t="s">
        <v>28</v>
      </c>
    </row>
    <row r="1043" spans="1:20" ht="396.75">
      <c r="A1043" s="3">
        <v>2736120</v>
      </c>
      <c r="B1043" s="3">
        <f>HYPERLINK("https://platform.v2.vetology.net/cases/2736120/screening-report/6?type=pdf&amp;v=v6&amp;scorecard=1&amp;secret_key=BX%25IJ%24%2F65ieZ%29f6", 2736120)</f>
        <v>2736120</v>
      </c>
      <c r="C1043" s="3">
        <f>HYPERLINK("https://platform.v2.vetology.net/report/v/final/"&amp;2736120, 2736120)</f>
        <v>2736120</v>
      </c>
      <c r="D1043" s="3" t="s">
        <v>3948</v>
      </c>
      <c r="E1043" s="3" t="s">
        <v>3949</v>
      </c>
      <c r="F1043" s="3" t="s">
        <v>3950</v>
      </c>
      <c r="G1043" s="3" t="s">
        <v>23</v>
      </c>
      <c r="H1043" s="3" t="s">
        <v>1015</v>
      </c>
      <c r="I1043" s="3" t="s">
        <v>32</v>
      </c>
      <c r="J1043" s="3" t="s">
        <v>33</v>
      </c>
      <c r="K1043" s="3" t="s">
        <v>27</v>
      </c>
      <c r="L1043" s="3" t="s">
        <v>28</v>
      </c>
      <c r="M1043" s="3" t="s">
        <v>28</v>
      </c>
      <c r="N1043" s="3" t="s">
        <v>28</v>
      </c>
      <c r="O1043" s="3" t="s">
        <v>27</v>
      </c>
      <c r="P1043" s="3" t="s">
        <v>28</v>
      </c>
      <c r="Q1043" s="3" t="s">
        <v>28</v>
      </c>
      <c r="R1043" s="3" t="s">
        <v>28</v>
      </c>
      <c r="S1043" s="3" t="s">
        <v>28</v>
      </c>
      <c r="T1043" s="3" t="s">
        <v>27</v>
      </c>
    </row>
    <row r="1044" spans="1:20" ht="396.75">
      <c r="A1044" s="3">
        <v>2736084</v>
      </c>
      <c r="B1044" s="3">
        <f>HYPERLINK("https://platform.v2.vetology.net/cases/2736084/screening-report/6?type=pdf&amp;v=v6&amp;scorecard=1&amp;secret_key=BX%25IJ%24%2F65ieZ%29f6", 2736084)</f>
        <v>2736084</v>
      </c>
      <c r="C1044" s="3">
        <f>HYPERLINK("https://platform.v2.vetology.net/report/v/final/"&amp;2736084, 2736084)</f>
        <v>2736084</v>
      </c>
      <c r="D1044" s="3" t="s">
        <v>3951</v>
      </c>
      <c r="E1044" s="3" t="s">
        <v>3952</v>
      </c>
      <c r="F1044" s="3" t="s">
        <v>22</v>
      </c>
      <c r="G1044" s="3" t="s">
        <v>23</v>
      </c>
      <c r="H1044" s="3" t="s">
        <v>855</v>
      </c>
      <c r="I1044" s="3" t="s">
        <v>856</v>
      </c>
      <c r="J1044" s="3" t="s">
        <v>857</v>
      </c>
      <c r="K1044" s="3" t="s">
        <v>28</v>
      </c>
      <c r="L1044" s="3" t="s">
        <v>28</v>
      </c>
      <c r="M1044" s="3" t="s">
        <v>28</v>
      </c>
      <c r="N1044" s="3" t="s">
        <v>28</v>
      </c>
      <c r="O1044" s="3" t="s">
        <v>27</v>
      </c>
      <c r="P1044" s="3" t="s">
        <v>28</v>
      </c>
      <c r="Q1044" s="3" t="s">
        <v>28</v>
      </c>
      <c r="R1044" s="3" t="s">
        <v>28</v>
      </c>
      <c r="S1044" s="3" t="s">
        <v>28</v>
      </c>
      <c r="T1044" s="3" t="s">
        <v>28</v>
      </c>
    </row>
    <row r="1045" spans="1:20" ht="229.5">
      <c r="A1045" s="3">
        <v>2736081</v>
      </c>
      <c r="B1045" s="3">
        <f>HYPERLINK("https://platform.v2.vetology.net/cases/2736081/screening-report/6?type=pdf&amp;v=v6&amp;scorecard=1&amp;secret_key=BX%25IJ%24%2F65ieZ%29f6", 2736081)</f>
        <v>2736081</v>
      </c>
      <c r="C1045" s="3">
        <f>HYPERLINK("https://platform.v2.vetology.net/report/v/final/"&amp;2736081, 2736081)</f>
        <v>2736081</v>
      </c>
      <c r="D1045" s="3" t="s">
        <v>3953</v>
      </c>
      <c r="E1045" s="3" t="s">
        <v>21</v>
      </c>
      <c r="F1045" s="3" t="s">
        <v>22</v>
      </c>
      <c r="G1045" s="3" t="s">
        <v>23</v>
      </c>
      <c r="H1045" s="3" t="s">
        <v>31</v>
      </c>
      <c r="I1045" s="3" t="s">
        <v>32</v>
      </c>
      <c r="J1045" s="3" t="s">
        <v>119</v>
      </c>
      <c r="K1045" s="3" t="s">
        <v>28</v>
      </c>
      <c r="L1045" s="3" t="s">
        <v>28</v>
      </c>
      <c r="M1045" s="3" t="s">
        <v>28</v>
      </c>
      <c r="N1045" s="3" t="s">
        <v>28</v>
      </c>
      <c r="O1045" s="3" t="s">
        <v>27</v>
      </c>
      <c r="P1045" s="3" t="s">
        <v>28</v>
      </c>
      <c r="Q1045" s="3" t="s">
        <v>28</v>
      </c>
      <c r="R1045" s="3" t="s">
        <v>28</v>
      </c>
      <c r="S1045" s="3" t="s">
        <v>28</v>
      </c>
      <c r="T1045" s="3" t="s">
        <v>28</v>
      </c>
    </row>
    <row r="1046" spans="1:20" ht="305.25">
      <c r="A1046" s="3">
        <v>2736064</v>
      </c>
      <c r="B1046" s="3">
        <f>HYPERLINK("https://platform.v2.vetology.net/cases/2736064/screening-report/6?type=pdf&amp;v=v6&amp;scorecard=1&amp;secret_key=BX%25IJ%24%2F65ieZ%29f6", 2736064)</f>
        <v>2736064</v>
      </c>
      <c r="C1046" s="3">
        <f>HYPERLINK("https://platform.v2.vetology.net/report/v/final/"&amp;2736064, 2736064)</f>
        <v>2736064</v>
      </c>
      <c r="D1046" s="3" t="s">
        <v>3954</v>
      </c>
      <c r="E1046" s="3" t="s">
        <v>3955</v>
      </c>
      <c r="F1046" s="3" t="s">
        <v>22</v>
      </c>
      <c r="G1046" s="3" t="s">
        <v>23</v>
      </c>
      <c r="H1046" s="3" t="s">
        <v>3956</v>
      </c>
      <c r="I1046" s="3" t="s">
        <v>793</v>
      </c>
      <c r="J1046" s="3" t="s">
        <v>794</v>
      </c>
      <c r="K1046" s="3" t="s">
        <v>28</v>
      </c>
      <c r="L1046" s="3" t="s">
        <v>28</v>
      </c>
      <c r="M1046" s="3" t="s">
        <v>28</v>
      </c>
      <c r="N1046" s="3" t="s">
        <v>28</v>
      </c>
      <c r="O1046" s="3" t="s">
        <v>28</v>
      </c>
      <c r="P1046" s="3" t="s">
        <v>28</v>
      </c>
      <c r="Q1046" s="3" t="s">
        <v>28</v>
      </c>
      <c r="R1046" s="3" t="s">
        <v>28</v>
      </c>
      <c r="S1046" s="3" t="s">
        <v>28</v>
      </c>
      <c r="T1046" s="3" t="s">
        <v>28</v>
      </c>
    </row>
    <row r="1047" spans="1:20" ht="336">
      <c r="A1047" s="3">
        <v>2736031</v>
      </c>
      <c r="B1047" s="3">
        <f>HYPERLINK("https://platform.v2.vetology.net/cases/2736031/screening-report/6?type=pdf&amp;v=v6&amp;scorecard=1&amp;secret_key=BX%25IJ%24%2F65ieZ%29f6", 2736031)</f>
        <v>2736031</v>
      </c>
      <c r="C1047" s="3">
        <f>HYPERLINK("https://platform.v2.vetology.net/report/v/final/"&amp;2736031, 2736031)</f>
        <v>2736031</v>
      </c>
      <c r="D1047" s="3" t="s">
        <v>3957</v>
      </c>
      <c r="E1047" s="3" t="s">
        <v>3958</v>
      </c>
      <c r="F1047" s="3" t="s">
        <v>3959</v>
      </c>
      <c r="G1047" s="3" t="s">
        <v>186</v>
      </c>
      <c r="H1047" s="3" t="s">
        <v>1372</v>
      </c>
      <c r="I1047" s="3" t="s">
        <v>1373</v>
      </c>
      <c r="J1047" s="3" t="s">
        <v>1374</v>
      </c>
      <c r="K1047" s="3" t="s">
        <v>27</v>
      </c>
      <c r="L1047" s="3" t="s">
        <v>28</v>
      </c>
      <c r="M1047" s="3" t="s">
        <v>27</v>
      </c>
      <c r="N1047" s="3" t="s">
        <v>28</v>
      </c>
      <c r="O1047" s="3" t="s">
        <v>27</v>
      </c>
      <c r="P1047" s="3" t="s">
        <v>28</v>
      </c>
      <c r="Q1047" s="3" t="s">
        <v>28</v>
      </c>
      <c r="R1047" s="3" t="s">
        <v>28</v>
      </c>
      <c r="S1047" s="3" t="s">
        <v>28</v>
      </c>
      <c r="T1047" s="3" t="s">
        <v>27</v>
      </c>
    </row>
    <row r="1048" spans="1:20" ht="409.6">
      <c r="A1048" s="3">
        <v>2736024</v>
      </c>
      <c r="B1048" s="3">
        <f>HYPERLINK("https://platform.v2.vetology.net/cases/2736024/screening-report/6?type=pdf&amp;v=v6&amp;scorecard=1&amp;secret_key=BX%25IJ%24%2F65ieZ%29f6", 2736024)</f>
        <v>2736024</v>
      </c>
      <c r="C1048" s="3">
        <f>HYPERLINK("https://platform.v2.vetology.net/report/v/final/"&amp;2736024, 2736024)</f>
        <v>2736024</v>
      </c>
      <c r="D1048" s="3" t="s">
        <v>3960</v>
      </c>
      <c r="E1048" s="3" t="s">
        <v>3961</v>
      </c>
      <c r="F1048" s="3" t="s">
        <v>22</v>
      </c>
      <c r="G1048" s="3" t="s">
        <v>23</v>
      </c>
      <c r="H1048" s="3" t="s">
        <v>1307</v>
      </c>
      <c r="I1048" s="3" t="s">
        <v>351</v>
      </c>
      <c r="J1048" s="3" t="s">
        <v>352</v>
      </c>
      <c r="K1048" s="3" t="s">
        <v>28</v>
      </c>
      <c r="L1048" s="3" t="s">
        <v>28</v>
      </c>
      <c r="M1048" s="3" t="s">
        <v>28</v>
      </c>
      <c r="N1048" s="3" t="s">
        <v>28</v>
      </c>
      <c r="O1048" s="3" t="s">
        <v>27</v>
      </c>
      <c r="P1048" s="3" t="s">
        <v>28</v>
      </c>
      <c r="Q1048" s="3" t="s">
        <v>28</v>
      </c>
      <c r="R1048" s="3" t="s">
        <v>28</v>
      </c>
      <c r="S1048" s="3" t="s">
        <v>28</v>
      </c>
      <c r="T1048" s="3" t="s">
        <v>27</v>
      </c>
    </row>
    <row r="1049" spans="1:20" ht="396.75">
      <c r="A1049" s="3">
        <v>2736019</v>
      </c>
      <c r="B1049" s="3">
        <f>HYPERLINK("https://platform.v2.vetology.net/cases/2736019/screening-report/6?type=pdf&amp;v=v6&amp;scorecard=1&amp;secret_key=BX%25IJ%24%2F65ieZ%29f6", 2736019)</f>
        <v>2736019</v>
      </c>
      <c r="C1049" s="3">
        <f>HYPERLINK("https://platform.v2.vetology.net/report/v/final/"&amp;2736019, 2736019)</f>
        <v>2736019</v>
      </c>
      <c r="D1049" s="3" t="s">
        <v>3962</v>
      </c>
      <c r="E1049" s="3" t="s">
        <v>3963</v>
      </c>
      <c r="F1049" s="3" t="s">
        <v>3964</v>
      </c>
      <c r="G1049" s="3" t="s">
        <v>186</v>
      </c>
      <c r="H1049" s="3" t="s">
        <v>3965</v>
      </c>
      <c r="I1049" s="3" t="s">
        <v>351</v>
      </c>
      <c r="J1049" s="3" t="s">
        <v>352</v>
      </c>
      <c r="K1049" s="3" t="s">
        <v>28</v>
      </c>
      <c r="L1049" s="3" t="s">
        <v>28</v>
      </c>
      <c r="M1049" s="3" t="s">
        <v>28</v>
      </c>
      <c r="N1049" s="3" t="s">
        <v>28</v>
      </c>
      <c r="O1049" s="3" t="s">
        <v>28</v>
      </c>
      <c r="P1049" s="3" t="s">
        <v>28</v>
      </c>
      <c r="Q1049" s="3" t="s">
        <v>28</v>
      </c>
      <c r="R1049" s="3" t="s">
        <v>28</v>
      </c>
      <c r="S1049" s="3" t="s">
        <v>28</v>
      </c>
      <c r="T1049" s="3" t="s">
        <v>27</v>
      </c>
    </row>
    <row r="1050" spans="1:20" ht="396.75">
      <c r="A1050" s="3">
        <v>2735992</v>
      </c>
      <c r="B1050" s="3">
        <f>HYPERLINK("https://platform.v2.vetology.net/cases/2735992/screening-report/6?type=pdf&amp;v=v6&amp;scorecard=1&amp;secret_key=BX%25IJ%24%2F65ieZ%29f6", 2735992)</f>
        <v>2735992</v>
      </c>
      <c r="C1050" s="3">
        <f>HYPERLINK("https://platform.v2.vetology.net/report/v/final/"&amp;2735992, 2735992)</f>
        <v>2735992</v>
      </c>
      <c r="D1050" s="3" t="s">
        <v>3966</v>
      </c>
      <c r="E1050" s="3" t="s">
        <v>3967</v>
      </c>
      <c r="F1050" s="3" t="s">
        <v>22</v>
      </c>
      <c r="G1050" s="3" t="s">
        <v>23</v>
      </c>
      <c r="H1050" s="3" t="s">
        <v>2885</v>
      </c>
      <c r="I1050" s="3" t="s">
        <v>3364</v>
      </c>
      <c r="J1050" s="3" t="s">
        <v>3365</v>
      </c>
      <c r="K1050" s="3" t="s">
        <v>28</v>
      </c>
      <c r="L1050" s="3" t="s">
        <v>27</v>
      </c>
      <c r="M1050" s="3" t="s">
        <v>28</v>
      </c>
      <c r="N1050" s="3" t="s">
        <v>27</v>
      </c>
      <c r="O1050" s="3" t="s">
        <v>27</v>
      </c>
      <c r="P1050" s="3" t="s">
        <v>28</v>
      </c>
      <c r="Q1050" s="3" t="s">
        <v>27</v>
      </c>
      <c r="R1050" s="3" t="s">
        <v>28</v>
      </c>
      <c r="S1050" s="3" t="s">
        <v>28</v>
      </c>
      <c r="T1050" s="3" t="s">
        <v>27</v>
      </c>
    </row>
    <row r="1051" spans="1:20" ht="366">
      <c r="A1051" s="3">
        <v>2735908</v>
      </c>
      <c r="B1051" s="3">
        <f>HYPERLINK("https://platform.v2.vetology.net/cases/2735908/screening-report/6?type=pdf&amp;v=v6&amp;scorecard=1&amp;secret_key=BX%25IJ%24%2F65ieZ%29f6", 2735908)</f>
        <v>2735908</v>
      </c>
      <c r="C1051" s="3">
        <f>HYPERLINK("https://platform.v2.vetology.net/report/v/final/"&amp;2735908, 2735908)</f>
        <v>2735908</v>
      </c>
      <c r="D1051" s="3" t="s">
        <v>3968</v>
      </c>
      <c r="E1051" s="3" t="s">
        <v>3969</v>
      </c>
      <c r="F1051" s="3" t="s">
        <v>3970</v>
      </c>
      <c r="G1051" s="3" t="s">
        <v>64</v>
      </c>
      <c r="H1051" s="3" t="s">
        <v>245</v>
      </c>
      <c r="I1051" s="3" t="s">
        <v>200</v>
      </c>
      <c r="J1051" s="3" t="s">
        <v>219</v>
      </c>
      <c r="K1051" s="3" t="s">
        <v>27</v>
      </c>
      <c r="L1051" s="3" t="s">
        <v>28</v>
      </c>
      <c r="M1051" s="3" t="s">
        <v>28</v>
      </c>
      <c r="N1051" s="3" t="s">
        <v>28</v>
      </c>
      <c r="O1051" s="3" t="s">
        <v>27</v>
      </c>
      <c r="P1051" s="3" t="s">
        <v>28</v>
      </c>
      <c r="Q1051" s="3" t="s">
        <v>28</v>
      </c>
      <c r="R1051" s="3" t="s">
        <v>28</v>
      </c>
      <c r="S1051" s="3" t="s">
        <v>28</v>
      </c>
      <c r="T1051" s="3" t="s">
        <v>28</v>
      </c>
    </row>
    <row r="1052" spans="1:20" ht="409.6">
      <c r="A1052" s="3">
        <v>2735839</v>
      </c>
      <c r="B1052" s="3">
        <f>HYPERLINK("https://platform.v2.vetology.net/cases/2735839/screening-report/6?type=pdf&amp;v=v6&amp;scorecard=1&amp;secret_key=BX%25IJ%24%2F65ieZ%29f6", 2735839)</f>
        <v>2735839</v>
      </c>
      <c r="C1052" s="3">
        <f>HYPERLINK("https://platform.v2.vetology.net/report/v/final/"&amp;2735839, 2735839)</f>
        <v>2735839</v>
      </c>
      <c r="D1052" s="3" t="s">
        <v>3971</v>
      </c>
      <c r="E1052" s="3" t="s">
        <v>3972</v>
      </c>
      <c r="F1052" s="3" t="s">
        <v>3973</v>
      </c>
      <c r="G1052" s="3" t="s">
        <v>64</v>
      </c>
      <c r="H1052" s="3" t="s">
        <v>3974</v>
      </c>
      <c r="I1052" s="3"/>
      <c r="J1052" s="3" t="s">
        <v>207</v>
      </c>
      <c r="K1052" s="3" t="s">
        <v>28</v>
      </c>
      <c r="L1052" s="3" t="s">
        <v>28</v>
      </c>
      <c r="M1052" s="3" t="s">
        <v>28</v>
      </c>
      <c r="N1052" s="3" t="s">
        <v>28</v>
      </c>
      <c r="O1052" s="3" t="s">
        <v>28</v>
      </c>
      <c r="P1052" s="3" t="s">
        <v>28</v>
      </c>
      <c r="Q1052" s="3" t="s">
        <v>28</v>
      </c>
      <c r="R1052" s="3" t="s">
        <v>28</v>
      </c>
      <c r="S1052" s="3" t="s">
        <v>28</v>
      </c>
      <c r="T1052" s="3" t="s">
        <v>27</v>
      </c>
    </row>
    <row r="1053" spans="1:20" ht="409.6">
      <c r="A1053" s="3">
        <v>2735825</v>
      </c>
      <c r="B1053" s="3">
        <f>HYPERLINK("https://platform.v2.vetology.net/cases/2735825/screening-report/6?type=pdf&amp;v=v6&amp;scorecard=1&amp;secret_key=BX%25IJ%24%2F65ieZ%29f6", 2735825)</f>
        <v>2735825</v>
      </c>
      <c r="C1053" s="3">
        <f>HYPERLINK("https://platform.v2.vetology.net/report/v/final/"&amp;2735825, 2735825)</f>
        <v>2735825</v>
      </c>
      <c r="D1053" s="3" t="s">
        <v>3975</v>
      </c>
      <c r="E1053" s="3" t="s">
        <v>3976</v>
      </c>
      <c r="F1053" s="3" t="s">
        <v>3977</v>
      </c>
      <c r="G1053" s="3" t="s">
        <v>179</v>
      </c>
      <c r="H1053" s="3" t="s">
        <v>31</v>
      </c>
      <c r="I1053" s="3" t="s">
        <v>32</v>
      </c>
      <c r="J1053" s="3" t="s">
        <v>119</v>
      </c>
      <c r="K1053" s="3" t="s">
        <v>28</v>
      </c>
      <c r="L1053" s="3" t="s">
        <v>28</v>
      </c>
      <c r="M1053" s="3" t="s">
        <v>28</v>
      </c>
      <c r="N1053" s="3" t="s">
        <v>28</v>
      </c>
      <c r="O1053" s="3" t="s">
        <v>27</v>
      </c>
      <c r="P1053" s="3" t="s">
        <v>28</v>
      </c>
      <c r="Q1053" s="3" t="s">
        <v>28</v>
      </c>
      <c r="R1053" s="3" t="s">
        <v>28</v>
      </c>
      <c r="S1053" s="3" t="s">
        <v>28</v>
      </c>
      <c r="T1053" s="3" t="s">
        <v>28</v>
      </c>
    </row>
    <row r="1054" spans="1:20" ht="409.6">
      <c r="A1054" s="3">
        <v>2735793</v>
      </c>
      <c r="B1054" s="3">
        <f>HYPERLINK("https://platform.v2.vetology.net/cases/2735793/screening-report/6?type=pdf&amp;v=v6&amp;scorecard=1&amp;secret_key=BX%25IJ%24%2F65ieZ%29f6", 2735793)</f>
        <v>2735793</v>
      </c>
      <c r="C1054" s="3">
        <f>HYPERLINK("https://platform.v2.vetology.net/report/v/final/"&amp;2735793, 2735793)</f>
        <v>2735793</v>
      </c>
      <c r="D1054" s="3" t="s">
        <v>3978</v>
      </c>
      <c r="E1054" s="3" t="s">
        <v>3979</v>
      </c>
      <c r="F1054" s="3" t="s">
        <v>3980</v>
      </c>
      <c r="G1054" s="3" t="s">
        <v>64</v>
      </c>
      <c r="H1054" s="3" t="s">
        <v>855</v>
      </c>
      <c r="I1054" s="3" t="s">
        <v>856</v>
      </c>
      <c r="J1054" s="3" t="s">
        <v>857</v>
      </c>
      <c r="K1054" s="3" t="s">
        <v>28</v>
      </c>
      <c r="L1054" s="3" t="s">
        <v>28</v>
      </c>
      <c r="M1054" s="3" t="s">
        <v>28</v>
      </c>
      <c r="N1054" s="3" t="s">
        <v>28</v>
      </c>
      <c r="O1054" s="3" t="s">
        <v>27</v>
      </c>
      <c r="P1054" s="3" t="s">
        <v>28</v>
      </c>
      <c r="Q1054" s="3" t="s">
        <v>28</v>
      </c>
      <c r="R1054" s="3" t="s">
        <v>28</v>
      </c>
      <c r="S1054" s="3" t="s">
        <v>28</v>
      </c>
      <c r="T1054" s="3" t="s">
        <v>28</v>
      </c>
    </row>
    <row r="1055" spans="1:20" ht="409.6">
      <c r="A1055" s="3">
        <v>2735720</v>
      </c>
      <c r="B1055" s="3">
        <f>HYPERLINK("https://platform.v2.vetology.net/cases/2735720/screening-report/6?type=pdf&amp;v=v6&amp;scorecard=1&amp;secret_key=BX%25IJ%24%2F65ieZ%29f6", 2735720)</f>
        <v>2735720</v>
      </c>
      <c r="C1055" s="3">
        <f>HYPERLINK("https://platform.v2.vetology.net/report/v/final/"&amp;2735720, 2735720)</f>
        <v>2735720</v>
      </c>
      <c r="D1055" s="3" t="s">
        <v>3981</v>
      </c>
      <c r="E1055" s="3" t="s">
        <v>3982</v>
      </c>
      <c r="F1055" s="3" t="s">
        <v>3983</v>
      </c>
      <c r="G1055" s="3" t="s">
        <v>64</v>
      </c>
      <c r="H1055" s="3" t="s">
        <v>2378</v>
      </c>
      <c r="I1055" s="3" t="s">
        <v>2379</v>
      </c>
      <c r="J1055" s="3" t="s">
        <v>1058</v>
      </c>
      <c r="K1055" s="3" t="s">
        <v>28</v>
      </c>
      <c r="L1055" s="3" t="s">
        <v>28</v>
      </c>
      <c r="M1055" s="3" t="s">
        <v>28</v>
      </c>
      <c r="N1055" s="3" t="s">
        <v>27</v>
      </c>
      <c r="O1055" s="3" t="s">
        <v>28</v>
      </c>
      <c r="P1055" s="3" t="s">
        <v>28</v>
      </c>
      <c r="Q1055" s="3" t="s">
        <v>28</v>
      </c>
      <c r="R1055" s="3" t="s">
        <v>27</v>
      </c>
      <c r="S1055" s="3" t="s">
        <v>27</v>
      </c>
      <c r="T1055" s="3" t="s">
        <v>27</v>
      </c>
    </row>
    <row r="1056" spans="1:20" ht="305.25">
      <c r="A1056" s="3">
        <v>2735702</v>
      </c>
      <c r="B1056" s="3">
        <f>HYPERLINK("https://platform.v2.vetology.net/cases/2735702/screening-report/6?type=pdf&amp;v=v6&amp;scorecard=1&amp;secret_key=BX%25IJ%24%2F65ieZ%29f6", 2735702)</f>
        <v>2735702</v>
      </c>
      <c r="C1056" s="3">
        <f>HYPERLINK("https://platform.v2.vetology.net/report/v/final/"&amp;2735702, 2735702)</f>
        <v>2735702</v>
      </c>
      <c r="D1056" s="3" t="s">
        <v>3984</v>
      </c>
      <c r="E1056" s="3" t="s">
        <v>3985</v>
      </c>
      <c r="F1056" s="3" t="s">
        <v>3986</v>
      </c>
      <c r="G1056" s="3" t="s">
        <v>186</v>
      </c>
      <c r="H1056" s="3" t="s">
        <v>3752</v>
      </c>
      <c r="I1056" s="3" t="s">
        <v>784</v>
      </c>
      <c r="J1056" s="3" t="s">
        <v>785</v>
      </c>
      <c r="K1056" s="3" t="s">
        <v>27</v>
      </c>
      <c r="L1056" s="3" t="s">
        <v>27</v>
      </c>
      <c r="M1056" s="3" t="s">
        <v>27</v>
      </c>
      <c r="N1056" s="3" t="s">
        <v>28</v>
      </c>
      <c r="O1056" s="3" t="s">
        <v>27</v>
      </c>
      <c r="P1056" s="3" t="s">
        <v>28</v>
      </c>
      <c r="Q1056" s="3" t="s">
        <v>27</v>
      </c>
      <c r="R1056" s="3" t="s">
        <v>28</v>
      </c>
      <c r="S1056" s="3" t="s">
        <v>28</v>
      </c>
      <c r="T1056" s="3" t="s">
        <v>27</v>
      </c>
    </row>
    <row r="1057" spans="1:20" ht="305.25">
      <c r="A1057" s="3">
        <v>2735658</v>
      </c>
      <c r="B1057" s="3">
        <f>HYPERLINK("https://platform.v2.vetology.net/cases/2735658/screening-report/6?type=pdf&amp;v=v6&amp;scorecard=1&amp;secret_key=BX%25IJ%24%2F65ieZ%29f6", 2735658)</f>
        <v>2735658</v>
      </c>
      <c r="C1057" s="3">
        <f>HYPERLINK("https://platform.v2.vetology.net/report/v/final/"&amp;2735658, 2735658)</f>
        <v>2735658</v>
      </c>
      <c r="D1057" s="3" t="s">
        <v>3987</v>
      </c>
      <c r="E1057" s="3" t="s">
        <v>3988</v>
      </c>
      <c r="F1057" s="3" t="s">
        <v>3379</v>
      </c>
      <c r="G1057" s="3" t="s">
        <v>496</v>
      </c>
      <c r="H1057" s="3" t="s">
        <v>31</v>
      </c>
      <c r="I1057" s="3" t="s">
        <v>32</v>
      </c>
      <c r="J1057" s="3" t="s">
        <v>33</v>
      </c>
      <c r="K1057" s="3" t="s">
        <v>28</v>
      </c>
      <c r="L1057" s="3" t="s">
        <v>28</v>
      </c>
      <c r="M1057" s="3" t="s">
        <v>28</v>
      </c>
      <c r="N1057" s="3" t="s">
        <v>28</v>
      </c>
      <c r="O1057" s="3" t="s">
        <v>27</v>
      </c>
      <c r="P1057" s="3" t="s">
        <v>28</v>
      </c>
      <c r="Q1057" s="3" t="s">
        <v>28</v>
      </c>
      <c r="R1057" s="3" t="s">
        <v>28</v>
      </c>
      <c r="S1057" s="3" t="s">
        <v>28</v>
      </c>
      <c r="T1057" s="3" t="s">
        <v>28</v>
      </c>
    </row>
    <row r="1058" spans="1:20" ht="366">
      <c r="A1058" s="3">
        <v>2735648</v>
      </c>
      <c r="B1058" s="3">
        <f>HYPERLINK("https://platform.v2.vetology.net/cases/2735648/screening-report/6?type=pdf&amp;v=v6&amp;scorecard=1&amp;secret_key=BX%25IJ%24%2F65ieZ%29f6", 2735648)</f>
        <v>2735648</v>
      </c>
      <c r="C1058" s="3">
        <f>HYPERLINK("https://platform.v2.vetology.net/report/v/final/"&amp;2735648, 2735648)</f>
        <v>2735648</v>
      </c>
      <c r="D1058" s="3" t="s">
        <v>3989</v>
      </c>
      <c r="E1058" s="3" t="s">
        <v>3990</v>
      </c>
      <c r="F1058" s="3" t="s">
        <v>3991</v>
      </c>
      <c r="G1058" s="3" t="s">
        <v>179</v>
      </c>
      <c r="H1058" s="3" t="s">
        <v>3992</v>
      </c>
      <c r="I1058" s="3" t="s">
        <v>1034</v>
      </c>
      <c r="J1058" s="3" t="s">
        <v>1035</v>
      </c>
      <c r="K1058" s="3" t="s">
        <v>28</v>
      </c>
      <c r="L1058" s="3" t="s">
        <v>28</v>
      </c>
      <c r="M1058" s="3" t="s">
        <v>28</v>
      </c>
      <c r="N1058" s="3" t="s">
        <v>28</v>
      </c>
      <c r="O1058" s="3" t="s">
        <v>28</v>
      </c>
      <c r="P1058" s="3" t="s">
        <v>28</v>
      </c>
      <c r="Q1058" s="3" t="s">
        <v>28</v>
      </c>
      <c r="R1058" s="3" t="s">
        <v>27</v>
      </c>
      <c r="S1058" s="3" t="s">
        <v>28</v>
      </c>
      <c r="T1058" s="3" t="s">
        <v>27</v>
      </c>
    </row>
    <row r="1059" spans="1:20" ht="409.6">
      <c r="A1059" s="3">
        <v>2735635</v>
      </c>
      <c r="B1059" s="3">
        <f>HYPERLINK("https://platform.v2.vetology.net/cases/2735635/screening-report/6?type=pdf&amp;v=v6&amp;scorecard=1&amp;secret_key=BX%25IJ%24%2F65ieZ%29f6", 2735635)</f>
        <v>2735635</v>
      </c>
      <c r="C1059" s="3">
        <f>HYPERLINK("https://platform.v2.vetology.net/report/v/final/"&amp;2735635, 2735635)</f>
        <v>2735635</v>
      </c>
      <c r="D1059" s="3" t="s">
        <v>3993</v>
      </c>
      <c r="E1059" s="3" t="s">
        <v>3994</v>
      </c>
      <c r="F1059" s="3" t="s">
        <v>3995</v>
      </c>
      <c r="G1059" s="3" t="s">
        <v>179</v>
      </c>
      <c r="H1059" s="3" t="s">
        <v>135</v>
      </c>
      <c r="I1059" s="3" t="s">
        <v>136</v>
      </c>
      <c r="J1059" s="3" t="s">
        <v>424</v>
      </c>
      <c r="K1059" s="3" t="s">
        <v>28</v>
      </c>
      <c r="L1059" s="3" t="s">
        <v>28</v>
      </c>
      <c r="M1059" s="3" t="s">
        <v>28</v>
      </c>
      <c r="N1059" s="3" t="s">
        <v>27</v>
      </c>
      <c r="O1059" s="3" t="s">
        <v>27</v>
      </c>
      <c r="P1059" s="3" t="s">
        <v>28</v>
      </c>
      <c r="Q1059" s="3" t="s">
        <v>28</v>
      </c>
      <c r="R1059" s="3" t="s">
        <v>28</v>
      </c>
      <c r="S1059" s="3" t="s">
        <v>28</v>
      </c>
      <c r="T1059" s="3" t="s">
        <v>27</v>
      </c>
    </row>
    <row r="1060" spans="1:20" ht="366">
      <c r="A1060" s="3">
        <v>2735588</v>
      </c>
      <c r="B1060" s="3">
        <f>HYPERLINK("https://platform.v2.vetology.net/cases/2735588/screening-report/6?type=pdf&amp;v=v6&amp;scorecard=1&amp;secret_key=BX%25IJ%24%2F65ieZ%29f6", 2735588)</f>
        <v>2735588</v>
      </c>
      <c r="C1060" s="3">
        <f>HYPERLINK("https://platform.v2.vetology.net/report/v/final/"&amp;2735588, 2735588)</f>
        <v>2735588</v>
      </c>
      <c r="D1060" s="3" t="s">
        <v>3996</v>
      </c>
      <c r="E1060" s="3" t="s">
        <v>3997</v>
      </c>
      <c r="F1060" s="3" t="s">
        <v>3998</v>
      </c>
      <c r="G1060" s="3" t="s">
        <v>64</v>
      </c>
      <c r="H1060" s="3" t="s">
        <v>31</v>
      </c>
      <c r="I1060" s="3" t="s">
        <v>32</v>
      </c>
      <c r="J1060" s="3" t="s">
        <v>33</v>
      </c>
      <c r="K1060" s="3" t="s">
        <v>28</v>
      </c>
      <c r="L1060" s="3" t="s">
        <v>28</v>
      </c>
      <c r="M1060" s="3" t="s">
        <v>28</v>
      </c>
      <c r="N1060" s="3" t="s">
        <v>28</v>
      </c>
      <c r="O1060" s="3" t="s">
        <v>28</v>
      </c>
      <c r="P1060" s="3" t="s">
        <v>28</v>
      </c>
      <c r="Q1060" s="3" t="s">
        <v>28</v>
      </c>
      <c r="R1060" s="3" t="s">
        <v>28</v>
      </c>
      <c r="S1060" s="3" t="s">
        <v>28</v>
      </c>
      <c r="T1060" s="3" t="s">
        <v>28</v>
      </c>
    </row>
    <row r="1061" spans="1:20" ht="409.6">
      <c r="A1061" s="3">
        <v>2735567</v>
      </c>
      <c r="B1061" s="3">
        <f>HYPERLINK("https://platform.v2.vetology.net/cases/2735567/screening-report/6?type=pdf&amp;v=v6&amp;scorecard=1&amp;secret_key=BX%25IJ%24%2F65ieZ%29f6", 2735567)</f>
        <v>2735567</v>
      </c>
      <c r="C1061" s="3">
        <f>HYPERLINK("https://platform.v2.vetology.net/report/v/final/"&amp;2735567, 2735567)</f>
        <v>2735567</v>
      </c>
      <c r="D1061" s="3" t="s">
        <v>3999</v>
      </c>
      <c r="E1061" s="3" t="s">
        <v>4000</v>
      </c>
      <c r="F1061" s="3" t="s">
        <v>22</v>
      </c>
      <c r="G1061" s="3" t="s">
        <v>23</v>
      </c>
      <c r="H1061" s="3" t="s">
        <v>4001</v>
      </c>
      <c r="I1061" s="3" t="s">
        <v>596</v>
      </c>
      <c r="J1061" s="3" t="s">
        <v>597</v>
      </c>
      <c r="K1061" s="3" t="s">
        <v>28</v>
      </c>
      <c r="L1061" s="3" t="s">
        <v>27</v>
      </c>
      <c r="M1061" s="3" t="s">
        <v>28</v>
      </c>
      <c r="N1061" s="3" t="s">
        <v>27</v>
      </c>
      <c r="O1061" s="3" t="s">
        <v>27</v>
      </c>
      <c r="P1061" s="3" t="s">
        <v>28</v>
      </c>
      <c r="Q1061" s="3" t="s">
        <v>28</v>
      </c>
      <c r="R1061" s="3" t="s">
        <v>27</v>
      </c>
      <c r="S1061" s="3" t="s">
        <v>28</v>
      </c>
      <c r="T1061" s="3" t="s">
        <v>27</v>
      </c>
    </row>
    <row r="1062" spans="1:20" ht="409.6">
      <c r="A1062" s="3">
        <v>2735564</v>
      </c>
      <c r="B1062" s="3">
        <f>HYPERLINK("https://platform.v2.vetology.net/cases/2735564/screening-report/6?type=pdf&amp;v=v6&amp;scorecard=1&amp;secret_key=BX%25IJ%24%2F65ieZ%29f6", 2735564)</f>
        <v>2735564</v>
      </c>
      <c r="C1062" s="3">
        <f>HYPERLINK("https://platform.v2.vetology.net/report/v/final/"&amp;2735564, 2735564)</f>
        <v>2735564</v>
      </c>
      <c r="D1062" s="3" t="s">
        <v>4002</v>
      </c>
      <c r="E1062" s="3" t="s">
        <v>1230</v>
      </c>
      <c r="F1062" s="3" t="s">
        <v>1049</v>
      </c>
      <c r="G1062" s="3" t="s">
        <v>100</v>
      </c>
      <c r="H1062" s="3" t="s">
        <v>519</v>
      </c>
      <c r="I1062" s="3" t="s">
        <v>520</v>
      </c>
      <c r="J1062" s="3" t="s">
        <v>335</v>
      </c>
      <c r="K1062" s="3" t="s">
        <v>28</v>
      </c>
      <c r="L1062" s="3" t="s">
        <v>28</v>
      </c>
      <c r="M1062" s="3" t="s">
        <v>27</v>
      </c>
      <c r="N1062" s="3" t="s">
        <v>28</v>
      </c>
      <c r="O1062" s="3" t="s">
        <v>28</v>
      </c>
      <c r="P1062" s="3" t="s">
        <v>28</v>
      </c>
      <c r="Q1062" s="3" t="s">
        <v>28</v>
      </c>
      <c r="R1062" s="3" t="s">
        <v>28</v>
      </c>
      <c r="S1062" s="3" t="s">
        <v>28</v>
      </c>
      <c r="T1062" s="3" t="s">
        <v>28</v>
      </c>
    </row>
    <row r="1063" spans="1:20" ht="305.25">
      <c r="A1063" s="3">
        <v>2735547</v>
      </c>
      <c r="B1063" s="3">
        <f>HYPERLINK("https://platform.v2.vetology.net/cases/2735547/screening-report/6?type=pdf&amp;v=v6&amp;scorecard=1&amp;secret_key=BX%25IJ%24%2F65ieZ%29f6", 2735547)</f>
        <v>2735547</v>
      </c>
      <c r="C1063" s="3">
        <f>HYPERLINK("https://platform.v2.vetology.net/report/v/final/"&amp;2735547, 2735547)</f>
        <v>2735547</v>
      </c>
      <c r="D1063" s="3" t="s">
        <v>4003</v>
      </c>
      <c r="E1063" s="3" t="s">
        <v>4004</v>
      </c>
      <c r="F1063" s="3" t="s">
        <v>4005</v>
      </c>
      <c r="G1063" s="3" t="s">
        <v>496</v>
      </c>
      <c r="H1063" s="3" t="s">
        <v>4006</v>
      </c>
      <c r="I1063" s="3" t="s">
        <v>784</v>
      </c>
      <c r="J1063" s="3" t="s">
        <v>785</v>
      </c>
      <c r="K1063" s="3" t="s">
        <v>27</v>
      </c>
      <c r="L1063" s="3" t="s">
        <v>28</v>
      </c>
      <c r="M1063" s="3" t="s">
        <v>27</v>
      </c>
      <c r="N1063" s="3" t="s">
        <v>28</v>
      </c>
      <c r="O1063" s="3" t="s">
        <v>27</v>
      </c>
      <c r="P1063" s="3" t="s">
        <v>28</v>
      </c>
      <c r="Q1063" s="3" t="s">
        <v>27</v>
      </c>
      <c r="R1063" s="3" t="s">
        <v>28</v>
      </c>
      <c r="S1063" s="3" t="s">
        <v>28</v>
      </c>
      <c r="T1063" s="3" t="s">
        <v>27</v>
      </c>
    </row>
    <row r="1064" spans="1:20" ht="275.25">
      <c r="A1064" s="3">
        <v>2735490</v>
      </c>
      <c r="B1064" s="3">
        <f>HYPERLINK("https://platform.v2.vetology.net/cases/2735490/screening-report/6?type=pdf&amp;v=v6&amp;scorecard=1&amp;secret_key=BX%25IJ%24%2F65ieZ%29f6", 2735490)</f>
        <v>2735490</v>
      </c>
      <c r="C1064" s="3">
        <f>HYPERLINK("https://platform.v2.vetology.net/report/v/final/"&amp;2735490, 2735490)</f>
        <v>2735490</v>
      </c>
      <c r="D1064" s="3" t="s">
        <v>4007</v>
      </c>
      <c r="E1064" s="3" t="s">
        <v>4008</v>
      </c>
      <c r="F1064" s="3" t="s">
        <v>22</v>
      </c>
      <c r="G1064" s="3" t="s">
        <v>23</v>
      </c>
      <c r="H1064" s="3" t="s">
        <v>2258</v>
      </c>
      <c r="I1064" s="3" t="s">
        <v>2259</v>
      </c>
      <c r="J1064" s="3" t="s">
        <v>2260</v>
      </c>
      <c r="K1064" s="3" t="s">
        <v>28</v>
      </c>
      <c r="L1064" s="3" t="s">
        <v>28</v>
      </c>
      <c r="M1064" s="3" t="s">
        <v>28</v>
      </c>
      <c r="N1064" s="3" t="s">
        <v>28</v>
      </c>
      <c r="O1064" s="3" t="s">
        <v>28</v>
      </c>
      <c r="P1064" s="3" t="s">
        <v>28</v>
      </c>
      <c r="Q1064" s="3" t="s">
        <v>28</v>
      </c>
      <c r="R1064" s="3" t="s">
        <v>28</v>
      </c>
      <c r="S1064" s="3" t="s">
        <v>28</v>
      </c>
      <c r="T1064" s="3" t="s">
        <v>28</v>
      </c>
    </row>
    <row r="1065" spans="1:20" ht="409.6">
      <c r="A1065" s="3">
        <v>2735481</v>
      </c>
      <c r="B1065" s="3">
        <f>HYPERLINK("https://platform.v2.vetology.net/cases/2735481/screening-report/6?type=pdf&amp;v=v6&amp;scorecard=1&amp;secret_key=BX%25IJ%24%2F65ieZ%29f6", 2735481)</f>
        <v>2735481</v>
      </c>
      <c r="C1065" s="3">
        <f>HYPERLINK("https://platform.v2.vetology.net/report/v/final/"&amp;2735481, 2735481)</f>
        <v>2735481</v>
      </c>
      <c r="D1065" s="3" t="s">
        <v>4009</v>
      </c>
      <c r="E1065" s="3" t="s">
        <v>4010</v>
      </c>
      <c r="F1065" s="3" t="s">
        <v>4011</v>
      </c>
      <c r="G1065" s="3" t="s">
        <v>64</v>
      </c>
      <c r="H1065" s="3" t="s">
        <v>1259</v>
      </c>
      <c r="I1065" s="3"/>
      <c r="J1065" s="3" t="s">
        <v>207</v>
      </c>
      <c r="K1065" s="3" t="s">
        <v>28</v>
      </c>
      <c r="L1065" s="3" t="s">
        <v>28</v>
      </c>
      <c r="M1065" s="3" t="s">
        <v>28</v>
      </c>
      <c r="N1065" s="3" t="s">
        <v>28</v>
      </c>
      <c r="O1065" s="3" t="s">
        <v>27</v>
      </c>
      <c r="P1065" s="3" t="s">
        <v>28</v>
      </c>
      <c r="Q1065" s="3" t="s">
        <v>28</v>
      </c>
      <c r="R1065" s="3" t="s">
        <v>28</v>
      </c>
      <c r="S1065" s="3" t="s">
        <v>28</v>
      </c>
      <c r="T1065" s="3" t="s">
        <v>28</v>
      </c>
    </row>
    <row r="1066" spans="1:20" ht="409.6">
      <c r="A1066" s="3">
        <v>2735469</v>
      </c>
      <c r="B1066" s="3">
        <f>HYPERLINK("https://platform.v2.vetology.net/cases/2735469/screening-report/6?type=pdf&amp;v=v6&amp;scorecard=1&amp;secret_key=BX%25IJ%24%2F65ieZ%29f6", 2735469)</f>
        <v>2735469</v>
      </c>
      <c r="C1066" s="3">
        <f>HYPERLINK("https://platform.v2.vetology.net/report/v/final/"&amp;2735469, 2735469)</f>
        <v>2735469</v>
      </c>
      <c r="D1066" s="3" t="s">
        <v>4012</v>
      </c>
      <c r="E1066" s="3" t="s">
        <v>4013</v>
      </c>
      <c r="F1066" s="3" t="s">
        <v>4014</v>
      </c>
      <c r="G1066" s="3" t="s">
        <v>64</v>
      </c>
      <c r="H1066" s="3" t="s">
        <v>855</v>
      </c>
      <c r="I1066" s="3" t="s">
        <v>856</v>
      </c>
      <c r="J1066" s="3" t="s">
        <v>857</v>
      </c>
      <c r="K1066" s="3" t="s">
        <v>27</v>
      </c>
      <c r="L1066" s="3" t="s">
        <v>28</v>
      </c>
      <c r="M1066" s="3" t="s">
        <v>28</v>
      </c>
      <c r="N1066" s="3" t="s">
        <v>28</v>
      </c>
      <c r="O1066" s="3" t="s">
        <v>27</v>
      </c>
      <c r="P1066" s="3" t="s">
        <v>28</v>
      </c>
      <c r="Q1066" s="3" t="s">
        <v>28</v>
      </c>
      <c r="R1066" s="3" t="s">
        <v>28</v>
      </c>
      <c r="S1066" s="3" t="s">
        <v>28</v>
      </c>
      <c r="T1066" s="3" t="s">
        <v>28</v>
      </c>
    </row>
    <row r="1067" spans="1:20" ht="366">
      <c r="A1067" s="3">
        <v>2735466</v>
      </c>
      <c r="B1067" s="3">
        <f>HYPERLINK("https://platform.v2.vetology.net/cases/2735466/screening-report/6?type=pdf&amp;v=v6&amp;scorecard=1&amp;secret_key=BX%25IJ%24%2F65ieZ%29f6", 2735466)</f>
        <v>2735466</v>
      </c>
      <c r="C1067" s="3">
        <f>HYPERLINK("https://platform.v2.vetology.net/report/v/final/"&amp;2735466, 2735466)</f>
        <v>2735466</v>
      </c>
      <c r="D1067" s="3" t="s">
        <v>4015</v>
      </c>
      <c r="E1067" s="3" t="s">
        <v>4016</v>
      </c>
      <c r="F1067" s="3" t="s">
        <v>22</v>
      </c>
      <c r="G1067" s="3" t="s">
        <v>372</v>
      </c>
      <c r="H1067" s="3" t="s">
        <v>3046</v>
      </c>
      <c r="I1067" s="3" t="s">
        <v>1875</v>
      </c>
      <c r="J1067" s="3" t="s">
        <v>755</v>
      </c>
      <c r="K1067" s="3" t="s">
        <v>28</v>
      </c>
      <c r="L1067" s="3" t="s">
        <v>28</v>
      </c>
      <c r="M1067" s="3" t="s">
        <v>27</v>
      </c>
      <c r="N1067" s="3" t="s">
        <v>28</v>
      </c>
      <c r="O1067" s="3" t="s">
        <v>27</v>
      </c>
      <c r="P1067" s="3" t="s">
        <v>28</v>
      </c>
      <c r="Q1067" s="3" t="s">
        <v>27</v>
      </c>
      <c r="R1067" s="3" t="s">
        <v>28</v>
      </c>
      <c r="S1067" s="3" t="s">
        <v>28</v>
      </c>
      <c r="T1067" s="3" t="s">
        <v>28</v>
      </c>
    </row>
    <row r="1068" spans="1:20" ht="351">
      <c r="A1068" s="3">
        <v>2735326</v>
      </c>
      <c r="B1068" s="3">
        <f>HYPERLINK("https://platform.v2.vetology.net/cases/2735326/screening-report/6?type=pdf&amp;v=v6&amp;scorecard=1&amp;secret_key=BX%25IJ%24%2F65ieZ%29f6", 2735326)</f>
        <v>2735326</v>
      </c>
      <c r="C1068" s="3">
        <f>HYPERLINK("https://platform.v2.vetology.net/report/v/final/"&amp;2735326, 2735326)</f>
        <v>2735326</v>
      </c>
      <c r="D1068" s="3" t="s">
        <v>4017</v>
      </c>
      <c r="E1068" s="3" t="s">
        <v>4018</v>
      </c>
      <c r="F1068" s="3" t="s">
        <v>4019</v>
      </c>
      <c r="G1068" s="3" t="s">
        <v>23</v>
      </c>
      <c r="H1068" s="3" t="s">
        <v>4020</v>
      </c>
      <c r="I1068" s="3" t="s">
        <v>918</v>
      </c>
      <c r="J1068" s="3" t="s">
        <v>919</v>
      </c>
      <c r="K1068" s="3" t="s">
        <v>28</v>
      </c>
      <c r="L1068" s="3" t="s">
        <v>28</v>
      </c>
      <c r="M1068" s="3" t="s">
        <v>28</v>
      </c>
      <c r="N1068" s="3" t="s">
        <v>28</v>
      </c>
      <c r="O1068" s="3" t="s">
        <v>27</v>
      </c>
      <c r="P1068" s="3" t="s">
        <v>28</v>
      </c>
      <c r="Q1068" s="3" t="s">
        <v>28</v>
      </c>
      <c r="R1068" s="3" t="s">
        <v>28</v>
      </c>
      <c r="S1068" s="3" t="s">
        <v>28</v>
      </c>
      <c r="T1068" s="3" t="s">
        <v>28</v>
      </c>
    </row>
    <row r="1069" spans="1:20" ht="396.75">
      <c r="A1069" s="3">
        <v>2735316</v>
      </c>
      <c r="B1069" s="3">
        <f>HYPERLINK("https://platform.v2.vetology.net/cases/2735316/screening-report/6?type=pdf&amp;v=v6&amp;scorecard=1&amp;secret_key=BX%25IJ%24%2F65ieZ%29f6", 2735316)</f>
        <v>2735316</v>
      </c>
      <c r="C1069" s="3">
        <f>HYPERLINK("https://platform.v2.vetology.net/report/v/final/"&amp;2735316, 2735316)</f>
        <v>2735316</v>
      </c>
      <c r="D1069" s="3" t="s">
        <v>4021</v>
      </c>
      <c r="E1069" s="3" t="s">
        <v>4022</v>
      </c>
      <c r="F1069" s="3" t="s">
        <v>4023</v>
      </c>
      <c r="G1069" s="3" t="s">
        <v>23</v>
      </c>
      <c r="H1069" s="3" t="s">
        <v>2523</v>
      </c>
      <c r="I1069" s="3" t="s">
        <v>2524</v>
      </c>
      <c r="J1069" s="3" t="s">
        <v>1374</v>
      </c>
      <c r="K1069" s="3" t="s">
        <v>27</v>
      </c>
      <c r="L1069" s="3" t="s">
        <v>27</v>
      </c>
      <c r="M1069" s="3" t="s">
        <v>27</v>
      </c>
      <c r="N1069" s="3" t="s">
        <v>27</v>
      </c>
      <c r="O1069" s="3" t="s">
        <v>27</v>
      </c>
      <c r="P1069" s="3" t="s">
        <v>28</v>
      </c>
      <c r="Q1069" s="3" t="s">
        <v>27</v>
      </c>
      <c r="R1069" s="3" t="s">
        <v>27</v>
      </c>
      <c r="S1069" s="3" t="s">
        <v>27</v>
      </c>
      <c r="T1069" s="3" t="s">
        <v>27</v>
      </c>
    </row>
    <row r="1070" spans="1:20" ht="409.6">
      <c r="A1070" s="3">
        <v>2735296</v>
      </c>
      <c r="B1070" s="3">
        <f>HYPERLINK("https://platform.v2.vetology.net/cases/2735296/screening-report/6?type=pdf&amp;v=v6&amp;scorecard=1&amp;secret_key=BX%25IJ%24%2F65ieZ%29f6", 2735296)</f>
        <v>2735296</v>
      </c>
      <c r="C1070" s="3">
        <f>HYPERLINK("https://platform.v2.vetology.net/report/v/final/"&amp;2735296, 2735296)</f>
        <v>2735296</v>
      </c>
      <c r="D1070" s="3" t="s">
        <v>4024</v>
      </c>
      <c r="E1070" s="3" t="s">
        <v>4025</v>
      </c>
      <c r="F1070" s="3" t="s">
        <v>22</v>
      </c>
      <c r="G1070" s="3" t="s">
        <v>23</v>
      </c>
      <c r="H1070" s="3" t="s">
        <v>4026</v>
      </c>
      <c r="I1070" s="3" t="s">
        <v>291</v>
      </c>
      <c r="J1070" s="3" t="s">
        <v>225</v>
      </c>
      <c r="K1070" s="3" t="s">
        <v>28</v>
      </c>
      <c r="L1070" s="3" t="s">
        <v>28</v>
      </c>
      <c r="M1070" s="3" t="s">
        <v>28</v>
      </c>
      <c r="N1070" s="3" t="s">
        <v>27</v>
      </c>
      <c r="O1070" s="3" t="s">
        <v>27</v>
      </c>
      <c r="P1070" s="3" t="s">
        <v>28</v>
      </c>
      <c r="Q1070" s="3" t="s">
        <v>28</v>
      </c>
      <c r="R1070" s="3" t="s">
        <v>27</v>
      </c>
      <c r="S1070" s="3" t="s">
        <v>27</v>
      </c>
      <c r="T1070" s="3" t="s">
        <v>27</v>
      </c>
    </row>
    <row r="1071" spans="1:20" ht="409.6">
      <c r="A1071" s="3">
        <v>2735280</v>
      </c>
      <c r="B1071" s="3">
        <f>HYPERLINK("https://platform.v2.vetology.net/cases/2735280/screening-report/6?type=pdf&amp;v=v6&amp;scorecard=1&amp;secret_key=BX%25IJ%24%2F65ieZ%29f6", 2735280)</f>
        <v>2735280</v>
      </c>
      <c r="C1071" s="3">
        <f>HYPERLINK("https://platform.v2.vetology.net/report/v/final/"&amp;2735280, 2735280)</f>
        <v>2735280</v>
      </c>
      <c r="D1071" s="3" t="s">
        <v>4027</v>
      </c>
      <c r="E1071" s="3" t="s">
        <v>4028</v>
      </c>
      <c r="F1071" s="3" t="s">
        <v>1049</v>
      </c>
      <c r="G1071" s="3" t="s">
        <v>100</v>
      </c>
      <c r="H1071" s="3" t="s">
        <v>4029</v>
      </c>
      <c r="I1071" s="3" t="s">
        <v>3160</v>
      </c>
      <c r="J1071" s="3" t="s">
        <v>335</v>
      </c>
      <c r="K1071" s="3" t="s">
        <v>27</v>
      </c>
      <c r="L1071" s="3" t="s">
        <v>28</v>
      </c>
      <c r="M1071" s="3" t="s">
        <v>28</v>
      </c>
      <c r="N1071" s="3" t="s">
        <v>28</v>
      </c>
      <c r="O1071" s="3" t="s">
        <v>28</v>
      </c>
      <c r="P1071" s="3" t="s">
        <v>28</v>
      </c>
      <c r="Q1071" s="3" t="s">
        <v>28</v>
      </c>
      <c r="R1071" s="3" t="s">
        <v>28</v>
      </c>
      <c r="S1071" s="3" t="s">
        <v>28</v>
      </c>
      <c r="T1071" s="3" t="s">
        <v>28</v>
      </c>
    </row>
    <row r="1072" spans="1:20" ht="381.75">
      <c r="A1072" s="3">
        <v>2735278</v>
      </c>
      <c r="B1072" s="3">
        <f>HYPERLINK("https://platform.v2.vetology.net/cases/2735278/screening-report/6?type=pdf&amp;v=v6&amp;scorecard=1&amp;secret_key=BX%25IJ%24%2F65ieZ%29f6", 2735278)</f>
        <v>2735278</v>
      </c>
      <c r="C1072" s="3">
        <f>HYPERLINK("https://platform.v2.vetology.net/report/v/final/"&amp;2735278, 2735278)</f>
        <v>2735278</v>
      </c>
      <c r="D1072" s="3" t="s">
        <v>4030</v>
      </c>
      <c r="E1072" s="3" t="s">
        <v>4031</v>
      </c>
      <c r="F1072" s="3"/>
      <c r="G1072" s="3" t="s">
        <v>122</v>
      </c>
      <c r="H1072" s="3" t="s">
        <v>4032</v>
      </c>
      <c r="I1072" s="3" t="s">
        <v>37</v>
      </c>
      <c r="J1072" s="3" t="s">
        <v>38</v>
      </c>
      <c r="K1072" s="3" t="s">
        <v>28</v>
      </c>
      <c r="L1072" s="3" t="s">
        <v>28</v>
      </c>
      <c r="M1072" s="3" t="s">
        <v>28</v>
      </c>
      <c r="N1072" s="3" t="s">
        <v>28</v>
      </c>
      <c r="O1072" s="3" t="s">
        <v>27</v>
      </c>
      <c r="P1072" s="3" t="s">
        <v>28</v>
      </c>
      <c r="Q1072" s="3" t="s">
        <v>28</v>
      </c>
      <c r="R1072" s="3" t="s">
        <v>28</v>
      </c>
      <c r="S1072" s="3" t="s">
        <v>28</v>
      </c>
      <c r="T1072" s="3" t="s">
        <v>28</v>
      </c>
    </row>
    <row r="1073" spans="1:20" ht="229.5">
      <c r="A1073" s="3">
        <v>2735275</v>
      </c>
      <c r="B1073" s="3">
        <f>HYPERLINK("https://platform.v2.vetology.net/cases/2735275/screening-report/6?type=pdf&amp;v=v6&amp;scorecard=1&amp;secret_key=BX%25IJ%24%2F65ieZ%29f6", 2735275)</f>
        <v>2735275</v>
      </c>
      <c r="C1073" s="3">
        <f>HYPERLINK("https://platform.v2.vetology.net/report/v/final/"&amp;2735275, 2735275)</f>
        <v>2735275</v>
      </c>
      <c r="D1073" s="3" t="s">
        <v>4033</v>
      </c>
      <c r="E1073" s="3" t="s">
        <v>4034</v>
      </c>
      <c r="F1073" s="3"/>
      <c r="G1073" s="3" t="s">
        <v>122</v>
      </c>
      <c r="H1073" s="3" t="s">
        <v>4035</v>
      </c>
      <c r="I1073" s="3"/>
      <c r="J1073" s="3" t="s">
        <v>207</v>
      </c>
      <c r="K1073" s="3" t="s">
        <v>28</v>
      </c>
      <c r="L1073" s="3" t="s">
        <v>28</v>
      </c>
      <c r="M1073" s="3" t="s">
        <v>28</v>
      </c>
      <c r="N1073" s="3" t="s">
        <v>28</v>
      </c>
      <c r="O1073" s="3" t="s">
        <v>28</v>
      </c>
      <c r="P1073" s="3" t="s">
        <v>28</v>
      </c>
      <c r="Q1073" s="3" t="s">
        <v>28</v>
      </c>
      <c r="R1073" s="3" t="s">
        <v>28</v>
      </c>
      <c r="S1073" s="3" t="s">
        <v>28</v>
      </c>
      <c r="T1073" s="3" t="s">
        <v>27</v>
      </c>
    </row>
    <row r="1074" spans="1:20" ht="198">
      <c r="A1074" s="3">
        <v>2735272</v>
      </c>
      <c r="B1074" s="3">
        <f>HYPERLINK("https://platform.v2.vetology.net/cases/2735272/screening-report/6?type=pdf&amp;v=v6&amp;scorecard=1&amp;secret_key=BX%25IJ%24%2F65ieZ%29f6", 2735272)</f>
        <v>2735272</v>
      </c>
      <c r="C1074" s="3">
        <f>HYPERLINK("https://platform.v2.vetology.net/report/v/final/"&amp;2735272, 2735272)</f>
        <v>2735272</v>
      </c>
      <c r="D1074" s="3" t="s">
        <v>4036</v>
      </c>
      <c r="E1074" s="3" t="s">
        <v>4037</v>
      </c>
      <c r="F1074" s="3"/>
      <c r="G1074" s="3" t="s">
        <v>122</v>
      </c>
      <c r="H1074" s="3" t="s">
        <v>729</v>
      </c>
      <c r="I1074" s="3" t="s">
        <v>72</v>
      </c>
      <c r="J1074" s="3" t="s">
        <v>363</v>
      </c>
      <c r="K1074" s="3" t="s">
        <v>28</v>
      </c>
      <c r="L1074" s="3" t="s">
        <v>28</v>
      </c>
      <c r="M1074" s="3" t="s">
        <v>28</v>
      </c>
      <c r="N1074" s="3" t="s">
        <v>28</v>
      </c>
      <c r="O1074" s="3" t="s">
        <v>27</v>
      </c>
      <c r="P1074" s="3" t="s">
        <v>28</v>
      </c>
      <c r="Q1074" s="3" t="s">
        <v>28</v>
      </c>
      <c r="R1074" s="3" t="s">
        <v>28</v>
      </c>
      <c r="S1074" s="3" t="s">
        <v>28</v>
      </c>
      <c r="T1074" s="3" t="s">
        <v>27</v>
      </c>
    </row>
    <row r="1075" spans="1:20" ht="409.6">
      <c r="A1075" s="3">
        <v>2735258</v>
      </c>
      <c r="B1075" s="3">
        <f>HYPERLINK("https://platform.v2.vetology.net/cases/2735258/screening-report/6?type=pdf&amp;v=v6&amp;scorecard=1&amp;secret_key=BX%25IJ%24%2F65ieZ%29f6", 2735258)</f>
        <v>2735258</v>
      </c>
      <c r="C1075" s="3">
        <f>HYPERLINK("https://platform.v2.vetology.net/report/v/final/"&amp;2735258, 2735258)</f>
        <v>2735258</v>
      </c>
      <c r="D1075" s="3" t="s">
        <v>4038</v>
      </c>
      <c r="E1075" s="3" t="s">
        <v>1230</v>
      </c>
      <c r="F1075" s="3" t="s">
        <v>1049</v>
      </c>
      <c r="G1075" s="3" t="s">
        <v>100</v>
      </c>
      <c r="H1075" s="3" t="s">
        <v>683</v>
      </c>
      <c r="I1075" s="3" t="s">
        <v>32</v>
      </c>
      <c r="J1075" s="3" t="s">
        <v>578</v>
      </c>
      <c r="K1075" s="3" t="s">
        <v>27</v>
      </c>
      <c r="L1075" s="3" t="s">
        <v>28</v>
      </c>
      <c r="M1075" s="3" t="s">
        <v>28</v>
      </c>
      <c r="N1075" s="3" t="s">
        <v>28</v>
      </c>
      <c r="O1075" s="3" t="s">
        <v>27</v>
      </c>
      <c r="P1075" s="3" t="s">
        <v>28</v>
      </c>
      <c r="Q1075" s="3" t="s">
        <v>27</v>
      </c>
      <c r="R1075" s="3" t="s">
        <v>28</v>
      </c>
      <c r="S1075" s="3" t="s">
        <v>28</v>
      </c>
      <c r="T1075" s="3" t="s">
        <v>28</v>
      </c>
    </row>
    <row r="1076" spans="1:20" ht="409.6">
      <c r="A1076" s="3">
        <v>2735248</v>
      </c>
      <c r="B1076" s="3">
        <f>HYPERLINK("https://platform.v2.vetology.net/cases/2735248/screening-report/6?type=pdf&amp;v=v6&amp;scorecard=1&amp;secret_key=BX%25IJ%24%2F65ieZ%29f6", 2735248)</f>
        <v>2735248</v>
      </c>
      <c r="C1076" s="3">
        <f>HYPERLINK("https://platform.v2.vetology.net/report/v/final/"&amp;2735248, 2735248)</f>
        <v>2735248</v>
      </c>
      <c r="D1076" s="3" t="s">
        <v>4039</v>
      </c>
      <c r="E1076" s="3" t="s">
        <v>4040</v>
      </c>
      <c r="F1076" s="3" t="s">
        <v>22</v>
      </c>
      <c r="G1076" s="3" t="s">
        <v>23</v>
      </c>
      <c r="H1076" s="3" t="s">
        <v>4041</v>
      </c>
      <c r="I1076" s="3" t="s">
        <v>113</v>
      </c>
      <c r="J1076" s="3" t="s">
        <v>114</v>
      </c>
      <c r="K1076" s="3" t="s">
        <v>27</v>
      </c>
      <c r="L1076" s="3" t="s">
        <v>27</v>
      </c>
      <c r="M1076" s="3" t="s">
        <v>28</v>
      </c>
      <c r="N1076" s="3" t="s">
        <v>28</v>
      </c>
      <c r="O1076" s="3" t="s">
        <v>27</v>
      </c>
      <c r="P1076" s="3" t="s">
        <v>27</v>
      </c>
      <c r="Q1076" s="3" t="s">
        <v>27</v>
      </c>
      <c r="R1076" s="3" t="s">
        <v>28</v>
      </c>
      <c r="S1076" s="3" t="s">
        <v>28</v>
      </c>
      <c r="T1076" s="3" t="s">
        <v>28</v>
      </c>
    </row>
    <row r="1077" spans="1:20" ht="409.6">
      <c r="A1077" s="3">
        <v>2735232</v>
      </c>
      <c r="B1077" s="3">
        <f>HYPERLINK("https://platform.v2.vetology.net/cases/2735232/screening-report/6?type=pdf&amp;v=v6&amp;scorecard=1&amp;secret_key=BX%25IJ%24%2F65ieZ%29f6", 2735232)</f>
        <v>2735232</v>
      </c>
      <c r="C1077" s="3">
        <f>HYPERLINK("https://platform.v2.vetology.net/report/v/final/"&amp;2735232, 2735232)</f>
        <v>2735232</v>
      </c>
      <c r="D1077" s="3" t="s">
        <v>4042</v>
      </c>
      <c r="E1077" s="3" t="s">
        <v>4043</v>
      </c>
      <c r="F1077" s="3" t="s">
        <v>2278</v>
      </c>
      <c r="G1077" s="3" t="s">
        <v>23</v>
      </c>
      <c r="H1077" s="3" t="s">
        <v>2659</v>
      </c>
      <c r="I1077" s="3" t="s">
        <v>484</v>
      </c>
      <c r="J1077" s="3" t="s">
        <v>53</v>
      </c>
      <c r="K1077" s="3" t="s">
        <v>28</v>
      </c>
      <c r="L1077" s="3" t="s">
        <v>28</v>
      </c>
      <c r="M1077" s="3" t="s">
        <v>28</v>
      </c>
      <c r="N1077" s="3" t="s">
        <v>28</v>
      </c>
      <c r="O1077" s="3" t="s">
        <v>28</v>
      </c>
      <c r="P1077" s="3" t="s">
        <v>28</v>
      </c>
      <c r="Q1077" s="3" t="s">
        <v>28</v>
      </c>
      <c r="R1077" s="3" t="s">
        <v>28</v>
      </c>
      <c r="S1077" s="3" t="s">
        <v>28</v>
      </c>
      <c r="T1077" s="3" t="s">
        <v>28</v>
      </c>
    </row>
    <row r="1078" spans="1:20" ht="244.5">
      <c r="A1078" s="3">
        <v>2735223</v>
      </c>
      <c r="B1078" s="3">
        <f>HYPERLINK("https://platform.v2.vetology.net/cases/2735223/screening-report/6?type=pdf&amp;v=v6&amp;scorecard=1&amp;secret_key=BX%25IJ%24%2F65ieZ%29f6", 2735223)</f>
        <v>2735223</v>
      </c>
      <c r="C1078" s="3">
        <f>HYPERLINK("https://platform.v2.vetology.net/report/v/final/"&amp;2735223, 2735223)</f>
        <v>2735223</v>
      </c>
      <c r="D1078" s="3" t="s">
        <v>4044</v>
      </c>
      <c r="E1078" s="3" t="s">
        <v>4045</v>
      </c>
      <c r="F1078" s="3"/>
      <c r="G1078" s="3" t="s">
        <v>100</v>
      </c>
      <c r="H1078" s="3" t="s">
        <v>4046</v>
      </c>
      <c r="I1078" s="3" t="s">
        <v>1497</v>
      </c>
      <c r="J1078" s="3" t="s">
        <v>207</v>
      </c>
      <c r="K1078" s="3" t="s">
        <v>28</v>
      </c>
      <c r="L1078" s="3" t="s">
        <v>28</v>
      </c>
      <c r="M1078" s="3" t="s">
        <v>28</v>
      </c>
      <c r="N1078" s="3" t="s">
        <v>28</v>
      </c>
      <c r="O1078" s="3" t="s">
        <v>27</v>
      </c>
      <c r="P1078" s="3" t="s">
        <v>27</v>
      </c>
      <c r="Q1078" s="3" t="s">
        <v>28</v>
      </c>
      <c r="R1078" s="3" t="s">
        <v>28</v>
      </c>
      <c r="S1078" s="3" t="s">
        <v>28</v>
      </c>
      <c r="T1078" s="3" t="s">
        <v>28</v>
      </c>
    </row>
    <row r="1079" spans="1:20" ht="321">
      <c r="A1079" s="3">
        <v>2735214</v>
      </c>
      <c r="B1079" s="3">
        <f>HYPERLINK("https://platform.v2.vetology.net/cases/2735214/screening-report/6?type=pdf&amp;v=v6&amp;scorecard=1&amp;secret_key=BX%25IJ%24%2F65ieZ%29f6", 2735214)</f>
        <v>2735214</v>
      </c>
      <c r="C1079" s="3">
        <f>HYPERLINK("https://platform.v2.vetology.net/report/v/final/"&amp;2735214, 2735214)</f>
        <v>2735214</v>
      </c>
      <c r="D1079" s="3" t="s">
        <v>4047</v>
      </c>
      <c r="E1079" s="3" t="s">
        <v>4048</v>
      </c>
      <c r="F1079" s="3" t="s">
        <v>22</v>
      </c>
      <c r="G1079" s="3" t="s">
        <v>23</v>
      </c>
      <c r="H1079" s="3" t="s">
        <v>295</v>
      </c>
      <c r="I1079" s="3" t="s">
        <v>32</v>
      </c>
      <c r="J1079" s="3" t="s">
        <v>33</v>
      </c>
      <c r="K1079" s="3" t="s">
        <v>28</v>
      </c>
      <c r="L1079" s="3" t="s">
        <v>28</v>
      </c>
      <c r="M1079" s="3" t="s">
        <v>28</v>
      </c>
      <c r="N1079" s="3" t="s">
        <v>28</v>
      </c>
      <c r="O1079" s="3" t="s">
        <v>28</v>
      </c>
      <c r="P1079" s="3" t="s">
        <v>28</v>
      </c>
      <c r="Q1079" s="3" t="s">
        <v>28</v>
      </c>
      <c r="R1079" s="3" t="s">
        <v>28</v>
      </c>
      <c r="S1079" s="3" t="s">
        <v>27</v>
      </c>
      <c r="T1079" s="3" t="s">
        <v>28</v>
      </c>
    </row>
    <row r="1080" spans="1:20" ht="351">
      <c r="A1080" s="3">
        <v>2735211</v>
      </c>
      <c r="B1080" s="3">
        <f>HYPERLINK("https://platform.v2.vetology.net/cases/2735211/screening-report/6?type=pdf&amp;v=v6&amp;scorecard=1&amp;secret_key=BX%25IJ%24%2F65ieZ%29f6", 2735211)</f>
        <v>2735211</v>
      </c>
      <c r="C1080" s="3">
        <f>HYPERLINK("https://platform.v2.vetology.net/report/v/final/"&amp;2735211, 2735211)</f>
        <v>2735211</v>
      </c>
      <c r="D1080" s="3" t="s">
        <v>4049</v>
      </c>
      <c r="E1080" s="3" t="s">
        <v>4050</v>
      </c>
      <c r="F1080" s="3" t="s">
        <v>4051</v>
      </c>
      <c r="G1080" s="3" t="s">
        <v>122</v>
      </c>
      <c r="H1080" s="3" t="s">
        <v>1338</v>
      </c>
      <c r="I1080" s="3" t="s">
        <v>4052</v>
      </c>
      <c r="J1080" s="3" t="s">
        <v>4053</v>
      </c>
      <c r="K1080" s="3" t="s">
        <v>28</v>
      </c>
      <c r="L1080" s="3" t="s">
        <v>28</v>
      </c>
      <c r="M1080" s="3" t="s">
        <v>27</v>
      </c>
      <c r="N1080" s="3" t="s">
        <v>28</v>
      </c>
      <c r="O1080" s="3" t="s">
        <v>27</v>
      </c>
      <c r="P1080" s="3" t="s">
        <v>28</v>
      </c>
      <c r="Q1080" s="3" t="s">
        <v>27</v>
      </c>
      <c r="R1080" s="3" t="s">
        <v>28</v>
      </c>
      <c r="S1080" s="3" t="s">
        <v>27</v>
      </c>
      <c r="T1080" s="3" t="s">
        <v>28</v>
      </c>
    </row>
    <row r="1081" spans="1:20" ht="409.6">
      <c r="A1081" s="3">
        <v>2735209</v>
      </c>
      <c r="B1081" s="3">
        <f>HYPERLINK("https://platform.v2.vetology.net/cases/2735209/screening-report/6?type=pdf&amp;v=v6&amp;scorecard=1&amp;secret_key=BX%25IJ%24%2F65ieZ%29f6", 2735209)</f>
        <v>2735209</v>
      </c>
      <c r="C1081" s="3">
        <f>HYPERLINK("https://platform.v2.vetology.net/report/v/final/"&amp;2735209, 2735209)</f>
        <v>2735209</v>
      </c>
      <c r="D1081" s="3" t="s">
        <v>4054</v>
      </c>
      <c r="E1081" s="3" t="s">
        <v>4055</v>
      </c>
      <c r="F1081" s="3" t="s">
        <v>4056</v>
      </c>
      <c r="G1081" s="3" t="s">
        <v>64</v>
      </c>
      <c r="H1081" s="3" t="s">
        <v>4057</v>
      </c>
      <c r="I1081" s="3" t="s">
        <v>172</v>
      </c>
      <c r="J1081" s="3" t="s">
        <v>109</v>
      </c>
      <c r="K1081" s="3" t="s">
        <v>27</v>
      </c>
      <c r="L1081" s="3" t="s">
        <v>27</v>
      </c>
      <c r="M1081" s="3" t="s">
        <v>28</v>
      </c>
      <c r="N1081" s="3" t="s">
        <v>27</v>
      </c>
      <c r="O1081" s="3" t="s">
        <v>27</v>
      </c>
      <c r="P1081" s="3" t="s">
        <v>28</v>
      </c>
      <c r="Q1081" s="3" t="s">
        <v>28</v>
      </c>
      <c r="R1081" s="3" t="s">
        <v>27</v>
      </c>
      <c r="S1081" s="3" t="s">
        <v>27</v>
      </c>
      <c r="T1081" s="3" t="s">
        <v>27</v>
      </c>
    </row>
    <row r="1082" spans="1:20" ht="409.6">
      <c r="A1082" s="3">
        <v>2735194</v>
      </c>
      <c r="B1082" s="3">
        <f>HYPERLINK("https://platform.v2.vetology.net/cases/2735194/screening-report/6?type=pdf&amp;v=v6&amp;scorecard=1&amp;secret_key=BX%25IJ%24%2F65ieZ%29f6", 2735194)</f>
        <v>2735194</v>
      </c>
      <c r="C1082" s="3">
        <f>HYPERLINK("https://platform.v2.vetology.net/report/v/final/"&amp;2735194, 2735194)</f>
        <v>2735194</v>
      </c>
      <c r="D1082" s="3" t="s">
        <v>4058</v>
      </c>
      <c r="E1082" s="3" t="s">
        <v>4059</v>
      </c>
      <c r="F1082" s="3" t="s">
        <v>3245</v>
      </c>
      <c r="G1082" s="3" t="s">
        <v>57</v>
      </c>
      <c r="H1082" s="3" t="s">
        <v>519</v>
      </c>
      <c r="I1082" s="3" t="s">
        <v>520</v>
      </c>
      <c r="J1082" s="3" t="s">
        <v>335</v>
      </c>
      <c r="K1082" s="3" t="s">
        <v>28</v>
      </c>
      <c r="L1082" s="3" t="s">
        <v>28</v>
      </c>
      <c r="M1082" s="3" t="s">
        <v>28</v>
      </c>
      <c r="N1082" s="3" t="s">
        <v>28</v>
      </c>
      <c r="O1082" s="3" t="s">
        <v>27</v>
      </c>
      <c r="P1082" s="3" t="s">
        <v>28</v>
      </c>
      <c r="Q1082" s="3" t="s">
        <v>28</v>
      </c>
      <c r="R1082" s="3" t="s">
        <v>28</v>
      </c>
      <c r="S1082" s="3" t="s">
        <v>28</v>
      </c>
      <c r="T1082" s="3" t="s">
        <v>28</v>
      </c>
    </row>
    <row r="1083" spans="1:20" ht="290.25">
      <c r="A1083" s="3">
        <v>2735147</v>
      </c>
      <c r="B1083" s="3">
        <f>HYPERLINK("https://platform.v2.vetology.net/cases/2735147/screening-report/6?type=pdf&amp;v=v6&amp;scorecard=1&amp;secret_key=BX%25IJ%24%2F65ieZ%29f6", 2735147)</f>
        <v>2735147</v>
      </c>
      <c r="C1083" s="3">
        <f>HYPERLINK("https://platform.v2.vetology.net/report/v/final/"&amp;2735147, 2735147)</f>
        <v>2735147</v>
      </c>
      <c r="D1083" s="3" t="s">
        <v>4060</v>
      </c>
      <c r="E1083" s="3" t="s">
        <v>4061</v>
      </c>
      <c r="F1083" s="3" t="s">
        <v>22</v>
      </c>
      <c r="G1083" s="3" t="s">
        <v>100</v>
      </c>
      <c r="H1083" s="3" t="s">
        <v>419</v>
      </c>
      <c r="I1083" s="3" t="s">
        <v>316</v>
      </c>
      <c r="J1083" s="3" t="s">
        <v>317</v>
      </c>
      <c r="K1083" s="3" t="s">
        <v>27</v>
      </c>
      <c r="L1083" s="3" t="s">
        <v>28</v>
      </c>
      <c r="M1083" s="3" t="s">
        <v>28</v>
      </c>
      <c r="N1083" s="3" t="s">
        <v>28</v>
      </c>
      <c r="O1083" s="3" t="s">
        <v>27</v>
      </c>
      <c r="P1083" s="3" t="s">
        <v>28</v>
      </c>
      <c r="Q1083" s="3" t="s">
        <v>28</v>
      </c>
      <c r="R1083" s="3" t="s">
        <v>28</v>
      </c>
      <c r="S1083" s="3" t="s">
        <v>28</v>
      </c>
      <c r="T1083" s="3" t="s">
        <v>28</v>
      </c>
    </row>
    <row r="1084" spans="1:20" ht="396.75">
      <c r="A1084" s="3">
        <v>2735116</v>
      </c>
      <c r="B1084" s="3">
        <f>HYPERLINK("https://platform.v2.vetology.net/cases/2735116/screening-report/6?type=pdf&amp;v=v6&amp;scorecard=1&amp;secret_key=BX%25IJ%24%2F65ieZ%29f6", 2735116)</f>
        <v>2735116</v>
      </c>
      <c r="C1084" s="3">
        <f>HYPERLINK("https://platform.v2.vetology.net/report/v/final/"&amp;2735116, 2735116)</f>
        <v>2735116</v>
      </c>
      <c r="D1084" s="3" t="s">
        <v>4062</v>
      </c>
      <c r="E1084" s="3" t="s">
        <v>4063</v>
      </c>
      <c r="F1084" s="3"/>
      <c r="G1084" s="3" t="s">
        <v>100</v>
      </c>
      <c r="H1084" s="3" t="s">
        <v>2320</v>
      </c>
      <c r="I1084" s="3" t="s">
        <v>816</v>
      </c>
      <c r="J1084" s="3" t="s">
        <v>817</v>
      </c>
      <c r="K1084" s="3" t="s">
        <v>28</v>
      </c>
      <c r="L1084" s="3" t="s">
        <v>27</v>
      </c>
      <c r="M1084" s="3" t="s">
        <v>28</v>
      </c>
      <c r="N1084" s="3" t="s">
        <v>27</v>
      </c>
      <c r="O1084" s="3" t="s">
        <v>27</v>
      </c>
      <c r="P1084" s="3" t="s">
        <v>28</v>
      </c>
      <c r="Q1084" s="3" t="s">
        <v>27</v>
      </c>
      <c r="R1084" s="3" t="s">
        <v>27</v>
      </c>
      <c r="S1084" s="3" t="s">
        <v>27</v>
      </c>
      <c r="T1084" s="3" t="s">
        <v>28</v>
      </c>
    </row>
    <row r="1085" spans="1:20" ht="381.75">
      <c r="A1085" s="3">
        <v>2735029</v>
      </c>
      <c r="B1085" s="3">
        <f>HYPERLINK("https://platform.v2.vetology.net/cases/2735029/screening-report/6?type=pdf&amp;v=v6&amp;scorecard=1&amp;secret_key=BX%25IJ%24%2F65ieZ%29f6", 2735029)</f>
        <v>2735029</v>
      </c>
      <c r="C1085" s="3">
        <f>HYPERLINK("https://platform.v2.vetology.net/report/v/final/"&amp;2735029, 2735029)</f>
        <v>2735029</v>
      </c>
      <c r="D1085" s="3" t="s">
        <v>4064</v>
      </c>
      <c r="E1085" s="3" t="s">
        <v>4065</v>
      </c>
      <c r="F1085" s="3" t="s">
        <v>277</v>
      </c>
      <c r="G1085" s="3" t="s">
        <v>186</v>
      </c>
      <c r="H1085" s="3" t="s">
        <v>4066</v>
      </c>
      <c r="I1085" s="3" t="s">
        <v>279</v>
      </c>
      <c r="J1085" s="3" t="s">
        <v>280</v>
      </c>
      <c r="K1085" s="3" t="s">
        <v>28</v>
      </c>
      <c r="L1085" s="3" t="s">
        <v>28</v>
      </c>
      <c r="M1085" s="3" t="s">
        <v>28</v>
      </c>
      <c r="N1085" s="3" t="s">
        <v>28</v>
      </c>
      <c r="O1085" s="3" t="s">
        <v>28</v>
      </c>
      <c r="P1085" s="3" t="s">
        <v>28</v>
      </c>
      <c r="Q1085" s="3" t="s">
        <v>28</v>
      </c>
      <c r="R1085" s="3" t="s">
        <v>28</v>
      </c>
      <c r="S1085" s="3" t="s">
        <v>28</v>
      </c>
      <c r="T1085" s="3" t="s">
        <v>27</v>
      </c>
    </row>
    <row r="1086" spans="1:20" ht="396.75">
      <c r="A1086" s="3">
        <v>2735025</v>
      </c>
      <c r="B1086" s="3">
        <f>HYPERLINK("https://platform.v2.vetology.net/cases/2735025/screening-report/6?type=pdf&amp;v=v6&amp;scorecard=1&amp;secret_key=BX%25IJ%24%2F65ieZ%29f6", 2735025)</f>
        <v>2735025</v>
      </c>
      <c r="C1086" s="3">
        <f>HYPERLINK("https://platform.v2.vetology.net/report/v/final/"&amp;2735025, 2735025)</f>
        <v>2735025</v>
      </c>
      <c r="D1086" s="3" t="s">
        <v>4067</v>
      </c>
      <c r="E1086" s="3" t="s">
        <v>4068</v>
      </c>
      <c r="F1086" s="3" t="s">
        <v>22</v>
      </c>
      <c r="G1086" s="3" t="s">
        <v>23</v>
      </c>
      <c r="H1086" s="3" t="s">
        <v>4069</v>
      </c>
      <c r="I1086" s="3" t="s">
        <v>37</v>
      </c>
      <c r="J1086" s="3" t="s">
        <v>38</v>
      </c>
      <c r="K1086" s="3" t="s">
        <v>27</v>
      </c>
      <c r="L1086" s="3" t="s">
        <v>28</v>
      </c>
      <c r="M1086" s="3" t="s">
        <v>28</v>
      </c>
      <c r="N1086" s="3" t="s">
        <v>28</v>
      </c>
      <c r="O1086" s="3" t="s">
        <v>27</v>
      </c>
      <c r="P1086" s="3" t="s">
        <v>28</v>
      </c>
      <c r="Q1086" s="3" t="s">
        <v>28</v>
      </c>
      <c r="R1086" s="3" t="s">
        <v>28</v>
      </c>
      <c r="S1086" s="3" t="s">
        <v>28</v>
      </c>
      <c r="T1086" s="3" t="s">
        <v>28</v>
      </c>
    </row>
    <row r="1087" spans="1:20" ht="409.6">
      <c r="A1087" s="3">
        <v>2734966</v>
      </c>
      <c r="B1087" s="3">
        <f>HYPERLINK("https://platform.v2.vetology.net/cases/2734966/screening-report/6?type=pdf&amp;v=v6&amp;scorecard=1&amp;secret_key=BX%25IJ%24%2F65ieZ%29f6", 2734966)</f>
        <v>2734966</v>
      </c>
      <c r="C1087" s="3">
        <f>HYPERLINK("https://platform.v2.vetology.net/report/v/final/"&amp;2734966, 2734966)</f>
        <v>2734966</v>
      </c>
      <c r="D1087" s="3" t="s">
        <v>4070</v>
      </c>
      <c r="E1087" s="3" t="s">
        <v>4071</v>
      </c>
      <c r="F1087" s="3" t="s">
        <v>22</v>
      </c>
      <c r="G1087" s="3" t="s">
        <v>23</v>
      </c>
      <c r="H1087" s="3" t="s">
        <v>135</v>
      </c>
      <c r="I1087" s="3" t="s">
        <v>136</v>
      </c>
      <c r="J1087" s="3" t="s">
        <v>424</v>
      </c>
      <c r="K1087" s="3" t="s">
        <v>28</v>
      </c>
      <c r="L1087" s="3" t="s">
        <v>28</v>
      </c>
      <c r="M1087" s="3" t="s">
        <v>28</v>
      </c>
      <c r="N1087" s="3" t="s">
        <v>28</v>
      </c>
      <c r="O1087" s="3" t="s">
        <v>27</v>
      </c>
      <c r="P1087" s="3" t="s">
        <v>28</v>
      </c>
      <c r="Q1087" s="3" t="s">
        <v>28</v>
      </c>
      <c r="R1087" s="3" t="s">
        <v>28</v>
      </c>
      <c r="S1087" s="3" t="s">
        <v>28</v>
      </c>
      <c r="T1087" s="3" t="s">
        <v>27</v>
      </c>
    </row>
    <row r="1088" spans="1:20" ht="409.6">
      <c r="A1088" s="3">
        <v>2734863</v>
      </c>
      <c r="B1088" s="3">
        <f>HYPERLINK("https://platform.v2.vetology.net/cases/2734863/screening-report/6?type=pdf&amp;v=v6&amp;scorecard=1&amp;secret_key=BX%25IJ%24%2F65ieZ%29f6", 2734863)</f>
        <v>2734863</v>
      </c>
      <c r="C1088" s="3">
        <f>HYPERLINK("https://platform.v2.vetology.net/report/v/final/"&amp;2734863, 2734863)</f>
        <v>2734863</v>
      </c>
      <c r="D1088" s="3" t="s">
        <v>4072</v>
      </c>
      <c r="E1088" s="3" t="s">
        <v>4073</v>
      </c>
      <c r="F1088" s="3" t="s">
        <v>22</v>
      </c>
      <c r="G1088" s="3" t="s">
        <v>23</v>
      </c>
      <c r="H1088" s="3" t="s">
        <v>4074</v>
      </c>
      <c r="I1088" s="3" t="s">
        <v>2771</v>
      </c>
      <c r="J1088" s="3" t="s">
        <v>2772</v>
      </c>
      <c r="K1088" s="3" t="s">
        <v>28</v>
      </c>
      <c r="L1088" s="3" t="s">
        <v>28</v>
      </c>
      <c r="M1088" s="3" t="s">
        <v>28</v>
      </c>
      <c r="N1088" s="3" t="s">
        <v>27</v>
      </c>
      <c r="O1088" s="3" t="s">
        <v>28</v>
      </c>
      <c r="P1088" s="3" t="s">
        <v>28</v>
      </c>
      <c r="Q1088" s="3" t="s">
        <v>28</v>
      </c>
      <c r="R1088" s="3" t="s">
        <v>27</v>
      </c>
      <c r="S1088" s="3" t="s">
        <v>27</v>
      </c>
      <c r="T1088" s="3" t="s">
        <v>27</v>
      </c>
    </row>
    <row r="1089" spans="1:20" ht="305.25">
      <c r="A1089" s="3">
        <v>2734843</v>
      </c>
      <c r="B1089" s="3">
        <f>HYPERLINK("https://platform.v2.vetology.net/cases/2734843/screening-report/6?type=pdf&amp;v=v6&amp;scorecard=1&amp;secret_key=BX%25IJ%24%2F65ieZ%29f6", 2734843)</f>
        <v>2734843</v>
      </c>
      <c r="C1089" s="3">
        <f>HYPERLINK("https://platform.v2.vetology.net/report/v/final/"&amp;2734843, 2734843)</f>
        <v>2734843</v>
      </c>
      <c r="D1089" s="3" t="s">
        <v>4075</v>
      </c>
      <c r="E1089" s="3" t="s">
        <v>4076</v>
      </c>
      <c r="F1089" s="3" t="s">
        <v>4077</v>
      </c>
      <c r="G1089" s="3" t="s">
        <v>186</v>
      </c>
      <c r="H1089" s="3" t="s">
        <v>601</v>
      </c>
      <c r="I1089" s="3" t="s">
        <v>32</v>
      </c>
      <c r="J1089" s="3" t="s">
        <v>33</v>
      </c>
      <c r="K1089" s="3" t="s">
        <v>27</v>
      </c>
      <c r="L1089" s="3" t="s">
        <v>28</v>
      </c>
      <c r="M1089" s="3" t="s">
        <v>28</v>
      </c>
      <c r="N1089" s="3" t="s">
        <v>28</v>
      </c>
      <c r="O1089" s="3" t="s">
        <v>28</v>
      </c>
      <c r="P1089" s="3" t="s">
        <v>28</v>
      </c>
      <c r="Q1089" s="3" t="s">
        <v>28</v>
      </c>
      <c r="R1089" s="3" t="s">
        <v>28</v>
      </c>
      <c r="S1089" s="3" t="s">
        <v>28</v>
      </c>
      <c r="T1089" s="3" t="s">
        <v>28</v>
      </c>
    </row>
    <row r="1090" spans="1:20" ht="366">
      <c r="A1090" s="3">
        <v>2734828</v>
      </c>
      <c r="B1090" s="3">
        <f>HYPERLINK("https://platform.v2.vetology.net/cases/2734828/screening-report/6?type=pdf&amp;v=v6&amp;scorecard=1&amp;secret_key=BX%25IJ%24%2F65ieZ%29f6", 2734828)</f>
        <v>2734828</v>
      </c>
      <c r="C1090" s="3">
        <f>HYPERLINK("https://platform.v2.vetology.net/report/v/final/"&amp;2734828, 2734828)</f>
        <v>2734828</v>
      </c>
      <c r="D1090" s="3" t="s">
        <v>4078</v>
      </c>
      <c r="E1090" s="3" t="s">
        <v>4079</v>
      </c>
      <c r="F1090" s="3" t="s">
        <v>4080</v>
      </c>
      <c r="G1090" s="3" t="s">
        <v>186</v>
      </c>
      <c r="H1090" s="3" t="s">
        <v>1808</v>
      </c>
      <c r="I1090" s="3" t="s">
        <v>1809</v>
      </c>
      <c r="J1090" s="3" t="s">
        <v>1810</v>
      </c>
      <c r="K1090" s="3" t="s">
        <v>28</v>
      </c>
      <c r="L1090" s="3" t="s">
        <v>28</v>
      </c>
      <c r="M1090" s="3" t="s">
        <v>28</v>
      </c>
      <c r="N1090" s="3" t="s">
        <v>28</v>
      </c>
      <c r="O1090" s="3" t="s">
        <v>27</v>
      </c>
      <c r="P1090" s="3" t="s">
        <v>28</v>
      </c>
      <c r="Q1090" s="3" t="s">
        <v>27</v>
      </c>
      <c r="R1090" s="3" t="s">
        <v>28</v>
      </c>
      <c r="S1090" s="3" t="s">
        <v>28</v>
      </c>
      <c r="T1090" s="3" t="s">
        <v>28</v>
      </c>
    </row>
    <row r="1091" spans="1:20" ht="229.5">
      <c r="A1091" s="3">
        <v>2734819</v>
      </c>
      <c r="B1091" s="3">
        <f>HYPERLINK("https://platform.v2.vetology.net/cases/2734819/screening-report/6?type=pdf&amp;v=v6&amp;scorecard=1&amp;secret_key=BX%25IJ%24%2F65ieZ%29f6", 2734819)</f>
        <v>2734819</v>
      </c>
      <c r="C1091" s="3">
        <f>HYPERLINK("https://platform.v2.vetology.net/report/v/final/"&amp;2734819, 2734819)</f>
        <v>2734819</v>
      </c>
      <c r="D1091" s="3" t="s">
        <v>4081</v>
      </c>
      <c r="E1091" s="3" t="s">
        <v>4082</v>
      </c>
      <c r="F1091" s="3"/>
      <c r="G1091" s="3" t="s">
        <v>122</v>
      </c>
      <c r="H1091" s="3" t="s">
        <v>601</v>
      </c>
      <c r="I1091" s="3" t="s">
        <v>32</v>
      </c>
      <c r="J1091" s="3" t="s">
        <v>847</v>
      </c>
      <c r="K1091" s="3" t="s">
        <v>27</v>
      </c>
      <c r="L1091" s="3" t="s">
        <v>28</v>
      </c>
      <c r="M1091" s="3" t="s">
        <v>28</v>
      </c>
      <c r="N1091" s="3" t="s">
        <v>27</v>
      </c>
      <c r="O1091" s="3" t="s">
        <v>27</v>
      </c>
      <c r="P1091" s="3" t="s">
        <v>28</v>
      </c>
      <c r="Q1091" s="3" t="s">
        <v>28</v>
      </c>
      <c r="R1091" s="3" t="s">
        <v>28</v>
      </c>
      <c r="S1091" s="3" t="s">
        <v>28</v>
      </c>
      <c r="T1091" s="3" t="s">
        <v>27</v>
      </c>
    </row>
    <row r="1092" spans="1:20" ht="396.75">
      <c r="A1092" s="3">
        <v>2734742</v>
      </c>
      <c r="B1092" s="3">
        <f>HYPERLINK("https://platform.v2.vetology.net/cases/2734742/screening-report/6?type=pdf&amp;v=v6&amp;scorecard=1&amp;secret_key=BX%25IJ%24%2F65ieZ%29f6", 2734742)</f>
        <v>2734742</v>
      </c>
      <c r="C1092" s="3">
        <f>HYPERLINK("https://platform.v2.vetology.net/report/v/final/"&amp;2734742, 2734742)</f>
        <v>2734742</v>
      </c>
      <c r="D1092" s="3" t="s">
        <v>4083</v>
      </c>
      <c r="E1092" s="3" t="s">
        <v>4084</v>
      </c>
      <c r="F1092" s="3" t="s">
        <v>4085</v>
      </c>
      <c r="G1092" s="3" t="s">
        <v>186</v>
      </c>
      <c r="H1092" s="3" t="s">
        <v>350</v>
      </c>
      <c r="I1092" s="3" t="s">
        <v>351</v>
      </c>
      <c r="J1092" s="3" t="s">
        <v>352</v>
      </c>
      <c r="K1092" s="3" t="s">
        <v>28</v>
      </c>
      <c r="L1092" s="3" t="s">
        <v>28</v>
      </c>
      <c r="M1092" s="3" t="s">
        <v>28</v>
      </c>
      <c r="N1092" s="3" t="s">
        <v>28</v>
      </c>
      <c r="O1092" s="3" t="s">
        <v>28</v>
      </c>
      <c r="P1092" s="3" t="s">
        <v>28</v>
      </c>
      <c r="Q1092" s="3" t="s">
        <v>28</v>
      </c>
      <c r="R1092" s="3" t="s">
        <v>28</v>
      </c>
      <c r="S1092" s="3" t="s">
        <v>28</v>
      </c>
      <c r="T1092" s="3" t="s">
        <v>27</v>
      </c>
    </row>
    <row r="1093" spans="1:20" ht="366">
      <c r="A1093" s="3">
        <v>2734696</v>
      </c>
      <c r="B1093" s="3">
        <f>HYPERLINK("https://platform.v2.vetology.net/cases/2734696/screening-report/6?type=pdf&amp;v=v6&amp;scorecard=1&amp;secret_key=BX%25IJ%24%2F65ieZ%29f6", 2734696)</f>
        <v>2734696</v>
      </c>
      <c r="C1093" s="3">
        <f>HYPERLINK("https://platform.v2.vetology.net/report/v/final/"&amp;2734696, 2734696)</f>
        <v>2734696</v>
      </c>
      <c r="D1093" s="3" t="s">
        <v>4086</v>
      </c>
      <c r="E1093" s="3" t="s">
        <v>4087</v>
      </c>
      <c r="F1093" s="3" t="s">
        <v>22</v>
      </c>
      <c r="G1093" s="3" t="s">
        <v>23</v>
      </c>
      <c r="H1093" s="3" t="s">
        <v>824</v>
      </c>
      <c r="I1093" s="3" t="s">
        <v>200</v>
      </c>
      <c r="J1093" s="3" t="s">
        <v>219</v>
      </c>
      <c r="K1093" s="3" t="s">
        <v>28</v>
      </c>
      <c r="L1093" s="3" t="s">
        <v>28</v>
      </c>
      <c r="M1093" s="3" t="s">
        <v>28</v>
      </c>
      <c r="N1093" s="3" t="s">
        <v>28</v>
      </c>
      <c r="O1093" s="3" t="s">
        <v>27</v>
      </c>
      <c r="P1093" s="3" t="s">
        <v>28</v>
      </c>
      <c r="Q1093" s="3" t="s">
        <v>28</v>
      </c>
      <c r="R1093" s="3" t="s">
        <v>28</v>
      </c>
      <c r="S1093" s="3" t="s">
        <v>28</v>
      </c>
      <c r="T1093" s="3" t="s">
        <v>28</v>
      </c>
    </row>
    <row r="1094" spans="1:20" ht="409.6">
      <c r="A1094" s="3">
        <v>2734689</v>
      </c>
      <c r="B1094" s="3">
        <f>HYPERLINK("https://platform.v2.vetology.net/cases/2734689/screening-report/6?type=pdf&amp;v=v6&amp;scorecard=1&amp;secret_key=BX%25IJ%24%2F65ieZ%29f6", 2734689)</f>
        <v>2734689</v>
      </c>
      <c r="C1094" s="3">
        <f>HYPERLINK("https://platform.v2.vetology.net/report/v/final/"&amp;2734689, 2734689)</f>
        <v>2734689</v>
      </c>
      <c r="D1094" s="3" t="s">
        <v>4088</v>
      </c>
      <c r="E1094" s="3" t="s">
        <v>4089</v>
      </c>
      <c r="F1094" s="3" t="s">
        <v>4090</v>
      </c>
      <c r="G1094" s="3" t="s">
        <v>186</v>
      </c>
      <c r="H1094" s="3" t="s">
        <v>4091</v>
      </c>
      <c r="I1094" s="3" t="s">
        <v>1417</v>
      </c>
      <c r="J1094" s="3" t="s">
        <v>1418</v>
      </c>
      <c r="K1094" s="3" t="s">
        <v>28</v>
      </c>
      <c r="L1094" s="3" t="s">
        <v>28</v>
      </c>
      <c r="M1094" s="3" t="s">
        <v>27</v>
      </c>
      <c r="N1094" s="3" t="s">
        <v>28</v>
      </c>
      <c r="O1094" s="3" t="s">
        <v>27</v>
      </c>
      <c r="P1094" s="3" t="s">
        <v>27</v>
      </c>
      <c r="Q1094" s="3" t="s">
        <v>27</v>
      </c>
      <c r="R1094" s="3" t="s">
        <v>28</v>
      </c>
      <c r="S1094" s="3" t="s">
        <v>28</v>
      </c>
      <c r="T1094" s="3" t="s">
        <v>28</v>
      </c>
    </row>
    <row r="1095" spans="1:20" ht="366">
      <c r="A1095" s="3">
        <v>2734686</v>
      </c>
      <c r="B1095" s="3">
        <f>HYPERLINK("https://platform.v2.vetology.net/cases/2734686/screening-report/6?type=pdf&amp;v=v6&amp;scorecard=1&amp;secret_key=BX%25IJ%24%2F65ieZ%29f6", 2734686)</f>
        <v>2734686</v>
      </c>
      <c r="C1095" s="3">
        <f>HYPERLINK("https://platform.v2.vetology.net/report/v/final/"&amp;2734686, 2734686)</f>
        <v>2734686</v>
      </c>
      <c r="D1095" s="3" t="s">
        <v>4092</v>
      </c>
      <c r="E1095" s="3" t="s">
        <v>4093</v>
      </c>
      <c r="F1095" s="3" t="s">
        <v>4094</v>
      </c>
      <c r="G1095" s="3" t="s">
        <v>186</v>
      </c>
      <c r="H1095" s="3" t="s">
        <v>4095</v>
      </c>
      <c r="I1095" s="3" t="s">
        <v>1034</v>
      </c>
      <c r="J1095" s="3" t="s">
        <v>1035</v>
      </c>
      <c r="K1095" s="3" t="s">
        <v>28</v>
      </c>
      <c r="L1095" s="3" t="s">
        <v>28</v>
      </c>
      <c r="M1095" s="3" t="s">
        <v>28</v>
      </c>
      <c r="N1095" s="3" t="s">
        <v>27</v>
      </c>
      <c r="O1095" s="3" t="s">
        <v>28</v>
      </c>
      <c r="P1095" s="3" t="s">
        <v>28</v>
      </c>
      <c r="Q1095" s="3" t="s">
        <v>28</v>
      </c>
      <c r="R1095" s="3" t="s">
        <v>28</v>
      </c>
      <c r="S1095" s="3" t="s">
        <v>28</v>
      </c>
      <c r="T1095" s="3" t="s">
        <v>27</v>
      </c>
    </row>
    <row r="1096" spans="1:20" ht="409.6">
      <c r="A1096" s="3">
        <v>2734673</v>
      </c>
      <c r="B1096" s="3">
        <f>HYPERLINK("https://platform.v2.vetology.net/cases/2734673/screening-report/6?type=pdf&amp;v=v6&amp;scorecard=1&amp;secret_key=BX%25IJ%24%2F65ieZ%29f6", 2734673)</f>
        <v>2734673</v>
      </c>
      <c r="C1096" s="3">
        <f>HYPERLINK("https://platform.v2.vetology.net/report/v/final/"&amp;2734673, 2734673)</f>
        <v>2734673</v>
      </c>
      <c r="D1096" s="3" t="s">
        <v>4096</v>
      </c>
      <c r="E1096" s="3" t="s">
        <v>4097</v>
      </c>
      <c r="F1096" s="3" t="s">
        <v>3245</v>
      </c>
      <c r="G1096" s="3" t="s">
        <v>57</v>
      </c>
      <c r="H1096" s="3" t="s">
        <v>4098</v>
      </c>
      <c r="I1096" s="3" t="s">
        <v>4099</v>
      </c>
      <c r="J1096" s="3" t="s">
        <v>4100</v>
      </c>
      <c r="K1096" s="3" t="s">
        <v>27</v>
      </c>
      <c r="L1096" s="3" t="s">
        <v>28</v>
      </c>
      <c r="M1096" s="3" t="s">
        <v>27</v>
      </c>
      <c r="N1096" s="3" t="s">
        <v>28</v>
      </c>
      <c r="O1096" s="3" t="s">
        <v>27</v>
      </c>
      <c r="P1096" s="3" t="s">
        <v>28</v>
      </c>
      <c r="Q1096" s="3" t="s">
        <v>27</v>
      </c>
      <c r="R1096" s="3" t="s">
        <v>28</v>
      </c>
      <c r="S1096" s="3" t="s">
        <v>28</v>
      </c>
      <c r="T1096" s="3" t="s">
        <v>28</v>
      </c>
    </row>
    <row r="1097" spans="1:20" ht="396.75">
      <c r="A1097" s="3">
        <v>2734632</v>
      </c>
      <c r="B1097" s="3">
        <f>HYPERLINK("https://platform.v2.vetology.net/cases/2734632/screening-report/6?type=pdf&amp;v=v6&amp;scorecard=1&amp;secret_key=BX%25IJ%24%2F65ieZ%29f6", 2734632)</f>
        <v>2734632</v>
      </c>
      <c r="C1097" s="3">
        <f>HYPERLINK("https://platform.v2.vetology.net/report/v/final/"&amp;2734632, 2734632)</f>
        <v>2734632</v>
      </c>
      <c r="D1097" s="3" t="s">
        <v>4101</v>
      </c>
      <c r="E1097" s="3" t="s">
        <v>4102</v>
      </c>
      <c r="F1097" s="3" t="s">
        <v>22</v>
      </c>
      <c r="G1097" s="3" t="s">
        <v>100</v>
      </c>
      <c r="H1097" s="3" t="s">
        <v>350</v>
      </c>
      <c r="I1097" s="3" t="s">
        <v>351</v>
      </c>
      <c r="J1097" s="3" t="s">
        <v>352</v>
      </c>
      <c r="K1097" s="3" t="s">
        <v>28</v>
      </c>
      <c r="L1097" s="3" t="s">
        <v>28</v>
      </c>
      <c r="M1097" s="3" t="s">
        <v>28</v>
      </c>
      <c r="N1097" s="3" t="s">
        <v>28</v>
      </c>
      <c r="O1097" s="3" t="s">
        <v>28</v>
      </c>
      <c r="P1097" s="3" t="s">
        <v>28</v>
      </c>
      <c r="Q1097" s="3" t="s">
        <v>28</v>
      </c>
      <c r="R1097" s="3" t="s">
        <v>28</v>
      </c>
      <c r="S1097" s="3" t="s">
        <v>28</v>
      </c>
      <c r="T1097" s="3" t="s">
        <v>27</v>
      </c>
    </row>
    <row r="1098" spans="1:20" ht="213">
      <c r="A1098" s="3">
        <v>2734584</v>
      </c>
      <c r="B1098" s="3">
        <f>HYPERLINK("https://platform.v2.vetology.net/cases/2734584/screening-report/6?type=pdf&amp;v=v6&amp;scorecard=1&amp;secret_key=BX%25IJ%24%2F65ieZ%29f6", 2734584)</f>
        <v>2734584</v>
      </c>
      <c r="C1098" s="3">
        <f>HYPERLINK("https://platform.v2.vetology.net/report/v/final/"&amp;2734584, 2734584)</f>
        <v>2734584</v>
      </c>
      <c r="D1098" s="3" t="s">
        <v>4103</v>
      </c>
      <c r="E1098" s="3" t="s">
        <v>2530</v>
      </c>
      <c r="F1098" s="3" t="s">
        <v>22</v>
      </c>
      <c r="G1098" s="3" t="s">
        <v>100</v>
      </c>
      <c r="H1098" s="3" t="s">
        <v>223</v>
      </c>
      <c r="I1098" s="3" t="s">
        <v>1330</v>
      </c>
      <c r="J1098" s="3" t="s">
        <v>1331</v>
      </c>
      <c r="K1098" s="3" t="s">
        <v>28</v>
      </c>
      <c r="L1098" s="3" t="s">
        <v>28</v>
      </c>
      <c r="M1098" s="3" t="s">
        <v>28</v>
      </c>
      <c r="N1098" s="3" t="s">
        <v>27</v>
      </c>
      <c r="O1098" s="3" t="s">
        <v>27</v>
      </c>
      <c r="P1098" s="3" t="s">
        <v>28</v>
      </c>
      <c r="Q1098" s="3" t="s">
        <v>28</v>
      </c>
      <c r="R1098" s="3" t="s">
        <v>28</v>
      </c>
      <c r="S1098" s="3" t="s">
        <v>27</v>
      </c>
      <c r="T1098" s="3" t="s">
        <v>27</v>
      </c>
    </row>
    <row r="1099" spans="1:20" ht="275.25">
      <c r="A1099" s="3">
        <v>2734555</v>
      </c>
      <c r="B1099" s="3">
        <f>HYPERLINK("https://platform.v2.vetology.net/cases/2734555/screening-report/6?type=pdf&amp;v=v6&amp;scorecard=1&amp;secret_key=BX%25IJ%24%2F65ieZ%29f6", 2734555)</f>
        <v>2734555</v>
      </c>
      <c r="C1099" s="3">
        <f>HYPERLINK("https://platform.v2.vetology.net/report/v/final/"&amp;2734555, 2734555)</f>
        <v>2734555</v>
      </c>
      <c r="D1099" s="3" t="s">
        <v>4104</v>
      </c>
      <c r="E1099" s="3" t="s">
        <v>4105</v>
      </c>
      <c r="F1099" s="3" t="s">
        <v>4106</v>
      </c>
      <c r="G1099" s="3" t="s">
        <v>186</v>
      </c>
      <c r="H1099" s="3" t="s">
        <v>590</v>
      </c>
      <c r="I1099" s="3" t="s">
        <v>291</v>
      </c>
      <c r="J1099" s="3" t="s">
        <v>225</v>
      </c>
      <c r="K1099" s="3" t="s">
        <v>28</v>
      </c>
      <c r="L1099" s="3" t="s">
        <v>28</v>
      </c>
      <c r="M1099" s="3" t="s">
        <v>28</v>
      </c>
      <c r="N1099" s="3" t="s">
        <v>28</v>
      </c>
      <c r="O1099" s="3" t="s">
        <v>27</v>
      </c>
      <c r="P1099" s="3" t="s">
        <v>28</v>
      </c>
      <c r="Q1099" s="3" t="s">
        <v>28</v>
      </c>
      <c r="R1099" s="3" t="s">
        <v>28</v>
      </c>
      <c r="S1099" s="3" t="s">
        <v>27</v>
      </c>
      <c r="T1099" s="3" t="s">
        <v>27</v>
      </c>
    </row>
    <row r="1100" spans="1:20" ht="336">
      <c r="A1100" s="3">
        <v>2734415</v>
      </c>
      <c r="B1100" s="3">
        <f>HYPERLINK("https://platform.v2.vetology.net/cases/2734415/screening-report/6?type=pdf&amp;v=v6&amp;scorecard=1&amp;secret_key=BX%25IJ%24%2F65ieZ%29f6", 2734415)</f>
        <v>2734415</v>
      </c>
      <c r="C1100" s="3">
        <f>HYPERLINK("https://platform.v2.vetology.net/report/v/final/"&amp;2734415, 2734415)</f>
        <v>2734415</v>
      </c>
      <c r="D1100" s="3" t="s">
        <v>4107</v>
      </c>
      <c r="E1100" s="3" t="s">
        <v>4108</v>
      </c>
      <c r="F1100" s="3" t="s">
        <v>4109</v>
      </c>
      <c r="G1100" s="3" t="s">
        <v>64</v>
      </c>
      <c r="H1100" s="3" t="s">
        <v>1802</v>
      </c>
      <c r="I1100" s="3" t="s">
        <v>1803</v>
      </c>
      <c r="J1100" s="3" t="s">
        <v>1804</v>
      </c>
      <c r="K1100" s="3" t="s">
        <v>27</v>
      </c>
      <c r="L1100" s="3" t="s">
        <v>28</v>
      </c>
      <c r="M1100" s="3" t="s">
        <v>28</v>
      </c>
      <c r="N1100" s="3" t="s">
        <v>27</v>
      </c>
      <c r="O1100" s="3" t="s">
        <v>27</v>
      </c>
      <c r="P1100" s="3" t="s">
        <v>28</v>
      </c>
      <c r="Q1100" s="3" t="s">
        <v>28</v>
      </c>
      <c r="R1100" s="3" t="s">
        <v>27</v>
      </c>
      <c r="S1100" s="3" t="s">
        <v>27</v>
      </c>
      <c r="T1100" s="3" t="s">
        <v>27</v>
      </c>
    </row>
    <row r="1101" spans="1:20" ht="396.75">
      <c r="A1101" s="3">
        <v>2734413</v>
      </c>
      <c r="B1101" s="3">
        <f>HYPERLINK("https://platform.v2.vetology.net/cases/2734413/screening-report/6?type=pdf&amp;v=v6&amp;scorecard=1&amp;secret_key=BX%25IJ%24%2F65ieZ%29f6", 2734413)</f>
        <v>2734413</v>
      </c>
      <c r="C1101" s="3">
        <f>HYPERLINK("https://platform.v2.vetology.net/report/v/final/"&amp;2734413, 2734413)</f>
        <v>2734413</v>
      </c>
      <c r="D1101" s="3" t="s">
        <v>4110</v>
      </c>
      <c r="E1101" s="3" t="s">
        <v>4111</v>
      </c>
      <c r="F1101" s="3" t="s">
        <v>4112</v>
      </c>
      <c r="G1101" s="3" t="s">
        <v>100</v>
      </c>
      <c r="H1101" s="3" t="s">
        <v>1097</v>
      </c>
      <c r="I1101" s="3" t="s">
        <v>469</v>
      </c>
      <c r="J1101" s="3" t="s">
        <v>470</v>
      </c>
      <c r="K1101" s="3" t="s">
        <v>28</v>
      </c>
      <c r="L1101" s="3" t="s">
        <v>28</v>
      </c>
      <c r="M1101" s="3" t="s">
        <v>28</v>
      </c>
      <c r="N1101" s="3" t="s">
        <v>28</v>
      </c>
      <c r="O1101" s="3" t="s">
        <v>27</v>
      </c>
      <c r="P1101" s="3" t="s">
        <v>28</v>
      </c>
      <c r="Q1101" s="3" t="s">
        <v>28</v>
      </c>
      <c r="R1101" s="3" t="s">
        <v>28</v>
      </c>
      <c r="S1101" s="3" t="s">
        <v>28</v>
      </c>
      <c r="T1101" s="3" t="s">
        <v>28</v>
      </c>
    </row>
    <row r="1102" spans="1:20" ht="305.25">
      <c r="A1102" s="3">
        <v>2734392</v>
      </c>
      <c r="B1102" s="3">
        <f>HYPERLINK("https://platform.v2.vetology.net/cases/2734392/screening-report/6?type=pdf&amp;v=v6&amp;scorecard=1&amp;secret_key=BX%25IJ%24%2F65ieZ%29f6", 2734392)</f>
        <v>2734392</v>
      </c>
      <c r="C1102" s="3">
        <f>HYPERLINK("https://platform.v2.vetology.net/report/v/final/"&amp;2734392, 2734392)</f>
        <v>2734392</v>
      </c>
      <c r="D1102" s="3" t="s">
        <v>4113</v>
      </c>
      <c r="E1102" s="3" t="s">
        <v>4114</v>
      </c>
      <c r="F1102" s="3" t="s">
        <v>22</v>
      </c>
      <c r="G1102" s="3" t="s">
        <v>372</v>
      </c>
      <c r="H1102" s="3" t="s">
        <v>31</v>
      </c>
      <c r="I1102" s="3" t="s">
        <v>32</v>
      </c>
      <c r="J1102" s="3" t="s">
        <v>33</v>
      </c>
      <c r="K1102" s="3" t="s">
        <v>28</v>
      </c>
      <c r="L1102" s="3" t="s">
        <v>28</v>
      </c>
      <c r="M1102" s="3" t="s">
        <v>28</v>
      </c>
      <c r="N1102" s="3" t="s">
        <v>28</v>
      </c>
      <c r="O1102" s="3" t="s">
        <v>28</v>
      </c>
      <c r="P1102" s="3" t="s">
        <v>28</v>
      </c>
      <c r="Q1102" s="3" t="s">
        <v>28</v>
      </c>
      <c r="R1102" s="3" t="s">
        <v>28</v>
      </c>
      <c r="S1102" s="3" t="s">
        <v>28</v>
      </c>
      <c r="T1102" s="3" t="s">
        <v>28</v>
      </c>
    </row>
    <row r="1103" spans="1:20" ht="229.5">
      <c r="A1103" s="3">
        <v>2734378</v>
      </c>
      <c r="B1103" s="3">
        <f>HYPERLINK("https://platform.v2.vetology.net/cases/2734378/screening-report/6?type=pdf&amp;v=v6&amp;scorecard=1&amp;secret_key=BX%25IJ%24%2F65ieZ%29f6", 2734378)</f>
        <v>2734378</v>
      </c>
      <c r="C1103" s="3">
        <f>HYPERLINK("https://platform.v2.vetology.net/report/v/final/"&amp;2734378, 2734378)</f>
        <v>2734378</v>
      </c>
      <c r="D1103" s="3" t="s">
        <v>4115</v>
      </c>
      <c r="E1103" s="3" t="s">
        <v>4116</v>
      </c>
      <c r="F1103" s="3" t="s">
        <v>1668</v>
      </c>
      <c r="G1103" s="3" t="s">
        <v>122</v>
      </c>
      <c r="H1103" s="3" t="s">
        <v>31</v>
      </c>
      <c r="I1103" s="3" t="s">
        <v>1497</v>
      </c>
      <c r="J1103" s="3" t="s">
        <v>847</v>
      </c>
      <c r="K1103" s="3" t="s">
        <v>28</v>
      </c>
      <c r="L1103" s="3" t="s">
        <v>28</v>
      </c>
      <c r="M1103" s="3" t="s">
        <v>28</v>
      </c>
      <c r="N1103" s="3" t="s">
        <v>28</v>
      </c>
      <c r="O1103" s="3" t="s">
        <v>27</v>
      </c>
      <c r="P1103" s="3" t="s">
        <v>27</v>
      </c>
      <c r="Q1103" s="3" t="s">
        <v>28</v>
      </c>
      <c r="R1103" s="3" t="s">
        <v>28</v>
      </c>
      <c r="S1103" s="3" t="s">
        <v>28</v>
      </c>
      <c r="T1103" s="3" t="s">
        <v>28</v>
      </c>
    </row>
    <row r="1104" spans="1:20" ht="409.6">
      <c r="A1104" s="3">
        <v>2734377</v>
      </c>
      <c r="B1104" s="3">
        <f>HYPERLINK("https://platform.v2.vetology.net/cases/2734377/screening-report/6?type=pdf&amp;v=v6&amp;scorecard=1&amp;secret_key=BX%25IJ%24%2F65ieZ%29f6", 2734377)</f>
        <v>2734377</v>
      </c>
      <c r="C1104" s="3">
        <f>HYPERLINK("https://platform.v2.vetology.net/report/v/final/"&amp;2734377, 2734377)</f>
        <v>2734377</v>
      </c>
      <c r="D1104" s="3" t="s">
        <v>4117</v>
      </c>
      <c r="E1104" s="3" t="s">
        <v>4118</v>
      </c>
      <c r="F1104" s="3"/>
      <c r="G1104" s="3" t="s">
        <v>122</v>
      </c>
      <c r="H1104" s="3" t="s">
        <v>4119</v>
      </c>
      <c r="I1104" s="3" t="s">
        <v>305</v>
      </c>
      <c r="J1104" s="3" t="s">
        <v>847</v>
      </c>
      <c r="K1104" s="3" t="s">
        <v>28</v>
      </c>
      <c r="L1104" s="3" t="s">
        <v>28</v>
      </c>
      <c r="M1104" s="3" t="s">
        <v>28</v>
      </c>
      <c r="N1104" s="3" t="s">
        <v>28</v>
      </c>
      <c r="O1104" s="3" t="s">
        <v>28</v>
      </c>
      <c r="P1104" s="3" t="s">
        <v>28</v>
      </c>
      <c r="Q1104" s="3" t="s">
        <v>28</v>
      </c>
      <c r="R1104" s="3" t="s">
        <v>28</v>
      </c>
      <c r="S1104" s="3" t="s">
        <v>28</v>
      </c>
      <c r="T1104" s="3" t="s">
        <v>28</v>
      </c>
    </row>
    <row r="1105" spans="1:20" ht="409.6">
      <c r="A1105" s="3">
        <v>2734351</v>
      </c>
      <c r="B1105" s="3">
        <f>HYPERLINK("https://platform.v2.vetology.net/cases/2734351/screening-report/6?type=pdf&amp;v=v6&amp;scorecard=1&amp;secret_key=BX%25IJ%24%2F65ieZ%29f6", 2734351)</f>
        <v>2734351</v>
      </c>
      <c r="C1105" s="3">
        <f>HYPERLINK("https://platform.v2.vetology.net/report/v/final/"&amp;2734351, 2734351)</f>
        <v>2734351</v>
      </c>
      <c r="D1105" s="3" t="s">
        <v>4120</v>
      </c>
      <c r="E1105" s="3" t="s">
        <v>4121</v>
      </c>
      <c r="F1105" s="3" t="s">
        <v>4122</v>
      </c>
      <c r="G1105" s="3" t="s">
        <v>64</v>
      </c>
      <c r="H1105" s="3" t="s">
        <v>1326</v>
      </c>
      <c r="I1105" s="3" t="s">
        <v>351</v>
      </c>
      <c r="J1105" s="3" t="s">
        <v>352</v>
      </c>
      <c r="K1105" s="3" t="s">
        <v>28</v>
      </c>
      <c r="L1105" s="3" t="s">
        <v>28</v>
      </c>
      <c r="M1105" s="3" t="s">
        <v>28</v>
      </c>
      <c r="N1105" s="3" t="s">
        <v>28</v>
      </c>
      <c r="O1105" s="3" t="s">
        <v>27</v>
      </c>
      <c r="P1105" s="3" t="s">
        <v>28</v>
      </c>
      <c r="Q1105" s="3" t="s">
        <v>28</v>
      </c>
      <c r="R1105" s="3" t="s">
        <v>28</v>
      </c>
      <c r="S1105" s="3" t="s">
        <v>28</v>
      </c>
      <c r="T1105" s="3" t="s">
        <v>27</v>
      </c>
    </row>
    <row r="1106" spans="1:20" ht="409.6">
      <c r="A1106" s="3">
        <v>2734341</v>
      </c>
      <c r="B1106" s="3">
        <f>HYPERLINK("https://platform.v2.vetology.net/cases/2734341/screening-report/6?type=pdf&amp;v=v6&amp;scorecard=1&amp;secret_key=BX%25IJ%24%2F65ieZ%29f6", 2734341)</f>
        <v>2734341</v>
      </c>
      <c r="C1106" s="3">
        <f>HYPERLINK("https://platform.v2.vetology.net/report/v/final/"&amp;2734341, 2734341)</f>
        <v>2734341</v>
      </c>
      <c r="D1106" s="3" t="s">
        <v>4123</v>
      </c>
      <c r="E1106" s="3" t="s">
        <v>4124</v>
      </c>
      <c r="F1106" s="3" t="s">
        <v>4125</v>
      </c>
      <c r="G1106" s="3" t="s">
        <v>64</v>
      </c>
      <c r="H1106" s="3" t="s">
        <v>1630</v>
      </c>
      <c r="I1106" s="3" t="s">
        <v>993</v>
      </c>
      <c r="J1106" s="3" t="s">
        <v>994</v>
      </c>
      <c r="K1106" s="3" t="s">
        <v>28</v>
      </c>
      <c r="L1106" s="3" t="s">
        <v>28</v>
      </c>
      <c r="M1106" s="3" t="s">
        <v>28</v>
      </c>
      <c r="N1106" s="3" t="s">
        <v>28</v>
      </c>
      <c r="O1106" s="3" t="s">
        <v>28</v>
      </c>
      <c r="P1106" s="3" t="s">
        <v>28</v>
      </c>
      <c r="Q1106" s="3" t="s">
        <v>28</v>
      </c>
      <c r="R1106" s="3" t="s">
        <v>28</v>
      </c>
      <c r="S1106" s="3" t="s">
        <v>28</v>
      </c>
      <c r="T1106" s="3" t="s">
        <v>28</v>
      </c>
    </row>
    <row r="1107" spans="1:20" ht="275.25">
      <c r="A1107" s="3">
        <v>2734332</v>
      </c>
      <c r="B1107" s="3">
        <f>HYPERLINK("https://platform.v2.vetology.net/cases/2734332/screening-report/6?type=pdf&amp;v=v6&amp;scorecard=1&amp;secret_key=BX%25IJ%24%2F65ieZ%29f6", 2734332)</f>
        <v>2734332</v>
      </c>
      <c r="C1107" s="3">
        <f>HYPERLINK("https://platform.v2.vetology.net/report/v/final/"&amp;2734332, 2734332)</f>
        <v>2734332</v>
      </c>
      <c r="D1107" s="3" t="s">
        <v>4126</v>
      </c>
      <c r="E1107" s="3" t="s">
        <v>4127</v>
      </c>
      <c r="F1107" s="3" t="s">
        <v>4128</v>
      </c>
      <c r="G1107" s="3" t="s">
        <v>211</v>
      </c>
      <c r="H1107" s="3" t="s">
        <v>590</v>
      </c>
      <c r="I1107" s="3" t="s">
        <v>291</v>
      </c>
      <c r="J1107" s="3" t="s">
        <v>225</v>
      </c>
      <c r="K1107" s="3" t="s">
        <v>28</v>
      </c>
      <c r="L1107" s="3" t="s">
        <v>27</v>
      </c>
      <c r="M1107" s="3" t="s">
        <v>28</v>
      </c>
      <c r="N1107" s="3" t="s">
        <v>27</v>
      </c>
      <c r="O1107" s="3" t="s">
        <v>27</v>
      </c>
      <c r="P1107" s="3" t="s">
        <v>28</v>
      </c>
      <c r="Q1107" s="3" t="s">
        <v>28</v>
      </c>
      <c r="R1107" s="3" t="s">
        <v>28</v>
      </c>
      <c r="S1107" s="3" t="s">
        <v>27</v>
      </c>
      <c r="T1107" s="3" t="s">
        <v>27</v>
      </c>
    </row>
    <row r="1108" spans="1:20" ht="409.6">
      <c r="A1108" s="3">
        <v>2734321</v>
      </c>
      <c r="B1108" s="3">
        <f>HYPERLINK("https://platform.v2.vetology.net/cases/2734321/screening-report/6?type=pdf&amp;v=v6&amp;scorecard=1&amp;secret_key=BX%25IJ%24%2F65ieZ%29f6", 2734321)</f>
        <v>2734321</v>
      </c>
      <c r="C1108" s="3">
        <f>HYPERLINK("https://platform.v2.vetology.net/report/v/final/"&amp;2734321, 2734321)</f>
        <v>2734321</v>
      </c>
      <c r="D1108" s="3" t="s">
        <v>4129</v>
      </c>
      <c r="E1108" s="3" t="s">
        <v>4130</v>
      </c>
      <c r="F1108" s="3" t="s">
        <v>4131</v>
      </c>
      <c r="G1108" s="3" t="s">
        <v>64</v>
      </c>
      <c r="H1108" s="3" t="s">
        <v>238</v>
      </c>
      <c r="I1108" s="3"/>
      <c r="J1108" s="3" t="s">
        <v>207</v>
      </c>
      <c r="K1108" s="3" t="s">
        <v>28</v>
      </c>
      <c r="L1108" s="3" t="s">
        <v>28</v>
      </c>
      <c r="M1108" s="3" t="s">
        <v>28</v>
      </c>
      <c r="N1108" s="3" t="s">
        <v>28</v>
      </c>
      <c r="O1108" s="3" t="s">
        <v>27</v>
      </c>
      <c r="P1108" s="3" t="s">
        <v>28</v>
      </c>
      <c r="Q1108" s="3" t="s">
        <v>28</v>
      </c>
      <c r="R1108" s="3" t="s">
        <v>28</v>
      </c>
      <c r="S1108" s="3" t="s">
        <v>28</v>
      </c>
      <c r="T1108" s="3" t="s">
        <v>27</v>
      </c>
    </row>
    <row r="1109" spans="1:20" ht="366">
      <c r="A1109" s="3">
        <v>2734316</v>
      </c>
      <c r="B1109" s="3">
        <f>HYPERLINK("https://platform.v2.vetology.net/cases/2734316/screening-report/6?type=pdf&amp;v=v6&amp;scorecard=1&amp;secret_key=BX%25IJ%24%2F65ieZ%29f6", 2734316)</f>
        <v>2734316</v>
      </c>
      <c r="C1109" s="3">
        <f>HYPERLINK("https://platform.v2.vetology.net/report/v/final/"&amp;2734316, 2734316)</f>
        <v>2734316</v>
      </c>
      <c r="D1109" s="3" t="s">
        <v>4132</v>
      </c>
      <c r="E1109" s="3" t="s">
        <v>4133</v>
      </c>
      <c r="F1109" s="3" t="s">
        <v>4134</v>
      </c>
      <c r="G1109" s="3" t="s">
        <v>496</v>
      </c>
      <c r="H1109" s="3" t="s">
        <v>1033</v>
      </c>
      <c r="I1109" s="3" t="s">
        <v>1034</v>
      </c>
      <c r="J1109" s="3" t="s">
        <v>1035</v>
      </c>
      <c r="K1109" s="3" t="s">
        <v>28</v>
      </c>
      <c r="L1109" s="3" t="s">
        <v>28</v>
      </c>
      <c r="M1109" s="3" t="s">
        <v>28</v>
      </c>
      <c r="N1109" s="3" t="s">
        <v>27</v>
      </c>
      <c r="O1109" s="3" t="s">
        <v>27</v>
      </c>
      <c r="P1109" s="3" t="s">
        <v>28</v>
      </c>
      <c r="Q1109" s="3" t="s">
        <v>28</v>
      </c>
      <c r="R1109" s="3" t="s">
        <v>27</v>
      </c>
      <c r="S1109" s="3" t="s">
        <v>28</v>
      </c>
      <c r="T1109" s="3" t="s">
        <v>27</v>
      </c>
    </row>
    <row r="1110" spans="1:20" ht="381.75">
      <c r="A1110" s="3">
        <v>2734306</v>
      </c>
      <c r="B1110" s="3">
        <f>HYPERLINK("https://platform.v2.vetology.net/cases/2734306/screening-report/6?type=pdf&amp;v=v6&amp;scorecard=1&amp;secret_key=BX%25IJ%24%2F65ieZ%29f6", 2734306)</f>
        <v>2734306</v>
      </c>
      <c r="C1110" s="3">
        <f>HYPERLINK("https://platform.v2.vetology.net/report/v/final/"&amp;2734306, 2734306)</f>
        <v>2734306</v>
      </c>
      <c r="D1110" s="3" t="s">
        <v>4135</v>
      </c>
      <c r="E1110" s="3" t="s">
        <v>4136</v>
      </c>
      <c r="F1110" s="3" t="s">
        <v>4137</v>
      </c>
      <c r="G1110" s="3" t="s">
        <v>211</v>
      </c>
      <c r="H1110" s="3" t="s">
        <v>135</v>
      </c>
      <c r="I1110" s="3" t="s">
        <v>136</v>
      </c>
      <c r="J1110" s="3" t="s">
        <v>424</v>
      </c>
      <c r="K1110" s="3" t="s">
        <v>27</v>
      </c>
      <c r="L1110" s="3" t="s">
        <v>28</v>
      </c>
      <c r="M1110" s="3" t="s">
        <v>28</v>
      </c>
      <c r="N1110" s="3" t="s">
        <v>28</v>
      </c>
      <c r="O1110" s="3" t="s">
        <v>27</v>
      </c>
      <c r="P1110" s="3" t="s">
        <v>28</v>
      </c>
      <c r="Q1110" s="3" t="s">
        <v>28</v>
      </c>
      <c r="R1110" s="3" t="s">
        <v>28</v>
      </c>
      <c r="S1110" s="3" t="s">
        <v>28</v>
      </c>
      <c r="T1110" s="3" t="s">
        <v>28</v>
      </c>
    </row>
    <row r="1111" spans="1:20" ht="381.75">
      <c r="A1111" s="3">
        <v>2734304</v>
      </c>
      <c r="B1111" s="3">
        <f>HYPERLINK("https://platform.v2.vetology.net/cases/2734304/screening-report/6?type=pdf&amp;v=v6&amp;scorecard=1&amp;secret_key=BX%25IJ%24%2F65ieZ%29f6", 2734304)</f>
        <v>2734304</v>
      </c>
      <c r="C1111" s="3">
        <f>HYPERLINK("https://platform.v2.vetology.net/report/v/final/"&amp;2734304, 2734304)</f>
        <v>2734304</v>
      </c>
      <c r="D1111" s="3" t="s">
        <v>4138</v>
      </c>
      <c r="E1111" s="3" t="s">
        <v>4139</v>
      </c>
      <c r="F1111" s="3" t="s">
        <v>22</v>
      </c>
      <c r="G1111" s="3" t="s">
        <v>23</v>
      </c>
      <c r="H1111" s="3" t="s">
        <v>4140</v>
      </c>
      <c r="I1111" s="3" t="s">
        <v>561</v>
      </c>
      <c r="J1111" s="3" t="s">
        <v>562</v>
      </c>
      <c r="K1111" s="3" t="s">
        <v>28</v>
      </c>
      <c r="L1111" s="3" t="s">
        <v>28</v>
      </c>
      <c r="M1111" s="3" t="s">
        <v>28</v>
      </c>
      <c r="N1111" s="3" t="s">
        <v>28</v>
      </c>
      <c r="O1111" s="3" t="s">
        <v>27</v>
      </c>
      <c r="P1111" s="3" t="s">
        <v>27</v>
      </c>
      <c r="Q1111" s="3" t="s">
        <v>28</v>
      </c>
      <c r="R1111" s="3" t="s">
        <v>28</v>
      </c>
      <c r="S1111" s="3" t="s">
        <v>28</v>
      </c>
      <c r="T1111" s="3" t="s">
        <v>27</v>
      </c>
    </row>
    <row r="1112" spans="1:20" ht="396.75">
      <c r="A1112" s="3">
        <v>2734257</v>
      </c>
      <c r="B1112" s="3">
        <f>HYPERLINK("https://platform.v2.vetology.net/cases/2734257/screening-report/6?type=pdf&amp;v=v6&amp;scorecard=1&amp;secret_key=BX%25IJ%24%2F65ieZ%29f6", 2734257)</f>
        <v>2734257</v>
      </c>
      <c r="C1112" s="3">
        <f>HYPERLINK("https://platform.v2.vetology.net/report/v/final/"&amp;2734257, 2734257)</f>
        <v>2734257</v>
      </c>
      <c r="D1112" s="3" t="s">
        <v>4141</v>
      </c>
      <c r="E1112" s="3" t="s">
        <v>4142</v>
      </c>
      <c r="F1112" s="3" t="s">
        <v>22</v>
      </c>
      <c r="G1112" s="3" t="s">
        <v>372</v>
      </c>
      <c r="H1112" s="3" t="s">
        <v>2183</v>
      </c>
      <c r="I1112" s="3"/>
      <c r="J1112" s="3" t="s">
        <v>225</v>
      </c>
      <c r="K1112" s="3" t="s">
        <v>28</v>
      </c>
      <c r="L1112" s="3" t="s">
        <v>27</v>
      </c>
      <c r="M1112" s="3" t="s">
        <v>27</v>
      </c>
      <c r="N1112" s="3" t="s">
        <v>27</v>
      </c>
      <c r="O1112" s="3" t="s">
        <v>27</v>
      </c>
      <c r="P1112" s="3" t="s">
        <v>27</v>
      </c>
      <c r="Q1112" s="3" t="s">
        <v>27</v>
      </c>
      <c r="R1112" s="3" t="s">
        <v>28</v>
      </c>
      <c r="S1112" s="3" t="s">
        <v>27</v>
      </c>
      <c r="T1112" s="3" t="s">
        <v>27</v>
      </c>
    </row>
    <row r="1113" spans="1:20" ht="336">
      <c r="A1113" s="3">
        <v>2734206</v>
      </c>
      <c r="B1113" s="3">
        <f>HYPERLINK("https://platform.v2.vetology.net/cases/2734206/screening-report/6?type=pdf&amp;v=v6&amp;scorecard=1&amp;secret_key=BX%25IJ%24%2F65ieZ%29f6", 2734206)</f>
        <v>2734206</v>
      </c>
      <c r="C1113" s="3">
        <f>HYPERLINK("https://platform.v2.vetology.net/report/v/final/"&amp;2734206, 2734206)</f>
        <v>2734206</v>
      </c>
      <c r="D1113" s="3" t="s">
        <v>4143</v>
      </c>
      <c r="E1113" s="3" t="s">
        <v>4144</v>
      </c>
      <c r="F1113" s="3" t="s">
        <v>4145</v>
      </c>
      <c r="G1113" s="3" t="s">
        <v>179</v>
      </c>
      <c r="H1113" s="3" t="s">
        <v>4146</v>
      </c>
      <c r="I1113" s="3" t="s">
        <v>3433</v>
      </c>
      <c r="J1113" s="3" t="s">
        <v>3434</v>
      </c>
      <c r="K1113" s="3" t="s">
        <v>28</v>
      </c>
      <c r="L1113" s="3" t="s">
        <v>28</v>
      </c>
      <c r="M1113" s="3" t="s">
        <v>27</v>
      </c>
      <c r="N1113" s="3" t="s">
        <v>28</v>
      </c>
      <c r="O1113" s="3" t="s">
        <v>27</v>
      </c>
      <c r="P1113" s="3" t="s">
        <v>27</v>
      </c>
      <c r="Q1113" s="3" t="s">
        <v>27</v>
      </c>
      <c r="R1113" s="3" t="s">
        <v>28</v>
      </c>
      <c r="S1113" s="3" t="s">
        <v>28</v>
      </c>
      <c r="T1113" s="3" t="s">
        <v>27</v>
      </c>
    </row>
    <row r="1114" spans="1:20" ht="409.6">
      <c r="A1114" s="3">
        <v>2734203</v>
      </c>
      <c r="B1114" s="3">
        <f>HYPERLINK("https://platform.v2.vetology.net/cases/2734203/screening-report/6?type=pdf&amp;v=v6&amp;scorecard=1&amp;secret_key=BX%25IJ%24%2F65ieZ%29f6", 2734203)</f>
        <v>2734203</v>
      </c>
      <c r="C1114" s="3">
        <f>HYPERLINK("https://platform.v2.vetology.net/report/v/final/"&amp;2734203, 2734203)</f>
        <v>2734203</v>
      </c>
      <c r="D1114" s="3" t="s">
        <v>4147</v>
      </c>
      <c r="E1114" s="3" t="s">
        <v>4148</v>
      </c>
      <c r="F1114" s="3" t="s">
        <v>4149</v>
      </c>
      <c r="G1114" s="3" t="s">
        <v>64</v>
      </c>
      <c r="H1114" s="3" t="s">
        <v>4150</v>
      </c>
      <c r="I1114" s="3" t="s">
        <v>888</v>
      </c>
      <c r="J1114" s="3" t="s">
        <v>889</v>
      </c>
      <c r="K1114" s="3" t="s">
        <v>27</v>
      </c>
      <c r="L1114" s="3" t="s">
        <v>28</v>
      </c>
      <c r="M1114" s="3" t="s">
        <v>28</v>
      </c>
      <c r="N1114" s="3" t="s">
        <v>28</v>
      </c>
      <c r="O1114" s="3" t="s">
        <v>27</v>
      </c>
      <c r="P1114" s="3" t="s">
        <v>28</v>
      </c>
      <c r="Q1114" s="3" t="s">
        <v>27</v>
      </c>
      <c r="R1114" s="3" t="s">
        <v>28</v>
      </c>
      <c r="S1114" s="3" t="s">
        <v>28</v>
      </c>
      <c r="T1114" s="3" t="s">
        <v>28</v>
      </c>
    </row>
    <row r="1115" spans="1:20" ht="351">
      <c r="A1115" s="3">
        <v>2734193</v>
      </c>
      <c r="B1115" s="3">
        <f>HYPERLINK("https://platform.v2.vetology.net/cases/2734193/screening-report/6?type=pdf&amp;v=v6&amp;scorecard=1&amp;secret_key=BX%25IJ%24%2F65ieZ%29f6", 2734193)</f>
        <v>2734193</v>
      </c>
      <c r="C1115" s="3">
        <f>HYPERLINK("https://platform.v2.vetology.net/report/v/final/"&amp;2734193, 2734193)</f>
        <v>2734193</v>
      </c>
      <c r="D1115" s="3" t="s">
        <v>4151</v>
      </c>
      <c r="E1115" s="3" t="s">
        <v>4152</v>
      </c>
      <c r="F1115" s="3" t="s">
        <v>4153</v>
      </c>
      <c r="G1115" s="3" t="s">
        <v>186</v>
      </c>
      <c r="H1115" s="3" t="s">
        <v>4154</v>
      </c>
      <c r="I1115" s="3" t="s">
        <v>829</v>
      </c>
      <c r="J1115" s="3" t="s">
        <v>830</v>
      </c>
      <c r="K1115" s="3" t="s">
        <v>28</v>
      </c>
      <c r="L1115" s="3" t="s">
        <v>27</v>
      </c>
      <c r="M1115" s="3" t="s">
        <v>27</v>
      </c>
      <c r="N1115" s="3" t="s">
        <v>27</v>
      </c>
      <c r="O1115" s="3" t="s">
        <v>27</v>
      </c>
      <c r="P1115" s="3" t="s">
        <v>28</v>
      </c>
      <c r="Q1115" s="3" t="s">
        <v>27</v>
      </c>
      <c r="R1115" s="3" t="s">
        <v>27</v>
      </c>
      <c r="S1115" s="3" t="s">
        <v>27</v>
      </c>
      <c r="T1115" s="3" t="s">
        <v>27</v>
      </c>
    </row>
    <row r="1116" spans="1:20" ht="409.6">
      <c r="A1116" s="3">
        <v>2734192</v>
      </c>
      <c r="B1116" s="3">
        <f>HYPERLINK("https://platform.v2.vetology.net/cases/2734192/screening-report/6?type=pdf&amp;v=v6&amp;scorecard=1&amp;secret_key=BX%25IJ%24%2F65ieZ%29f6", 2734192)</f>
        <v>2734192</v>
      </c>
      <c r="C1116" s="3">
        <f>HYPERLINK("https://platform.v2.vetology.net/report/v/final/"&amp;2734192, 2734192)</f>
        <v>2734192</v>
      </c>
      <c r="D1116" s="3" t="s">
        <v>4155</v>
      </c>
      <c r="E1116" s="3" t="s">
        <v>4156</v>
      </c>
      <c r="F1116" s="3" t="s">
        <v>4157</v>
      </c>
      <c r="G1116" s="3" t="s">
        <v>57</v>
      </c>
      <c r="H1116" s="3" t="s">
        <v>118</v>
      </c>
      <c r="I1116" s="3" t="s">
        <v>32</v>
      </c>
      <c r="J1116" s="3" t="s">
        <v>847</v>
      </c>
      <c r="K1116" s="3" t="s">
        <v>28</v>
      </c>
      <c r="L1116" s="3" t="s">
        <v>28</v>
      </c>
      <c r="M1116" s="3" t="s">
        <v>28</v>
      </c>
      <c r="N1116" s="3" t="s">
        <v>28</v>
      </c>
      <c r="O1116" s="3" t="s">
        <v>27</v>
      </c>
      <c r="P1116" s="3" t="s">
        <v>28</v>
      </c>
      <c r="Q1116" s="3" t="s">
        <v>28</v>
      </c>
      <c r="R1116" s="3" t="s">
        <v>28</v>
      </c>
      <c r="S1116" s="3" t="s">
        <v>28</v>
      </c>
      <c r="T1116" s="3" t="s">
        <v>27</v>
      </c>
    </row>
    <row r="1117" spans="1:20" ht="336">
      <c r="A1117" s="3">
        <v>2734173</v>
      </c>
      <c r="B1117" s="3">
        <f>HYPERLINK("https://platform.v2.vetology.net/cases/2734173/screening-report/6?type=pdf&amp;v=v6&amp;scorecard=1&amp;secret_key=BX%25IJ%24%2F65ieZ%29f6", 2734173)</f>
        <v>2734173</v>
      </c>
      <c r="C1117" s="3">
        <f>HYPERLINK("https://platform.v2.vetology.net/report/v/final/"&amp;2734173, 2734173)</f>
        <v>2734173</v>
      </c>
      <c r="D1117" s="3" t="s">
        <v>4158</v>
      </c>
      <c r="E1117" s="3" t="s">
        <v>4159</v>
      </c>
      <c r="F1117" s="3" t="s">
        <v>4160</v>
      </c>
      <c r="G1117" s="3" t="s">
        <v>186</v>
      </c>
      <c r="H1117" s="3" t="s">
        <v>123</v>
      </c>
      <c r="I1117" s="3" t="s">
        <v>124</v>
      </c>
      <c r="J1117" s="3" t="s">
        <v>125</v>
      </c>
      <c r="K1117" s="3" t="s">
        <v>28</v>
      </c>
      <c r="L1117" s="3" t="s">
        <v>28</v>
      </c>
      <c r="M1117" s="3" t="s">
        <v>28</v>
      </c>
      <c r="N1117" s="3" t="s">
        <v>28</v>
      </c>
      <c r="O1117" s="3" t="s">
        <v>27</v>
      </c>
      <c r="P1117" s="3" t="s">
        <v>28</v>
      </c>
      <c r="Q1117" s="3" t="s">
        <v>28</v>
      </c>
      <c r="R1117" s="3" t="s">
        <v>28</v>
      </c>
      <c r="S1117" s="3" t="s">
        <v>28</v>
      </c>
      <c r="T1117" s="3" t="s">
        <v>28</v>
      </c>
    </row>
    <row r="1118" spans="1:20" ht="409.6">
      <c r="A1118" s="3">
        <v>2734168</v>
      </c>
      <c r="B1118" s="3">
        <f>HYPERLINK("https://platform.v2.vetology.net/cases/2734168/screening-report/6?type=pdf&amp;v=v6&amp;scorecard=1&amp;secret_key=BX%25IJ%24%2F65ieZ%29f6", 2734168)</f>
        <v>2734168</v>
      </c>
      <c r="C1118" s="3">
        <f>HYPERLINK("https://platform.v2.vetology.net/report/v/final/"&amp;2734168, 2734168)</f>
        <v>2734168</v>
      </c>
      <c r="D1118" s="3" t="s">
        <v>4161</v>
      </c>
      <c r="E1118" s="3" t="s">
        <v>4162</v>
      </c>
      <c r="F1118" s="3" t="s">
        <v>4163</v>
      </c>
      <c r="G1118" s="3" t="s">
        <v>64</v>
      </c>
      <c r="H1118" s="3" t="s">
        <v>4164</v>
      </c>
      <c r="I1118" s="3" t="s">
        <v>3364</v>
      </c>
      <c r="J1118" s="3" t="s">
        <v>3365</v>
      </c>
      <c r="K1118" s="3" t="s">
        <v>28</v>
      </c>
      <c r="L1118" s="3" t="s">
        <v>28</v>
      </c>
      <c r="M1118" s="3" t="s">
        <v>28</v>
      </c>
      <c r="N1118" s="3" t="s">
        <v>27</v>
      </c>
      <c r="O1118" s="3" t="s">
        <v>28</v>
      </c>
      <c r="P1118" s="3" t="s">
        <v>28</v>
      </c>
      <c r="Q1118" s="3" t="s">
        <v>27</v>
      </c>
      <c r="R1118" s="3" t="s">
        <v>28</v>
      </c>
      <c r="S1118" s="3" t="s">
        <v>28</v>
      </c>
      <c r="T1118" s="3" t="s">
        <v>28</v>
      </c>
    </row>
    <row r="1119" spans="1:20" ht="366">
      <c r="A1119" s="3">
        <v>2734095</v>
      </c>
      <c r="B1119" s="3">
        <f>HYPERLINK("https://platform.v2.vetology.net/cases/2734095/screening-report/6?type=pdf&amp;v=v6&amp;scorecard=1&amp;secret_key=BX%25IJ%24%2F65ieZ%29f6", 2734095)</f>
        <v>2734095</v>
      </c>
      <c r="C1119" s="3">
        <f>HYPERLINK("https://platform.v2.vetology.net/report/v/final/"&amp;2734095, 2734095)</f>
        <v>2734095</v>
      </c>
      <c r="D1119" s="3" t="s">
        <v>4165</v>
      </c>
      <c r="E1119" s="3" t="s">
        <v>4166</v>
      </c>
      <c r="F1119" s="3" t="s">
        <v>956</v>
      </c>
      <c r="G1119" s="3" t="s">
        <v>100</v>
      </c>
      <c r="H1119" s="3" t="s">
        <v>1482</v>
      </c>
      <c r="I1119" s="3" t="s">
        <v>1483</v>
      </c>
      <c r="J1119" s="3" t="s">
        <v>207</v>
      </c>
      <c r="K1119" s="3" t="s">
        <v>28</v>
      </c>
      <c r="L1119" s="3" t="s">
        <v>28</v>
      </c>
      <c r="M1119" s="3" t="s">
        <v>27</v>
      </c>
      <c r="N1119" s="3" t="s">
        <v>28</v>
      </c>
      <c r="O1119" s="3" t="s">
        <v>27</v>
      </c>
      <c r="P1119" s="3" t="s">
        <v>28</v>
      </c>
      <c r="Q1119" s="3" t="s">
        <v>28</v>
      </c>
      <c r="R1119" s="3" t="s">
        <v>28</v>
      </c>
      <c r="S1119" s="3" t="s">
        <v>28</v>
      </c>
      <c r="T1119" s="3" t="s">
        <v>28</v>
      </c>
    </row>
    <row r="1120" spans="1:20" ht="366">
      <c r="A1120" s="3">
        <v>2734087</v>
      </c>
      <c r="B1120" s="3">
        <f>HYPERLINK("https://platform.v2.vetology.net/cases/2734087/screening-report/6?type=pdf&amp;v=v6&amp;scorecard=1&amp;secret_key=BX%25IJ%24%2F65ieZ%29f6", 2734087)</f>
        <v>2734087</v>
      </c>
      <c r="C1120" s="3">
        <f>HYPERLINK("https://platform.v2.vetology.net/report/v/final/"&amp;2734087, 2734087)</f>
        <v>2734087</v>
      </c>
      <c r="D1120" s="3" t="s">
        <v>4167</v>
      </c>
      <c r="E1120" s="3" t="s">
        <v>4168</v>
      </c>
      <c r="F1120" s="3" t="s">
        <v>4169</v>
      </c>
      <c r="G1120" s="3" t="s">
        <v>211</v>
      </c>
      <c r="H1120" s="3" t="s">
        <v>4170</v>
      </c>
      <c r="I1120" s="3" t="s">
        <v>2963</v>
      </c>
      <c r="J1120" s="3" t="s">
        <v>2964</v>
      </c>
      <c r="K1120" s="3" t="s">
        <v>27</v>
      </c>
      <c r="L1120" s="3" t="s">
        <v>28</v>
      </c>
      <c r="M1120" s="3" t="s">
        <v>27</v>
      </c>
      <c r="N1120" s="3" t="s">
        <v>28</v>
      </c>
      <c r="O1120" s="3" t="s">
        <v>27</v>
      </c>
      <c r="P1120" s="3" t="s">
        <v>28</v>
      </c>
      <c r="Q1120" s="3" t="s">
        <v>27</v>
      </c>
      <c r="R1120" s="3" t="s">
        <v>28</v>
      </c>
      <c r="S1120" s="3" t="s">
        <v>28</v>
      </c>
      <c r="T1120" s="3" t="s">
        <v>28</v>
      </c>
    </row>
    <row r="1121" spans="1:20" ht="409.6">
      <c r="A1121" s="3">
        <v>2734070</v>
      </c>
      <c r="B1121" s="3">
        <f>HYPERLINK("https://platform.v2.vetology.net/cases/2734070/screening-report/6?type=pdf&amp;v=v6&amp;scorecard=1&amp;secret_key=BX%25IJ%24%2F65ieZ%29f6", 2734070)</f>
        <v>2734070</v>
      </c>
      <c r="C1121" s="3">
        <f>HYPERLINK("https://platform.v2.vetology.net/report/v/final/"&amp;2734070, 2734070)</f>
        <v>2734070</v>
      </c>
      <c r="D1121" s="3" t="s">
        <v>4171</v>
      </c>
      <c r="E1121" s="3" t="s">
        <v>4172</v>
      </c>
      <c r="F1121" s="3" t="s">
        <v>4173</v>
      </c>
      <c r="G1121" s="3" t="s">
        <v>179</v>
      </c>
      <c r="H1121" s="3" t="s">
        <v>31</v>
      </c>
      <c r="I1121" s="3" t="s">
        <v>32</v>
      </c>
      <c r="J1121" s="3" t="s">
        <v>33</v>
      </c>
      <c r="K1121" s="3" t="s">
        <v>28</v>
      </c>
      <c r="L1121" s="3" t="s">
        <v>28</v>
      </c>
      <c r="M1121" s="3" t="s">
        <v>28</v>
      </c>
      <c r="N1121" s="3" t="s">
        <v>28</v>
      </c>
      <c r="O1121" s="3" t="s">
        <v>27</v>
      </c>
      <c r="P1121" s="3" t="s">
        <v>28</v>
      </c>
      <c r="Q1121" s="3" t="s">
        <v>28</v>
      </c>
      <c r="R1121" s="3" t="s">
        <v>28</v>
      </c>
      <c r="S1121" s="3" t="s">
        <v>28</v>
      </c>
      <c r="T1121" s="3" t="s">
        <v>28</v>
      </c>
    </row>
    <row r="1122" spans="1:20" ht="409.6">
      <c r="A1122" s="3">
        <v>2734041</v>
      </c>
      <c r="B1122" s="3">
        <f>HYPERLINK("https://platform.v2.vetology.net/cases/2734041/screening-report/6?type=pdf&amp;v=v6&amp;scorecard=1&amp;secret_key=BX%25IJ%24%2F65ieZ%29f6", 2734041)</f>
        <v>2734041</v>
      </c>
      <c r="C1122" s="3">
        <f>HYPERLINK("https://platform.v2.vetology.net/report/v/final/"&amp;2734041, 2734041)</f>
        <v>2734041</v>
      </c>
      <c r="D1122" s="3" t="s">
        <v>4174</v>
      </c>
      <c r="E1122" s="3" t="s">
        <v>4175</v>
      </c>
      <c r="F1122" s="3" t="s">
        <v>4176</v>
      </c>
      <c r="G1122" s="3" t="s">
        <v>64</v>
      </c>
      <c r="H1122" s="3" t="s">
        <v>4177</v>
      </c>
      <c r="I1122" s="3" t="s">
        <v>3187</v>
      </c>
      <c r="J1122" s="3" t="s">
        <v>154</v>
      </c>
      <c r="K1122" s="3" t="s">
        <v>27</v>
      </c>
      <c r="L1122" s="3" t="s">
        <v>28</v>
      </c>
      <c r="M1122" s="3" t="s">
        <v>27</v>
      </c>
      <c r="N1122" s="3" t="s">
        <v>28</v>
      </c>
      <c r="O1122" s="3" t="s">
        <v>27</v>
      </c>
      <c r="P1122" s="3" t="s">
        <v>28</v>
      </c>
      <c r="Q1122" s="3" t="s">
        <v>28</v>
      </c>
      <c r="R1122" s="3" t="s">
        <v>28</v>
      </c>
      <c r="S1122" s="3" t="s">
        <v>28</v>
      </c>
      <c r="T1122" s="3" t="s">
        <v>28</v>
      </c>
    </row>
    <row r="1123" spans="1:20" ht="275.25">
      <c r="A1123" s="3">
        <v>2733900</v>
      </c>
      <c r="B1123" s="3">
        <f>HYPERLINK("https://platform.v2.vetology.net/cases/2733900/screening-report/6?type=pdf&amp;v=v6&amp;scorecard=1&amp;secret_key=BX%25IJ%24%2F65ieZ%29f6", 2733900)</f>
        <v>2733900</v>
      </c>
      <c r="C1123" s="3">
        <f>HYPERLINK("https://platform.v2.vetology.net/report/v/final/"&amp;2733900, 2733900)</f>
        <v>2733900</v>
      </c>
      <c r="D1123" s="3" t="s">
        <v>4178</v>
      </c>
      <c r="E1123" s="3" t="s">
        <v>4179</v>
      </c>
      <c r="F1123" s="3" t="s">
        <v>4180</v>
      </c>
      <c r="G1123" s="3" t="s">
        <v>186</v>
      </c>
      <c r="H1123" s="3" t="s">
        <v>1238</v>
      </c>
      <c r="I1123" s="3" t="s">
        <v>206</v>
      </c>
      <c r="J1123" s="3" t="s">
        <v>207</v>
      </c>
      <c r="K1123" s="3" t="s">
        <v>28</v>
      </c>
      <c r="L1123" s="3" t="s">
        <v>28</v>
      </c>
      <c r="M1123" s="3" t="s">
        <v>27</v>
      </c>
      <c r="N1123" s="3" t="s">
        <v>28</v>
      </c>
      <c r="O1123" s="3" t="s">
        <v>27</v>
      </c>
      <c r="P1123" s="3" t="s">
        <v>27</v>
      </c>
      <c r="Q1123" s="3" t="s">
        <v>28</v>
      </c>
      <c r="R1123" s="3" t="s">
        <v>28</v>
      </c>
      <c r="S1123" s="3" t="s">
        <v>28</v>
      </c>
      <c r="T1123" s="3" t="s">
        <v>28</v>
      </c>
    </row>
    <row r="1124" spans="1:20" ht="275.25">
      <c r="A1124" s="3">
        <v>2733861</v>
      </c>
      <c r="B1124" s="3">
        <f>HYPERLINK("https://platform.v2.vetology.net/cases/2733861/screening-report/6?type=pdf&amp;v=v6&amp;scorecard=1&amp;secret_key=BX%25IJ%24%2F65ieZ%29f6", 2733861)</f>
        <v>2733861</v>
      </c>
      <c r="C1124" s="3">
        <f>HYPERLINK("https://platform.v2.vetology.net/report/v/final/"&amp;2733861, 2733861)</f>
        <v>2733861</v>
      </c>
      <c r="D1124" s="3" t="s">
        <v>4181</v>
      </c>
      <c r="E1124" s="3" t="s">
        <v>4182</v>
      </c>
      <c r="F1124" s="3" t="s">
        <v>4183</v>
      </c>
      <c r="G1124" s="3" t="s">
        <v>186</v>
      </c>
      <c r="H1124" s="3" t="s">
        <v>4184</v>
      </c>
      <c r="I1124" s="3" t="s">
        <v>136</v>
      </c>
      <c r="J1124" s="3" t="s">
        <v>424</v>
      </c>
      <c r="K1124" s="3" t="s">
        <v>28</v>
      </c>
      <c r="L1124" s="3" t="s">
        <v>28</v>
      </c>
      <c r="M1124" s="3" t="s">
        <v>28</v>
      </c>
      <c r="N1124" s="3" t="s">
        <v>28</v>
      </c>
      <c r="O1124" s="3" t="s">
        <v>27</v>
      </c>
      <c r="P1124" s="3" t="s">
        <v>28</v>
      </c>
      <c r="Q1124" s="3" t="s">
        <v>28</v>
      </c>
      <c r="R1124" s="3" t="s">
        <v>28</v>
      </c>
      <c r="S1124" s="3" t="s">
        <v>28</v>
      </c>
      <c r="T1124" s="3" t="s">
        <v>27</v>
      </c>
    </row>
    <row r="1125" spans="1:20" ht="409.6">
      <c r="A1125" s="3">
        <v>2733850</v>
      </c>
      <c r="B1125" s="3">
        <f>HYPERLINK("https://platform.v2.vetology.net/cases/2733850/screening-report/6?type=pdf&amp;v=v6&amp;scorecard=1&amp;secret_key=BX%25IJ%24%2F65ieZ%29f6", 2733850)</f>
        <v>2733850</v>
      </c>
      <c r="C1125" s="3">
        <f>HYPERLINK("https://platform.v2.vetology.net/report/v/final/"&amp;2733850, 2733850)</f>
        <v>2733850</v>
      </c>
      <c r="D1125" s="3" t="s">
        <v>4185</v>
      </c>
      <c r="E1125" s="3" t="s">
        <v>4186</v>
      </c>
      <c r="F1125" s="3" t="s">
        <v>222</v>
      </c>
      <c r="G1125" s="3" t="s">
        <v>186</v>
      </c>
      <c r="H1125" s="3" t="s">
        <v>4187</v>
      </c>
      <c r="I1125" s="3" t="s">
        <v>1592</v>
      </c>
      <c r="J1125" s="3" t="s">
        <v>4188</v>
      </c>
      <c r="K1125" s="3" t="s">
        <v>27</v>
      </c>
      <c r="L1125" s="3" t="s">
        <v>28</v>
      </c>
      <c r="M1125" s="3" t="s">
        <v>28</v>
      </c>
      <c r="N1125" s="3" t="s">
        <v>28</v>
      </c>
      <c r="O1125" s="3" t="s">
        <v>27</v>
      </c>
      <c r="P1125" s="3" t="s">
        <v>28</v>
      </c>
      <c r="Q1125" s="3" t="s">
        <v>28</v>
      </c>
      <c r="R1125" s="3" t="s">
        <v>27</v>
      </c>
      <c r="S1125" s="3" t="s">
        <v>27</v>
      </c>
      <c r="T1125" s="3" t="s">
        <v>28</v>
      </c>
    </row>
    <row r="1126" spans="1:20" ht="409.6">
      <c r="A1126" s="3">
        <v>2733825</v>
      </c>
      <c r="B1126" s="3">
        <f>HYPERLINK("https://platform.v2.vetology.net/cases/2733825/screening-report/6?type=pdf&amp;v=v6&amp;scorecard=1&amp;secret_key=BX%25IJ%24%2F65ieZ%29f6", 2733825)</f>
        <v>2733825</v>
      </c>
      <c r="C1126" s="3">
        <f>HYPERLINK("https://platform.v2.vetology.net/report/v/final/"&amp;2733825, 2733825)</f>
        <v>2733825</v>
      </c>
      <c r="D1126" s="3" t="s">
        <v>4189</v>
      </c>
      <c r="E1126" s="3" t="s">
        <v>4190</v>
      </c>
      <c r="F1126" s="3" t="s">
        <v>4191</v>
      </c>
      <c r="G1126" s="3" t="s">
        <v>64</v>
      </c>
      <c r="H1126" s="3" t="s">
        <v>1490</v>
      </c>
      <c r="I1126" s="3" t="s">
        <v>1491</v>
      </c>
      <c r="J1126" s="3" t="s">
        <v>1492</v>
      </c>
      <c r="K1126" s="3" t="s">
        <v>28</v>
      </c>
      <c r="L1126" s="3" t="s">
        <v>28</v>
      </c>
      <c r="M1126" s="3" t="s">
        <v>28</v>
      </c>
      <c r="N1126" s="3" t="s">
        <v>27</v>
      </c>
      <c r="O1126" s="3" t="s">
        <v>28</v>
      </c>
      <c r="P1126" s="3" t="s">
        <v>28</v>
      </c>
      <c r="Q1126" s="3" t="s">
        <v>28</v>
      </c>
      <c r="R1126" s="3" t="s">
        <v>28</v>
      </c>
      <c r="S1126" s="3" t="s">
        <v>28</v>
      </c>
      <c r="T1126" s="3" t="s">
        <v>28</v>
      </c>
    </row>
    <row r="1127" spans="1:20" ht="409.6">
      <c r="A1127" s="3">
        <v>2733823</v>
      </c>
      <c r="B1127" s="3">
        <f>HYPERLINK("https://platform.v2.vetology.net/cases/2733823/screening-report/6?type=pdf&amp;v=v6&amp;scorecard=1&amp;secret_key=BX%25IJ%24%2F65ieZ%29f6", 2733823)</f>
        <v>2733823</v>
      </c>
      <c r="C1127" s="3">
        <f>HYPERLINK("https://platform.v2.vetology.net/report/v/final/"&amp;2733823, 2733823)</f>
        <v>2733823</v>
      </c>
      <c r="D1127" s="3" t="s">
        <v>4192</v>
      </c>
      <c r="E1127" s="3" t="s">
        <v>4193</v>
      </c>
      <c r="F1127" s="3" t="s">
        <v>4194</v>
      </c>
      <c r="G1127" s="3" t="s">
        <v>179</v>
      </c>
      <c r="H1127" s="3" t="s">
        <v>4195</v>
      </c>
      <c r="I1127" s="3" t="s">
        <v>2771</v>
      </c>
      <c r="J1127" s="3" t="s">
        <v>2772</v>
      </c>
      <c r="K1127" s="3" t="s">
        <v>28</v>
      </c>
      <c r="L1127" s="3" t="s">
        <v>28</v>
      </c>
      <c r="M1127" s="3" t="s">
        <v>28</v>
      </c>
      <c r="N1127" s="3" t="s">
        <v>27</v>
      </c>
      <c r="O1127" s="3" t="s">
        <v>28</v>
      </c>
      <c r="P1127" s="3" t="s">
        <v>28</v>
      </c>
      <c r="Q1127" s="3" t="s">
        <v>28</v>
      </c>
      <c r="R1127" s="3" t="s">
        <v>27</v>
      </c>
      <c r="S1127" s="3" t="s">
        <v>27</v>
      </c>
      <c r="T1127" s="3" t="s">
        <v>27</v>
      </c>
    </row>
    <row r="1128" spans="1:20" ht="409.6">
      <c r="A1128" s="3">
        <v>2733821</v>
      </c>
      <c r="B1128" s="3">
        <f>HYPERLINK("https://platform.v2.vetology.net/cases/2733821/screening-report/6?type=pdf&amp;v=v6&amp;scorecard=1&amp;secret_key=BX%25IJ%24%2F65ieZ%29f6", 2733821)</f>
        <v>2733821</v>
      </c>
      <c r="C1128" s="3">
        <f>HYPERLINK("https://platform.v2.vetology.net/report/v/final/"&amp;2733821, 2733821)</f>
        <v>2733821</v>
      </c>
      <c r="D1128" s="3" t="s">
        <v>4196</v>
      </c>
      <c r="E1128" s="3" t="s">
        <v>4197</v>
      </c>
      <c r="F1128" s="3" t="s">
        <v>4198</v>
      </c>
      <c r="G1128" s="3" t="s">
        <v>211</v>
      </c>
      <c r="H1128" s="3" t="s">
        <v>135</v>
      </c>
      <c r="I1128" s="3" t="s">
        <v>136</v>
      </c>
      <c r="J1128" s="3" t="s">
        <v>137</v>
      </c>
      <c r="K1128" s="3" t="s">
        <v>28</v>
      </c>
      <c r="L1128" s="3" t="s">
        <v>28</v>
      </c>
      <c r="M1128" s="3" t="s">
        <v>28</v>
      </c>
      <c r="N1128" s="3" t="s">
        <v>27</v>
      </c>
      <c r="O1128" s="3" t="s">
        <v>27</v>
      </c>
      <c r="P1128" s="3" t="s">
        <v>28</v>
      </c>
      <c r="Q1128" s="3" t="s">
        <v>28</v>
      </c>
      <c r="R1128" s="3" t="s">
        <v>27</v>
      </c>
      <c r="S1128" s="3" t="s">
        <v>28</v>
      </c>
      <c r="T1128" s="3" t="s">
        <v>27</v>
      </c>
    </row>
    <row r="1129" spans="1:20" ht="244.5">
      <c r="A1129" s="3">
        <v>2733809</v>
      </c>
      <c r="B1129" s="3">
        <f>HYPERLINK("https://platform.v2.vetology.net/cases/2733809/screening-report/6?type=pdf&amp;v=v6&amp;scorecard=1&amp;secret_key=BX%25IJ%24%2F65ieZ%29f6", 2733809)</f>
        <v>2733809</v>
      </c>
      <c r="C1129" s="3">
        <f>HYPERLINK("https://platform.v2.vetology.net/report/v/final/"&amp;2733809, 2733809)</f>
        <v>2733809</v>
      </c>
      <c r="D1129" s="3" t="s">
        <v>3124</v>
      </c>
      <c r="E1129" s="3" t="s">
        <v>4199</v>
      </c>
      <c r="F1129" s="3" t="s">
        <v>1049</v>
      </c>
      <c r="G1129" s="3" t="s">
        <v>100</v>
      </c>
      <c r="H1129" s="3" t="s">
        <v>4200</v>
      </c>
      <c r="I1129" s="3"/>
      <c r="J1129" s="3" t="s">
        <v>399</v>
      </c>
      <c r="K1129" s="3" t="s">
        <v>28</v>
      </c>
      <c r="L1129" s="3" t="s">
        <v>28</v>
      </c>
      <c r="M1129" s="3" t="s">
        <v>28</v>
      </c>
      <c r="N1129" s="3" t="s">
        <v>28</v>
      </c>
      <c r="O1129" s="3" t="s">
        <v>27</v>
      </c>
      <c r="P1129" s="3" t="s">
        <v>28</v>
      </c>
      <c r="Q1129" s="3" t="s">
        <v>28</v>
      </c>
      <c r="R1129" s="3" t="s">
        <v>28</v>
      </c>
      <c r="S1129" s="3" t="s">
        <v>28</v>
      </c>
      <c r="T1129" s="3" t="s">
        <v>28</v>
      </c>
    </row>
    <row r="1130" spans="1:20" ht="305.25">
      <c r="A1130" s="3">
        <v>2733801</v>
      </c>
      <c r="B1130" s="3">
        <f>HYPERLINK("https://platform.v2.vetology.net/cases/2733801/screening-report/6?type=pdf&amp;v=v6&amp;scorecard=1&amp;secret_key=BX%25IJ%24%2F65ieZ%29f6", 2733801)</f>
        <v>2733801</v>
      </c>
      <c r="C1130" s="3">
        <f>HYPERLINK("https://platform.v2.vetology.net/report/v/final/"&amp;2733801, 2733801)</f>
        <v>2733801</v>
      </c>
      <c r="D1130" s="3" t="s">
        <v>4201</v>
      </c>
      <c r="E1130" s="3" t="s">
        <v>4202</v>
      </c>
      <c r="F1130" s="3" t="s">
        <v>4203</v>
      </c>
      <c r="G1130" s="3" t="s">
        <v>57</v>
      </c>
      <c r="H1130" s="3" t="s">
        <v>300</v>
      </c>
      <c r="I1130" s="3" t="s">
        <v>32</v>
      </c>
      <c r="J1130" s="3" t="s">
        <v>33</v>
      </c>
      <c r="K1130" s="3" t="s">
        <v>28</v>
      </c>
      <c r="L1130" s="3" t="s">
        <v>28</v>
      </c>
      <c r="M1130" s="3" t="s">
        <v>27</v>
      </c>
      <c r="N1130" s="3" t="s">
        <v>28</v>
      </c>
      <c r="O1130" s="3" t="s">
        <v>27</v>
      </c>
      <c r="P1130" s="3" t="s">
        <v>28</v>
      </c>
      <c r="Q1130" s="3" t="s">
        <v>27</v>
      </c>
      <c r="R1130" s="3" t="s">
        <v>28</v>
      </c>
      <c r="S1130" s="3" t="s">
        <v>28</v>
      </c>
      <c r="T1130" s="3" t="s">
        <v>27</v>
      </c>
    </row>
    <row r="1131" spans="1:20" ht="409.6">
      <c r="A1131" s="3">
        <v>2733686</v>
      </c>
      <c r="B1131" s="3">
        <f>HYPERLINK("https://platform.v2.vetology.net/cases/2733686/screening-report/6?type=pdf&amp;v=v6&amp;scorecard=1&amp;secret_key=BX%25IJ%24%2F65ieZ%29f6", 2733686)</f>
        <v>2733686</v>
      </c>
      <c r="C1131" s="3">
        <f>HYPERLINK("https://platform.v2.vetology.net/report/v/final/"&amp;2733686, 2733686)</f>
        <v>2733686</v>
      </c>
      <c r="D1131" s="3" t="s">
        <v>4204</v>
      </c>
      <c r="E1131" s="3" t="s">
        <v>4205</v>
      </c>
      <c r="F1131" s="3" t="s">
        <v>4206</v>
      </c>
      <c r="G1131" s="3" t="s">
        <v>211</v>
      </c>
      <c r="H1131" s="3" t="s">
        <v>4207</v>
      </c>
      <c r="I1131" s="3" t="s">
        <v>1592</v>
      </c>
      <c r="J1131" s="3" t="s">
        <v>4188</v>
      </c>
      <c r="K1131" s="3" t="s">
        <v>27</v>
      </c>
      <c r="L1131" s="3" t="s">
        <v>28</v>
      </c>
      <c r="M1131" s="3" t="s">
        <v>28</v>
      </c>
      <c r="N1131" s="3" t="s">
        <v>28</v>
      </c>
      <c r="O1131" s="3" t="s">
        <v>27</v>
      </c>
      <c r="P1131" s="3" t="s">
        <v>28</v>
      </c>
      <c r="Q1131" s="3" t="s">
        <v>27</v>
      </c>
      <c r="R1131" s="3" t="s">
        <v>28</v>
      </c>
      <c r="S1131" s="3" t="s">
        <v>27</v>
      </c>
      <c r="T1131" s="3" t="s">
        <v>28</v>
      </c>
    </row>
    <row r="1132" spans="1:20" ht="409.6">
      <c r="A1132" s="3">
        <v>2733669</v>
      </c>
      <c r="B1132" s="3">
        <f>HYPERLINK("https://platform.v2.vetology.net/cases/2733669/screening-report/6?type=pdf&amp;v=v6&amp;scorecard=1&amp;secret_key=BX%25IJ%24%2F65ieZ%29f6", 2733669)</f>
        <v>2733669</v>
      </c>
      <c r="C1132" s="3">
        <f>HYPERLINK("https://platform.v2.vetology.net/report/v/final/"&amp;2733669, 2733669)</f>
        <v>2733669</v>
      </c>
      <c r="D1132" s="3" t="s">
        <v>4208</v>
      </c>
      <c r="E1132" s="3" t="s">
        <v>4209</v>
      </c>
      <c r="F1132" s="3" t="s">
        <v>4210</v>
      </c>
      <c r="G1132" s="3" t="s">
        <v>64</v>
      </c>
      <c r="H1132" s="3" t="s">
        <v>4211</v>
      </c>
      <c r="I1132" s="3" t="s">
        <v>3369</v>
      </c>
      <c r="J1132" s="3" t="s">
        <v>207</v>
      </c>
      <c r="K1132" s="3" t="s">
        <v>28</v>
      </c>
      <c r="L1132" s="3" t="s">
        <v>28</v>
      </c>
      <c r="M1132" s="3" t="s">
        <v>28</v>
      </c>
      <c r="N1132" s="3" t="s">
        <v>28</v>
      </c>
      <c r="O1132" s="3" t="s">
        <v>28</v>
      </c>
      <c r="P1132" s="3" t="s">
        <v>28</v>
      </c>
      <c r="Q1132" s="3" t="s">
        <v>28</v>
      </c>
      <c r="R1132" s="3" t="s">
        <v>28</v>
      </c>
      <c r="S1132" s="3" t="s">
        <v>28</v>
      </c>
      <c r="T1132" s="3" t="s">
        <v>28</v>
      </c>
    </row>
    <row r="1133" spans="1:20" ht="409.6">
      <c r="A1133" s="3">
        <v>2733661</v>
      </c>
      <c r="B1133" s="3">
        <f>HYPERLINK("https://platform.v2.vetology.net/cases/2733661/screening-report/6?type=pdf&amp;v=v6&amp;scorecard=1&amp;secret_key=BX%25IJ%24%2F65ieZ%29f6", 2733661)</f>
        <v>2733661</v>
      </c>
      <c r="C1133" s="3">
        <f>HYPERLINK("https://platform.v2.vetology.net/report/v/final/"&amp;2733661, 2733661)</f>
        <v>2733661</v>
      </c>
      <c r="D1133" s="3" t="s">
        <v>4212</v>
      </c>
      <c r="E1133" s="3" t="s">
        <v>4213</v>
      </c>
      <c r="F1133" s="3" t="s">
        <v>4214</v>
      </c>
      <c r="G1133" s="3" t="s">
        <v>211</v>
      </c>
      <c r="H1133" s="3" t="s">
        <v>4215</v>
      </c>
      <c r="I1133" s="3" t="s">
        <v>1404</v>
      </c>
      <c r="J1133" s="3" t="s">
        <v>1405</v>
      </c>
      <c r="K1133" s="3" t="s">
        <v>27</v>
      </c>
      <c r="L1133" s="3" t="s">
        <v>28</v>
      </c>
      <c r="M1133" s="3" t="s">
        <v>27</v>
      </c>
      <c r="N1133" s="3" t="s">
        <v>28</v>
      </c>
      <c r="O1133" s="3" t="s">
        <v>27</v>
      </c>
      <c r="P1133" s="3" t="s">
        <v>28</v>
      </c>
      <c r="Q1133" s="3" t="s">
        <v>27</v>
      </c>
      <c r="R1133" s="3" t="s">
        <v>28</v>
      </c>
      <c r="S1133" s="3" t="s">
        <v>28</v>
      </c>
      <c r="T1133" s="3" t="s">
        <v>28</v>
      </c>
    </row>
    <row r="1134" spans="1:20" ht="229.5">
      <c r="A1134" s="3">
        <v>2733659</v>
      </c>
      <c r="B1134" s="3">
        <f>HYPERLINK("https://platform.v2.vetology.net/cases/2733659/screening-report/6?type=pdf&amp;v=v6&amp;scorecard=1&amp;secret_key=BX%25IJ%24%2F65ieZ%29f6", 2733659)</f>
        <v>2733659</v>
      </c>
      <c r="C1134" s="3">
        <f>HYPERLINK("https://platform.v2.vetology.net/report/v/final/"&amp;2733659, 2733659)</f>
        <v>2733659</v>
      </c>
      <c r="D1134" s="3" t="s">
        <v>4216</v>
      </c>
      <c r="E1134" s="3" t="s">
        <v>4217</v>
      </c>
      <c r="F1134" s="3" t="s">
        <v>22</v>
      </c>
      <c r="G1134" s="3" t="s">
        <v>100</v>
      </c>
      <c r="H1134" s="3" t="s">
        <v>1259</v>
      </c>
      <c r="I1134" s="3"/>
      <c r="J1134" s="3" t="s">
        <v>207</v>
      </c>
      <c r="K1134" s="3" t="s">
        <v>28</v>
      </c>
      <c r="L1134" s="3" t="s">
        <v>28</v>
      </c>
      <c r="M1134" s="3" t="s">
        <v>28</v>
      </c>
      <c r="N1134" s="3" t="s">
        <v>28</v>
      </c>
      <c r="O1134" s="3" t="s">
        <v>27</v>
      </c>
      <c r="P1134" s="3" t="s">
        <v>28</v>
      </c>
      <c r="Q1134" s="3" t="s">
        <v>27</v>
      </c>
      <c r="R1134" s="3" t="s">
        <v>28</v>
      </c>
      <c r="S1134" s="3" t="s">
        <v>28</v>
      </c>
      <c r="T1134" s="3" t="s">
        <v>28</v>
      </c>
    </row>
    <row r="1135" spans="1:20" ht="229.5">
      <c r="A1135" s="3">
        <v>2733592</v>
      </c>
      <c r="B1135" s="3">
        <f>HYPERLINK("https://platform.v2.vetology.net/cases/2733592/screening-report/6?type=pdf&amp;v=v6&amp;scorecard=1&amp;secret_key=BX%25IJ%24%2F65ieZ%29f6", 2733592)</f>
        <v>2733592</v>
      </c>
      <c r="C1135" s="3">
        <f>HYPERLINK("https://platform.v2.vetology.net/report/v/final/"&amp;2733592, 2733592)</f>
        <v>2733592</v>
      </c>
      <c r="D1135" s="3" t="s">
        <v>4218</v>
      </c>
      <c r="E1135" s="3" t="s">
        <v>4219</v>
      </c>
      <c r="F1135" s="3" t="s">
        <v>22</v>
      </c>
      <c r="G1135" s="3" t="s">
        <v>100</v>
      </c>
      <c r="H1135" s="3" t="s">
        <v>31</v>
      </c>
      <c r="I1135" s="3" t="s">
        <v>32</v>
      </c>
      <c r="J1135" s="3" t="s">
        <v>119</v>
      </c>
      <c r="K1135" s="3" t="s">
        <v>28</v>
      </c>
      <c r="L1135" s="3" t="s">
        <v>28</v>
      </c>
      <c r="M1135" s="3" t="s">
        <v>28</v>
      </c>
      <c r="N1135" s="3" t="s">
        <v>28</v>
      </c>
      <c r="O1135" s="3" t="s">
        <v>28</v>
      </c>
      <c r="P1135" s="3" t="s">
        <v>28</v>
      </c>
      <c r="Q1135" s="3" t="s">
        <v>28</v>
      </c>
      <c r="R1135" s="3" t="s">
        <v>28</v>
      </c>
      <c r="S1135" s="3" t="s">
        <v>28</v>
      </c>
      <c r="T1135" s="3" t="s">
        <v>28</v>
      </c>
    </row>
    <row r="1136" spans="1:20" ht="396.75">
      <c r="A1136" s="3">
        <v>2733586</v>
      </c>
      <c r="B1136" s="3">
        <f>HYPERLINK("https://platform.v2.vetology.net/cases/2733586/screening-report/6?type=pdf&amp;v=v6&amp;scorecard=1&amp;secret_key=BX%25IJ%24%2F65ieZ%29f6", 2733586)</f>
        <v>2733586</v>
      </c>
      <c r="C1136" s="3">
        <f>HYPERLINK("https://platform.v2.vetology.net/report/v/final/"&amp;2733586, 2733586)</f>
        <v>2733586</v>
      </c>
      <c r="D1136" s="3" t="s">
        <v>4220</v>
      </c>
      <c r="E1136" s="3" t="s">
        <v>4221</v>
      </c>
      <c r="F1136" s="3" t="s">
        <v>4222</v>
      </c>
      <c r="G1136" s="3" t="s">
        <v>211</v>
      </c>
      <c r="H1136" s="3" t="s">
        <v>4223</v>
      </c>
      <c r="I1136" s="3" t="s">
        <v>596</v>
      </c>
      <c r="J1136" s="3" t="s">
        <v>597</v>
      </c>
      <c r="K1136" s="3" t="s">
        <v>28</v>
      </c>
      <c r="L1136" s="3" t="s">
        <v>28</v>
      </c>
      <c r="M1136" s="3" t="s">
        <v>28</v>
      </c>
      <c r="N1136" s="3" t="s">
        <v>27</v>
      </c>
      <c r="O1136" s="3" t="s">
        <v>27</v>
      </c>
      <c r="P1136" s="3" t="s">
        <v>28</v>
      </c>
      <c r="Q1136" s="3" t="s">
        <v>28</v>
      </c>
      <c r="R1136" s="3" t="s">
        <v>27</v>
      </c>
      <c r="S1136" s="3" t="s">
        <v>28</v>
      </c>
      <c r="T1136" s="3" t="s">
        <v>27</v>
      </c>
    </row>
    <row r="1137" spans="1:20" ht="409.6">
      <c r="A1137" s="3">
        <v>2733557</v>
      </c>
      <c r="B1137" s="3">
        <f>HYPERLINK("https://platform.v2.vetology.net/cases/2733557/screening-report/6?type=pdf&amp;v=v6&amp;scorecard=1&amp;secret_key=BX%25IJ%24%2F65ieZ%29f6", 2733557)</f>
        <v>2733557</v>
      </c>
      <c r="C1137" s="3">
        <f>HYPERLINK("https://platform.v2.vetology.net/report/v/final/"&amp;2733557, 2733557)</f>
        <v>2733557</v>
      </c>
      <c r="D1137" s="3" t="s">
        <v>4224</v>
      </c>
      <c r="E1137" s="3" t="s">
        <v>4225</v>
      </c>
      <c r="F1137" s="3" t="s">
        <v>4226</v>
      </c>
      <c r="G1137" s="3" t="s">
        <v>100</v>
      </c>
      <c r="H1137" s="3" t="s">
        <v>4227</v>
      </c>
      <c r="I1137" s="3" t="s">
        <v>1312</v>
      </c>
      <c r="J1137" s="3" t="s">
        <v>4228</v>
      </c>
      <c r="K1137" s="3" t="s">
        <v>27</v>
      </c>
      <c r="L1137" s="3" t="s">
        <v>27</v>
      </c>
      <c r="M1137" s="3" t="s">
        <v>27</v>
      </c>
      <c r="N1137" s="3" t="s">
        <v>28</v>
      </c>
      <c r="O1137" s="3" t="s">
        <v>27</v>
      </c>
      <c r="P1137" s="3" t="s">
        <v>28</v>
      </c>
      <c r="Q1137" s="3" t="s">
        <v>27</v>
      </c>
      <c r="R1137" s="3" t="s">
        <v>28</v>
      </c>
      <c r="S1137" s="3" t="s">
        <v>27</v>
      </c>
      <c r="T1137" s="3" t="s">
        <v>28</v>
      </c>
    </row>
    <row r="1138" spans="1:20" ht="409.6">
      <c r="A1138" s="3">
        <v>2733456</v>
      </c>
      <c r="B1138" s="3">
        <f>HYPERLINK("https://platform.v2.vetology.net/cases/2733456/screening-report/6?type=pdf&amp;v=v6&amp;scorecard=1&amp;secret_key=BX%25IJ%24%2F65ieZ%29f6", 2733456)</f>
        <v>2733456</v>
      </c>
      <c r="C1138" s="3">
        <f>HYPERLINK("https://platform.v2.vetology.net/report/v/final/"&amp;2733456, 2733456)</f>
        <v>2733456</v>
      </c>
      <c r="D1138" s="3" t="s">
        <v>4229</v>
      </c>
      <c r="E1138" s="3" t="s">
        <v>4230</v>
      </c>
      <c r="F1138" s="3" t="s">
        <v>4231</v>
      </c>
      <c r="G1138" s="3" t="s">
        <v>57</v>
      </c>
      <c r="H1138" s="3" t="s">
        <v>4232</v>
      </c>
      <c r="I1138" s="3" t="s">
        <v>95</v>
      </c>
      <c r="J1138" s="3" t="s">
        <v>96</v>
      </c>
      <c r="K1138" s="3" t="s">
        <v>27</v>
      </c>
      <c r="L1138" s="3" t="s">
        <v>28</v>
      </c>
      <c r="M1138" s="3" t="s">
        <v>28</v>
      </c>
      <c r="N1138" s="3" t="s">
        <v>28</v>
      </c>
      <c r="O1138" s="3" t="s">
        <v>27</v>
      </c>
      <c r="P1138" s="3" t="s">
        <v>28</v>
      </c>
      <c r="Q1138" s="3" t="s">
        <v>27</v>
      </c>
      <c r="R1138" s="3" t="s">
        <v>28</v>
      </c>
      <c r="S1138" s="3" t="s">
        <v>27</v>
      </c>
      <c r="T1138" s="3" t="s">
        <v>28</v>
      </c>
    </row>
    <row r="1139" spans="1:20" ht="409.6">
      <c r="A1139" s="3">
        <v>2733422</v>
      </c>
      <c r="B1139" s="3">
        <f>HYPERLINK("https://platform.v2.vetology.net/cases/2733422/screening-report/6?type=pdf&amp;v=v6&amp;scorecard=1&amp;secret_key=BX%25IJ%24%2F65ieZ%29f6", 2733422)</f>
        <v>2733422</v>
      </c>
      <c r="C1139" s="3">
        <f>HYPERLINK("https://platform.v2.vetology.net/report/v/final/"&amp;2733422, 2733422)</f>
        <v>2733422</v>
      </c>
      <c r="D1139" s="3" t="s">
        <v>4233</v>
      </c>
      <c r="E1139" s="3" t="s">
        <v>4234</v>
      </c>
      <c r="F1139" s="3" t="s">
        <v>2979</v>
      </c>
      <c r="G1139" s="3" t="s">
        <v>122</v>
      </c>
      <c r="H1139" s="3" t="s">
        <v>4235</v>
      </c>
      <c r="I1139" s="3" t="s">
        <v>927</v>
      </c>
      <c r="J1139" s="3" t="s">
        <v>928</v>
      </c>
      <c r="K1139" s="3" t="s">
        <v>27</v>
      </c>
      <c r="L1139" s="3" t="s">
        <v>27</v>
      </c>
      <c r="M1139" s="3" t="s">
        <v>27</v>
      </c>
      <c r="N1139" s="3" t="s">
        <v>28</v>
      </c>
      <c r="O1139" s="3" t="s">
        <v>27</v>
      </c>
      <c r="P1139" s="3" t="s">
        <v>28</v>
      </c>
      <c r="Q1139" s="3" t="s">
        <v>27</v>
      </c>
      <c r="R1139" s="3" t="s">
        <v>28</v>
      </c>
      <c r="S1139" s="3" t="s">
        <v>27</v>
      </c>
      <c r="T1139" s="3" t="s">
        <v>28</v>
      </c>
    </row>
    <row r="1140" spans="1:20" ht="409.6">
      <c r="A1140" s="3">
        <v>2733389</v>
      </c>
      <c r="B1140" s="3">
        <f>HYPERLINK("https://platform.v2.vetology.net/cases/2733389/screening-report/6?type=pdf&amp;v=v6&amp;scorecard=1&amp;secret_key=BX%25IJ%24%2F65ieZ%29f6", 2733389)</f>
        <v>2733389</v>
      </c>
      <c r="C1140" s="3">
        <f>HYPERLINK("https://platform.v2.vetology.net/report/v/final/"&amp;2733389, 2733389)</f>
        <v>2733389</v>
      </c>
      <c r="D1140" s="3" t="s">
        <v>4236</v>
      </c>
      <c r="E1140" s="3" t="s">
        <v>4237</v>
      </c>
      <c r="F1140" s="3" t="s">
        <v>4238</v>
      </c>
      <c r="G1140" s="3" t="s">
        <v>211</v>
      </c>
      <c r="H1140" s="3" t="s">
        <v>4239</v>
      </c>
      <c r="I1140" s="3" t="s">
        <v>78</v>
      </c>
      <c r="J1140" s="3" t="s">
        <v>1780</v>
      </c>
      <c r="K1140" s="3" t="s">
        <v>28</v>
      </c>
      <c r="L1140" s="3" t="s">
        <v>28</v>
      </c>
      <c r="M1140" s="3" t="s">
        <v>28</v>
      </c>
      <c r="N1140" s="3" t="s">
        <v>28</v>
      </c>
      <c r="O1140" s="3" t="s">
        <v>27</v>
      </c>
      <c r="P1140" s="3" t="s">
        <v>27</v>
      </c>
      <c r="Q1140" s="3" t="s">
        <v>27</v>
      </c>
      <c r="R1140" s="3" t="s">
        <v>28</v>
      </c>
      <c r="S1140" s="3" t="s">
        <v>28</v>
      </c>
      <c r="T1140" s="3" t="s">
        <v>28</v>
      </c>
    </row>
    <row r="1141" spans="1:20" ht="381.75">
      <c r="A1141" s="3">
        <v>2733378</v>
      </c>
      <c r="B1141" s="3">
        <f>HYPERLINK("https://platform.v2.vetology.net/cases/2733378/screening-report/6?type=pdf&amp;v=v6&amp;scorecard=1&amp;secret_key=BX%25IJ%24%2F65ieZ%29f6", 2733378)</f>
        <v>2733378</v>
      </c>
      <c r="C1141" s="3">
        <f>HYPERLINK("https://platform.v2.vetology.net/report/v/final/"&amp;2733378, 2733378)</f>
        <v>2733378</v>
      </c>
      <c r="D1141" s="3" t="s">
        <v>4240</v>
      </c>
      <c r="E1141" s="3" t="s">
        <v>4241</v>
      </c>
      <c r="F1141" s="3" t="s">
        <v>4242</v>
      </c>
      <c r="G1141" s="3" t="s">
        <v>179</v>
      </c>
      <c r="H1141" s="3" t="s">
        <v>4243</v>
      </c>
      <c r="I1141" s="3" t="s">
        <v>1312</v>
      </c>
      <c r="J1141" s="3" t="s">
        <v>1313</v>
      </c>
      <c r="K1141" s="3" t="s">
        <v>27</v>
      </c>
      <c r="L1141" s="3" t="s">
        <v>27</v>
      </c>
      <c r="M1141" s="3" t="s">
        <v>27</v>
      </c>
      <c r="N1141" s="3" t="s">
        <v>28</v>
      </c>
      <c r="O1141" s="3" t="s">
        <v>27</v>
      </c>
      <c r="P1141" s="3" t="s">
        <v>28</v>
      </c>
      <c r="Q1141" s="3" t="s">
        <v>27</v>
      </c>
      <c r="R1141" s="3" t="s">
        <v>28</v>
      </c>
      <c r="S1141" s="3" t="s">
        <v>27</v>
      </c>
      <c r="T1141" s="3" t="s">
        <v>28</v>
      </c>
    </row>
    <row r="1142" spans="1:20" ht="305.25">
      <c r="A1142" s="3">
        <v>2733282</v>
      </c>
      <c r="B1142" s="3">
        <f>HYPERLINK("https://platform.v2.vetology.net/cases/2733282/screening-report/6?type=pdf&amp;v=v6&amp;scorecard=1&amp;secret_key=BX%25IJ%24%2F65ieZ%29f6", 2733282)</f>
        <v>2733282</v>
      </c>
      <c r="C1142" s="3">
        <f>HYPERLINK("https://platform.v2.vetology.net/report/v/final/"&amp;2733282, 2733282)</f>
        <v>2733282</v>
      </c>
      <c r="D1142" s="3" t="s">
        <v>4244</v>
      </c>
      <c r="E1142" s="3" t="s">
        <v>4245</v>
      </c>
      <c r="F1142" s="3" t="s">
        <v>4246</v>
      </c>
      <c r="G1142" s="3" t="s">
        <v>211</v>
      </c>
      <c r="H1142" s="3" t="s">
        <v>4247</v>
      </c>
      <c r="I1142" s="3" t="s">
        <v>1082</v>
      </c>
      <c r="J1142" s="3" t="s">
        <v>1083</v>
      </c>
      <c r="K1142" s="3" t="s">
        <v>28</v>
      </c>
      <c r="L1142" s="3" t="s">
        <v>28</v>
      </c>
      <c r="M1142" s="3" t="s">
        <v>28</v>
      </c>
      <c r="N1142" s="3" t="s">
        <v>28</v>
      </c>
      <c r="O1142" s="3" t="s">
        <v>27</v>
      </c>
      <c r="P1142" s="3" t="s">
        <v>28</v>
      </c>
      <c r="Q1142" s="3" t="s">
        <v>27</v>
      </c>
      <c r="R1142" s="3" t="s">
        <v>28</v>
      </c>
      <c r="S1142" s="3" t="s">
        <v>28</v>
      </c>
      <c r="T1142" s="3" t="s">
        <v>27</v>
      </c>
    </row>
    <row r="1143" spans="1:20" ht="381.75">
      <c r="A1143" s="3">
        <v>2733267</v>
      </c>
      <c r="B1143" s="3">
        <f>HYPERLINK("https://platform.v2.vetology.net/cases/2733267/screening-report/6?type=pdf&amp;v=v6&amp;scorecard=1&amp;secret_key=BX%25IJ%24%2F65ieZ%29f6", 2733267)</f>
        <v>2733267</v>
      </c>
      <c r="C1143" s="3">
        <f>HYPERLINK("https://platform.v2.vetology.net/report/v/final/"&amp;2733267, 2733267)</f>
        <v>2733267</v>
      </c>
      <c r="D1143" s="3" t="s">
        <v>4248</v>
      </c>
      <c r="E1143" s="3" t="s">
        <v>4249</v>
      </c>
      <c r="F1143" s="3" t="s">
        <v>4250</v>
      </c>
      <c r="G1143" s="3" t="s">
        <v>23</v>
      </c>
      <c r="H1143" s="3" t="s">
        <v>1896</v>
      </c>
      <c r="I1143" s="3" t="s">
        <v>1897</v>
      </c>
      <c r="J1143" s="3" t="s">
        <v>325</v>
      </c>
      <c r="K1143" s="3" t="s">
        <v>28</v>
      </c>
      <c r="L1143" s="3" t="s">
        <v>27</v>
      </c>
      <c r="M1143" s="3" t="s">
        <v>28</v>
      </c>
      <c r="N1143" s="3" t="s">
        <v>27</v>
      </c>
      <c r="O1143" s="3" t="s">
        <v>27</v>
      </c>
      <c r="P1143" s="3" t="s">
        <v>28</v>
      </c>
      <c r="Q1143" s="3" t="s">
        <v>28</v>
      </c>
      <c r="R1143" s="3" t="s">
        <v>28</v>
      </c>
      <c r="S1143" s="3" t="s">
        <v>27</v>
      </c>
      <c r="T1143" s="3" t="s">
        <v>28</v>
      </c>
    </row>
    <row r="1144" spans="1:20" ht="396.75">
      <c r="A1144" s="3">
        <v>2733251</v>
      </c>
      <c r="B1144" s="3">
        <f>HYPERLINK("https://platform.v2.vetology.net/cases/2733251/screening-report/6?type=pdf&amp;v=v6&amp;scorecard=1&amp;secret_key=BX%25IJ%24%2F65ieZ%29f6", 2733251)</f>
        <v>2733251</v>
      </c>
      <c r="C1144" s="3">
        <f>HYPERLINK("https://platform.v2.vetology.net/report/v/final/"&amp;2733251, 2733251)</f>
        <v>2733251</v>
      </c>
      <c r="D1144" s="3" t="s">
        <v>1635</v>
      </c>
      <c r="E1144" s="3" t="s">
        <v>2332</v>
      </c>
      <c r="F1144" s="3" t="s">
        <v>4251</v>
      </c>
      <c r="G1144" s="3" t="s">
        <v>211</v>
      </c>
      <c r="H1144" s="3" t="s">
        <v>1326</v>
      </c>
      <c r="I1144" s="3" t="s">
        <v>351</v>
      </c>
      <c r="J1144" s="3" t="s">
        <v>352</v>
      </c>
      <c r="K1144" s="3" t="s">
        <v>28</v>
      </c>
      <c r="L1144" s="3" t="s">
        <v>28</v>
      </c>
      <c r="M1144" s="3" t="s">
        <v>28</v>
      </c>
      <c r="N1144" s="3" t="s">
        <v>28</v>
      </c>
      <c r="O1144" s="3" t="s">
        <v>28</v>
      </c>
      <c r="P1144" s="3" t="s">
        <v>28</v>
      </c>
      <c r="Q1144" s="3" t="s">
        <v>28</v>
      </c>
      <c r="R1144" s="3" t="s">
        <v>28</v>
      </c>
      <c r="S1144" s="3" t="s">
        <v>28</v>
      </c>
      <c r="T1144" s="3" t="s">
        <v>27</v>
      </c>
    </row>
    <row r="1145" spans="1:20" ht="409.6">
      <c r="A1145" s="3">
        <v>2733212</v>
      </c>
      <c r="B1145" s="3">
        <f>HYPERLINK("https://platform.v2.vetology.net/cases/2733212/screening-report/6?type=pdf&amp;v=v6&amp;scorecard=1&amp;secret_key=BX%25IJ%24%2F65ieZ%29f6", 2733212)</f>
        <v>2733212</v>
      </c>
      <c r="C1145" s="3">
        <f>HYPERLINK("https://platform.v2.vetology.net/report/v/final/"&amp;2733212, 2733212)</f>
        <v>2733212</v>
      </c>
      <c r="D1145" s="3" t="s">
        <v>4252</v>
      </c>
      <c r="E1145" s="3" t="s">
        <v>4253</v>
      </c>
      <c r="F1145" s="3" t="s">
        <v>4254</v>
      </c>
      <c r="G1145" s="3" t="s">
        <v>179</v>
      </c>
      <c r="H1145" s="3" t="s">
        <v>4235</v>
      </c>
      <c r="I1145" s="3" t="s">
        <v>927</v>
      </c>
      <c r="J1145" s="3" t="s">
        <v>928</v>
      </c>
      <c r="K1145" s="3" t="s">
        <v>27</v>
      </c>
      <c r="L1145" s="3" t="s">
        <v>27</v>
      </c>
      <c r="M1145" s="3" t="s">
        <v>27</v>
      </c>
      <c r="N1145" s="3" t="s">
        <v>28</v>
      </c>
      <c r="O1145" s="3" t="s">
        <v>27</v>
      </c>
      <c r="P1145" s="3" t="s">
        <v>28</v>
      </c>
      <c r="Q1145" s="3" t="s">
        <v>27</v>
      </c>
      <c r="R1145" s="3" t="s">
        <v>28</v>
      </c>
      <c r="S1145" s="3" t="s">
        <v>27</v>
      </c>
      <c r="T1145" s="3" t="s">
        <v>28</v>
      </c>
    </row>
    <row r="1146" spans="1:20" ht="409.6">
      <c r="A1146" s="3">
        <v>2733174</v>
      </c>
      <c r="B1146" s="3">
        <f>HYPERLINK("https://platform.v2.vetology.net/cases/2733174/screening-report/6?type=pdf&amp;v=v6&amp;scorecard=1&amp;secret_key=BX%25IJ%24%2F65ieZ%29f6", 2733174)</f>
        <v>2733174</v>
      </c>
      <c r="C1146" s="3">
        <f>HYPERLINK("https://platform.v2.vetology.net/report/v/final/"&amp;2733174, 2733174)</f>
        <v>2733174</v>
      </c>
      <c r="D1146" s="3" t="s">
        <v>4255</v>
      </c>
      <c r="E1146" s="3" t="s">
        <v>4256</v>
      </c>
      <c r="F1146" s="3" t="s">
        <v>4257</v>
      </c>
      <c r="G1146" s="3" t="s">
        <v>179</v>
      </c>
      <c r="H1146" s="3" t="s">
        <v>4258</v>
      </c>
      <c r="I1146" s="3" t="s">
        <v>1688</v>
      </c>
      <c r="J1146" s="3" t="s">
        <v>207</v>
      </c>
      <c r="K1146" s="3" t="s">
        <v>27</v>
      </c>
      <c r="L1146" s="3" t="s">
        <v>28</v>
      </c>
      <c r="M1146" s="3" t="s">
        <v>27</v>
      </c>
      <c r="N1146" s="3" t="s">
        <v>28</v>
      </c>
      <c r="O1146" s="3" t="s">
        <v>27</v>
      </c>
      <c r="P1146" s="3" t="s">
        <v>28</v>
      </c>
      <c r="Q1146" s="3" t="s">
        <v>27</v>
      </c>
      <c r="R1146" s="3" t="s">
        <v>28</v>
      </c>
      <c r="S1146" s="3" t="s">
        <v>28</v>
      </c>
      <c r="T1146" s="3" t="s">
        <v>27</v>
      </c>
    </row>
    <row r="1147" spans="1:20" ht="409.6">
      <c r="A1147" s="3">
        <v>2733150</v>
      </c>
      <c r="B1147" s="3">
        <f>HYPERLINK("https://platform.v2.vetology.net/cases/2733150/screening-report/6?type=pdf&amp;v=v6&amp;scorecard=1&amp;secret_key=BX%25IJ%24%2F65ieZ%29f6", 2733150)</f>
        <v>2733150</v>
      </c>
      <c r="C1147" s="3">
        <f>HYPERLINK("https://platform.v2.vetology.net/report/v/final/"&amp;2733150, 2733150)</f>
        <v>2733150</v>
      </c>
      <c r="D1147" s="3" t="s">
        <v>4259</v>
      </c>
      <c r="E1147" s="3" t="s">
        <v>4260</v>
      </c>
      <c r="F1147" s="3" t="s">
        <v>4261</v>
      </c>
      <c r="G1147" s="3" t="s">
        <v>64</v>
      </c>
      <c r="H1147" s="3" t="s">
        <v>2258</v>
      </c>
      <c r="I1147" s="3" t="s">
        <v>2259</v>
      </c>
      <c r="J1147" s="3" t="s">
        <v>2260</v>
      </c>
      <c r="K1147" s="3" t="s">
        <v>28</v>
      </c>
      <c r="L1147" s="3" t="s">
        <v>28</v>
      </c>
      <c r="M1147" s="3" t="s">
        <v>28</v>
      </c>
      <c r="N1147" s="3" t="s">
        <v>28</v>
      </c>
      <c r="O1147" s="3" t="s">
        <v>27</v>
      </c>
      <c r="P1147" s="3" t="s">
        <v>28</v>
      </c>
      <c r="Q1147" s="3" t="s">
        <v>28</v>
      </c>
      <c r="R1147" s="3" t="s">
        <v>28</v>
      </c>
      <c r="S1147" s="3" t="s">
        <v>28</v>
      </c>
      <c r="T1147" s="3" t="s">
        <v>28</v>
      </c>
    </row>
    <row r="1148" spans="1:20" ht="409.6">
      <c r="A1148" s="3">
        <v>2733125</v>
      </c>
      <c r="B1148" s="3">
        <f>HYPERLINK("https://platform.v2.vetology.net/cases/2733125/screening-report/6?type=pdf&amp;v=v6&amp;scorecard=1&amp;secret_key=BX%25IJ%24%2F65ieZ%29f6", 2733125)</f>
        <v>2733125</v>
      </c>
      <c r="C1148" s="3">
        <f>HYPERLINK("https://platform.v2.vetology.net/report/v/final/"&amp;2733125, 2733125)</f>
        <v>2733125</v>
      </c>
      <c r="D1148" s="3" t="s">
        <v>4262</v>
      </c>
      <c r="E1148" s="3" t="s">
        <v>4263</v>
      </c>
      <c r="F1148" s="3" t="s">
        <v>2678</v>
      </c>
      <c r="G1148" s="3" t="s">
        <v>179</v>
      </c>
      <c r="H1148" s="3" t="s">
        <v>4264</v>
      </c>
      <c r="I1148" s="3" t="s">
        <v>693</v>
      </c>
      <c r="J1148" s="3" t="s">
        <v>335</v>
      </c>
      <c r="K1148" s="3" t="s">
        <v>28</v>
      </c>
      <c r="L1148" s="3" t="s">
        <v>28</v>
      </c>
      <c r="M1148" s="3" t="s">
        <v>28</v>
      </c>
      <c r="N1148" s="3" t="s">
        <v>28</v>
      </c>
      <c r="O1148" s="3" t="s">
        <v>28</v>
      </c>
      <c r="P1148" s="3" t="s">
        <v>28</v>
      </c>
      <c r="Q1148" s="3" t="s">
        <v>28</v>
      </c>
      <c r="R1148" s="3" t="s">
        <v>28</v>
      </c>
      <c r="S1148" s="3" t="s">
        <v>28</v>
      </c>
      <c r="T1148" s="3" t="s">
        <v>28</v>
      </c>
    </row>
    <row r="1149" spans="1:20" ht="409.6">
      <c r="A1149" s="3">
        <v>2733107</v>
      </c>
      <c r="B1149" s="3">
        <f>HYPERLINK("https://platform.v2.vetology.net/cases/2733107/screening-report/6?type=pdf&amp;v=v6&amp;scorecard=1&amp;secret_key=BX%25IJ%24%2F65ieZ%29f6", 2733107)</f>
        <v>2733107</v>
      </c>
      <c r="C1149" s="3">
        <f>HYPERLINK("https://platform.v2.vetology.net/report/v/final/"&amp;2733107, 2733107)</f>
        <v>2733107</v>
      </c>
      <c r="D1149" s="3" t="s">
        <v>4265</v>
      </c>
      <c r="E1149" s="3" t="s">
        <v>4266</v>
      </c>
      <c r="F1149" s="3" t="s">
        <v>1377</v>
      </c>
      <c r="G1149" s="3" t="s">
        <v>186</v>
      </c>
      <c r="H1149" s="3" t="s">
        <v>309</v>
      </c>
      <c r="I1149" s="3" t="s">
        <v>310</v>
      </c>
      <c r="J1149" s="3" t="s">
        <v>311</v>
      </c>
      <c r="K1149" s="3" t="s">
        <v>28</v>
      </c>
      <c r="L1149" s="3" t="s">
        <v>27</v>
      </c>
      <c r="M1149" s="3" t="s">
        <v>28</v>
      </c>
      <c r="N1149" s="3" t="s">
        <v>27</v>
      </c>
      <c r="O1149" s="3" t="s">
        <v>27</v>
      </c>
      <c r="P1149" s="3" t="s">
        <v>28</v>
      </c>
      <c r="Q1149" s="3" t="s">
        <v>27</v>
      </c>
      <c r="R1149" s="3" t="s">
        <v>27</v>
      </c>
      <c r="S1149" s="3" t="s">
        <v>27</v>
      </c>
      <c r="T1149" s="3" t="s">
        <v>27</v>
      </c>
    </row>
    <row r="1150" spans="1:20" ht="409.6">
      <c r="A1150" s="3">
        <v>2733093</v>
      </c>
      <c r="B1150" s="3">
        <f>HYPERLINK("https://platform.v2.vetology.net/cases/2733093/screening-report/6?type=pdf&amp;v=v6&amp;scorecard=1&amp;secret_key=BX%25IJ%24%2F65ieZ%29f6", 2733093)</f>
        <v>2733093</v>
      </c>
      <c r="C1150" s="3">
        <f>HYPERLINK("https://platform.v2.vetology.net/report/v/final/"&amp;2733093, 2733093)</f>
        <v>2733093</v>
      </c>
      <c r="D1150" s="3" t="s">
        <v>4267</v>
      </c>
      <c r="E1150" s="3" t="s">
        <v>4268</v>
      </c>
      <c r="F1150" s="3" t="s">
        <v>22</v>
      </c>
      <c r="G1150" s="3" t="s">
        <v>100</v>
      </c>
      <c r="H1150" s="3" t="s">
        <v>1046</v>
      </c>
      <c r="I1150" s="3" t="s">
        <v>59</v>
      </c>
      <c r="J1150" s="3" t="s">
        <v>60</v>
      </c>
      <c r="K1150" s="3" t="s">
        <v>28</v>
      </c>
      <c r="L1150" s="3" t="s">
        <v>28</v>
      </c>
      <c r="M1150" s="3" t="s">
        <v>28</v>
      </c>
      <c r="N1150" s="3" t="s">
        <v>28</v>
      </c>
      <c r="O1150" s="3" t="s">
        <v>28</v>
      </c>
      <c r="P1150" s="3" t="s">
        <v>28</v>
      </c>
      <c r="Q1150" s="3" t="s">
        <v>28</v>
      </c>
      <c r="R1150" s="3" t="s">
        <v>28</v>
      </c>
      <c r="S1150" s="3" t="s">
        <v>28</v>
      </c>
      <c r="T1150" s="3" t="s">
        <v>27</v>
      </c>
    </row>
    <row r="1151" spans="1:20" ht="409.6">
      <c r="A1151" s="3">
        <v>2733015</v>
      </c>
      <c r="B1151" s="3">
        <f>HYPERLINK("https://platform.v2.vetology.net/cases/2733015/screening-report/6?type=pdf&amp;v=v6&amp;scorecard=1&amp;secret_key=BX%25IJ%24%2F65ieZ%29f6", 2733015)</f>
        <v>2733015</v>
      </c>
      <c r="C1151" s="3">
        <f>HYPERLINK("https://platform.v2.vetology.net/report/v/final/"&amp;2733015, 2733015)</f>
        <v>2733015</v>
      </c>
      <c r="D1151" s="3" t="s">
        <v>4269</v>
      </c>
      <c r="E1151" s="3" t="s">
        <v>4270</v>
      </c>
      <c r="F1151" s="3" t="s">
        <v>4271</v>
      </c>
      <c r="G1151" s="3" t="s">
        <v>64</v>
      </c>
      <c r="H1151" s="3" t="s">
        <v>4272</v>
      </c>
      <c r="I1151" s="3" t="s">
        <v>200</v>
      </c>
      <c r="J1151" s="3" t="s">
        <v>219</v>
      </c>
      <c r="K1151" s="3" t="s">
        <v>27</v>
      </c>
      <c r="L1151" s="3" t="s">
        <v>28</v>
      </c>
      <c r="M1151" s="3" t="s">
        <v>28</v>
      </c>
      <c r="N1151" s="3" t="s">
        <v>28</v>
      </c>
      <c r="O1151" s="3" t="s">
        <v>27</v>
      </c>
      <c r="P1151" s="3" t="s">
        <v>28</v>
      </c>
      <c r="Q1151" s="3" t="s">
        <v>28</v>
      </c>
      <c r="R1151" s="3" t="s">
        <v>28</v>
      </c>
      <c r="S1151" s="3" t="s">
        <v>28</v>
      </c>
      <c r="T1151" s="3" t="s">
        <v>28</v>
      </c>
    </row>
    <row r="1152" spans="1:20" ht="259.5">
      <c r="A1152" s="3">
        <v>2732990</v>
      </c>
      <c r="B1152" s="3">
        <f>HYPERLINK("https://platform.v2.vetology.net/cases/2732990/screening-report/6?type=pdf&amp;v=v6&amp;scorecard=1&amp;secret_key=BX%25IJ%24%2F65ieZ%29f6", 2732990)</f>
        <v>2732990</v>
      </c>
      <c r="C1152" s="3">
        <f>HYPERLINK("https://platform.v2.vetology.net/report/v/final/"&amp;2732990, 2732990)</f>
        <v>2732990</v>
      </c>
      <c r="D1152" s="3" t="s">
        <v>4273</v>
      </c>
      <c r="E1152" s="3" t="s">
        <v>4274</v>
      </c>
      <c r="F1152" s="3" t="s">
        <v>4275</v>
      </c>
      <c r="G1152" s="3" t="s">
        <v>57</v>
      </c>
      <c r="H1152" s="3" t="s">
        <v>223</v>
      </c>
      <c r="I1152" s="3" t="s">
        <v>1330</v>
      </c>
      <c r="J1152" s="3" t="s">
        <v>1331</v>
      </c>
      <c r="K1152" s="3" t="s">
        <v>28</v>
      </c>
      <c r="L1152" s="3" t="s">
        <v>28</v>
      </c>
      <c r="M1152" s="3" t="s">
        <v>28</v>
      </c>
      <c r="N1152" s="3" t="s">
        <v>28</v>
      </c>
      <c r="O1152" s="3" t="s">
        <v>28</v>
      </c>
      <c r="P1152" s="3" t="s">
        <v>28</v>
      </c>
      <c r="Q1152" s="3" t="s">
        <v>28</v>
      </c>
      <c r="R1152" s="3" t="s">
        <v>28</v>
      </c>
      <c r="S1152" s="3" t="s">
        <v>27</v>
      </c>
      <c r="T1152" s="3" t="s">
        <v>27</v>
      </c>
    </row>
    <row r="1153" spans="1:20" ht="366">
      <c r="A1153" s="3">
        <v>2732949</v>
      </c>
      <c r="B1153" s="3">
        <f>HYPERLINK("https://platform.v2.vetology.net/cases/2732949/screening-report/6?type=pdf&amp;v=v6&amp;scorecard=1&amp;secret_key=BX%25IJ%24%2F65ieZ%29f6", 2732949)</f>
        <v>2732949</v>
      </c>
      <c r="C1153" s="3">
        <f>HYPERLINK("https://platform.v2.vetology.net/report/v/final/"&amp;2732949, 2732949)</f>
        <v>2732949</v>
      </c>
      <c r="D1153" s="3" t="s">
        <v>4276</v>
      </c>
      <c r="E1153" s="3" t="s">
        <v>4277</v>
      </c>
      <c r="F1153" s="3" t="s">
        <v>4278</v>
      </c>
      <c r="G1153" s="3" t="s">
        <v>179</v>
      </c>
      <c r="H1153" s="3" t="s">
        <v>4279</v>
      </c>
      <c r="I1153" s="3" t="s">
        <v>883</v>
      </c>
      <c r="J1153" s="3" t="s">
        <v>884</v>
      </c>
      <c r="K1153" s="3" t="s">
        <v>27</v>
      </c>
      <c r="L1153" s="3" t="s">
        <v>28</v>
      </c>
      <c r="M1153" s="3" t="s">
        <v>28</v>
      </c>
      <c r="N1153" s="3" t="s">
        <v>28</v>
      </c>
      <c r="O1153" s="3" t="s">
        <v>28</v>
      </c>
      <c r="P1153" s="3" t="s">
        <v>28</v>
      </c>
      <c r="Q1153" s="3" t="s">
        <v>28</v>
      </c>
      <c r="R1153" s="3" t="s">
        <v>28</v>
      </c>
      <c r="S1153" s="3" t="s">
        <v>28</v>
      </c>
      <c r="T1153" s="3" t="s">
        <v>28</v>
      </c>
    </row>
    <row r="1154" spans="1:20" ht="409.6">
      <c r="A1154" s="3">
        <v>2732932</v>
      </c>
      <c r="B1154" s="3">
        <f>HYPERLINK("https://platform.v2.vetology.net/cases/2732932/screening-report/6?type=pdf&amp;v=v6&amp;scorecard=1&amp;secret_key=BX%25IJ%24%2F65ieZ%29f6", 2732932)</f>
        <v>2732932</v>
      </c>
      <c r="C1154" s="3">
        <f>HYPERLINK("https://platform.v2.vetology.net/report/v/final/"&amp;2732932, 2732932)</f>
        <v>2732932</v>
      </c>
      <c r="D1154" s="3" t="s">
        <v>4280</v>
      </c>
      <c r="E1154" s="3" t="s">
        <v>4281</v>
      </c>
      <c r="F1154" s="3" t="s">
        <v>4282</v>
      </c>
      <c r="G1154" s="3" t="s">
        <v>179</v>
      </c>
      <c r="H1154" s="3" t="s">
        <v>112</v>
      </c>
      <c r="I1154" s="3" t="s">
        <v>113</v>
      </c>
      <c r="J1154" s="3" t="s">
        <v>114</v>
      </c>
      <c r="K1154" s="3" t="s">
        <v>28</v>
      </c>
      <c r="L1154" s="3" t="s">
        <v>28</v>
      </c>
      <c r="M1154" s="3" t="s">
        <v>27</v>
      </c>
      <c r="N1154" s="3" t="s">
        <v>28</v>
      </c>
      <c r="O1154" s="3" t="s">
        <v>27</v>
      </c>
      <c r="P1154" s="3" t="s">
        <v>27</v>
      </c>
      <c r="Q1154" s="3" t="s">
        <v>27</v>
      </c>
      <c r="R1154" s="3" t="s">
        <v>28</v>
      </c>
      <c r="S1154" s="3" t="s">
        <v>28</v>
      </c>
      <c r="T1154" s="3" t="s">
        <v>28</v>
      </c>
    </row>
    <row r="1155" spans="1:20" ht="305.25">
      <c r="A1155" s="3">
        <v>2732908</v>
      </c>
      <c r="B1155" s="3">
        <f>HYPERLINK("https://platform.v2.vetology.net/cases/2732908/screening-report/6?type=pdf&amp;v=v6&amp;scorecard=1&amp;secret_key=BX%25IJ%24%2F65ieZ%29f6", 2732908)</f>
        <v>2732908</v>
      </c>
      <c r="C1155" s="3">
        <f>HYPERLINK("https://platform.v2.vetology.net/report/v/final/"&amp;2732908, 2732908)</f>
        <v>2732908</v>
      </c>
      <c r="D1155" s="3" t="s">
        <v>4283</v>
      </c>
      <c r="E1155" s="3" t="s">
        <v>955</v>
      </c>
      <c r="F1155" s="3" t="s">
        <v>956</v>
      </c>
      <c r="G1155" s="3" t="s">
        <v>100</v>
      </c>
      <c r="H1155" s="3" t="s">
        <v>3752</v>
      </c>
      <c r="I1155" s="3" t="s">
        <v>784</v>
      </c>
      <c r="J1155" s="3" t="s">
        <v>785</v>
      </c>
      <c r="K1155" s="3" t="s">
        <v>27</v>
      </c>
      <c r="L1155" s="3" t="s">
        <v>28</v>
      </c>
      <c r="M1155" s="3" t="s">
        <v>27</v>
      </c>
      <c r="N1155" s="3" t="s">
        <v>28</v>
      </c>
      <c r="O1155" s="3" t="s">
        <v>27</v>
      </c>
      <c r="P1155" s="3" t="s">
        <v>28</v>
      </c>
      <c r="Q1155" s="3" t="s">
        <v>27</v>
      </c>
      <c r="R1155" s="3" t="s">
        <v>28</v>
      </c>
      <c r="S1155" s="3" t="s">
        <v>27</v>
      </c>
      <c r="T1155" s="3" t="s">
        <v>27</v>
      </c>
    </row>
    <row r="1156" spans="1:20" ht="305.25">
      <c r="A1156" s="3">
        <v>2732895</v>
      </c>
      <c r="B1156" s="3">
        <f>HYPERLINK("https://platform.v2.vetology.net/cases/2732895/screening-report/6?type=pdf&amp;v=v6&amp;scorecard=1&amp;secret_key=BX%25IJ%24%2F65ieZ%29f6", 2732895)</f>
        <v>2732895</v>
      </c>
      <c r="C1156" s="3">
        <f>HYPERLINK("https://platform.v2.vetology.net/report/v/final/"&amp;2732895, 2732895)</f>
        <v>2732895</v>
      </c>
      <c r="D1156" s="3" t="s">
        <v>4284</v>
      </c>
      <c r="E1156" s="3" t="s">
        <v>4285</v>
      </c>
      <c r="F1156" s="3" t="s">
        <v>4286</v>
      </c>
      <c r="G1156" s="3" t="s">
        <v>186</v>
      </c>
      <c r="H1156" s="3" t="s">
        <v>31</v>
      </c>
      <c r="I1156" s="3" t="s">
        <v>32</v>
      </c>
      <c r="J1156" s="3" t="s">
        <v>33</v>
      </c>
      <c r="K1156" s="3" t="s">
        <v>28</v>
      </c>
      <c r="L1156" s="3" t="s">
        <v>28</v>
      </c>
      <c r="M1156" s="3" t="s">
        <v>28</v>
      </c>
      <c r="N1156" s="3" t="s">
        <v>27</v>
      </c>
      <c r="O1156" s="3" t="s">
        <v>27</v>
      </c>
      <c r="P1156" s="3" t="s">
        <v>28</v>
      </c>
      <c r="Q1156" s="3" t="s">
        <v>28</v>
      </c>
      <c r="R1156" s="3" t="s">
        <v>28</v>
      </c>
      <c r="S1156" s="3" t="s">
        <v>27</v>
      </c>
      <c r="T1156" s="3" t="s">
        <v>28</v>
      </c>
    </row>
    <row r="1157" spans="1:20" ht="409.6">
      <c r="A1157" s="3">
        <v>2732876</v>
      </c>
      <c r="B1157" s="3">
        <f>HYPERLINK("https://platform.v2.vetology.net/cases/2732876/screening-report/6?type=pdf&amp;v=v6&amp;scorecard=1&amp;secret_key=BX%25IJ%24%2F65ieZ%29f6", 2732876)</f>
        <v>2732876</v>
      </c>
      <c r="C1157" s="3">
        <f>HYPERLINK("https://platform.v2.vetology.net/report/v/final/"&amp;2732876, 2732876)</f>
        <v>2732876</v>
      </c>
      <c r="D1157" s="3" t="s">
        <v>4287</v>
      </c>
      <c r="E1157" s="3" t="s">
        <v>4288</v>
      </c>
      <c r="F1157" s="3" t="s">
        <v>4289</v>
      </c>
      <c r="G1157" s="3" t="s">
        <v>57</v>
      </c>
      <c r="H1157" s="3" t="s">
        <v>4290</v>
      </c>
      <c r="I1157" s="3" t="s">
        <v>163</v>
      </c>
      <c r="J1157" s="3" t="s">
        <v>164</v>
      </c>
      <c r="K1157" s="3" t="s">
        <v>28</v>
      </c>
      <c r="L1157" s="3" t="s">
        <v>28</v>
      </c>
      <c r="M1157" s="3" t="s">
        <v>28</v>
      </c>
      <c r="N1157" s="3" t="s">
        <v>28</v>
      </c>
      <c r="O1157" s="3" t="s">
        <v>28</v>
      </c>
      <c r="P1157" s="3" t="s">
        <v>28</v>
      </c>
      <c r="Q1157" s="3" t="s">
        <v>28</v>
      </c>
      <c r="R1157" s="3" t="s">
        <v>28</v>
      </c>
      <c r="S1157" s="3" t="s">
        <v>28</v>
      </c>
      <c r="T1157" s="3" t="s">
        <v>27</v>
      </c>
    </row>
    <row r="1158" spans="1:20" ht="229.5">
      <c r="A1158" s="3">
        <v>2732869</v>
      </c>
      <c r="B1158" s="3">
        <f>HYPERLINK("https://platform.v2.vetology.net/cases/2732869/screening-report/6?type=pdf&amp;v=v6&amp;scorecard=1&amp;secret_key=BX%25IJ%24%2F65ieZ%29f6", 2732869)</f>
        <v>2732869</v>
      </c>
      <c r="C1158" s="3">
        <f>HYPERLINK("https://platform.v2.vetology.net/report/v/final/"&amp;2732869, 2732869)</f>
        <v>2732869</v>
      </c>
      <c r="D1158" s="3" t="s">
        <v>2012</v>
      </c>
      <c r="E1158" s="3" t="s">
        <v>1690</v>
      </c>
      <c r="F1158" s="3"/>
      <c r="G1158" s="3" t="s">
        <v>100</v>
      </c>
      <c r="H1158" s="3" t="s">
        <v>4291</v>
      </c>
      <c r="I1158" s="3" t="s">
        <v>305</v>
      </c>
      <c r="J1158" s="3" t="s">
        <v>119</v>
      </c>
      <c r="K1158" s="3" t="s">
        <v>28</v>
      </c>
      <c r="L1158" s="3" t="s">
        <v>28</v>
      </c>
      <c r="M1158" s="3" t="s">
        <v>28</v>
      </c>
      <c r="N1158" s="3" t="s">
        <v>28</v>
      </c>
      <c r="O1158" s="3" t="s">
        <v>28</v>
      </c>
      <c r="P1158" s="3" t="s">
        <v>28</v>
      </c>
      <c r="Q1158" s="3" t="s">
        <v>28</v>
      </c>
      <c r="R1158" s="3" t="s">
        <v>28</v>
      </c>
      <c r="S1158" s="3" t="s">
        <v>28</v>
      </c>
      <c r="T1158" s="3" t="s">
        <v>28</v>
      </c>
    </row>
    <row r="1159" spans="1:20" ht="366">
      <c r="A1159" s="3">
        <v>2732858</v>
      </c>
      <c r="B1159" s="3">
        <f>HYPERLINK("https://platform.v2.vetology.net/cases/2732858/screening-report/6?type=pdf&amp;v=v6&amp;scorecard=1&amp;secret_key=BX%25IJ%24%2F65ieZ%29f6", 2732858)</f>
        <v>2732858</v>
      </c>
      <c r="C1159" s="3">
        <f>HYPERLINK("https://platform.v2.vetology.net/report/v/final/"&amp;2732858, 2732858)</f>
        <v>2732858</v>
      </c>
      <c r="D1159" s="3" t="s">
        <v>4292</v>
      </c>
      <c r="E1159" s="3" t="s">
        <v>21</v>
      </c>
      <c r="F1159" s="3" t="s">
        <v>22</v>
      </c>
      <c r="G1159" s="3" t="s">
        <v>23</v>
      </c>
      <c r="H1159" s="3" t="s">
        <v>4293</v>
      </c>
      <c r="I1159" s="3" t="s">
        <v>883</v>
      </c>
      <c r="J1159" s="3" t="s">
        <v>884</v>
      </c>
      <c r="K1159" s="3" t="s">
        <v>28</v>
      </c>
      <c r="L1159" s="3" t="s">
        <v>28</v>
      </c>
      <c r="M1159" s="3" t="s">
        <v>28</v>
      </c>
      <c r="N1159" s="3" t="s">
        <v>28</v>
      </c>
      <c r="O1159" s="3" t="s">
        <v>28</v>
      </c>
      <c r="P1159" s="3" t="s">
        <v>28</v>
      </c>
      <c r="Q1159" s="3" t="s">
        <v>28</v>
      </c>
      <c r="R1159" s="3" t="s">
        <v>28</v>
      </c>
      <c r="S1159" s="3" t="s">
        <v>28</v>
      </c>
      <c r="T1159" s="3" t="s">
        <v>28</v>
      </c>
    </row>
    <row r="1160" spans="1:20" ht="305.25">
      <c r="A1160" s="3">
        <v>2732850</v>
      </c>
      <c r="B1160" s="3">
        <f>HYPERLINK("https://platform.v2.vetology.net/cases/2732850/screening-report/6?type=pdf&amp;v=v6&amp;scorecard=1&amp;secret_key=BX%25IJ%24%2F65ieZ%29f6", 2732850)</f>
        <v>2732850</v>
      </c>
      <c r="C1160" s="3">
        <f>HYPERLINK("https://platform.v2.vetology.net/report/v/final/"&amp;2732850, 2732850)</f>
        <v>2732850</v>
      </c>
      <c r="D1160" s="3" t="s">
        <v>4294</v>
      </c>
      <c r="E1160" s="3" t="s">
        <v>4295</v>
      </c>
      <c r="F1160" s="3" t="s">
        <v>99</v>
      </c>
      <c r="G1160" s="3" t="s">
        <v>100</v>
      </c>
      <c r="H1160" s="3" t="s">
        <v>4296</v>
      </c>
      <c r="I1160" s="3" t="s">
        <v>784</v>
      </c>
      <c r="J1160" s="3" t="s">
        <v>785</v>
      </c>
      <c r="K1160" s="3" t="s">
        <v>28</v>
      </c>
      <c r="L1160" s="3" t="s">
        <v>27</v>
      </c>
      <c r="M1160" s="3" t="s">
        <v>27</v>
      </c>
      <c r="N1160" s="3" t="s">
        <v>28</v>
      </c>
      <c r="O1160" s="3" t="s">
        <v>27</v>
      </c>
      <c r="P1160" s="3" t="s">
        <v>28</v>
      </c>
      <c r="Q1160" s="3" t="s">
        <v>27</v>
      </c>
      <c r="R1160" s="3" t="s">
        <v>28</v>
      </c>
      <c r="S1160" s="3" t="s">
        <v>28</v>
      </c>
      <c r="T1160" s="3" t="s">
        <v>27</v>
      </c>
    </row>
    <row r="1161" spans="1:20" ht="321">
      <c r="A1161" s="3">
        <v>2732817</v>
      </c>
      <c r="B1161" s="3">
        <f>HYPERLINK("https://platform.v2.vetology.net/cases/2732817/screening-report/6?type=pdf&amp;v=v6&amp;scorecard=1&amp;secret_key=BX%25IJ%24%2F65ieZ%29f6", 2732817)</f>
        <v>2732817</v>
      </c>
      <c r="C1161" s="3">
        <f>HYPERLINK("https://platform.v2.vetology.net/report/v/final/"&amp;2732817, 2732817)</f>
        <v>2732817</v>
      </c>
      <c r="D1161" s="3" t="s">
        <v>4297</v>
      </c>
      <c r="E1161" s="3" t="s">
        <v>4298</v>
      </c>
      <c r="F1161" s="3" t="s">
        <v>1377</v>
      </c>
      <c r="G1161" s="3" t="s">
        <v>186</v>
      </c>
      <c r="H1161" s="3" t="s">
        <v>2006</v>
      </c>
      <c r="I1161" s="3" t="s">
        <v>1070</v>
      </c>
      <c r="J1161" s="3" t="s">
        <v>207</v>
      </c>
      <c r="K1161" s="3" t="s">
        <v>28</v>
      </c>
      <c r="L1161" s="3" t="s">
        <v>27</v>
      </c>
      <c r="M1161" s="3" t="s">
        <v>28</v>
      </c>
      <c r="N1161" s="3" t="s">
        <v>28</v>
      </c>
      <c r="O1161" s="3" t="s">
        <v>28</v>
      </c>
      <c r="P1161" s="3" t="s">
        <v>28</v>
      </c>
      <c r="Q1161" s="3" t="s">
        <v>28</v>
      </c>
      <c r="R1161" s="3" t="s">
        <v>28</v>
      </c>
      <c r="S1161" s="3" t="s">
        <v>28</v>
      </c>
      <c r="T1161" s="3" t="s">
        <v>28</v>
      </c>
    </row>
    <row r="1162" spans="1:20" ht="290.25">
      <c r="A1162" s="3">
        <v>2732777</v>
      </c>
      <c r="B1162" s="3">
        <f>HYPERLINK("https://platform.v2.vetology.net/cases/2732777/screening-report/6?type=pdf&amp;v=v6&amp;scorecard=1&amp;secret_key=BX%25IJ%24%2F65ieZ%29f6", 2732777)</f>
        <v>2732777</v>
      </c>
      <c r="C1162" s="3">
        <f>HYPERLINK("https://platform.v2.vetology.net/report/v/final/"&amp;2732777, 2732777)</f>
        <v>2732777</v>
      </c>
      <c r="D1162" s="3" t="s">
        <v>4299</v>
      </c>
      <c r="E1162" s="3" t="s">
        <v>4300</v>
      </c>
      <c r="F1162" s="3" t="s">
        <v>4301</v>
      </c>
      <c r="G1162" s="3" t="s">
        <v>186</v>
      </c>
      <c r="H1162" s="3" t="s">
        <v>4302</v>
      </c>
      <c r="I1162" s="3" t="s">
        <v>4303</v>
      </c>
      <c r="J1162" s="3" t="s">
        <v>363</v>
      </c>
      <c r="K1162" s="3" t="s">
        <v>28</v>
      </c>
      <c r="L1162" s="3" t="s">
        <v>27</v>
      </c>
      <c r="M1162" s="3" t="s">
        <v>27</v>
      </c>
      <c r="N1162" s="3" t="s">
        <v>28</v>
      </c>
      <c r="O1162" s="3" t="s">
        <v>27</v>
      </c>
      <c r="P1162" s="3" t="s">
        <v>28</v>
      </c>
      <c r="Q1162" s="3" t="s">
        <v>27</v>
      </c>
      <c r="R1162" s="3" t="s">
        <v>28</v>
      </c>
      <c r="S1162" s="3" t="s">
        <v>27</v>
      </c>
      <c r="T1162" s="3" t="s">
        <v>27</v>
      </c>
    </row>
    <row r="1163" spans="1:20" ht="305.25">
      <c r="A1163" s="3">
        <v>2732696</v>
      </c>
      <c r="B1163" s="3">
        <f>HYPERLINK("https://platform.v2.vetology.net/cases/2732696/screening-report/6?type=pdf&amp;v=v6&amp;scorecard=1&amp;secret_key=BX%25IJ%24%2F65ieZ%29f6", 2732696)</f>
        <v>2732696</v>
      </c>
      <c r="C1163" s="3">
        <f>HYPERLINK("https://platform.v2.vetology.net/report/v/final/"&amp;2732696, 2732696)</f>
        <v>2732696</v>
      </c>
      <c r="D1163" s="3" t="s">
        <v>4304</v>
      </c>
      <c r="E1163" s="3" t="s">
        <v>4305</v>
      </c>
      <c r="F1163" s="3"/>
      <c r="G1163" s="3" t="s">
        <v>100</v>
      </c>
      <c r="H1163" s="3" t="s">
        <v>31</v>
      </c>
      <c r="I1163" s="3" t="s">
        <v>32</v>
      </c>
      <c r="J1163" s="3" t="s">
        <v>33</v>
      </c>
      <c r="K1163" s="3" t="s">
        <v>28</v>
      </c>
      <c r="L1163" s="3" t="s">
        <v>28</v>
      </c>
      <c r="M1163" s="3" t="s">
        <v>28</v>
      </c>
      <c r="N1163" s="3" t="s">
        <v>28</v>
      </c>
      <c r="O1163" s="3" t="s">
        <v>27</v>
      </c>
      <c r="P1163" s="3" t="s">
        <v>27</v>
      </c>
      <c r="Q1163" s="3" t="s">
        <v>28</v>
      </c>
      <c r="R1163" s="3" t="s">
        <v>28</v>
      </c>
      <c r="S1163" s="3" t="s">
        <v>28</v>
      </c>
      <c r="T1163" s="3" t="s">
        <v>28</v>
      </c>
    </row>
    <row r="1164" spans="1:20" ht="305.25">
      <c r="A1164" s="3">
        <v>2732685</v>
      </c>
      <c r="B1164" s="3">
        <f>HYPERLINK("https://platform.v2.vetology.net/cases/2732685/screening-report/6?type=pdf&amp;v=v6&amp;scorecard=1&amp;secret_key=BX%25IJ%24%2F65ieZ%29f6", 2732685)</f>
        <v>2732685</v>
      </c>
      <c r="C1164" s="3">
        <f>HYPERLINK("https://platform.v2.vetology.net/report/v/final/"&amp;2732685, 2732685)</f>
        <v>2732685</v>
      </c>
      <c r="D1164" s="3" t="s">
        <v>4306</v>
      </c>
      <c r="E1164" s="3" t="s">
        <v>4307</v>
      </c>
      <c r="F1164" s="3" t="s">
        <v>956</v>
      </c>
      <c r="G1164" s="3" t="s">
        <v>100</v>
      </c>
      <c r="H1164" s="3" t="s">
        <v>118</v>
      </c>
      <c r="I1164" s="3" t="s">
        <v>32</v>
      </c>
      <c r="J1164" s="3" t="s">
        <v>33</v>
      </c>
      <c r="K1164" s="3" t="s">
        <v>28</v>
      </c>
      <c r="L1164" s="3" t="s">
        <v>28</v>
      </c>
      <c r="M1164" s="3" t="s">
        <v>28</v>
      </c>
      <c r="N1164" s="3" t="s">
        <v>28</v>
      </c>
      <c r="O1164" s="3" t="s">
        <v>28</v>
      </c>
      <c r="P1164" s="3" t="s">
        <v>28</v>
      </c>
      <c r="Q1164" s="3" t="s">
        <v>28</v>
      </c>
      <c r="R1164" s="3" t="s">
        <v>28</v>
      </c>
      <c r="S1164" s="3" t="s">
        <v>28</v>
      </c>
      <c r="T1164" s="3" t="s">
        <v>28</v>
      </c>
    </row>
    <row r="1165" spans="1:20" ht="305.25">
      <c r="A1165" s="3">
        <v>2732633</v>
      </c>
      <c r="B1165" s="3">
        <f>HYPERLINK("https://platform.v2.vetology.net/cases/2732633/screening-report/6?type=pdf&amp;v=v6&amp;scorecard=1&amp;secret_key=BX%25IJ%24%2F65ieZ%29f6", 2732633)</f>
        <v>2732633</v>
      </c>
      <c r="C1165" s="3">
        <f>HYPERLINK("https://platform.v2.vetology.net/report/v/final/"&amp;2732633, 2732633)</f>
        <v>2732633</v>
      </c>
      <c r="D1165" s="3" t="s">
        <v>4308</v>
      </c>
      <c r="E1165" s="3" t="s">
        <v>4309</v>
      </c>
      <c r="F1165" s="3" t="s">
        <v>22</v>
      </c>
      <c r="G1165" s="3" t="s">
        <v>100</v>
      </c>
      <c r="H1165" s="3" t="s">
        <v>4310</v>
      </c>
      <c r="I1165" s="3" t="s">
        <v>784</v>
      </c>
      <c r="J1165" s="3" t="s">
        <v>785</v>
      </c>
      <c r="K1165" s="3" t="s">
        <v>27</v>
      </c>
      <c r="L1165" s="3" t="s">
        <v>27</v>
      </c>
      <c r="M1165" s="3" t="s">
        <v>27</v>
      </c>
      <c r="N1165" s="3" t="s">
        <v>28</v>
      </c>
      <c r="O1165" s="3" t="s">
        <v>27</v>
      </c>
      <c r="P1165" s="3" t="s">
        <v>28</v>
      </c>
      <c r="Q1165" s="3" t="s">
        <v>27</v>
      </c>
      <c r="R1165" s="3" t="s">
        <v>28</v>
      </c>
      <c r="S1165" s="3" t="s">
        <v>28</v>
      </c>
      <c r="T1165" s="3" t="s">
        <v>27</v>
      </c>
    </row>
    <row r="1166" spans="1:20" ht="336">
      <c r="A1166" s="3">
        <v>2732570</v>
      </c>
      <c r="B1166" s="3">
        <f>HYPERLINK("https://platform.v2.vetology.net/cases/2732570/screening-report/6?type=pdf&amp;v=v6&amp;scorecard=1&amp;secret_key=BX%25IJ%24%2F65ieZ%29f6", 2732570)</f>
        <v>2732570</v>
      </c>
      <c r="C1166" s="3">
        <f>HYPERLINK("https://platform.v2.vetology.net/report/v/final/"&amp;2732570, 2732570)</f>
        <v>2732570</v>
      </c>
      <c r="D1166" s="3" t="s">
        <v>4311</v>
      </c>
      <c r="E1166" s="3" t="s">
        <v>4312</v>
      </c>
      <c r="F1166" s="3" t="s">
        <v>4313</v>
      </c>
      <c r="G1166" s="3" t="s">
        <v>186</v>
      </c>
      <c r="H1166" s="3" t="s">
        <v>4314</v>
      </c>
      <c r="I1166" s="3" t="s">
        <v>1565</v>
      </c>
      <c r="J1166" s="3" t="s">
        <v>1566</v>
      </c>
      <c r="K1166" s="3" t="s">
        <v>28</v>
      </c>
      <c r="L1166" s="3" t="s">
        <v>28</v>
      </c>
      <c r="M1166" s="3" t="s">
        <v>28</v>
      </c>
      <c r="N1166" s="3" t="s">
        <v>28</v>
      </c>
      <c r="O1166" s="3" t="s">
        <v>27</v>
      </c>
      <c r="P1166" s="3" t="s">
        <v>28</v>
      </c>
      <c r="Q1166" s="3" t="s">
        <v>28</v>
      </c>
      <c r="R1166" s="3" t="s">
        <v>28</v>
      </c>
      <c r="S1166" s="3" t="s">
        <v>28</v>
      </c>
      <c r="T1166" s="3" t="s">
        <v>28</v>
      </c>
    </row>
    <row r="1167" spans="1:20" ht="336">
      <c r="A1167" s="3">
        <v>2732449</v>
      </c>
      <c r="B1167" s="3">
        <f>HYPERLINK("https://platform.v2.vetology.net/cases/2732449/screening-report/6?type=pdf&amp;v=v6&amp;scorecard=1&amp;secret_key=BX%25IJ%24%2F65ieZ%29f6", 2732449)</f>
        <v>2732449</v>
      </c>
      <c r="C1167" s="3">
        <f>HYPERLINK("https://platform.v2.vetology.net/report/v/final/"&amp;2732449, 2732449)</f>
        <v>2732449</v>
      </c>
      <c r="D1167" s="3" t="s">
        <v>4315</v>
      </c>
      <c r="E1167" s="3" t="s">
        <v>4316</v>
      </c>
      <c r="F1167" s="3" t="s">
        <v>4317</v>
      </c>
      <c r="G1167" s="3" t="s">
        <v>57</v>
      </c>
      <c r="H1167" s="3" t="s">
        <v>212</v>
      </c>
      <c r="I1167" s="3" t="s">
        <v>261</v>
      </c>
      <c r="J1167" s="3" t="s">
        <v>262</v>
      </c>
      <c r="K1167" s="3" t="s">
        <v>27</v>
      </c>
      <c r="L1167" s="3" t="s">
        <v>28</v>
      </c>
      <c r="M1167" s="3" t="s">
        <v>27</v>
      </c>
      <c r="N1167" s="3" t="s">
        <v>28</v>
      </c>
      <c r="O1167" s="3" t="s">
        <v>27</v>
      </c>
      <c r="P1167" s="3" t="s">
        <v>28</v>
      </c>
      <c r="Q1167" s="3" t="s">
        <v>28</v>
      </c>
      <c r="R1167" s="3" t="s">
        <v>28</v>
      </c>
      <c r="S1167" s="3" t="s">
        <v>28</v>
      </c>
      <c r="T1167" s="3" t="s">
        <v>28</v>
      </c>
    </row>
    <row r="1168" spans="1:20" ht="290.25">
      <c r="A1168" s="3">
        <v>2732444</v>
      </c>
      <c r="B1168" s="3">
        <f>HYPERLINK("https://platform.v2.vetology.net/cases/2732444/screening-report/6?type=pdf&amp;v=v6&amp;scorecard=1&amp;secret_key=BX%25IJ%24%2F65ieZ%29f6", 2732444)</f>
        <v>2732444</v>
      </c>
      <c r="C1168" s="3">
        <f>HYPERLINK("https://platform.v2.vetology.net/report/v/final/"&amp;2732444, 2732444)</f>
        <v>2732444</v>
      </c>
      <c r="D1168" s="3" t="s">
        <v>4318</v>
      </c>
      <c r="E1168" s="3" t="s">
        <v>4319</v>
      </c>
      <c r="F1168" s="3" t="s">
        <v>4320</v>
      </c>
      <c r="G1168" s="3" t="s">
        <v>57</v>
      </c>
      <c r="H1168" s="3" t="s">
        <v>450</v>
      </c>
      <c r="I1168" s="3" t="s">
        <v>224</v>
      </c>
      <c r="J1168" s="3" t="s">
        <v>225</v>
      </c>
      <c r="K1168" s="3" t="s">
        <v>28</v>
      </c>
      <c r="L1168" s="3" t="s">
        <v>28</v>
      </c>
      <c r="M1168" s="3" t="s">
        <v>28</v>
      </c>
      <c r="N1168" s="3" t="s">
        <v>28</v>
      </c>
      <c r="O1168" s="3" t="s">
        <v>28</v>
      </c>
      <c r="P1168" s="3" t="s">
        <v>28</v>
      </c>
      <c r="Q1168" s="3" t="s">
        <v>28</v>
      </c>
      <c r="R1168" s="3" t="s">
        <v>28</v>
      </c>
      <c r="S1168" s="3" t="s">
        <v>27</v>
      </c>
      <c r="T1168" s="3" t="s">
        <v>27</v>
      </c>
    </row>
    <row r="1169" spans="1:20" ht="351">
      <c r="A1169" s="3">
        <v>2732348</v>
      </c>
      <c r="B1169" s="3">
        <f>HYPERLINK("https://platform.v2.vetology.net/cases/2732348/screening-report/6?type=pdf&amp;v=v6&amp;scorecard=1&amp;secret_key=BX%25IJ%24%2F65ieZ%29f6", 2732348)</f>
        <v>2732348</v>
      </c>
      <c r="C1169" s="3">
        <f>HYPERLINK("https://platform.v2.vetology.net/report/v/final/"&amp;2732348, 2732348)</f>
        <v>2732348</v>
      </c>
      <c r="D1169" s="3" t="s">
        <v>4321</v>
      </c>
      <c r="E1169" s="3" t="s">
        <v>4322</v>
      </c>
      <c r="F1169" s="3" t="s">
        <v>3245</v>
      </c>
      <c r="G1169" s="3" t="s">
        <v>57</v>
      </c>
      <c r="H1169" s="3" t="s">
        <v>4323</v>
      </c>
      <c r="I1169" s="3" t="s">
        <v>316</v>
      </c>
      <c r="J1169" s="3" t="s">
        <v>317</v>
      </c>
      <c r="K1169" s="3" t="s">
        <v>28</v>
      </c>
      <c r="L1169" s="3" t="s">
        <v>28</v>
      </c>
      <c r="M1169" s="3" t="s">
        <v>28</v>
      </c>
      <c r="N1169" s="3" t="s">
        <v>28</v>
      </c>
      <c r="O1169" s="3" t="s">
        <v>27</v>
      </c>
      <c r="P1169" s="3" t="s">
        <v>28</v>
      </c>
      <c r="Q1169" s="3" t="s">
        <v>28</v>
      </c>
      <c r="R1169" s="3" t="s">
        <v>28</v>
      </c>
      <c r="S1169" s="3" t="s">
        <v>28</v>
      </c>
      <c r="T1169" s="3" t="s">
        <v>28</v>
      </c>
    </row>
    <row r="1170" spans="1:20" ht="351">
      <c r="A1170" s="3">
        <v>2732343</v>
      </c>
      <c r="B1170" s="3">
        <f>HYPERLINK("https://platform.v2.vetology.net/cases/2732343/screening-report/6?type=pdf&amp;v=v6&amp;scorecard=1&amp;secret_key=BX%25IJ%24%2F65ieZ%29f6", 2732343)</f>
        <v>2732343</v>
      </c>
      <c r="C1170" s="3">
        <f>HYPERLINK("https://platform.v2.vetology.net/report/v/final/"&amp;2732343, 2732343)</f>
        <v>2732343</v>
      </c>
      <c r="D1170" s="3" t="s">
        <v>4324</v>
      </c>
      <c r="E1170" s="3" t="s">
        <v>4325</v>
      </c>
      <c r="F1170" s="3" t="s">
        <v>3245</v>
      </c>
      <c r="G1170" s="3" t="s">
        <v>57</v>
      </c>
      <c r="H1170" s="3" t="s">
        <v>4326</v>
      </c>
      <c r="I1170" s="3" t="s">
        <v>200</v>
      </c>
      <c r="J1170" s="3" t="s">
        <v>201</v>
      </c>
      <c r="K1170" s="3" t="s">
        <v>27</v>
      </c>
      <c r="L1170" s="3" t="s">
        <v>28</v>
      </c>
      <c r="M1170" s="3" t="s">
        <v>28</v>
      </c>
      <c r="N1170" s="3" t="s">
        <v>28</v>
      </c>
      <c r="O1170" s="3" t="s">
        <v>27</v>
      </c>
      <c r="P1170" s="3" t="s">
        <v>28</v>
      </c>
      <c r="Q1170" s="3" t="s">
        <v>28</v>
      </c>
      <c r="R1170" s="3" t="s">
        <v>28</v>
      </c>
      <c r="S1170" s="3" t="s">
        <v>28</v>
      </c>
      <c r="T1170" s="3" t="s">
        <v>28</v>
      </c>
    </row>
    <row r="1171" spans="1:20" ht="321">
      <c r="A1171" s="3">
        <v>2732285</v>
      </c>
      <c r="B1171" s="3">
        <f>HYPERLINK("https://platform.v2.vetology.net/cases/2732285/screening-report/6?type=pdf&amp;v=v6&amp;scorecard=1&amp;secret_key=BX%25IJ%24%2F65ieZ%29f6", 2732285)</f>
        <v>2732285</v>
      </c>
      <c r="C1171" s="3">
        <f>HYPERLINK("https://platform.v2.vetology.net/report/v/final/"&amp;2732285, 2732285)</f>
        <v>2732285</v>
      </c>
      <c r="D1171" s="3" t="s">
        <v>4327</v>
      </c>
      <c r="E1171" s="3" t="s">
        <v>4328</v>
      </c>
      <c r="F1171" s="3" t="s">
        <v>22</v>
      </c>
      <c r="G1171" s="3" t="s">
        <v>23</v>
      </c>
      <c r="H1171" s="3" t="s">
        <v>4329</v>
      </c>
      <c r="I1171" s="3" t="s">
        <v>672</v>
      </c>
      <c r="J1171" s="3" t="s">
        <v>673</v>
      </c>
      <c r="K1171" s="3" t="s">
        <v>28</v>
      </c>
      <c r="L1171" s="3" t="s">
        <v>28</v>
      </c>
      <c r="M1171" s="3" t="s">
        <v>28</v>
      </c>
      <c r="N1171" s="3" t="s">
        <v>28</v>
      </c>
      <c r="O1171" s="3" t="s">
        <v>27</v>
      </c>
      <c r="P1171" s="3" t="s">
        <v>28</v>
      </c>
      <c r="Q1171" s="3" t="s">
        <v>28</v>
      </c>
      <c r="R1171" s="3" t="s">
        <v>28</v>
      </c>
      <c r="S1171" s="3" t="s">
        <v>28</v>
      </c>
      <c r="T1171" s="3" t="s">
        <v>27</v>
      </c>
    </row>
    <row r="1172" spans="1:20" ht="381.75">
      <c r="A1172" s="3">
        <v>2732282</v>
      </c>
      <c r="B1172" s="3">
        <f>HYPERLINK("https://platform.v2.vetology.net/cases/2732282/screening-report/6?type=pdf&amp;v=v6&amp;scorecard=1&amp;secret_key=BX%25IJ%24%2F65ieZ%29f6", 2732282)</f>
        <v>2732282</v>
      </c>
      <c r="C1172" s="3">
        <f>HYPERLINK("https://platform.v2.vetology.net/report/v/final/"&amp;2732282, 2732282)</f>
        <v>2732282</v>
      </c>
      <c r="D1172" s="3" t="s">
        <v>4330</v>
      </c>
      <c r="E1172" s="3" t="s">
        <v>4331</v>
      </c>
      <c r="F1172" s="3" t="s">
        <v>4332</v>
      </c>
      <c r="G1172" s="3" t="s">
        <v>57</v>
      </c>
      <c r="H1172" s="3" t="s">
        <v>4333</v>
      </c>
      <c r="I1172" s="3" t="s">
        <v>4334</v>
      </c>
      <c r="J1172" s="3" t="s">
        <v>325</v>
      </c>
      <c r="K1172" s="3" t="s">
        <v>28</v>
      </c>
      <c r="L1172" s="3" t="s">
        <v>28</v>
      </c>
      <c r="M1172" s="3" t="s">
        <v>27</v>
      </c>
      <c r="N1172" s="3" t="s">
        <v>28</v>
      </c>
      <c r="O1172" s="3" t="s">
        <v>27</v>
      </c>
      <c r="P1172" s="3" t="s">
        <v>28</v>
      </c>
      <c r="Q1172" s="3" t="s">
        <v>28</v>
      </c>
      <c r="R1172" s="3" t="s">
        <v>28</v>
      </c>
      <c r="S1172" s="3" t="s">
        <v>28</v>
      </c>
      <c r="T1172" s="3" t="s">
        <v>28</v>
      </c>
    </row>
    <row r="1173" spans="1:20" ht="409.6">
      <c r="A1173" s="3">
        <v>2732271</v>
      </c>
      <c r="B1173" s="3">
        <f>HYPERLINK("https://platform.v2.vetology.net/cases/2732271/screening-report/6?type=pdf&amp;v=v6&amp;scorecard=1&amp;secret_key=BX%25IJ%24%2F65ieZ%29f6", 2732271)</f>
        <v>2732271</v>
      </c>
      <c r="C1173" s="3">
        <f>HYPERLINK("https://platform.v2.vetology.net/report/v/final/"&amp;2732271, 2732271)</f>
        <v>2732271</v>
      </c>
      <c r="D1173" s="3" t="s">
        <v>4335</v>
      </c>
      <c r="E1173" s="3" t="s">
        <v>4336</v>
      </c>
      <c r="F1173" s="3" t="s">
        <v>4337</v>
      </c>
      <c r="G1173" s="3" t="s">
        <v>57</v>
      </c>
      <c r="H1173" s="3" t="s">
        <v>4338</v>
      </c>
      <c r="I1173" s="3" t="s">
        <v>1592</v>
      </c>
      <c r="J1173" s="3" t="s">
        <v>4188</v>
      </c>
      <c r="K1173" s="3" t="s">
        <v>27</v>
      </c>
      <c r="L1173" s="3" t="s">
        <v>27</v>
      </c>
      <c r="M1173" s="3" t="s">
        <v>28</v>
      </c>
      <c r="N1173" s="3" t="s">
        <v>28</v>
      </c>
      <c r="O1173" s="3" t="s">
        <v>27</v>
      </c>
      <c r="P1173" s="3" t="s">
        <v>28</v>
      </c>
      <c r="Q1173" s="3" t="s">
        <v>27</v>
      </c>
      <c r="R1173" s="3" t="s">
        <v>28</v>
      </c>
      <c r="S1173" s="3" t="s">
        <v>27</v>
      </c>
      <c r="T1173" s="3" t="s">
        <v>28</v>
      </c>
    </row>
    <row r="1174" spans="1:20" ht="321">
      <c r="A1174" s="3">
        <v>2732268</v>
      </c>
      <c r="B1174" s="3">
        <f>HYPERLINK("https://platform.v2.vetology.net/cases/2732268/screening-report/6?type=pdf&amp;v=v6&amp;scorecard=1&amp;secret_key=BX%25IJ%24%2F65ieZ%29f6", 2732268)</f>
        <v>2732268</v>
      </c>
      <c r="C1174" s="3">
        <f>HYPERLINK("https://platform.v2.vetology.net/report/v/final/"&amp;2732268, 2732268)</f>
        <v>2732268</v>
      </c>
      <c r="D1174" s="3" t="s">
        <v>4339</v>
      </c>
      <c r="E1174" s="3" t="s">
        <v>4340</v>
      </c>
      <c r="F1174" s="3" t="s">
        <v>22</v>
      </c>
      <c r="G1174" s="3" t="s">
        <v>23</v>
      </c>
      <c r="H1174" s="3" t="s">
        <v>4341</v>
      </c>
      <c r="I1174" s="3" t="s">
        <v>706</v>
      </c>
      <c r="J1174" s="3" t="s">
        <v>707</v>
      </c>
      <c r="K1174" s="3" t="s">
        <v>28</v>
      </c>
      <c r="L1174" s="3" t="s">
        <v>28</v>
      </c>
      <c r="M1174" s="3" t="s">
        <v>28</v>
      </c>
      <c r="N1174" s="3" t="s">
        <v>28</v>
      </c>
      <c r="O1174" s="3" t="s">
        <v>27</v>
      </c>
      <c r="P1174" s="3" t="s">
        <v>27</v>
      </c>
      <c r="Q1174" s="3" t="s">
        <v>28</v>
      </c>
      <c r="R1174" s="3" t="s">
        <v>28</v>
      </c>
      <c r="S1174" s="3" t="s">
        <v>28</v>
      </c>
      <c r="T1174" s="3" t="s">
        <v>27</v>
      </c>
    </row>
    <row r="1175" spans="1:20" ht="409.6">
      <c r="A1175" s="3">
        <v>2732223</v>
      </c>
      <c r="B1175" s="3">
        <f>HYPERLINK("https://platform.v2.vetology.net/cases/2732223/screening-report/6?type=pdf&amp;v=v6&amp;scorecard=1&amp;secret_key=BX%25IJ%24%2F65ieZ%29f6", 2732223)</f>
        <v>2732223</v>
      </c>
      <c r="C1175" s="3">
        <f>HYPERLINK("https://platform.v2.vetology.net/report/v/final/"&amp;2732223, 2732223)</f>
        <v>2732223</v>
      </c>
      <c r="D1175" s="3" t="s">
        <v>4342</v>
      </c>
      <c r="E1175" s="3" t="s">
        <v>4343</v>
      </c>
      <c r="F1175" s="3" t="s">
        <v>22</v>
      </c>
      <c r="G1175" s="3" t="s">
        <v>23</v>
      </c>
      <c r="H1175" s="3" t="s">
        <v>2193</v>
      </c>
      <c r="I1175" s="3" t="s">
        <v>78</v>
      </c>
      <c r="J1175" s="3" t="s">
        <v>79</v>
      </c>
      <c r="K1175" s="3" t="s">
        <v>27</v>
      </c>
      <c r="L1175" s="3" t="s">
        <v>28</v>
      </c>
      <c r="M1175" s="3" t="s">
        <v>28</v>
      </c>
      <c r="N1175" s="3" t="s">
        <v>28</v>
      </c>
      <c r="O1175" s="3" t="s">
        <v>27</v>
      </c>
      <c r="P1175" s="3" t="s">
        <v>27</v>
      </c>
      <c r="Q1175" s="3" t="s">
        <v>28</v>
      </c>
      <c r="R1175" s="3" t="s">
        <v>28</v>
      </c>
      <c r="S1175" s="3" t="s">
        <v>28</v>
      </c>
      <c r="T1175" s="3" t="s">
        <v>28</v>
      </c>
    </row>
    <row r="1176" spans="1:20" ht="244.5">
      <c r="A1176" s="3">
        <v>2732163</v>
      </c>
      <c r="B1176" s="3">
        <f>HYPERLINK("https://platform.v2.vetology.net/cases/2732163/screening-report/6?type=pdf&amp;v=v6&amp;scorecard=1&amp;secret_key=BX%25IJ%24%2F65ieZ%29f6", 2732163)</f>
        <v>2732163</v>
      </c>
      <c r="C1176" s="3">
        <f>HYPERLINK("https://platform.v2.vetology.net/report/v/final/"&amp;2732163, 2732163)</f>
        <v>2732163</v>
      </c>
      <c r="D1176" s="3" t="s">
        <v>4344</v>
      </c>
      <c r="E1176" s="3" t="s">
        <v>4345</v>
      </c>
      <c r="F1176" s="3"/>
      <c r="G1176" s="3" t="s">
        <v>122</v>
      </c>
      <c r="H1176" s="3" t="s">
        <v>241</v>
      </c>
      <c r="I1176" s="3"/>
      <c r="J1176" s="3" t="s">
        <v>207</v>
      </c>
      <c r="K1176" s="3" t="s">
        <v>28</v>
      </c>
      <c r="L1176" s="3" t="s">
        <v>28</v>
      </c>
      <c r="M1176" s="3" t="s">
        <v>28</v>
      </c>
      <c r="N1176" s="3" t="s">
        <v>28</v>
      </c>
      <c r="O1176" s="3" t="s">
        <v>27</v>
      </c>
      <c r="P1176" s="3" t="s">
        <v>28</v>
      </c>
      <c r="Q1176" s="3" t="s">
        <v>28</v>
      </c>
      <c r="R1176" s="3" t="s">
        <v>28</v>
      </c>
      <c r="S1176" s="3" t="s">
        <v>28</v>
      </c>
      <c r="T1176" s="3" t="s">
        <v>27</v>
      </c>
    </row>
    <row r="1177" spans="1:20" ht="244.5">
      <c r="A1177" s="3">
        <v>2732137</v>
      </c>
      <c r="B1177" s="3">
        <f>HYPERLINK("https://platform.v2.vetology.net/cases/2732137/screening-report/6?type=pdf&amp;v=v6&amp;scorecard=1&amp;secret_key=BX%25IJ%24%2F65ieZ%29f6", 2732137)</f>
        <v>2732137</v>
      </c>
      <c r="C1177" s="3">
        <f>HYPERLINK("https://platform.v2.vetology.net/report/v/final/"&amp;2732137, 2732137)</f>
        <v>2732137</v>
      </c>
      <c r="D1177" s="3" t="s">
        <v>4346</v>
      </c>
      <c r="E1177" s="3" t="s">
        <v>75</v>
      </c>
      <c r="F1177" s="3" t="s">
        <v>4347</v>
      </c>
      <c r="G1177" s="3" t="s">
        <v>23</v>
      </c>
      <c r="H1177" s="3" t="s">
        <v>31</v>
      </c>
      <c r="I1177" s="3" t="s">
        <v>32</v>
      </c>
      <c r="J1177" s="3" t="s">
        <v>119</v>
      </c>
      <c r="K1177" s="3" t="s">
        <v>28</v>
      </c>
      <c r="L1177" s="3" t="s">
        <v>28</v>
      </c>
      <c r="M1177" s="3" t="s">
        <v>28</v>
      </c>
      <c r="N1177" s="3" t="s">
        <v>28</v>
      </c>
      <c r="O1177" s="3" t="s">
        <v>28</v>
      </c>
      <c r="P1177" s="3" t="s">
        <v>28</v>
      </c>
      <c r="Q1177" s="3" t="s">
        <v>28</v>
      </c>
      <c r="R1177" s="3" t="s">
        <v>28</v>
      </c>
      <c r="S1177" s="3" t="s">
        <v>28</v>
      </c>
      <c r="T1177" s="3" t="s">
        <v>28</v>
      </c>
    </row>
    <row r="1178" spans="1:20" ht="351">
      <c r="A1178" s="3">
        <v>2732103</v>
      </c>
      <c r="B1178" s="3">
        <f>HYPERLINK("https://platform.v2.vetology.net/cases/2732103/screening-report/6?type=pdf&amp;v=v6&amp;scorecard=1&amp;secret_key=BX%25IJ%24%2F65ieZ%29f6", 2732103)</f>
        <v>2732103</v>
      </c>
      <c r="C1178" s="3">
        <f>HYPERLINK("https://platform.v2.vetology.net/report/v/final/"&amp;2732103, 2732103)</f>
        <v>2732103</v>
      </c>
      <c r="D1178" s="3" t="s">
        <v>4348</v>
      </c>
      <c r="E1178" s="3" t="s">
        <v>4349</v>
      </c>
      <c r="F1178" s="3" t="s">
        <v>1754</v>
      </c>
      <c r="G1178" s="3" t="s">
        <v>186</v>
      </c>
      <c r="H1178" s="3" t="s">
        <v>864</v>
      </c>
      <c r="I1178" s="3" t="s">
        <v>865</v>
      </c>
      <c r="J1178" s="3" t="s">
        <v>866</v>
      </c>
      <c r="K1178" s="3" t="s">
        <v>28</v>
      </c>
      <c r="L1178" s="3" t="s">
        <v>28</v>
      </c>
      <c r="M1178" s="3" t="s">
        <v>28</v>
      </c>
      <c r="N1178" s="3" t="s">
        <v>28</v>
      </c>
      <c r="O1178" s="3" t="s">
        <v>27</v>
      </c>
      <c r="P1178" s="3" t="s">
        <v>28</v>
      </c>
      <c r="Q1178" s="3" t="s">
        <v>28</v>
      </c>
      <c r="R1178" s="3" t="s">
        <v>28</v>
      </c>
      <c r="S1178" s="3" t="s">
        <v>28</v>
      </c>
      <c r="T1178" s="3" t="s">
        <v>28</v>
      </c>
    </row>
    <row r="1179" spans="1:20" ht="366">
      <c r="A1179" s="3">
        <v>2732101</v>
      </c>
      <c r="B1179" s="3">
        <f>HYPERLINK("https://platform.v2.vetology.net/cases/2732101/screening-report/6?type=pdf&amp;v=v6&amp;scorecard=1&amp;secret_key=BX%25IJ%24%2F65ieZ%29f6", 2732101)</f>
        <v>2732101</v>
      </c>
      <c r="C1179" s="3">
        <f>HYPERLINK("https://platform.v2.vetology.net/report/v/final/"&amp;2732101, 2732101)</f>
        <v>2732101</v>
      </c>
      <c r="D1179" s="3" t="s">
        <v>4350</v>
      </c>
      <c r="E1179" s="3" t="s">
        <v>4351</v>
      </c>
      <c r="F1179" s="3" t="s">
        <v>22</v>
      </c>
      <c r="G1179" s="3" t="s">
        <v>23</v>
      </c>
      <c r="H1179" s="3" t="s">
        <v>4352</v>
      </c>
      <c r="I1179" s="3" t="s">
        <v>267</v>
      </c>
      <c r="J1179" s="3" t="s">
        <v>268</v>
      </c>
      <c r="K1179" s="3" t="s">
        <v>27</v>
      </c>
      <c r="L1179" s="3" t="s">
        <v>28</v>
      </c>
      <c r="M1179" s="3" t="s">
        <v>28</v>
      </c>
      <c r="N1179" s="3" t="s">
        <v>28</v>
      </c>
      <c r="O1179" s="3" t="s">
        <v>27</v>
      </c>
      <c r="P1179" s="3" t="s">
        <v>27</v>
      </c>
      <c r="Q1179" s="3" t="s">
        <v>28</v>
      </c>
      <c r="R1179" s="3" t="s">
        <v>28</v>
      </c>
      <c r="S1179" s="3" t="s">
        <v>28</v>
      </c>
      <c r="T1179" s="3" t="s">
        <v>28</v>
      </c>
    </row>
    <row r="1180" spans="1:20" ht="305.25">
      <c r="A1180" s="3">
        <v>2732082</v>
      </c>
      <c r="B1180" s="3">
        <f>HYPERLINK("https://platform.v2.vetology.net/cases/2732082/screening-report/6?type=pdf&amp;v=v6&amp;scorecard=1&amp;secret_key=BX%25IJ%24%2F65ieZ%29f6", 2732082)</f>
        <v>2732082</v>
      </c>
      <c r="C1180" s="3">
        <f>HYPERLINK("https://platform.v2.vetology.net/report/v/final/"&amp;2732082, 2732082)</f>
        <v>2732082</v>
      </c>
      <c r="D1180" s="3" t="s">
        <v>4353</v>
      </c>
      <c r="E1180" s="3" t="s">
        <v>4354</v>
      </c>
      <c r="F1180" s="3" t="s">
        <v>22</v>
      </c>
      <c r="G1180" s="3" t="s">
        <v>23</v>
      </c>
      <c r="H1180" s="3" t="s">
        <v>4355</v>
      </c>
      <c r="I1180" s="3" t="s">
        <v>4099</v>
      </c>
      <c r="J1180" s="3" t="s">
        <v>4100</v>
      </c>
      <c r="K1180" s="3" t="s">
        <v>27</v>
      </c>
      <c r="L1180" s="3" t="s">
        <v>28</v>
      </c>
      <c r="M1180" s="3" t="s">
        <v>27</v>
      </c>
      <c r="N1180" s="3" t="s">
        <v>28</v>
      </c>
      <c r="O1180" s="3" t="s">
        <v>27</v>
      </c>
      <c r="P1180" s="3" t="s">
        <v>28</v>
      </c>
      <c r="Q1180" s="3" t="s">
        <v>28</v>
      </c>
      <c r="R1180" s="3" t="s">
        <v>28</v>
      </c>
      <c r="S1180" s="3" t="s">
        <v>28</v>
      </c>
      <c r="T1180" s="3" t="s">
        <v>28</v>
      </c>
    </row>
    <row r="1181" spans="1:20" ht="259.5">
      <c r="A1181" s="3">
        <v>2732068</v>
      </c>
      <c r="B1181" s="3">
        <f>HYPERLINK("https://platform.v2.vetology.net/cases/2732068/screening-report/6?type=pdf&amp;v=v6&amp;scorecard=1&amp;secret_key=BX%25IJ%24%2F65ieZ%29f6", 2732068)</f>
        <v>2732068</v>
      </c>
      <c r="C1181" s="3">
        <f>HYPERLINK("https://platform.v2.vetology.net/report/v/final/"&amp;2732068, 2732068)</f>
        <v>2732068</v>
      </c>
      <c r="D1181" s="3" t="s">
        <v>4356</v>
      </c>
      <c r="E1181" s="3" t="s">
        <v>4357</v>
      </c>
      <c r="F1181" s="3" t="s">
        <v>1762</v>
      </c>
      <c r="G1181" s="3" t="s">
        <v>100</v>
      </c>
      <c r="H1181" s="3" t="s">
        <v>118</v>
      </c>
      <c r="I1181" s="3" t="s">
        <v>32</v>
      </c>
      <c r="J1181" s="3" t="s">
        <v>119</v>
      </c>
      <c r="K1181" s="3" t="s">
        <v>28</v>
      </c>
      <c r="L1181" s="3" t="s">
        <v>28</v>
      </c>
      <c r="M1181" s="3" t="s">
        <v>28</v>
      </c>
      <c r="N1181" s="3" t="s">
        <v>28</v>
      </c>
      <c r="O1181" s="3" t="s">
        <v>27</v>
      </c>
      <c r="P1181" s="3" t="s">
        <v>28</v>
      </c>
      <c r="Q1181" s="3" t="s">
        <v>28</v>
      </c>
      <c r="R1181" s="3" t="s">
        <v>28</v>
      </c>
      <c r="S1181" s="3" t="s">
        <v>28</v>
      </c>
      <c r="T1181" s="3" t="s">
        <v>28</v>
      </c>
    </row>
    <row r="1182" spans="1:20" ht="381.75">
      <c r="A1182" s="3">
        <v>2732065</v>
      </c>
      <c r="B1182" s="3">
        <f>HYPERLINK("https://platform.v2.vetology.net/cases/2732065/screening-report/6?type=pdf&amp;v=v6&amp;scorecard=1&amp;secret_key=BX%25IJ%24%2F65ieZ%29f6", 2732065)</f>
        <v>2732065</v>
      </c>
      <c r="C1182" s="3">
        <f>HYPERLINK("https://platform.v2.vetology.net/report/v/final/"&amp;2732065, 2732065)</f>
        <v>2732065</v>
      </c>
      <c r="D1182" s="3" t="s">
        <v>4358</v>
      </c>
      <c r="E1182" s="3" t="s">
        <v>4359</v>
      </c>
      <c r="F1182" s="3" t="s">
        <v>4360</v>
      </c>
      <c r="G1182" s="3" t="s">
        <v>23</v>
      </c>
      <c r="H1182" s="3" t="s">
        <v>855</v>
      </c>
      <c r="I1182" s="3" t="s">
        <v>856</v>
      </c>
      <c r="J1182" s="3" t="s">
        <v>857</v>
      </c>
      <c r="K1182" s="3" t="s">
        <v>27</v>
      </c>
      <c r="L1182" s="3" t="s">
        <v>28</v>
      </c>
      <c r="M1182" s="3" t="s">
        <v>28</v>
      </c>
      <c r="N1182" s="3" t="s">
        <v>28</v>
      </c>
      <c r="O1182" s="3" t="s">
        <v>27</v>
      </c>
      <c r="P1182" s="3" t="s">
        <v>28</v>
      </c>
      <c r="Q1182" s="3" t="s">
        <v>28</v>
      </c>
      <c r="R1182" s="3" t="s">
        <v>28</v>
      </c>
      <c r="S1182" s="3" t="s">
        <v>28</v>
      </c>
      <c r="T1182" s="3" t="s">
        <v>28</v>
      </c>
    </row>
    <row r="1183" spans="1:20" ht="409.6">
      <c r="A1183" s="3">
        <v>2732060</v>
      </c>
      <c r="B1183" s="3">
        <f>HYPERLINK("https://platform.v2.vetology.net/cases/2732060/screening-report/6?type=pdf&amp;v=v6&amp;scorecard=1&amp;secret_key=BX%25IJ%24%2F65ieZ%29f6", 2732060)</f>
        <v>2732060</v>
      </c>
      <c r="C1183" s="3">
        <f>HYPERLINK("https://platform.v2.vetology.net/report/v/final/"&amp;2732060, 2732060)</f>
        <v>2732060</v>
      </c>
      <c r="D1183" s="3" t="s">
        <v>4361</v>
      </c>
      <c r="E1183" s="3" t="s">
        <v>4362</v>
      </c>
      <c r="F1183" s="3" t="s">
        <v>22</v>
      </c>
      <c r="G1183" s="3" t="s">
        <v>23</v>
      </c>
      <c r="H1183" s="3" t="s">
        <v>101</v>
      </c>
      <c r="I1183" s="3" t="s">
        <v>102</v>
      </c>
      <c r="J1183" s="3" t="s">
        <v>103</v>
      </c>
      <c r="K1183" s="3" t="s">
        <v>28</v>
      </c>
      <c r="L1183" s="3" t="s">
        <v>28</v>
      </c>
      <c r="M1183" s="3" t="s">
        <v>27</v>
      </c>
      <c r="N1183" s="3" t="s">
        <v>28</v>
      </c>
      <c r="O1183" s="3" t="s">
        <v>27</v>
      </c>
      <c r="P1183" s="3" t="s">
        <v>28</v>
      </c>
      <c r="Q1183" s="3" t="s">
        <v>27</v>
      </c>
      <c r="R1183" s="3" t="s">
        <v>28</v>
      </c>
      <c r="S1183" s="3" t="s">
        <v>27</v>
      </c>
      <c r="T1183" s="3" t="s">
        <v>28</v>
      </c>
    </row>
    <row r="1184" spans="1:20" ht="409.6">
      <c r="A1184" s="3">
        <v>2732043</v>
      </c>
      <c r="B1184" s="3">
        <f>HYPERLINK("https://platform.v2.vetology.net/cases/2732043/screening-report/6?type=pdf&amp;v=v6&amp;scorecard=1&amp;secret_key=BX%25IJ%24%2F65ieZ%29f6", 2732043)</f>
        <v>2732043</v>
      </c>
      <c r="C1184" s="3">
        <f>HYPERLINK("https://platform.v2.vetology.net/report/v/final/"&amp;2732043, 2732043)</f>
        <v>2732043</v>
      </c>
      <c r="D1184" s="3" t="s">
        <v>4363</v>
      </c>
      <c r="E1184" s="3" t="s">
        <v>4364</v>
      </c>
      <c r="F1184" s="3" t="s">
        <v>22</v>
      </c>
      <c r="G1184" s="3" t="s">
        <v>23</v>
      </c>
      <c r="H1184" s="3" t="s">
        <v>4365</v>
      </c>
      <c r="I1184" s="3" t="s">
        <v>4366</v>
      </c>
      <c r="J1184" s="3" t="s">
        <v>713</v>
      </c>
      <c r="K1184" s="3" t="s">
        <v>28</v>
      </c>
      <c r="L1184" s="3" t="s">
        <v>28</v>
      </c>
      <c r="M1184" s="3" t="s">
        <v>28</v>
      </c>
      <c r="N1184" s="3" t="s">
        <v>28</v>
      </c>
      <c r="O1184" s="3" t="s">
        <v>27</v>
      </c>
      <c r="P1184" s="3" t="s">
        <v>28</v>
      </c>
      <c r="Q1184" s="3" t="s">
        <v>28</v>
      </c>
      <c r="R1184" s="3" t="s">
        <v>28</v>
      </c>
      <c r="S1184" s="3" t="s">
        <v>28</v>
      </c>
      <c r="T1184" s="3" t="s">
        <v>28</v>
      </c>
    </row>
    <row r="1185" spans="1:20" ht="321">
      <c r="A1185" s="3">
        <v>2731961</v>
      </c>
      <c r="B1185" s="3">
        <f>HYPERLINK("https://platform.v2.vetology.net/cases/2731961/screening-report/6?type=pdf&amp;v=v6&amp;scorecard=1&amp;secret_key=BX%25IJ%24%2F65ieZ%29f6", 2731961)</f>
        <v>2731961</v>
      </c>
      <c r="C1185" s="3">
        <f>HYPERLINK("https://platform.v2.vetology.net/report/v/final/"&amp;2731961, 2731961)</f>
        <v>2731961</v>
      </c>
      <c r="D1185" s="3" t="s">
        <v>4367</v>
      </c>
      <c r="E1185" s="3" t="s">
        <v>4368</v>
      </c>
      <c r="F1185" s="3" t="s">
        <v>22</v>
      </c>
      <c r="G1185" s="3" t="s">
        <v>100</v>
      </c>
      <c r="H1185" s="3" t="s">
        <v>4369</v>
      </c>
      <c r="I1185" s="3" t="s">
        <v>2353</v>
      </c>
      <c r="J1185" s="3" t="s">
        <v>207</v>
      </c>
      <c r="K1185" s="3" t="s">
        <v>27</v>
      </c>
      <c r="L1185" s="3" t="s">
        <v>27</v>
      </c>
      <c r="M1185" s="3" t="s">
        <v>28</v>
      </c>
      <c r="N1185" s="3" t="s">
        <v>27</v>
      </c>
      <c r="O1185" s="3" t="s">
        <v>27</v>
      </c>
      <c r="P1185" s="3" t="s">
        <v>28</v>
      </c>
      <c r="Q1185" s="3" t="s">
        <v>27</v>
      </c>
      <c r="R1185" s="3" t="s">
        <v>27</v>
      </c>
      <c r="S1185" s="3" t="s">
        <v>27</v>
      </c>
      <c r="T1185" s="3" t="s">
        <v>27</v>
      </c>
    </row>
    <row r="1186" spans="1:20" ht="409.6">
      <c r="A1186" s="3">
        <v>2731955</v>
      </c>
      <c r="B1186" s="3">
        <f>HYPERLINK("https://platform.v2.vetology.net/cases/2731955/screening-report/6?type=pdf&amp;v=v6&amp;scorecard=1&amp;secret_key=BX%25IJ%24%2F65ieZ%29f6", 2731955)</f>
        <v>2731955</v>
      </c>
      <c r="C1186" s="3">
        <f>HYPERLINK("https://platform.v2.vetology.net/report/v/final/"&amp;2731955, 2731955)</f>
        <v>2731955</v>
      </c>
      <c r="D1186" s="3" t="s">
        <v>4370</v>
      </c>
      <c r="E1186" s="3" t="s">
        <v>4371</v>
      </c>
      <c r="F1186" s="3" t="s">
        <v>4372</v>
      </c>
      <c r="G1186" s="3" t="s">
        <v>186</v>
      </c>
      <c r="H1186" s="3" t="s">
        <v>658</v>
      </c>
      <c r="I1186" s="3" t="s">
        <v>659</v>
      </c>
      <c r="J1186" s="3" t="s">
        <v>660</v>
      </c>
      <c r="K1186" s="3" t="s">
        <v>28</v>
      </c>
      <c r="L1186" s="3" t="s">
        <v>28</v>
      </c>
      <c r="M1186" s="3" t="s">
        <v>28</v>
      </c>
      <c r="N1186" s="3" t="s">
        <v>28</v>
      </c>
      <c r="O1186" s="3" t="s">
        <v>27</v>
      </c>
      <c r="P1186" s="3" t="s">
        <v>28</v>
      </c>
      <c r="Q1186" s="3" t="s">
        <v>28</v>
      </c>
      <c r="R1186" s="3" t="s">
        <v>28</v>
      </c>
      <c r="S1186" s="3" t="s">
        <v>28</v>
      </c>
      <c r="T1186" s="3" t="s">
        <v>28</v>
      </c>
    </row>
    <row r="1187" spans="1:20" ht="409.6">
      <c r="A1187" s="3">
        <v>2731937</v>
      </c>
      <c r="B1187" s="3">
        <f>HYPERLINK("https://platform.v2.vetology.net/cases/2731937/screening-report/6?type=pdf&amp;v=v6&amp;scorecard=1&amp;secret_key=BX%25IJ%24%2F65ieZ%29f6", 2731937)</f>
        <v>2731937</v>
      </c>
      <c r="C1187" s="3">
        <f>HYPERLINK("https://platform.v2.vetology.net/report/v/final/"&amp;2731937, 2731937)</f>
        <v>2731937</v>
      </c>
      <c r="D1187" s="3" t="s">
        <v>4373</v>
      </c>
      <c r="E1187" s="3" t="s">
        <v>4374</v>
      </c>
      <c r="F1187" s="3" t="s">
        <v>4375</v>
      </c>
      <c r="G1187" s="3" t="s">
        <v>64</v>
      </c>
      <c r="H1187" s="3" t="s">
        <v>944</v>
      </c>
      <c r="I1187" s="3" t="s">
        <v>32</v>
      </c>
      <c r="J1187" s="3" t="s">
        <v>33</v>
      </c>
      <c r="K1187" s="3" t="s">
        <v>28</v>
      </c>
      <c r="L1187" s="3" t="s">
        <v>28</v>
      </c>
      <c r="M1187" s="3" t="s">
        <v>28</v>
      </c>
      <c r="N1187" s="3" t="s">
        <v>28</v>
      </c>
      <c r="O1187" s="3" t="s">
        <v>27</v>
      </c>
      <c r="P1187" s="3" t="s">
        <v>28</v>
      </c>
      <c r="Q1187" s="3" t="s">
        <v>28</v>
      </c>
      <c r="R1187" s="3" t="s">
        <v>28</v>
      </c>
      <c r="S1187" s="3" t="s">
        <v>28</v>
      </c>
      <c r="T1187" s="3" t="s">
        <v>28</v>
      </c>
    </row>
    <row r="1188" spans="1:20" ht="305.25">
      <c r="A1188" s="3">
        <v>2731697</v>
      </c>
      <c r="B1188" s="3">
        <f>HYPERLINK("https://platform.v2.vetology.net/cases/2731697/screening-report/6?type=pdf&amp;v=v6&amp;scorecard=1&amp;secret_key=BX%25IJ%24%2F65ieZ%29f6", 2731697)</f>
        <v>2731697</v>
      </c>
      <c r="C1188" s="3">
        <f>HYPERLINK("https://platform.v2.vetology.net/report/v/final/"&amp;2731697, 2731697)</f>
        <v>2731697</v>
      </c>
      <c r="D1188" s="3" t="s">
        <v>4376</v>
      </c>
      <c r="E1188" s="3" t="s">
        <v>4377</v>
      </c>
      <c r="F1188" s="3" t="s">
        <v>4378</v>
      </c>
      <c r="G1188" s="3" t="s">
        <v>64</v>
      </c>
      <c r="H1188" s="3" t="s">
        <v>31</v>
      </c>
      <c r="I1188" s="3" t="s">
        <v>32</v>
      </c>
      <c r="J1188" s="3" t="s">
        <v>119</v>
      </c>
      <c r="K1188" s="3" t="s">
        <v>28</v>
      </c>
      <c r="L1188" s="3" t="s">
        <v>28</v>
      </c>
      <c r="M1188" s="3" t="s">
        <v>28</v>
      </c>
      <c r="N1188" s="3" t="s">
        <v>28</v>
      </c>
      <c r="O1188" s="3" t="s">
        <v>28</v>
      </c>
      <c r="P1188" s="3" t="s">
        <v>28</v>
      </c>
      <c r="Q1188" s="3" t="s">
        <v>28</v>
      </c>
      <c r="R1188" s="3" t="s">
        <v>28</v>
      </c>
      <c r="S1188" s="3" t="s">
        <v>28</v>
      </c>
      <c r="T1188" s="3" t="s">
        <v>28</v>
      </c>
    </row>
    <row r="1189" spans="1:20" ht="409.6">
      <c r="A1189" s="3">
        <v>2731690</v>
      </c>
      <c r="B1189" s="3">
        <f>HYPERLINK("https://platform.v2.vetology.net/cases/2731690/screening-report/6?type=pdf&amp;v=v6&amp;scorecard=1&amp;secret_key=BX%25IJ%24%2F65ieZ%29f6", 2731690)</f>
        <v>2731690</v>
      </c>
      <c r="C1189" s="3">
        <f>HYPERLINK("https://platform.v2.vetology.net/report/v/final/"&amp;2731690, 2731690)</f>
        <v>2731690</v>
      </c>
      <c r="D1189" s="3" t="s">
        <v>4379</v>
      </c>
      <c r="E1189" s="3" t="s">
        <v>4380</v>
      </c>
      <c r="F1189" s="3" t="s">
        <v>4381</v>
      </c>
      <c r="G1189" s="3" t="s">
        <v>736</v>
      </c>
      <c r="H1189" s="3" t="s">
        <v>31</v>
      </c>
      <c r="I1189" s="3" t="s">
        <v>4382</v>
      </c>
      <c r="J1189" s="3" t="s">
        <v>33</v>
      </c>
      <c r="K1189" s="3" t="s">
        <v>28</v>
      </c>
      <c r="L1189" s="3" t="s">
        <v>28</v>
      </c>
      <c r="M1189" s="3" t="s">
        <v>28</v>
      </c>
      <c r="N1189" s="3" t="s">
        <v>28</v>
      </c>
      <c r="O1189" s="3" t="s">
        <v>28</v>
      </c>
      <c r="P1189" s="3" t="s">
        <v>28</v>
      </c>
      <c r="Q1189" s="3" t="s">
        <v>28</v>
      </c>
      <c r="R1189" s="3" t="s">
        <v>28</v>
      </c>
      <c r="S1189" s="3" t="s">
        <v>28</v>
      </c>
      <c r="T1189" s="3" t="s">
        <v>28</v>
      </c>
    </row>
    <row r="1190" spans="1:20" ht="409.6">
      <c r="A1190" s="3">
        <v>2731686</v>
      </c>
      <c r="B1190" s="3">
        <f>HYPERLINK("https://platform.v2.vetology.net/cases/2731686/screening-report/6?type=pdf&amp;v=v6&amp;scorecard=1&amp;secret_key=BX%25IJ%24%2F65ieZ%29f6", 2731686)</f>
        <v>2731686</v>
      </c>
      <c r="C1190" s="3">
        <f>HYPERLINK("https://platform.v2.vetology.net/report/v/final/"&amp;2731686, 2731686)</f>
        <v>2731686</v>
      </c>
      <c r="D1190" s="3" t="s">
        <v>4383</v>
      </c>
      <c r="E1190" s="3" t="s">
        <v>4384</v>
      </c>
      <c r="F1190" s="3" t="s">
        <v>4385</v>
      </c>
      <c r="G1190" s="3" t="s">
        <v>736</v>
      </c>
      <c r="H1190" s="3" t="s">
        <v>1296</v>
      </c>
      <c r="I1190" s="3" t="s">
        <v>316</v>
      </c>
      <c r="J1190" s="3" t="s">
        <v>317</v>
      </c>
      <c r="K1190" s="3" t="s">
        <v>28</v>
      </c>
      <c r="L1190" s="3" t="s">
        <v>28</v>
      </c>
      <c r="M1190" s="3" t="s">
        <v>28</v>
      </c>
      <c r="N1190" s="3" t="s">
        <v>28</v>
      </c>
      <c r="O1190" s="3" t="s">
        <v>27</v>
      </c>
      <c r="P1190" s="3" t="s">
        <v>28</v>
      </c>
      <c r="Q1190" s="3" t="s">
        <v>28</v>
      </c>
      <c r="R1190" s="3" t="s">
        <v>28</v>
      </c>
      <c r="S1190" s="3" t="s">
        <v>28</v>
      </c>
      <c r="T1190" s="3" t="s">
        <v>28</v>
      </c>
    </row>
    <row r="1191" spans="1:20" ht="409.6">
      <c r="A1191" s="3">
        <v>2731642</v>
      </c>
      <c r="B1191" s="3">
        <f>HYPERLINK("https://platform.v2.vetology.net/cases/2731642/screening-report/6?type=pdf&amp;v=v6&amp;scorecard=1&amp;secret_key=BX%25IJ%24%2F65ieZ%29f6", 2731642)</f>
        <v>2731642</v>
      </c>
      <c r="C1191" s="3">
        <f>HYPERLINK("https://platform.v2.vetology.net/report/v/final/"&amp;2731642, 2731642)</f>
        <v>2731642</v>
      </c>
      <c r="D1191" s="3" t="s">
        <v>4386</v>
      </c>
      <c r="E1191" s="3" t="s">
        <v>4387</v>
      </c>
      <c r="F1191" s="3" t="s">
        <v>22</v>
      </c>
      <c r="G1191" s="3" t="s">
        <v>23</v>
      </c>
      <c r="H1191" s="3" t="s">
        <v>4388</v>
      </c>
      <c r="I1191" s="3" t="s">
        <v>1312</v>
      </c>
      <c r="J1191" s="3" t="s">
        <v>1313</v>
      </c>
      <c r="K1191" s="3" t="s">
        <v>27</v>
      </c>
      <c r="L1191" s="3" t="s">
        <v>27</v>
      </c>
      <c r="M1191" s="3" t="s">
        <v>27</v>
      </c>
      <c r="N1191" s="3" t="s">
        <v>27</v>
      </c>
      <c r="O1191" s="3" t="s">
        <v>27</v>
      </c>
      <c r="P1191" s="3" t="s">
        <v>28</v>
      </c>
      <c r="Q1191" s="3" t="s">
        <v>27</v>
      </c>
      <c r="R1191" s="3" t="s">
        <v>27</v>
      </c>
      <c r="S1191" s="3" t="s">
        <v>27</v>
      </c>
      <c r="T1191" s="3" t="s">
        <v>27</v>
      </c>
    </row>
    <row r="1192" spans="1:20" ht="366">
      <c r="A1192" s="3">
        <v>2731633</v>
      </c>
      <c r="B1192" s="3">
        <f>HYPERLINK("https://platform.v2.vetology.net/cases/2731633/screening-report/6?type=pdf&amp;v=v6&amp;scorecard=1&amp;secret_key=BX%25IJ%24%2F65ieZ%29f6", 2731633)</f>
        <v>2731633</v>
      </c>
      <c r="C1192" s="3">
        <f>HYPERLINK("https://platform.v2.vetology.net/report/v/final/"&amp;2731633, 2731633)</f>
        <v>2731633</v>
      </c>
      <c r="D1192" s="3" t="s">
        <v>4389</v>
      </c>
      <c r="E1192" s="3" t="s">
        <v>4390</v>
      </c>
      <c r="F1192" s="3" t="s">
        <v>22</v>
      </c>
      <c r="G1192" s="3" t="s">
        <v>100</v>
      </c>
      <c r="H1192" s="3" t="s">
        <v>2564</v>
      </c>
      <c r="I1192" s="3" t="s">
        <v>2565</v>
      </c>
      <c r="J1192" s="3" t="s">
        <v>2566</v>
      </c>
      <c r="K1192" s="3" t="s">
        <v>27</v>
      </c>
      <c r="L1192" s="3" t="s">
        <v>27</v>
      </c>
      <c r="M1192" s="3" t="s">
        <v>28</v>
      </c>
      <c r="N1192" s="3" t="s">
        <v>27</v>
      </c>
      <c r="O1192" s="3" t="s">
        <v>27</v>
      </c>
      <c r="P1192" s="3" t="s">
        <v>28</v>
      </c>
      <c r="Q1192" s="3" t="s">
        <v>27</v>
      </c>
      <c r="R1192" s="3" t="s">
        <v>27</v>
      </c>
      <c r="S1192" s="3" t="s">
        <v>28</v>
      </c>
      <c r="T1192" s="3" t="s">
        <v>27</v>
      </c>
    </row>
    <row r="1193" spans="1:20" ht="381.75">
      <c r="A1193" s="3">
        <v>2731628</v>
      </c>
      <c r="B1193" s="3">
        <f>HYPERLINK("https://platform.v2.vetology.net/cases/2731628/screening-report/6?type=pdf&amp;v=v6&amp;scorecard=1&amp;secret_key=BX%25IJ%24%2F65ieZ%29f6", 2731628)</f>
        <v>2731628</v>
      </c>
      <c r="C1193" s="3">
        <f>HYPERLINK("https://platform.v2.vetology.net/report/v/final/"&amp;2731628, 2731628)</f>
        <v>2731628</v>
      </c>
      <c r="D1193" s="3" t="s">
        <v>4391</v>
      </c>
      <c r="E1193" s="3" t="s">
        <v>4392</v>
      </c>
      <c r="F1193" s="3" t="s">
        <v>4393</v>
      </c>
      <c r="G1193" s="3" t="s">
        <v>23</v>
      </c>
      <c r="H1193" s="3" t="s">
        <v>2100</v>
      </c>
      <c r="I1193" s="3" t="s">
        <v>539</v>
      </c>
      <c r="J1193" s="3" t="s">
        <v>540</v>
      </c>
      <c r="K1193" s="3" t="s">
        <v>27</v>
      </c>
      <c r="L1193" s="3" t="s">
        <v>28</v>
      </c>
      <c r="M1193" s="3" t="s">
        <v>28</v>
      </c>
      <c r="N1193" s="3" t="s">
        <v>28</v>
      </c>
      <c r="O1193" s="3" t="s">
        <v>27</v>
      </c>
      <c r="P1193" s="3" t="s">
        <v>28</v>
      </c>
      <c r="Q1193" s="3" t="s">
        <v>28</v>
      </c>
      <c r="R1193" s="3" t="s">
        <v>28</v>
      </c>
      <c r="S1193" s="3" t="s">
        <v>28</v>
      </c>
      <c r="T1193" s="3" t="s">
        <v>28</v>
      </c>
    </row>
    <row r="1194" spans="1:20" ht="290.25">
      <c r="A1194" s="3">
        <v>2731610</v>
      </c>
      <c r="B1194" s="3">
        <f>HYPERLINK("https://platform.v2.vetology.net/cases/2731610/screening-report/6?type=pdf&amp;v=v6&amp;scorecard=1&amp;secret_key=BX%25IJ%24%2F65ieZ%29f6", 2731610)</f>
        <v>2731610</v>
      </c>
      <c r="C1194" s="3">
        <f>HYPERLINK("https://platform.v2.vetology.net/report/v/final/"&amp;2731610, 2731610)</f>
        <v>2731610</v>
      </c>
      <c r="D1194" s="3" t="s">
        <v>4394</v>
      </c>
      <c r="E1194" s="3" t="s">
        <v>1690</v>
      </c>
      <c r="F1194" s="3"/>
      <c r="G1194" s="3" t="s">
        <v>100</v>
      </c>
      <c r="H1194" s="3" t="s">
        <v>419</v>
      </c>
      <c r="I1194" s="3" t="s">
        <v>316</v>
      </c>
      <c r="J1194" s="3" t="s">
        <v>317</v>
      </c>
      <c r="K1194" s="3" t="s">
        <v>28</v>
      </c>
      <c r="L1194" s="3" t="s">
        <v>28</v>
      </c>
      <c r="M1194" s="3" t="s">
        <v>28</v>
      </c>
      <c r="N1194" s="3" t="s">
        <v>28</v>
      </c>
      <c r="O1194" s="3" t="s">
        <v>27</v>
      </c>
      <c r="P1194" s="3" t="s">
        <v>28</v>
      </c>
      <c r="Q1194" s="3" t="s">
        <v>28</v>
      </c>
      <c r="R1194" s="3" t="s">
        <v>28</v>
      </c>
      <c r="S1194" s="3" t="s">
        <v>28</v>
      </c>
      <c r="T1194" s="3" t="s">
        <v>28</v>
      </c>
    </row>
    <row r="1195" spans="1:20" ht="366">
      <c r="A1195" s="3">
        <v>2731584</v>
      </c>
      <c r="B1195" s="3">
        <f>HYPERLINK("https://platform.v2.vetology.net/cases/2731584/screening-report/6?type=pdf&amp;v=v6&amp;scorecard=1&amp;secret_key=BX%25IJ%24%2F65ieZ%29f6", 2731584)</f>
        <v>2731584</v>
      </c>
      <c r="C1195" s="3">
        <f>HYPERLINK("https://platform.v2.vetology.net/report/v/final/"&amp;2731584, 2731584)</f>
        <v>2731584</v>
      </c>
      <c r="D1195" s="3" t="s">
        <v>4395</v>
      </c>
      <c r="E1195" s="3" t="s">
        <v>4396</v>
      </c>
      <c r="F1195" s="3" t="s">
        <v>22</v>
      </c>
      <c r="G1195" s="3" t="s">
        <v>100</v>
      </c>
      <c r="H1195" s="3" t="s">
        <v>2864</v>
      </c>
      <c r="I1195" s="3" t="s">
        <v>993</v>
      </c>
      <c r="J1195" s="3" t="s">
        <v>994</v>
      </c>
      <c r="K1195" s="3" t="s">
        <v>28</v>
      </c>
      <c r="L1195" s="3" t="s">
        <v>28</v>
      </c>
      <c r="M1195" s="3" t="s">
        <v>28</v>
      </c>
      <c r="N1195" s="3" t="s">
        <v>28</v>
      </c>
      <c r="O1195" s="3" t="s">
        <v>27</v>
      </c>
      <c r="P1195" s="3" t="s">
        <v>28</v>
      </c>
      <c r="Q1195" s="3" t="s">
        <v>28</v>
      </c>
      <c r="R1195" s="3" t="s">
        <v>28</v>
      </c>
      <c r="S1195" s="3" t="s">
        <v>28</v>
      </c>
      <c r="T1195" s="3" t="s">
        <v>28</v>
      </c>
    </row>
    <row r="1196" spans="1:20" ht="305.25">
      <c r="A1196" s="3">
        <v>2731526</v>
      </c>
      <c r="B1196" s="3">
        <f>HYPERLINK("https://platform.v2.vetology.net/cases/2731526/screening-report/6?type=pdf&amp;v=v6&amp;scorecard=1&amp;secret_key=BX%25IJ%24%2F65ieZ%29f6", 2731526)</f>
        <v>2731526</v>
      </c>
      <c r="C1196" s="3">
        <f>HYPERLINK("https://platform.v2.vetology.net/report/v/final/"&amp;2731526, 2731526)</f>
        <v>2731526</v>
      </c>
      <c r="D1196" s="3" t="s">
        <v>2191</v>
      </c>
      <c r="E1196" s="3" t="s">
        <v>4397</v>
      </c>
      <c r="F1196" s="3" t="s">
        <v>1061</v>
      </c>
      <c r="G1196" s="3" t="s">
        <v>100</v>
      </c>
      <c r="H1196" s="3" t="s">
        <v>31</v>
      </c>
      <c r="I1196" s="3" t="s">
        <v>32</v>
      </c>
      <c r="J1196" s="3" t="s">
        <v>33</v>
      </c>
      <c r="K1196" s="3" t="s">
        <v>28</v>
      </c>
      <c r="L1196" s="3" t="s">
        <v>28</v>
      </c>
      <c r="M1196" s="3" t="s">
        <v>28</v>
      </c>
      <c r="N1196" s="3" t="s">
        <v>28</v>
      </c>
      <c r="O1196" s="3" t="s">
        <v>28</v>
      </c>
      <c r="P1196" s="3" t="s">
        <v>28</v>
      </c>
      <c r="Q1196" s="3" t="s">
        <v>28</v>
      </c>
      <c r="R1196" s="3" t="s">
        <v>28</v>
      </c>
      <c r="S1196" s="3" t="s">
        <v>28</v>
      </c>
      <c r="T1196" s="3" t="s">
        <v>28</v>
      </c>
    </row>
    <row r="1197" spans="1:20" ht="351">
      <c r="A1197" s="3">
        <v>2731494</v>
      </c>
      <c r="B1197" s="3">
        <f>HYPERLINK("https://platform.v2.vetology.net/cases/2731494/screening-report/6?type=pdf&amp;v=v6&amp;scorecard=1&amp;secret_key=BX%25IJ%24%2F65ieZ%29f6", 2731494)</f>
        <v>2731494</v>
      </c>
      <c r="C1197" s="3">
        <f>HYPERLINK("https://platform.v2.vetology.net/report/v/final/"&amp;2731494, 2731494)</f>
        <v>2731494</v>
      </c>
      <c r="D1197" s="3" t="s">
        <v>4398</v>
      </c>
      <c r="E1197" s="3" t="s">
        <v>4399</v>
      </c>
      <c r="F1197" s="3" t="s">
        <v>4400</v>
      </c>
      <c r="G1197" s="3" t="s">
        <v>64</v>
      </c>
      <c r="H1197" s="3" t="s">
        <v>4401</v>
      </c>
      <c r="I1197" s="3" t="s">
        <v>2972</v>
      </c>
      <c r="J1197" s="3" t="s">
        <v>387</v>
      </c>
      <c r="K1197" s="3" t="s">
        <v>28</v>
      </c>
      <c r="L1197" s="3" t="s">
        <v>28</v>
      </c>
      <c r="M1197" s="3" t="s">
        <v>28</v>
      </c>
      <c r="N1197" s="3" t="s">
        <v>28</v>
      </c>
      <c r="O1197" s="3" t="s">
        <v>28</v>
      </c>
      <c r="P1197" s="3" t="s">
        <v>28</v>
      </c>
      <c r="Q1197" s="3" t="s">
        <v>28</v>
      </c>
      <c r="R1197" s="3" t="s">
        <v>28</v>
      </c>
      <c r="S1197" s="3" t="s">
        <v>28</v>
      </c>
      <c r="T1197" s="3" t="s">
        <v>28</v>
      </c>
    </row>
    <row r="1198" spans="1:20" ht="409.6">
      <c r="A1198" s="3">
        <v>2731454</v>
      </c>
      <c r="B1198" s="3">
        <f>HYPERLINK("https://platform.v2.vetology.net/cases/2731454/screening-report/6?type=pdf&amp;v=v6&amp;scorecard=1&amp;secret_key=BX%25IJ%24%2F65ieZ%29f6", 2731454)</f>
        <v>2731454</v>
      </c>
      <c r="C1198" s="3">
        <f>HYPERLINK("https://platform.v2.vetology.net/report/v/final/"&amp;2731454, 2731454)</f>
        <v>2731454</v>
      </c>
      <c r="D1198" s="3" t="s">
        <v>4402</v>
      </c>
      <c r="E1198" s="3" t="s">
        <v>4403</v>
      </c>
      <c r="F1198" s="3" t="s">
        <v>4404</v>
      </c>
      <c r="G1198" s="3" t="s">
        <v>186</v>
      </c>
      <c r="H1198" s="3" t="s">
        <v>284</v>
      </c>
      <c r="I1198" s="3" t="s">
        <v>285</v>
      </c>
      <c r="J1198" s="3" t="s">
        <v>286</v>
      </c>
      <c r="K1198" s="3" t="s">
        <v>27</v>
      </c>
      <c r="L1198" s="3" t="s">
        <v>28</v>
      </c>
      <c r="M1198" s="3" t="s">
        <v>27</v>
      </c>
      <c r="N1198" s="3" t="s">
        <v>28</v>
      </c>
      <c r="O1198" s="3" t="s">
        <v>27</v>
      </c>
      <c r="P1198" s="3" t="s">
        <v>28</v>
      </c>
      <c r="Q1198" s="3" t="s">
        <v>28</v>
      </c>
      <c r="R1198" s="3" t="s">
        <v>28</v>
      </c>
      <c r="S1198" s="3" t="s">
        <v>27</v>
      </c>
      <c r="T1198" s="3" t="s">
        <v>28</v>
      </c>
    </row>
    <row r="1199" spans="1:20" ht="409.6">
      <c r="A1199" s="3">
        <v>2731395</v>
      </c>
      <c r="B1199" s="3">
        <f>HYPERLINK("https://platform.v2.vetology.net/cases/2731395/screening-report/6?type=pdf&amp;v=v6&amp;scorecard=1&amp;secret_key=BX%25IJ%24%2F65ieZ%29f6", 2731395)</f>
        <v>2731395</v>
      </c>
      <c r="C1199" s="3">
        <f>HYPERLINK("https://platform.v2.vetology.net/report/v/final/"&amp;2731395, 2731395)</f>
        <v>2731395</v>
      </c>
      <c r="D1199" s="3" t="s">
        <v>4405</v>
      </c>
      <c r="E1199" s="3" t="s">
        <v>4406</v>
      </c>
      <c r="F1199" s="3" t="s">
        <v>4407</v>
      </c>
      <c r="G1199" s="3" t="s">
        <v>64</v>
      </c>
      <c r="H1199" s="3" t="s">
        <v>1797</v>
      </c>
      <c r="I1199" s="3" t="s">
        <v>1798</v>
      </c>
      <c r="J1199" s="3" t="s">
        <v>1799</v>
      </c>
      <c r="K1199" s="3" t="s">
        <v>27</v>
      </c>
      <c r="L1199" s="3" t="s">
        <v>28</v>
      </c>
      <c r="M1199" s="3" t="s">
        <v>27</v>
      </c>
      <c r="N1199" s="3" t="s">
        <v>28</v>
      </c>
      <c r="O1199" s="3" t="s">
        <v>27</v>
      </c>
      <c r="P1199" s="3" t="s">
        <v>27</v>
      </c>
      <c r="Q1199" s="3" t="s">
        <v>27</v>
      </c>
      <c r="R1199" s="3" t="s">
        <v>28</v>
      </c>
      <c r="S1199" s="3" t="s">
        <v>27</v>
      </c>
      <c r="T1199" s="3" t="s">
        <v>27</v>
      </c>
    </row>
    <row r="1200" spans="1:20" ht="409.6">
      <c r="A1200" s="3">
        <v>2731391</v>
      </c>
      <c r="B1200" s="3">
        <f>HYPERLINK("https://platform.v2.vetology.net/cases/2731391/screening-report/6?type=pdf&amp;v=v6&amp;scorecard=1&amp;secret_key=BX%25IJ%24%2F65ieZ%29f6", 2731391)</f>
        <v>2731391</v>
      </c>
      <c r="C1200" s="3">
        <f>HYPERLINK("https://platform.v2.vetology.net/report/v/final/"&amp;2731391, 2731391)</f>
        <v>2731391</v>
      </c>
      <c r="D1200" s="3" t="s">
        <v>4408</v>
      </c>
      <c r="E1200" s="3" t="s">
        <v>4409</v>
      </c>
      <c r="F1200" s="3" t="s">
        <v>4410</v>
      </c>
      <c r="G1200" s="3" t="s">
        <v>64</v>
      </c>
      <c r="H1200" s="3" t="s">
        <v>4411</v>
      </c>
      <c r="I1200" s="3" t="s">
        <v>4412</v>
      </c>
      <c r="J1200" s="3" t="s">
        <v>4413</v>
      </c>
      <c r="K1200" s="3" t="s">
        <v>27</v>
      </c>
      <c r="L1200" s="3" t="s">
        <v>27</v>
      </c>
      <c r="M1200" s="3" t="s">
        <v>28</v>
      </c>
      <c r="N1200" s="3" t="s">
        <v>27</v>
      </c>
      <c r="O1200" s="3" t="s">
        <v>27</v>
      </c>
      <c r="P1200" s="3" t="s">
        <v>28</v>
      </c>
      <c r="Q1200" s="3" t="s">
        <v>28</v>
      </c>
      <c r="R1200" s="3" t="s">
        <v>27</v>
      </c>
      <c r="S1200" s="3" t="s">
        <v>27</v>
      </c>
      <c r="T1200" s="3" t="s">
        <v>28</v>
      </c>
    </row>
    <row r="1201" spans="1:20" ht="305.25">
      <c r="A1201" s="3">
        <v>2731377</v>
      </c>
      <c r="B1201" s="3">
        <f>HYPERLINK("https://platform.v2.vetology.net/cases/2731377/screening-report/6?type=pdf&amp;v=v6&amp;scorecard=1&amp;secret_key=BX%25IJ%24%2F65ieZ%29f6", 2731377)</f>
        <v>2731377</v>
      </c>
      <c r="C1201" s="3">
        <f>HYPERLINK("https://platform.v2.vetology.net/report/v/final/"&amp;2731377, 2731377)</f>
        <v>2731377</v>
      </c>
      <c r="D1201" s="3" t="s">
        <v>4414</v>
      </c>
      <c r="E1201" s="3" t="s">
        <v>4415</v>
      </c>
      <c r="F1201" s="3" t="s">
        <v>4416</v>
      </c>
      <c r="G1201" s="3" t="s">
        <v>186</v>
      </c>
      <c r="H1201" s="3" t="s">
        <v>4417</v>
      </c>
      <c r="I1201" s="3" t="s">
        <v>1082</v>
      </c>
      <c r="J1201" s="3" t="s">
        <v>1083</v>
      </c>
      <c r="K1201" s="3" t="s">
        <v>28</v>
      </c>
      <c r="L1201" s="3" t="s">
        <v>28</v>
      </c>
      <c r="M1201" s="3" t="s">
        <v>28</v>
      </c>
      <c r="N1201" s="3" t="s">
        <v>28</v>
      </c>
      <c r="O1201" s="3" t="s">
        <v>27</v>
      </c>
      <c r="P1201" s="3" t="s">
        <v>28</v>
      </c>
      <c r="Q1201" s="3" t="s">
        <v>28</v>
      </c>
      <c r="R1201" s="3" t="s">
        <v>28</v>
      </c>
      <c r="S1201" s="3" t="s">
        <v>28</v>
      </c>
      <c r="T1201" s="3" t="s">
        <v>28</v>
      </c>
    </row>
    <row r="1202" spans="1:20" ht="409.6">
      <c r="A1202" s="3">
        <v>2731351</v>
      </c>
      <c r="B1202" s="3">
        <f>HYPERLINK("https://platform.v2.vetology.net/cases/2731351/screening-report/6?type=pdf&amp;v=v6&amp;scorecard=1&amp;secret_key=BX%25IJ%24%2F65ieZ%29f6", 2731351)</f>
        <v>2731351</v>
      </c>
      <c r="C1202" s="3">
        <f>HYPERLINK("https://platform.v2.vetology.net/report/v/final/"&amp;2731351, 2731351)</f>
        <v>2731351</v>
      </c>
      <c r="D1202" s="3" t="s">
        <v>4418</v>
      </c>
      <c r="E1202" s="3" t="s">
        <v>4419</v>
      </c>
      <c r="F1202" s="3" t="s">
        <v>22</v>
      </c>
      <c r="G1202" s="3" t="s">
        <v>100</v>
      </c>
      <c r="H1202" s="3" t="s">
        <v>554</v>
      </c>
      <c r="I1202" s="3" t="s">
        <v>555</v>
      </c>
      <c r="J1202" s="3" t="s">
        <v>556</v>
      </c>
      <c r="K1202" s="3" t="s">
        <v>28</v>
      </c>
      <c r="L1202" s="3" t="s">
        <v>28</v>
      </c>
      <c r="M1202" s="3" t="s">
        <v>28</v>
      </c>
      <c r="N1202" s="3" t="s">
        <v>28</v>
      </c>
      <c r="O1202" s="3" t="s">
        <v>28</v>
      </c>
      <c r="P1202" s="3" t="s">
        <v>28</v>
      </c>
      <c r="Q1202" s="3" t="s">
        <v>27</v>
      </c>
      <c r="R1202" s="3" t="s">
        <v>28</v>
      </c>
      <c r="S1202" s="3" t="s">
        <v>28</v>
      </c>
      <c r="T1202" s="3" t="s">
        <v>28</v>
      </c>
    </row>
    <row r="1203" spans="1:20" ht="305.25">
      <c r="A1203" s="3">
        <v>2731305</v>
      </c>
      <c r="B1203" s="3">
        <f>HYPERLINK("https://platform.v2.vetology.net/cases/2731305/screening-report/6?type=pdf&amp;v=v6&amp;scorecard=1&amp;secret_key=BX%25IJ%24%2F65ieZ%29f6", 2731305)</f>
        <v>2731305</v>
      </c>
      <c r="C1203" s="3">
        <f>HYPERLINK("https://platform.v2.vetology.net/report/v/final/"&amp;2731305, 2731305)</f>
        <v>2731305</v>
      </c>
      <c r="D1203" s="3" t="s">
        <v>4420</v>
      </c>
      <c r="E1203" s="3" t="s">
        <v>4421</v>
      </c>
      <c r="F1203" s="3" t="s">
        <v>4422</v>
      </c>
      <c r="G1203" s="3" t="s">
        <v>496</v>
      </c>
      <c r="H1203" s="3" t="s">
        <v>2213</v>
      </c>
      <c r="I1203" s="3" t="s">
        <v>32</v>
      </c>
      <c r="J1203" s="3" t="s">
        <v>33</v>
      </c>
      <c r="K1203" s="3" t="s">
        <v>28</v>
      </c>
      <c r="L1203" s="3" t="s">
        <v>28</v>
      </c>
      <c r="M1203" s="3" t="s">
        <v>28</v>
      </c>
      <c r="N1203" s="3" t="s">
        <v>28</v>
      </c>
      <c r="O1203" s="3" t="s">
        <v>27</v>
      </c>
      <c r="P1203" s="3" t="s">
        <v>28</v>
      </c>
      <c r="Q1203" s="3" t="s">
        <v>28</v>
      </c>
      <c r="R1203" s="3" t="s">
        <v>28</v>
      </c>
      <c r="S1203" s="3" t="s">
        <v>28</v>
      </c>
      <c r="T1203" s="3" t="s">
        <v>28</v>
      </c>
    </row>
    <row r="1204" spans="1:20" ht="409.6">
      <c r="A1204" s="3">
        <v>2731244</v>
      </c>
      <c r="B1204" s="3">
        <f>HYPERLINK("https://platform.v2.vetology.net/cases/2731244/screening-report/6?type=pdf&amp;v=v6&amp;scorecard=1&amp;secret_key=BX%25IJ%24%2F65ieZ%29f6", 2731244)</f>
        <v>2731244</v>
      </c>
      <c r="C1204" s="3">
        <f>HYPERLINK("https://platform.v2.vetology.net/report/v/final/"&amp;2731244, 2731244)</f>
        <v>2731244</v>
      </c>
      <c r="D1204" s="3" t="s">
        <v>4423</v>
      </c>
      <c r="E1204" s="3" t="s">
        <v>4424</v>
      </c>
      <c r="F1204" s="3" t="s">
        <v>22</v>
      </c>
      <c r="G1204" s="3" t="s">
        <v>23</v>
      </c>
      <c r="H1204" s="3" t="s">
        <v>1046</v>
      </c>
      <c r="I1204" s="3" t="s">
        <v>59</v>
      </c>
      <c r="J1204" s="3" t="s">
        <v>60</v>
      </c>
      <c r="K1204" s="3" t="s">
        <v>28</v>
      </c>
      <c r="L1204" s="3" t="s">
        <v>28</v>
      </c>
      <c r="M1204" s="3" t="s">
        <v>28</v>
      </c>
      <c r="N1204" s="3" t="s">
        <v>27</v>
      </c>
      <c r="O1204" s="3" t="s">
        <v>27</v>
      </c>
      <c r="P1204" s="3" t="s">
        <v>28</v>
      </c>
      <c r="Q1204" s="3" t="s">
        <v>28</v>
      </c>
      <c r="R1204" s="3" t="s">
        <v>28</v>
      </c>
      <c r="S1204" s="3" t="s">
        <v>27</v>
      </c>
      <c r="T1204" s="3" t="s">
        <v>27</v>
      </c>
    </row>
    <row r="1205" spans="1:20" ht="290.25">
      <c r="A1205" s="3">
        <v>2731237</v>
      </c>
      <c r="B1205" s="3">
        <f>HYPERLINK("https://platform.v2.vetology.net/cases/2731237/screening-report/6?type=pdf&amp;v=v6&amp;scorecard=1&amp;secret_key=BX%25IJ%24%2F65ieZ%29f6", 2731237)</f>
        <v>2731237</v>
      </c>
      <c r="C1205" s="3">
        <f>HYPERLINK("https://platform.v2.vetology.net/report/v/final/"&amp;2731237, 2731237)</f>
        <v>2731237</v>
      </c>
      <c r="D1205" s="3" t="s">
        <v>4425</v>
      </c>
      <c r="E1205" s="3" t="s">
        <v>4426</v>
      </c>
      <c r="F1205" s="3" t="s">
        <v>22</v>
      </c>
      <c r="G1205" s="3" t="s">
        <v>100</v>
      </c>
      <c r="H1205" s="3" t="s">
        <v>1425</v>
      </c>
      <c r="I1205" s="3" t="s">
        <v>1426</v>
      </c>
      <c r="J1205" s="3" t="s">
        <v>207</v>
      </c>
      <c r="K1205" s="3" t="s">
        <v>27</v>
      </c>
      <c r="L1205" s="3" t="s">
        <v>27</v>
      </c>
      <c r="M1205" s="3" t="s">
        <v>27</v>
      </c>
      <c r="N1205" s="3" t="s">
        <v>27</v>
      </c>
      <c r="O1205" s="3" t="s">
        <v>27</v>
      </c>
      <c r="P1205" s="3" t="s">
        <v>28</v>
      </c>
      <c r="Q1205" s="3" t="s">
        <v>27</v>
      </c>
      <c r="R1205" s="3" t="s">
        <v>27</v>
      </c>
      <c r="S1205" s="3" t="s">
        <v>27</v>
      </c>
      <c r="T1205" s="3" t="s">
        <v>27</v>
      </c>
    </row>
    <row r="1206" spans="1:20" ht="229.5">
      <c r="A1206" s="3">
        <v>2731225</v>
      </c>
      <c r="B1206" s="3">
        <f>HYPERLINK("https://platform.v2.vetology.net/cases/2731225/screening-report/6?type=pdf&amp;v=v6&amp;scorecard=1&amp;secret_key=BX%25IJ%24%2F65ieZ%29f6", 2731225)</f>
        <v>2731225</v>
      </c>
      <c r="C1206" s="3">
        <f>HYPERLINK("https://platform.v2.vetology.net/report/v/final/"&amp;2731225, 2731225)</f>
        <v>2731225</v>
      </c>
      <c r="D1206" s="3" t="s">
        <v>4427</v>
      </c>
      <c r="E1206" s="3" t="s">
        <v>4428</v>
      </c>
      <c r="F1206" s="3" t="s">
        <v>4429</v>
      </c>
      <c r="G1206" s="3" t="s">
        <v>100</v>
      </c>
      <c r="H1206" s="3" t="s">
        <v>4430</v>
      </c>
      <c r="I1206" s="3" t="s">
        <v>4431</v>
      </c>
      <c r="J1206" s="3" t="s">
        <v>4432</v>
      </c>
      <c r="K1206" s="3" t="s">
        <v>28</v>
      </c>
      <c r="L1206" s="3" t="s">
        <v>28</v>
      </c>
      <c r="M1206" s="3" t="s">
        <v>28</v>
      </c>
      <c r="N1206" s="3" t="s">
        <v>28</v>
      </c>
      <c r="O1206" s="3" t="s">
        <v>27</v>
      </c>
      <c r="P1206" s="3" t="s">
        <v>27</v>
      </c>
      <c r="Q1206" s="3" t="s">
        <v>27</v>
      </c>
      <c r="R1206" s="3" t="s">
        <v>28</v>
      </c>
      <c r="S1206" s="3" t="s">
        <v>28</v>
      </c>
      <c r="T1206" s="3" t="s">
        <v>28</v>
      </c>
    </row>
    <row r="1207" spans="1:20" ht="409.6">
      <c r="A1207" s="3">
        <v>2731201</v>
      </c>
      <c r="B1207" s="3">
        <f>HYPERLINK("https://platform.v2.vetology.net/cases/2731201/screening-report/6?type=pdf&amp;v=v6&amp;scorecard=1&amp;secret_key=BX%25IJ%24%2F65ieZ%29f6", 2731201)</f>
        <v>2731201</v>
      </c>
      <c r="C1207" s="3">
        <f>HYPERLINK("https://platform.v2.vetology.net/report/v/final/"&amp;2731201, 2731201)</f>
        <v>2731201</v>
      </c>
      <c r="D1207" s="3" t="s">
        <v>4433</v>
      </c>
      <c r="E1207" s="3" t="s">
        <v>4434</v>
      </c>
      <c r="F1207" s="3"/>
      <c r="G1207" s="3" t="s">
        <v>122</v>
      </c>
      <c r="H1207" s="3" t="s">
        <v>4435</v>
      </c>
      <c r="I1207" s="3" t="s">
        <v>1368</v>
      </c>
      <c r="J1207" s="3" t="s">
        <v>1369</v>
      </c>
      <c r="K1207" s="3" t="s">
        <v>28</v>
      </c>
      <c r="L1207" s="3" t="s">
        <v>28</v>
      </c>
      <c r="M1207" s="3" t="s">
        <v>28</v>
      </c>
      <c r="N1207" s="3" t="s">
        <v>28</v>
      </c>
      <c r="O1207" s="3" t="s">
        <v>28</v>
      </c>
      <c r="P1207" s="3" t="s">
        <v>28</v>
      </c>
      <c r="Q1207" s="3" t="s">
        <v>28</v>
      </c>
      <c r="R1207" s="3" t="s">
        <v>28</v>
      </c>
      <c r="S1207" s="3" t="s">
        <v>28</v>
      </c>
      <c r="T1207" s="3" t="s">
        <v>28</v>
      </c>
    </row>
    <row r="1208" spans="1:20" ht="409.6">
      <c r="A1208" s="3">
        <v>2731180</v>
      </c>
      <c r="B1208" s="3">
        <f>HYPERLINK("https://platform.v2.vetology.net/cases/2731180/screening-report/6?type=pdf&amp;v=v6&amp;scorecard=1&amp;secret_key=BX%25IJ%24%2F65ieZ%29f6", 2731180)</f>
        <v>2731180</v>
      </c>
      <c r="C1208" s="3">
        <f>HYPERLINK("https://platform.v2.vetology.net/report/v/final/"&amp;2731180, 2731180)</f>
        <v>2731180</v>
      </c>
      <c r="D1208" s="3" t="s">
        <v>4436</v>
      </c>
      <c r="E1208" s="3" t="s">
        <v>4437</v>
      </c>
      <c r="F1208" s="3" t="s">
        <v>4438</v>
      </c>
      <c r="G1208" s="3" t="s">
        <v>64</v>
      </c>
      <c r="H1208" s="3" t="s">
        <v>1994</v>
      </c>
      <c r="I1208" s="3" t="s">
        <v>316</v>
      </c>
      <c r="J1208" s="3" t="s">
        <v>317</v>
      </c>
      <c r="K1208" s="3" t="s">
        <v>27</v>
      </c>
      <c r="L1208" s="3" t="s">
        <v>28</v>
      </c>
      <c r="M1208" s="3" t="s">
        <v>28</v>
      </c>
      <c r="N1208" s="3" t="s">
        <v>28</v>
      </c>
      <c r="O1208" s="3" t="s">
        <v>27</v>
      </c>
      <c r="P1208" s="3" t="s">
        <v>28</v>
      </c>
      <c r="Q1208" s="3" t="s">
        <v>28</v>
      </c>
      <c r="R1208" s="3" t="s">
        <v>28</v>
      </c>
      <c r="S1208" s="3" t="s">
        <v>28</v>
      </c>
      <c r="T1208" s="3" t="s">
        <v>28</v>
      </c>
    </row>
    <row r="1209" spans="1:20" ht="409.6">
      <c r="A1209" s="3">
        <v>2731178</v>
      </c>
      <c r="B1209" s="3">
        <f>HYPERLINK("https://platform.v2.vetology.net/cases/2731178/screening-report/6?type=pdf&amp;v=v6&amp;scorecard=1&amp;secret_key=BX%25IJ%24%2F65ieZ%29f6", 2731178)</f>
        <v>2731178</v>
      </c>
      <c r="C1209" s="3">
        <f>HYPERLINK("https://platform.v2.vetology.net/report/v/final/"&amp;2731178, 2731178)</f>
        <v>2731178</v>
      </c>
      <c r="D1209" s="3" t="s">
        <v>4439</v>
      </c>
      <c r="E1209" s="3" t="s">
        <v>4440</v>
      </c>
      <c r="F1209" s="3" t="s">
        <v>4441</v>
      </c>
      <c r="G1209" s="3" t="s">
        <v>64</v>
      </c>
      <c r="H1209" s="3" t="s">
        <v>4442</v>
      </c>
      <c r="I1209" s="3" t="s">
        <v>380</v>
      </c>
      <c r="J1209" s="3" t="s">
        <v>297</v>
      </c>
      <c r="K1209" s="3" t="s">
        <v>28</v>
      </c>
      <c r="L1209" s="3" t="s">
        <v>28</v>
      </c>
      <c r="M1209" s="3" t="s">
        <v>28</v>
      </c>
      <c r="N1209" s="3" t="s">
        <v>28</v>
      </c>
      <c r="O1209" s="3" t="s">
        <v>28</v>
      </c>
      <c r="P1209" s="3" t="s">
        <v>28</v>
      </c>
      <c r="Q1209" s="3" t="s">
        <v>28</v>
      </c>
      <c r="R1209" s="3" t="s">
        <v>28</v>
      </c>
      <c r="S1209" s="3" t="s">
        <v>28</v>
      </c>
      <c r="T1209" s="3" t="s">
        <v>27</v>
      </c>
    </row>
    <row r="1210" spans="1:20" ht="259.5">
      <c r="A1210" s="3">
        <v>2731175</v>
      </c>
      <c r="B1210" s="3">
        <f>HYPERLINK("https://platform.v2.vetology.net/cases/2731175/screening-report/6?type=pdf&amp;v=v6&amp;scorecard=1&amp;secret_key=BX%25IJ%24%2F65ieZ%29f6", 2731175)</f>
        <v>2731175</v>
      </c>
      <c r="C1210" s="3">
        <f>HYPERLINK("https://platform.v2.vetology.net/report/v/final/"&amp;2731175, 2731175)</f>
        <v>2731175</v>
      </c>
      <c r="D1210" s="3" t="s">
        <v>4443</v>
      </c>
      <c r="E1210" s="3" t="s">
        <v>4444</v>
      </c>
      <c r="F1210" s="3" t="s">
        <v>4445</v>
      </c>
      <c r="G1210" s="3" t="s">
        <v>211</v>
      </c>
      <c r="H1210" s="3" t="s">
        <v>1372</v>
      </c>
      <c r="I1210" s="3" t="s">
        <v>1373</v>
      </c>
      <c r="J1210" s="3" t="s">
        <v>207</v>
      </c>
      <c r="K1210" s="3" t="s">
        <v>27</v>
      </c>
      <c r="L1210" s="3" t="s">
        <v>27</v>
      </c>
      <c r="M1210" s="3" t="s">
        <v>27</v>
      </c>
      <c r="N1210" s="3" t="s">
        <v>28</v>
      </c>
      <c r="O1210" s="3" t="s">
        <v>27</v>
      </c>
      <c r="P1210" s="3" t="s">
        <v>27</v>
      </c>
      <c r="Q1210" s="3" t="s">
        <v>27</v>
      </c>
      <c r="R1210" s="3" t="s">
        <v>28</v>
      </c>
      <c r="S1210" s="3" t="s">
        <v>28</v>
      </c>
      <c r="T1210" s="3" t="s">
        <v>28</v>
      </c>
    </row>
    <row r="1211" spans="1:20" ht="381.75">
      <c r="A1211" s="3">
        <v>2731155</v>
      </c>
      <c r="B1211" s="3">
        <f>HYPERLINK("https://platform.v2.vetology.net/cases/2731155/screening-report/6?type=pdf&amp;v=v6&amp;scorecard=1&amp;secret_key=BX%25IJ%24%2F65ieZ%29f6", 2731155)</f>
        <v>2731155</v>
      </c>
      <c r="C1211" s="3">
        <f>HYPERLINK("https://platform.v2.vetology.net/report/v/final/"&amp;2731155, 2731155)</f>
        <v>2731155</v>
      </c>
      <c r="D1211" s="3" t="s">
        <v>4446</v>
      </c>
      <c r="E1211" s="3" t="s">
        <v>4447</v>
      </c>
      <c r="F1211" s="3" t="s">
        <v>4448</v>
      </c>
      <c r="G1211" s="3" t="s">
        <v>57</v>
      </c>
      <c r="H1211" s="3" t="s">
        <v>4449</v>
      </c>
      <c r="I1211" s="3" t="s">
        <v>856</v>
      </c>
      <c r="J1211" s="3" t="s">
        <v>857</v>
      </c>
      <c r="K1211" s="3" t="s">
        <v>27</v>
      </c>
      <c r="L1211" s="3" t="s">
        <v>28</v>
      </c>
      <c r="M1211" s="3" t="s">
        <v>28</v>
      </c>
      <c r="N1211" s="3" t="s">
        <v>28</v>
      </c>
      <c r="O1211" s="3" t="s">
        <v>27</v>
      </c>
      <c r="P1211" s="3" t="s">
        <v>28</v>
      </c>
      <c r="Q1211" s="3" t="s">
        <v>28</v>
      </c>
      <c r="R1211" s="3" t="s">
        <v>28</v>
      </c>
      <c r="S1211" s="3" t="s">
        <v>28</v>
      </c>
      <c r="T1211" s="3" t="s">
        <v>28</v>
      </c>
    </row>
    <row r="1212" spans="1:20" ht="409.6">
      <c r="A1212" s="3">
        <v>2731151</v>
      </c>
      <c r="B1212" s="3">
        <f>HYPERLINK("https://platform.v2.vetology.net/cases/2731151/screening-report/6?type=pdf&amp;v=v6&amp;scorecard=1&amp;secret_key=BX%25IJ%24%2F65ieZ%29f6", 2731151)</f>
        <v>2731151</v>
      </c>
      <c r="C1212" s="3">
        <f>HYPERLINK("https://platform.v2.vetology.net/report/v/final/"&amp;2731151, 2731151)</f>
        <v>2731151</v>
      </c>
      <c r="D1212" s="3" t="s">
        <v>4450</v>
      </c>
      <c r="E1212" s="3" t="s">
        <v>4451</v>
      </c>
      <c r="F1212" s="3" t="s">
        <v>4452</v>
      </c>
      <c r="G1212" s="3" t="s">
        <v>64</v>
      </c>
      <c r="H1212" s="3" t="s">
        <v>4453</v>
      </c>
      <c r="I1212" s="3" t="s">
        <v>2353</v>
      </c>
      <c r="J1212" s="3" t="s">
        <v>207</v>
      </c>
      <c r="K1212" s="3" t="s">
        <v>28</v>
      </c>
      <c r="L1212" s="3" t="s">
        <v>27</v>
      </c>
      <c r="M1212" s="3" t="s">
        <v>28</v>
      </c>
      <c r="N1212" s="3" t="s">
        <v>27</v>
      </c>
      <c r="O1212" s="3" t="s">
        <v>27</v>
      </c>
      <c r="P1212" s="3" t="s">
        <v>28</v>
      </c>
      <c r="Q1212" s="3" t="s">
        <v>28</v>
      </c>
      <c r="R1212" s="3" t="s">
        <v>27</v>
      </c>
      <c r="S1212" s="3" t="s">
        <v>27</v>
      </c>
      <c r="T1212" s="3" t="s">
        <v>27</v>
      </c>
    </row>
    <row r="1213" spans="1:20" ht="336">
      <c r="A1213" s="3">
        <v>2731148</v>
      </c>
      <c r="B1213" s="3">
        <f>HYPERLINK("https://platform.v2.vetology.net/cases/2731148/screening-report/6?type=pdf&amp;v=v6&amp;scorecard=1&amp;secret_key=BX%25IJ%24%2F65ieZ%29f6", 2731148)</f>
        <v>2731148</v>
      </c>
      <c r="C1213" s="3">
        <f>HYPERLINK("https://platform.v2.vetology.net/report/v/final/"&amp;2731148, 2731148)</f>
        <v>2731148</v>
      </c>
      <c r="D1213" s="3" t="s">
        <v>4454</v>
      </c>
      <c r="E1213" s="3" t="s">
        <v>4455</v>
      </c>
      <c r="F1213" s="3" t="s">
        <v>4456</v>
      </c>
      <c r="G1213" s="3" t="s">
        <v>179</v>
      </c>
      <c r="H1213" s="3" t="s">
        <v>4457</v>
      </c>
      <c r="I1213" s="3" t="s">
        <v>42</v>
      </c>
      <c r="J1213" s="3" t="s">
        <v>43</v>
      </c>
      <c r="K1213" s="3" t="s">
        <v>28</v>
      </c>
      <c r="L1213" s="3" t="s">
        <v>28</v>
      </c>
      <c r="M1213" s="3" t="s">
        <v>28</v>
      </c>
      <c r="N1213" s="3" t="s">
        <v>27</v>
      </c>
      <c r="O1213" s="3" t="s">
        <v>27</v>
      </c>
      <c r="P1213" s="3" t="s">
        <v>28</v>
      </c>
      <c r="Q1213" s="3" t="s">
        <v>28</v>
      </c>
      <c r="R1213" s="3" t="s">
        <v>27</v>
      </c>
      <c r="S1213" s="3" t="s">
        <v>28</v>
      </c>
      <c r="T1213" s="3" t="s">
        <v>27</v>
      </c>
    </row>
    <row r="1214" spans="1:20" ht="409.6">
      <c r="A1214" s="3">
        <v>2731092</v>
      </c>
      <c r="B1214" s="3">
        <f>HYPERLINK("https://platform.v2.vetology.net/cases/2731092/screening-report/6?type=pdf&amp;v=v6&amp;scorecard=1&amp;secret_key=BX%25IJ%24%2F65ieZ%29f6", 2731092)</f>
        <v>2731092</v>
      </c>
      <c r="C1214" s="3">
        <f>HYPERLINK("https://platform.v2.vetology.net/report/v/final/"&amp;2731092, 2731092)</f>
        <v>2731092</v>
      </c>
      <c r="D1214" s="3" t="s">
        <v>4458</v>
      </c>
      <c r="E1214" s="3" t="s">
        <v>4459</v>
      </c>
      <c r="F1214" s="3" t="s">
        <v>4460</v>
      </c>
      <c r="G1214" s="3" t="s">
        <v>186</v>
      </c>
      <c r="H1214" s="3" t="s">
        <v>4461</v>
      </c>
      <c r="I1214" s="3" t="s">
        <v>4462</v>
      </c>
      <c r="J1214" s="3" t="s">
        <v>4463</v>
      </c>
      <c r="K1214" s="3" t="s">
        <v>27</v>
      </c>
      <c r="L1214" s="3" t="s">
        <v>27</v>
      </c>
      <c r="M1214" s="3" t="s">
        <v>27</v>
      </c>
      <c r="N1214" s="3" t="s">
        <v>27</v>
      </c>
      <c r="O1214" s="3" t="s">
        <v>27</v>
      </c>
      <c r="P1214" s="3" t="s">
        <v>28</v>
      </c>
      <c r="Q1214" s="3" t="s">
        <v>28</v>
      </c>
      <c r="R1214" s="3" t="s">
        <v>27</v>
      </c>
      <c r="S1214" s="3" t="s">
        <v>27</v>
      </c>
      <c r="T1214" s="3" t="s">
        <v>27</v>
      </c>
    </row>
    <row r="1215" spans="1:20" ht="409.6">
      <c r="A1215" s="3">
        <v>2731085</v>
      </c>
      <c r="B1215" s="3">
        <f>HYPERLINK("https://platform.v2.vetology.net/cases/2731085/screening-report/6?type=pdf&amp;v=v6&amp;scorecard=1&amp;secret_key=BX%25IJ%24%2F65ieZ%29f6", 2731085)</f>
        <v>2731085</v>
      </c>
      <c r="C1215" s="3">
        <f>HYPERLINK("https://platform.v2.vetology.net/report/v/final/"&amp;2731085, 2731085)</f>
        <v>2731085</v>
      </c>
      <c r="D1215" s="3" t="s">
        <v>4464</v>
      </c>
      <c r="E1215" s="3" t="s">
        <v>4465</v>
      </c>
      <c r="F1215" s="3" t="s">
        <v>4466</v>
      </c>
      <c r="G1215" s="3" t="s">
        <v>64</v>
      </c>
      <c r="H1215" s="3" t="s">
        <v>4211</v>
      </c>
      <c r="I1215" s="3" t="s">
        <v>3369</v>
      </c>
      <c r="J1215" s="3" t="s">
        <v>207</v>
      </c>
      <c r="K1215" s="3" t="s">
        <v>28</v>
      </c>
      <c r="L1215" s="3" t="s">
        <v>28</v>
      </c>
      <c r="M1215" s="3" t="s">
        <v>28</v>
      </c>
      <c r="N1215" s="3" t="s">
        <v>28</v>
      </c>
      <c r="O1215" s="3" t="s">
        <v>28</v>
      </c>
      <c r="P1215" s="3" t="s">
        <v>28</v>
      </c>
      <c r="Q1215" s="3" t="s">
        <v>28</v>
      </c>
      <c r="R1215" s="3" t="s">
        <v>28</v>
      </c>
      <c r="S1215" s="3" t="s">
        <v>28</v>
      </c>
      <c r="T1215" s="3" t="s">
        <v>27</v>
      </c>
    </row>
    <row r="1216" spans="1:20" ht="381.75">
      <c r="A1216" s="3">
        <v>2731061</v>
      </c>
      <c r="B1216" s="3">
        <f>HYPERLINK("https://platform.v2.vetology.net/cases/2731061/screening-report/6?type=pdf&amp;v=v6&amp;scorecard=1&amp;secret_key=BX%25IJ%24%2F65ieZ%29f6", 2731061)</f>
        <v>2731061</v>
      </c>
      <c r="C1216" s="3">
        <f>HYPERLINK("https://platform.v2.vetology.net/report/v/final/"&amp;2731061, 2731061)</f>
        <v>2731061</v>
      </c>
      <c r="D1216" s="3" t="s">
        <v>4467</v>
      </c>
      <c r="E1216" s="3" t="s">
        <v>4468</v>
      </c>
      <c r="F1216" s="3" t="s">
        <v>4469</v>
      </c>
      <c r="G1216" s="3" t="s">
        <v>64</v>
      </c>
      <c r="H1216" s="3" t="s">
        <v>4470</v>
      </c>
      <c r="I1216" s="3" t="s">
        <v>754</v>
      </c>
      <c r="J1216" s="3" t="s">
        <v>755</v>
      </c>
      <c r="K1216" s="3" t="s">
        <v>27</v>
      </c>
      <c r="L1216" s="3" t="s">
        <v>28</v>
      </c>
      <c r="M1216" s="3" t="s">
        <v>28</v>
      </c>
      <c r="N1216" s="3" t="s">
        <v>28</v>
      </c>
      <c r="O1216" s="3" t="s">
        <v>27</v>
      </c>
      <c r="P1216" s="3" t="s">
        <v>28</v>
      </c>
      <c r="Q1216" s="3" t="s">
        <v>28</v>
      </c>
      <c r="R1216" s="3" t="s">
        <v>28</v>
      </c>
      <c r="S1216" s="3" t="s">
        <v>28</v>
      </c>
      <c r="T1216" s="3" t="s">
        <v>28</v>
      </c>
    </row>
    <row r="1217" spans="1:20" ht="409.6">
      <c r="A1217" s="3">
        <v>2731055</v>
      </c>
      <c r="B1217" s="3">
        <f>HYPERLINK("https://platform.v2.vetology.net/cases/2731055/screening-report/6?type=pdf&amp;v=v6&amp;scorecard=1&amp;secret_key=BX%25IJ%24%2F65ieZ%29f6", 2731055)</f>
        <v>2731055</v>
      </c>
      <c r="C1217" s="3">
        <f>HYPERLINK("https://platform.v2.vetology.net/report/v/final/"&amp;2731055, 2731055)</f>
        <v>2731055</v>
      </c>
      <c r="D1217" s="3" t="s">
        <v>4471</v>
      </c>
      <c r="E1217" s="3" t="s">
        <v>4472</v>
      </c>
      <c r="F1217" s="3" t="s">
        <v>4473</v>
      </c>
      <c r="G1217" s="3" t="s">
        <v>186</v>
      </c>
      <c r="H1217" s="3" t="s">
        <v>4474</v>
      </c>
      <c r="I1217" s="3" t="s">
        <v>1798</v>
      </c>
      <c r="J1217" s="3" t="s">
        <v>1799</v>
      </c>
      <c r="K1217" s="3" t="s">
        <v>27</v>
      </c>
      <c r="L1217" s="3" t="s">
        <v>28</v>
      </c>
      <c r="M1217" s="3" t="s">
        <v>27</v>
      </c>
      <c r="N1217" s="3" t="s">
        <v>27</v>
      </c>
      <c r="O1217" s="3" t="s">
        <v>27</v>
      </c>
      <c r="P1217" s="3" t="s">
        <v>27</v>
      </c>
      <c r="Q1217" s="3" t="s">
        <v>27</v>
      </c>
      <c r="R1217" s="3" t="s">
        <v>27</v>
      </c>
      <c r="S1217" s="3" t="s">
        <v>28</v>
      </c>
      <c r="T1217" s="3" t="s">
        <v>27</v>
      </c>
    </row>
    <row r="1218" spans="1:20" ht="409.6">
      <c r="A1218" s="3">
        <v>2731037</v>
      </c>
      <c r="B1218" s="3">
        <f>HYPERLINK("https://platform.v2.vetology.net/cases/2731037/screening-report/6?type=pdf&amp;v=v6&amp;scorecard=1&amp;secret_key=BX%25IJ%24%2F65ieZ%29f6", 2731037)</f>
        <v>2731037</v>
      </c>
      <c r="C1218" s="3">
        <f>HYPERLINK("https://platform.v2.vetology.net/report/v/final/"&amp;2731037, 2731037)</f>
        <v>2731037</v>
      </c>
      <c r="D1218" s="3" t="s">
        <v>4475</v>
      </c>
      <c r="E1218" s="3" t="s">
        <v>4476</v>
      </c>
      <c r="F1218" s="3" t="s">
        <v>4477</v>
      </c>
      <c r="G1218" s="3" t="s">
        <v>64</v>
      </c>
      <c r="H1218" s="3" t="s">
        <v>350</v>
      </c>
      <c r="I1218" s="3" t="s">
        <v>351</v>
      </c>
      <c r="J1218" s="3" t="s">
        <v>352</v>
      </c>
      <c r="K1218" s="3" t="s">
        <v>28</v>
      </c>
      <c r="L1218" s="3" t="s">
        <v>28</v>
      </c>
      <c r="M1218" s="3" t="s">
        <v>28</v>
      </c>
      <c r="N1218" s="3" t="s">
        <v>28</v>
      </c>
      <c r="O1218" s="3" t="s">
        <v>27</v>
      </c>
      <c r="P1218" s="3" t="s">
        <v>28</v>
      </c>
      <c r="Q1218" s="3" t="s">
        <v>28</v>
      </c>
      <c r="R1218" s="3" t="s">
        <v>28</v>
      </c>
      <c r="S1218" s="3" t="s">
        <v>28</v>
      </c>
      <c r="T1218" s="3" t="s">
        <v>27</v>
      </c>
    </row>
    <row r="1219" spans="1:20" ht="213">
      <c r="A1219" s="3">
        <v>2730940</v>
      </c>
      <c r="B1219" s="3">
        <f>HYPERLINK("https://platform.v2.vetology.net/cases/2730940/screening-report/6?type=pdf&amp;v=v6&amp;scorecard=1&amp;secret_key=BX%25IJ%24%2F65ieZ%29f6", 2730940)</f>
        <v>2730940</v>
      </c>
      <c r="C1219" s="3">
        <f>HYPERLINK("https://platform.v2.vetology.net/report/v/final/"&amp;2730940, 2730940)</f>
        <v>2730940</v>
      </c>
      <c r="D1219" s="3" t="s">
        <v>4478</v>
      </c>
      <c r="E1219" s="3" t="s">
        <v>4479</v>
      </c>
      <c r="F1219" s="3" t="s">
        <v>277</v>
      </c>
      <c r="G1219" s="3" t="s">
        <v>186</v>
      </c>
      <c r="H1219" s="3" t="s">
        <v>4480</v>
      </c>
      <c r="I1219" s="3" t="s">
        <v>72</v>
      </c>
      <c r="J1219" s="3" t="s">
        <v>363</v>
      </c>
      <c r="K1219" s="3" t="s">
        <v>28</v>
      </c>
      <c r="L1219" s="3" t="s">
        <v>28</v>
      </c>
      <c r="M1219" s="3" t="s">
        <v>28</v>
      </c>
      <c r="N1219" s="3" t="s">
        <v>28</v>
      </c>
      <c r="O1219" s="3" t="s">
        <v>27</v>
      </c>
      <c r="P1219" s="3" t="s">
        <v>28</v>
      </c>
      <c r="Q1219" s="3" t="s">
        <v>28</v>
      </c>
      <c r="R1219" s="3" t="s">
        <v>28</v>
      </c>
      <c r="S1219" s="3" t="s">
        <v>27</v>
      </c>
      <c r="T1219" s="3" t="s">
        <v>27</v>
      </c>
    </row>
    <row r="1220" spans="1:20" ht="409.6">
      <c r="A1220" s="3">
        <v>2730865</v>
      </c>
      <c r="B1220" s="3">
        <f>HYPERLINK("https://platform.v2.vetology.net/cases/2730865/screening-report/6?type=pdf&amp;v=v6&amp;scorecard=1&amp;secret_key=BX%25IJ%24%2F65ieZ%29f6", 2730865)</f>
        <v>2730865</v>
      </c>
      <c r="C1220" s="3">
        <f>HYPERLINK("https://platform.v2.vetology.net/report/v/final/"&amp;2730865, 2730865)</f>
        <v>2730865</v>
      </c>
      <c r="D1220" s="3" t="s">
        <v>4481</v>
      </c>
      <c r="E1220" s="3" t="s">
        <v>4482</v>
      </c>
      <c r="F1220" s="3" t="s">
        <v>4483</v>
      </c>
      <c r="G1220" s="3" t="s">
        <v>211</v>
      </c>
      <c r="H1220" s="3" t="s">
        <v>4484</v>
      </c>
      <c r="I1220" s="3" t="s">
        <v>285</v>
      </c>
      <c r="J1220" s="3" t="s">
        <v>286</v>
      </c>
      <c r="K1220" s="3" t="s">
        <v>28</v>
      </c>
      <c r="L1220" s="3" t="s">
        <v>28</v>
      </c>
      <c r="M1220" s="3" t="s">
        <v>28</v>
      </c>
      <c r="N1220" s="3" t="s">
        <v>28</v>
      </c>
      <c r="O1220" s="3" t="s">
        <v>27</v>
      </c>
      <c r="P1220" s="3" t="s">
        <v>28</v>
      </c>
      <c r="Q1220" s="3" t="s">
        <v>27</v>
      </c>
      <c r="R1220" s="3" t="s">
        <v>28</v>
      </c>
      <c r="S1220" s="3" t="s">
        <v>27</v>
      </c>
      <c r="T1220" s="3" t="s">
        <v>28</v>
      </c>
    </row>
    <row r="1221" spans="1:20" ht="409.6">
      <c r="A1221" s="3">
        <v>2730828</v>
      </c>
      <c r="B1221" s="3">
        <f>HYPERLINK("https://platform.v2.vetology.net/cases/2730828/screening-report/6?type=pdf&amp;v=v6&amp;scorecard=1&amp;secret_key=BX%25IJ%24%2F65ieZ%29f6", 2730828)</f>
        <v>2730828</v>
      </c>
      <c r="C1221" s="3">
        <f>HYPERLINK("https://platform.v2.vetology.net/report/v/final/"&amp;2730828, 2730828)</f>
        <v>2730828</v>
      </c>
      <c r="D1221" s="3" t="s">
        <v>4485</v>
      </c>
      <c r="E1221" s="3" t="s">
        <v>4486</v>
      </c>
      <c r="F1221" s="3" t="s">
        <v>4487</v>
      </c>
      <c r="G1221" s="3" t="s">
        <v>211</v>
      </c>
      <c r="H1221" s="3" t="s">
        <v>31</v>
      </c>
      <c r="I1221" s="3" t="s">
        <v>32</v>
      </c>
      <c r="J1221" s="3" t="s">
        <v>119</v>
      </c>
      <c r="K1221" s="3" t="s">
        <v>28</v>
      </c>
      <c r="L1221" s="3" t="s">
        <v>28</v>
      </c>
      <c r="M1221" s="3" t="s">
        <v>28</v>
      </c>
      <c r="N1221" s="3" t="s">
        <v>28</v>
      </c>
      <c r="O1221" s="3" t="s">
        <v>28</v>
      </c>
      <c r="P1221" s="3" t="s">
        <v>28</v>
      </c>
      <c r="Q1221" s="3" t="s">
        <v>28</v>
      </c>
      <c r="R1221" s="3" t="s">
        <v>28</v>
      </c>
      <c r="S1221" s="3" t="s">
        <v>28</v>
      </c>
      <c r="T1221" s="3" t="s">
        <v>28</v>
      </c>
    </row>
    <row r="1222" spans="1:20" ht="409.6">
      <c r="A1222" s="3">
        <v>2730826</v>
      </c>
      <c r="B1222" s="3">
        <f>HYPERLINK("https://platform.v2.vetology.net/cases/2730826/screening-report/6?type=pdf&amp;v=v6&amp;scorecard=1&amp;secret_key=BX%25IJ%24%2F65ieZ%29f6", 2730826)</f>
        <v>2730826</v>
      </c>
      <c r="C1222" s="3">
        <f>HYPERLINK("https://platform.v2.vetology.net/report/v/final/"&amp;2730826, 2730826)</f>
        <v>2730826</v>
      </c>
      <c r="D1222" s="3" t="s">
        <v>4488</v>
      </c>
      <c r="E1222" s="3" t="s">
        <v>4489</v>
      </c>
      <c r="F1222" s="3" t="s">
        <v>4490</v>
      </c>
      <c r="G1222" s="3" t="s">
        <v>64</v>
      </c>
      <c r="H1222" s="3" t="s">
        <v>31</v>
      </c>
      <c r="I1222" s="3" t="s">
        <v>129</v>
      </c>
      <c r="J1222" s="3" t="s">
        <v>119</v>
      </c>
      <c r="K1222" s="3" t="s">
        <v>28</v>
      </c>
      <c r="L1222" s="3" t="s">
        <v>28</v>
      </c>
      <c r="M1222" s="3" t="s">
        <v>28</v>
      </c>
      <c r="N1222" s="3" t="s">
        <v>28</v>
      </c>
      <c r="O1222" s="3" t="s">
        <v>27</v>
      </c>
      <c r="P1222" s="3" t="s">
        <v>28</v>
      </c>
      <c r="Q1222" s="3" t="s">
        <v>28</v>
      </c>
      <c r="R1222" s="3" t="s">
        <v>28</v>
      </c>
      <c r="S1222" s="3" t="s">
        <v>28</v>
      </c>
      <c r="T1222" s="3" t="s">
        <v>28</v>
      </c>
    </row>
    <row r="1223" spans="1:20" ht="396.75">
      <c r="A1223" s="3">
        <v>2730817</v>
      </c>
      <c r="B1223" s="3">
        <f>HYPERLINK("https://platform.v2.vetology.net/cases/2730817/screening-report/6?type=pdf&amp;v=v6&amp;scorecard=1&amp;secret_key=BX%25IJ%24%2F65ieZ%29f6", 2730817)</f>
        <v>2730817</v>
      </c>
      <c r="C1223" s="3">
        <f>HYPERLINK("https://platform.v2.vetology.net/report/v/final/"&amp;2730817, 2730817)</f>
        <v>2730817</v>
      </c>
      <c r="D1223" s="3" t="s">
        <v>4491</v>
      </c>
      <c r="E1223" s="3" t="s">
        <v>4492</v>
      </c>
      <c r="F1223" s="3" t="s">
        <v>22</v>
      </c>
      <c r="G1223" s="3" t="s">
        <v>23</v>
      </c>
      <c r="H1223" s="3" t="s">
        <v>571</v>
      </c>
      <c r="I1223" s="3" t="s">
        <v>572</v>
      </c>
      <c r="J1223" s="3" t="s">
        <v>573</v>
      </c>
      <c r="K1223" s="3" t="s">
        <v>27</v>
      </c>
      <c r="L1223" s="3" t="s">
        <v>28</v>
      </c>
      <c r="M1223" s="3" t="s">
        <v>27</v>
      </c>
      <c r="N1223" s="3" t="s">
        <v>28</v>
      </c>
      <c r="O1223" s="3" t="s">
        <v>27</v>
      </c>
      <c r="P1223" s="3" t="s">
        <v>28</v>
      </c>
      <c r="Q1223" s="3" t="s">
        <v>27</v>
      </c>
      <c r="R1223" s="3" t="s">
        <v>28</v>
      </c>
      <c r="S1223" s="3" t="s">
        <v>28</v>
      </c>
      <c r="T1223" s="3" t="s">
        <v>28</v>
      </c>
    </row>
    <row r="1224" spans="1:20" ht="336">
      <c r="A1224" s="3">
        <v>2730795</v>
      </c>
      <c r="B1224" s="3">
        <f>HYPERLINK("https://platform.v2.vetology.net/cases/2730795/screening-report/6?type=pdf&amp;v=v6&amp;scorecard=1&amp;secret_key=BX%25IJ%24%2F65ieZ%29f6", 2730795)</f>
        <v>2730795</v>
      </c>
      <c r="C1224" s="3">
        <f>HYPERLINK("https://platform.v2.vetology.net/report/v/final/"&amp;2730795, 2730795)</f>
        <v>2730795</v>
      </c>
      <c r="D1224" s="3" t="s">
        <v>4493</v>
      </c>
      <c r="E1224" s="3" t="s">
        <v>4494</v>
      </c>
      <c r="F1224" s="3" t="s">
        <v>4495</v>
      </c>
      <c r="G1224" s="3" t="s">
        <v>57</v>
      </c>
      <c r="H1224" s="3" t="s">
        <v>2331</v>
      </c>
      <c r="I1224" s="3" t="s">
        <v>305</v>
      </c>
      <c r="J1224" s="3" t="s">
        <v>799</v>
      </c>
      <c r="K1224" s="3" t="s">
        <v>28</v>
      </c>
      <c r="L1224" s="3" t="s">
        <v>28</v>
      </c>
      <c r="M1224" s="3" t="s">
        <v>28</v>
      </c>
      <c r="N1224" s="3" t="s">
        <v>28</v>
      </c>
      <c r="O1224" s="3" t="s">
        <v>27</v>
      </c>
      <c r="P1224" s="3" t="s">
        <v>28</v>
      </c>
      <c r="Q1224" s="3" t="s">
        <v>28</v>
      </c>
      <c r="R1224" s="3" t="s">
        <v>28</v>
      </c>
      <c r="S1224" s="3" t="s">
        <v>28</v>
      </c>
      <c r="T1224" s="3" t="s">
        <v>28</v>
      </c>
    </row>
    <row r="1225" spans="1:20" ht="409.6">
      <c r="A1225" s="3">
        <v>2730792</v>
      </c>
      <c r="B1225" s="3">
        <f>HYPERLINK("https://platform.v2.vetology.net/cases/2730792/screening-report/6?type=pdf&amp;v=v6&amp;scorecard=1&amp;secret_key=BX%25IJ%24%2F65ieZ%29f6", 2730792)</f>
        <v>2730792</v>
      </c>
      <c r="C1225" s="3">
        <f>HYPERLINK("https://platform.v2.vetology.net/report/v/final/"&amp;2730792, 2730792)</f>
        <v>2730792</v>
      </c>
      <c r="D1225" s="3" t="s">
        <v>4496</v>
      </c>
      <c r="E1225" s="3" t="s">
        <v>4497</v>
      </c>
      <c r="F1225" s="3" t="s">
        <v>4498</v>
      </c>
      <c r="G1225" s="3" t="s">
        <v>64</v>
      </c>
      <c r="H1225" s="3" t="s">
        <v>4499</v>
      </c>
      <c r="I1225" s="3" t="s">
        <v>1574</v>
      </c>
      <c r="J1225" s="3" t="s">
        <v>1083</v>
      </c>
      <c r="K1225" s="3" t="s">
        <v>27</v>
      </c>
      <c r="L1225" s="3" t="s">
        <v>27</v>
      </c>
      <c r="M1225" s="3" t="s">
        <v>28</v>
      </c>
      <c r="N1225" s="3" t="s">
        <v>28</v>
      </c>
      <c r="O1225" s="3" t="s">
        <v>27</v>
      </c>
      <c r="P1225" s="3" t="s">
        <v>28</v>
      </c>
      <c r="Q1225" s="3" t="s">
        <v>28</v>
      </c>
      <c r="R1225" s="3" t="s">
        <v>28</v>
      </c>
      <c r="S1225" s="3" t="s">
        <v>27</v>
      </c>
      <c r="T1225" s="3" t="s">
        <v>27</v>
      </c>
    </row>
    <row r="1226" spans="1:20" ht="351">
      <c r="A1226" s="3">
        <v>2730747</v>
      </c>
      <c r="B1226" s="3">
        <f>HYPERLINK("https://platform.v2.vetology.net/cases/2730747/screening-report/6?type=pdf&amp;v=v6&amp;scorecard=1&amp;secret_key=BX%25IJ%24%2F65ieZ%29f6", 2730747)</f>
        <v>2730747</v>
      </c>
      <c r="C1226" s="3">
        <f>HYPERLINK("https://platform.v2.vetology.net/report/v/final/"&amp;2730747, 2730747)</f>
        <v>2730747</v>
      </c>
      <c r="D1226" s="3" t="s">
        <v>4500</v>
      </c>
      <c r="E1226" s="3" t="s">
        <v>4501</v>
      </c>
      <c r="F1226" s="3" t="s">
        <v>4502</v>
      </c>
      <c r="G1226" s="3" t="s">
        <v>179</v>
      </c>
      <c r="H1226" s="3" t="s">
        <v>4503</v>
      </c>
      <c r="I1226" s="3" t="s">
        <v>888</v>
      </c>
      <c r="J1226" s="3" t="s">
        <v>889</v>
      </c>
      <c r="K1226" s="3" t="s">
        <v>27</v>
      </c>
      <c r="L1226" s="3" t="s">
        <v>28</v>
      </c>
      <c r="M1226" s="3" t="s">
        <v>28</v>
      </c>
      <c r="N1226" s="3" t="s">
        <v>28</v>
      </c>
      <c r="O1226" s="3" t="s">
        <v>27</v>
      </c>
      <c r="P1226" s="3" t="s">
        <v>28</v>
      </c>
      <c r="Q1226" s="3" t="s">
        <v>27</v>
      </c>
      <c r="R1226" s="3" t="s">
        <v>28</v>
      </c>
      <c r="S1226" s="3" t="s">
        <v>28</v>
      </c>
      <c r="T1226" s="3" t="s">
        <v>28</v>
      </c>
    </row>
    <row r="1227" spans="1:20" ht="409.6">
      <c r="A1227" s="3">
        <v>2730712</v>
      </c>
      <c r="B1227" s="3">
        <f>HYPERLINK("https://platform.v2.vetology.net/cases/2730712/screening-report/6?type=pdf&amp;v=v6&amp;scorecard=1&amp;secret_key=BX%25IJ%24%2F65ieZ%29f6", 2730712)</f>
        <v>2730712</v>
      </c>
      <c r="C1227" s="3">
        <f>HYPERLINK("https://platform.v2.vetology.net/report/v/final/"&amp;2730712, 2730712)</f>
        <v>2730712</v>
      </c>
      <c r="D1227" s="3" t="s">
        <v>4504</v>
      </c>
      <c r="E1227" s="3" t="s">
        <v>4505</v>
      </c>
      <c r="F1227" s="3" t="s">
        <v>4506</v>
      </c>
      <c r="G1227" s="3" t="s">
        <v>64</v>
      </c>
      <c r="H1227" s="3" t="s">
        <v>4507</v>
      </c>
      <c r="I1227" s="3" t="s">
        <v>3131</v>
      </c>
      <c r="J1227" s="3" t="s">
        <v>3132</v>
      </c>
      <c r="K1227" s="3" t="s">
        <v>28</v>
      </c>
      <c r="L1227" s="3" t="s">
        <v>28</v>
      </c>
      <c r="M1227" s="3" t="s">
        <v>28</v>
      </c>
      <c r="N1227" s="3" t="s">
        <v>28</v>
      </c>
      <c r="O1227" s="3" t="s">
        <v>28</v>
      </c>
      <c r="P1227" s="3" t="s">
        <v>28</v>
      </c>
      <c r="Q1227" s="3" t="s">
        <v>28</v>
      </c>
      <c r="R1227" s="3" t="s">
        <v>28</v>
      </c>
      <c r="S1227" s="3" t="s">
        <v>28</v>
      </c>
      <c r="T1227" s="3" t="s">
        <v>28</v>
      </c>
    </row>
    <row r="1228" spans="1:20" ht="409.6">
      <c r="A1228" s="3">
        <v>2730684</v>
      </c>
      <c r="B1228" s="3">
        <f>HYPERLINK("https://platform.v2.vetology.net/cases/2730684/screening-report/6?type=pdf&amp;v=v6&amp;scorecard=1&amp;secret_key=BX%25IJ%24%2F65ieZ%29f6", 2730684)</f>
        <v>2730684</v>
      </c>
      <c r="C1228" s="3">
        <f>HYPERLINK("https://platform.v2.vetology.net/report/v/final/"&amp;2730684, 2730684)</f>
        <v>2730684</v>
      </c>
      <c r="D1228" s="3" t="s">
        <v>4508</v>
      </c>
      <c r="E1228" s="3" t="s">
        <v>4509</v>
      </c>
      <c r="F1228" s="3" t="s">
        <v>3245</v>
      </c>
      <c r="G1228" s="3" t="s">
        <v>57</v>
      </c>
      <c r="H1228" s="3" t="s">
        <v>4510</v>
      </c>
      <c r="I1228" s="3" t="s">
        <v>2825</v>
      </c>
      <c r="J1228" s="3" t="s">
        <v>2826</v>
      </c>
      <c r="K1228" s="3" t="s">
        <v>28</v>
      </c>
      <c r="L1228" s="3" t="s">
        <v>28</v>
      </c>
      <c r="M1228" s="3" t="s">
        <v>27</v>
      </c>
      <c r="N1228" s="3" t="s">
        <v>28</v>
      </c>
      <c r="O1228" s="3" t="s">
        <v>27</v>
      </c>
      <c r="P1228" s="3" t="s">
        <v>28</v>
      </c>
      <c r="Q1228" s="3" t="s">
        <v>28</v>
      </c>
      <c r="R1228" s="3" t="s">
        <v>28</v>
      </c>
      <c r="S1228" s="3" t="s">
        <v>28</v>
      </c>
      <c r="T1228" s="3" t="s">
        <v>28</v>
      </c>
    </row>
    <row r="1229" spans="1:20" ht="381.75">
      <c r="A1229" s="3">
        <v>2730664</v>
      </c>
      <c r="B1229" s="3">
        <f>HYPERLINK("https://platform.v2.vetology.net/cases/2730664/screening-report/6?type=pdf&amp;v=v6&amp;scorecard=1&amp;secret_key=BX%25IJ%24%2F65ieZ%29f6", 2730664)</f>
        <v>2730664</v>
      </c>
      <c r="C1229" s="3">
        <f>HYPERLINK("https://platform.v2.vetology.net/report/v/final/"&amp;2730664, 2730664)</f>
        <v>2730664</v>
      </c>
      <c r="D1229" s="3" t="s">
        <v>4511</v>
      </c>
      <c r="E1229" s="3" t="s">
        <v>4512</v>
      </c>
      <c r="F1229" s="3" t="s">
        <v>4198</v>
      </c>
      <c r="G1229" s="3" t="s">
        <v>211</v>
      </c>
      <c r="H1229" s="3" t="s">
        <v>158</v>
      </c>
      <c r="I1229" s="3" t="s">
        <v>32</v>
      </c>
      <c r="J1229" s="3" t="s">
        <v>119</v>
      </c>
      <c r="K1229" s="3" t="s">
        <v>28</v>
      </c>
      <c r="L1229" s="3" t="s">
        <v>28</v>
      </c>
      <c r="M1229" s="3" t="s">
        <v>28</v>
      </c>
      <c r="N1229" s="3" t="s">
        <v>28</v>
      </c>
      <c r="O1229" s="3" t="s">
        <v>28</v>
      </c>
      <c r="P1229" s="3" t="s">
        <v>28</v>
      </c>
      <c r="Q1229" s="3" t="s">
        <v>28</v>
      </c>
      <c r="R1229" s="3" t="s">
        <v>28</v>
      </c>
      <c r="S1229" s="3" t="s">
        <v>28</v>
      </c>
      <c r="T1229" s="3" t="s">
        <v>28</v>
      </c>
    </row>
    <row r="1230" spans="1:20" ht="381.75">
      <c r="A1230" s="3">
        <v>2730581</v>
      </c>
      <c r="B1230" s="3">
        <f>HYPERLINK("https://platform.v2.vetology.net/cases/2730581/screening-report/6?type=pdf&amp;v=v6&amp;scorecard=1&amp;secret_key=BX%25IJ%24%2F65ieZ%29f6", 2730581)</f>
        <v>2730581</v>
      </c>
      <c r="C1230" s="3">
        <f>HYPERLINK("https://platform.v2.vetology.net/report/v/final/"&amp;2730581, 2730581)</f>
        <v>2730581</v>
      </c>
      <c r="D1230" s="3" t="s">
        <v>4513</v>
      </c>
      <c r="E1230" s="3" t="s">
        <v>4514</v>
      </c>
      <c r="F1230" s="3" t="s">
        <v>4515</v>
      </c>
      <c r="G1230" s="3" t="s">
        <v>179</v>
      </c>
      <c r="H1230" s="3" t="s">
        <v>171</v>
      </c>
      <c r="I1230" s="3" t="s">
        <v>172</v>
      </c>
      <c r="J1230" s="3" t="s">
        <v>109</v>
      </c>
      <c r="K1230" s="3" t="s">
        <v>28</v>
      </c>
      <c r="L1230" s="3" t="s">
        <v>27</v>
      </c>
      <c r="M1230" s="3" t="s">
        <v>28</v>
      </c>
      <c r="N1230" s="3" t="s">
        <v>27</v>
      </c>
      <c r="O1230" s="3" t="s">
        <v>27</v>
      </c>
      <c r="P1230" s="3" t="s">
        <v>28</v>
      </c>
      <c r="Q1230" s="3" t="s">
        <v>28</v>
      </c>
      <c r="R1230" s="3" t="s">
        <v>27</v>
      </c>
      <c r="S1230" s="3" t="s">
        <v>27</v>
      </c>
      <c r="T1230" s="3" t="s">
        <v>27</v>
      </c>
    </row>
    <row r="1231" spans="1:20" ht="290.25">
      <c r="A1231" s="3">
        <v>2730562</v>
      </c>
      <c r="B1231" s="3">
        <f>HYPERLINK("https://platform.v2.vetology.net/cases/2730562/screening-report/6?type=pdf&amp;v=v6&amp;scorecard=1&amp;secret_key=BX%25IJ%24%2F65ieZ%29f6", 2730562)</f>
        <v>2730562</v>
      </c>
      <c r="C1231" s="3">
        <f>HYPERLINK("https://platform.v2.vetology.net/report/v/final/"&amp;2730562, 2730562)</f>
        <v>2730562</v>
      </c>
      <c r="D1231" s="3" t="s">
        <v>4516</v>
      </c>
      <c r="E1231" s="3" t="s">
        <v>4517</v>
      </c>
      <c r="F1231" s="3" t="s">
        <v>4518</v>
      </c>
      <c r="G1231" s="3" t="s">
        <v>57</v>
      </c>
      <c r="H1231" s="3" t="s">
        <v>300</v>
      </c>
      <c r="I1231" s="3" t="s">
        <v>1497</v>
      </c>
      <c r="J1231" s="3" t="s">
        <v>847</v>
      </c>
      <c r="K1231" s="3" t="s">
        <v>28</v>
      </c>
      <c r="L1231" s="3" t="s">
        <v>28</v>
      </c>
      <c r="M1231" s="3" t="s">
        <v>28</v>
      </c>
      <c r="N1231" s="3" t="s">
        <v>28</v>
      </c>
      <c r="O1231" s="3" t="s">
        <v>27</v>
      </c>
      <c r="P1231" s="3" t="s">
        <v>28</v>
      </c>
      <c r="Q1231" s="3" t="s">
        <v>28</v>
      </c>
      <c r="R1231" s="3" t="s">
        <v>28</v>
      </c>
      <c r="S1231" s="3" t="s">
        <v>28</v>
      </c>
      <c r="T1231" s="3" t="s">
        <v>28</v>
      </c>
    </row>
    <row r="1232" spans="1:20" ht="409.6">
      <c r="A1232" s="3">
        <v>2730555</v>
      </c>
      <c r="B1232" s="3">
        <f>HYPERLINK("https://platform.v2.vetology.net/cases/2730555/screening-report/6?type=pdf&amp;v=v6&amp;scorecard=1&amp;secret_key=BX%25IJ%24%2F65ieZ%29f6", 2730555)</f>
        <v>2730555</v>
      </c>
      <c r="C1232" s="3">
        <f>HYPERLINK("https://platform.v2.vetology.net/report/v/final/"&amp;2730555, 2730555)</f>
        <v>2730555</v>
      </c>
      <c r="D1232" s="3" t="s">
        <v>4519</v>
      </c>
      <c r="E1232" s="3" t="s">
        <v>4520</v>
      </c>
      <c r="F1232" s="3" t="s">
        <v>4521</v>
      </c>
      <c r="G1232" s="3" t="s">
        <v>179</v>
      </c>
      <c r="H1232" s="3" t="s">
        <v>544</v>
      </c>
      <c r="I1232" s="3" t="s">
        <v>334</v>
      </c>
      <c r="J1232" s="3" t="s">
        <v>335</v>
      </c>
      <c r="K1232" s="3" t="s">
        <v>28</v>
      </c>
      <c r="L1232" s="3" t="s">
        <v>28</v>
      </c>
      <c r="M1232" s="3" t="s">
        <v>27</v>
      </c>
      <c r="N1232" s="3" t="s">
        <v>28</v>
      </c>
      <c r="O1232" s="3" t="s">
        <v>27</v>
      </c>
      <c r="P1232" s="3" t="s">
        <v>28</v>
      </c>
      <c r="Q1232" s="3" t="s">
        <v>28</v>
      </c>
      <c r="R1232" s="3" t="s">
        <v>28</v>
      </c>
      <c r="S1232" s="3" t="s">
        <v>27</v>
      </c>
      <c r="T1232" s="3" t="s">
        <v>28</v>
      </c>
    </row>
    <row r="1233" spans="1:20" ht="409.6">
      <c r="A1233" s="3">
        <v>2730538</v>
      </c>
      <c r="B1233" s="3">
        <f>HYPERLINK("https://platform.v2.vetology.net/cases/2730538/screening-report/6?type=pdf&amp;v=v6&amp;scorecard=1&amp;secret_key=BX%25IJ%24%2F65ieZ%29f6", 2730538)</f>
        <v>2730538</v>
      </c>
      <c r="C1233" s="3">
        <f>HYPERLINK("https://platform.v2.vetology.net/report/v/final/"&amp;2730538, 2730538)</f>
        <v>2730538</v>
      </c>
      <c r="D1233" s="3" t="s">
        <v>4522</v>
      </c>
      <c r="E1233" s="3" t="s">
        <v>4523</v>
      </c>
      <c r="F1233" s="3" t="s">
        <v>22</v>
      </c>
      <c r="G1233" s="3" t="s">
        <v>23</v>
      </c>
      <c r="H1233" s="3" t="s">
        <v>31</v>
      </c>
      <c r="I1233" s="3" t="s">
        <v>32</v>
      </c>
      <c r="J1233" s="3" t="s">
        <v>847</v>
      </c>
      <c r="K1233" s="3" t="s">
        <v>28</v>
      </c>
      <c r="L1233" s="3" t="s">
        <v>28</v>
      </c>
      <c r="M1233" s="3" t="s">
        <v>28</v>
      </c>
      <c r="N1233" s="3" t="s">
        <v>28</v>
      </c>
      <c r="O1233" s="3" t="s">
        <v>27</v>
      </c>
      <c r="P1233" s="3" t="s">
        <v>28</v>
      </c>
      <c r="Q1233" s="3" t="s">
        <v>28</v>
      </c>
      <c r="R1233" s="3" t="s">
        <v>27</v>
      </c>
      <c r="S1233" s="3" t="s">
        <v>28</v>
      </c>
      <c r="T1233" s="3" t="s">
        <v>27</v>
      </c>
    </row>
    <row r="1234" spans="1:20" ht="409.6">
      <c r="A1234" s="3">
        <v>2730501</v>
      </c>
      <c r="B1234" s="3">
        <f>HYPERLINK("https://platform.v2.vetology.net/cases/2730501/screening-report/6?type=pdf&amp;v=v6&amp;scorecard=1&amp;secret_key=BX%25IJ%24%2F65ieZ%29f6", 2730501)</f>
        <v>2730501</v>
      </c>
      <c r="C1234" s="3">
        <f>HYPERLINK("https://platform.v2.vetology.net/report/v/final/"&amp;2730501, 2730501)</f>
        <v>2730501</v>
      </c>
      <c r="D1234" s="3" t="s">
        <v>4524</v>
      </c>
      <c r="E1234" s="3" t="s">
        <v>4525</v>
      </c>
      <c r="F1234" s="3" t="s">
        <v>4526</v>
      </c>
      <c r="G1234" s="3" t="s">
        <v>64</v>
      </c>
      <c r="H1234" s="3" t="s">
        <v>548</v>
      </c>
      <c r="I1234" s="3" t="s">
        <v>549</v>
      </c>
      <c r="J1234" s="3" t="s">
        <v>550</v>
      </c>
      <c r="K1234" s="3" t="s">
        <v>28</v>
      </c>
      <c r="L1234" s="3" t="s">
        <v>27</v>
      </c>
      <c r="M1234" s="3" t="s">
        <v>28</v>
      </c>
      <c r="N1234" s="3" t="s">
        <v>27</v>
      </c>
      <c r="O1234" s="3" t="s">
        <v>28</v>
      </c>
      <c r="P1234" s="3" t="s">
        <v>28</v>
      </c>
      <c r="Q1234" s="3" t="s">
        <v>28</v>
      </c>
      <c r="R1234" s="3" t="s">
        <v>27</v>
      </c>
      <c r="S1234" s="3" t="s">
        <v>27</v>
      </c>
      <c r="T1234" s="3" t="s">
        <v>27</v>
      </c>
    </row>
    <row r="1235" spans="1:20" ht="305.25">
      <c r="A1235" s="3">
        <v>2730492</v>
      </c>
      <c r="B1235" s="3">
        <f>HYPERLINK("https://platform.v2.vetology.net/cases/2730492/screening-report/6?type=pdf&amp;v=v6&amp;scorecard=1&amp;secret_key=BX%25IJ%24%2F65ieZ%29f6", 2730492)</f>
        <v>2730492</v>
      </c>
      <c r="C1235" s="3">
        <f>HYPERLINK("https://platform.v2.vetology.net/report/v/final/"&amp;2730492, 2730492)</f>
        <v>2730492</v>
      </c>
      <c r="D1235" s="3" t="s">
        <v>4527</v>
      </c>
      <c r="E1235" s="3" t="s">
        <v>4528</v>
      </c>
      <c r="F1235" s="3" t="s">
        <v>4529</v>
      </c>
      <c r="G1235" s="3" t="s">
        <v>186</v>
      </c>
      <c r="H1235" s="3" t="s">
        <v>31</v>
      </c>
      <c r="I1235" s="3" t="s">
        <v>32</v>
      </c>
      <c r="J1235" s="3" t="s">
        <v>33</v>
      </c>
      <c r="K1235" s="3" t="s">
        <v>28</v>
      </c>
      <c r="L1235" s="3" t="s">
        <v>28</v>
      </c>
      <c r="M1235" s="3" t="s">
        <v>28</v>
      </c>
      <c r="N1235" s="3" t="s">
        <v>28</v>
      </c>
      <c r="O1235" s="3" t="s">
        <v>27</v>
      </c>
      <c r="P1235" s="3" t="s">
        <v>28</v>
      </c>
      <c r="Q1235" s="3" t="s">
        <v>28</v>
      </c>
      <c r="R1235" s="3" t="s">
        <v>28</v>
      </c>
      <c r="S1235" s="3" t="s">
        <v>27</v>
      </c>
      <c r="T1235" s="3" t="s">
        <v>28</v>
      </c>
    </row>
    <row r="1236" spans="1:20" ht="409.6">
      <c r="A1236" s="3">
        <v>2730484</v>
      </c>
      <c r="B1236" s="3">
        <f>HYPERLINK("https://platform.v2.vetology.net/cases/2730484/screening-report/6?type=pdf&amp;v=v6&amp;scorecard=1&amp;secret_key=BX%25IJ%24%2F65ieZ%29f6", 2730484)</f>
        <v>2730484</v>
      </c>
      <c r="C1236" s="3">
        <f>HYPERLINK("https://platform.v2.vetology.net/report/v/final/"&amp;2730484, 2730484)</f>
        <v>2730484</v>
      </c>
      <c r="D1236" s="3" t="s">
        <v>4530</v>
      </c>
      <c r="E1236" s="3" t="s">
        <v>4531</v>
      </c>
      <c r="F1236" s="3" t="s">
        <v>4532</v>
      </c>
      <c r="G1236" s="3" t="s">
        <v>211</v>
      </c>
      <c r="H1236" s="3" t="s">
        <v>2267</v>
      </c>
      <c r="I1236" s="3" t="s">
        <v>305</v>
      </c>
      <c r="J1236" s="3" t="s">
        <v>119</v>
      </c>
      <c r="K1236" s="3" t="s">
        <v>28</v>
      </c>
      <c r="L1236" s="3" t="s">
        <v>28</v>
      </c>
      <c r="M1236" s="3" t="s">
        <v>28</v>
      </c>
      <c r="N1236" s="3" t="s">
        <v>28</v>
      </c>
      <c r="O1236" s="3" t="s">
        <v>28</v>
      </c>
      <c r="P1236" s="3" t="s">
        <v>28</v>
      </c>
      <c r="Q1236" s="3" t="s">
        <v>28</v>
      </c>
      <c r="R1236" s="3" t="s">
        <v>28</v>
      </c>
      <c r="S1236" s="3" t="s">
        <v>28</v>
      </c>
      <c r="T1236" s="3" t="s">
        <v>28</v>
      </c>
    </row>
    <row r="1237" spans="1:20" ht="409.6">
      <c r="A1237" s="3">
        <v>2730461</v>
      </c>
      <c r="B1237" s="3">
        <f>HYPERLINK("https://platform.v2.vetology.net/cases/2730461/screening-report/6?type=pdf&amp;v=v6&amp;scorecard=1&amp;secret_key=BX%25IJ%24%2F65ieZ%29f6", 2730461)</f>
        <v>2730461</v>
      </c>
      <c r="C1237" s="3">
        <f>HYPERLINK("https://platform.v2.vetology.net/report/v/final/"&amp;2730461, 2730461)</f>
        <v>2730461</v>
      </c>
      <c r="D1237" s="3" t="s">
        <v>4533</v>
      </c>
      <c r="E1237" s="3" t="s">
        <v>4534</v>
      </c>
      <c r="F1237" s="3" t="s">
        <v>4535</v>
      </c>
      <c r="G1237" s="3" t="s">
        <v>64</v>
      </c>
      <c r="H1237" s="3" t="s">
        <v>1997</v>
      </c>
      <c r="I1237" s="3" t="s">
        <v>1688</v>
      </c>
      <c r="J1237" s="3" t="s">
        <v>207</v>
      </c>
      <c r="K1237" s="3" t="s">
        <v>27</v>
      </c>
      <c r="L1237" s="3" t="s">
        <v>27</v>
      </c>
      <c r="M1237" s="3" t="s">
        <v>27</v>
      </c>
      <c r="N1237" s="3" t="s">
        <v>28</v>
      </c>
      <c r="O1237" s="3" t="s">
        <v>27</v>
      </c>
      <c r="P1237" s="3" t="s">
        <v>28</v>
      </c>
      <c r="Q1237" s="3" t="s">
        <v>27</v>
      </c>
      <c r="R1237" s="3" t="s">
        <v>28</v>
      </c>
      <c r="S1237" s="3" t="s">
        <v>27</v>
      </c>
      <c r="T1237" s="3" t="s">
        <v>27</v>
      </c>
    </row>
    <row r="1238" spans="1:20" ht="409.6">
      <c r="A1238" s="3">
        <v>2730456</v>
      </c>
      <c r="B1238" s="3">
        <f>HYPERLINK("https://platform.v2.vetology.net/cases/2730456/screening-report/6?type=pdf&amp;v=v6&amp;scorecard=1&amp;secret_key=BX%25IJ%24%2F65ieZ%29f6", 2730456)</f>
        <v>2730456</v>
      </c>
      <c r="C1238" s="3">
        <f>HYPERLINK("https://platform.v2.vetology.net/report/v/final/"&amp;2730456, 2730456)</f>
        <v>2730456</v>
      </c>
      <c r="D1238" s="3" t="s">
        <v>4536</v>
      </c>
      <c r="E1238" s="3" t="s">
        <v>4537</v>
      </c>
      <c r="F1238" s="3" t="s">
        <v>4538</v>
      </c>
      <c r="G1238" s="3" t="s">
        <v>211</v>
      </c>
      <c r="H1238" s="3" t="s">
        <v>4539</v>
      </c>
      <c r="I1238" s="3" t="s">
        <v>2486</v>
      </c>
      <c r="J1238" s="3" t="s">
        <v>2487</v>
      </c>
      <c r="K1238" s="3" t="s">
        <v>28</v>
      </c>
      <c r="L1238" s="3" t="s">
        <v>28</v>
      </c>
      <c r="M1238" s="3" t="s">
        <v>28</v>
      </c>
      <c r="N1238" s="3" t="s">
        <v>28</v>
      </c>
      <c r="O1238" s="3" t="s">
        <v>27</v>
      </c>
      <c r="P1238" s="3" t="s">
        <v>28</v>
      </c>
      <c r="Q1238" s="3" t="s">
        <v>27</v>
      </c>
      <c r="R1238" s="3" t="s">
        <v>28</v>
      </c>
      <c r="S1238" s="3" t="s">
        <v>27</v>
      </c>
      <c r="T1238" s="3" t="s">
        <v>28</v>
      </c>
    </row>
    <row r="1239" spans="1:20" ht="409.6">
      <c r="A1239" s="3">
        <v>2730396</v>
      </c>
      <c r="B1239" s="3">
        <f>HYPERLINK("https://platform.v2.vetology.net/cases/2730396/screening-report/6?type=pdf&amp;v=v6&amp;scorecard=1&amp;secret_key=BX%25IJ%24%2F65ieZ%29f6", 2730396)</f>
        <v>2730396</v>
      </c>
      <c r="C1239" s="3">
        <f>HYPERLINK("https://platform.v2.vetology.net/report/v/final/"&amp;2730396, 2730396)</f>
        <v>2730396</v>
      </c>
      <c r="D1239" s="3" t="s">
        <v>4540</v>
      </c>
      <c r="E1239" s="3" t="s">
        <v>4541</v>
      </c>
      <c r="F1239" s="3" t="s">
        <v>4542</v>
      </c>
      <c r="G1239" s="3" t="s">
        <v>64</v>
      </c>
      <c r="H1239" s="3" t="s">
        <v>1372</v>
      </c>
      <c r="I1239" s="3" t="s">
        <v>1373</v>
      </c>
      <c r="J1239" s="3" t="s">
        <v>207</v>
      </c>
      <c r="K1239" s="3" t="s">
        <v>27</v>
      </c>
      <c r="L1239" s="3" t="s">
        <v>28</v>
      </c>
      <c r="M1239" s="3" t="s">
        <v>28</v>
      </c>
      <c r="N1239" s="3" t="s">
        <v>28</v>
      </c>
      <c r="O1239" s="3" t="s">
        <v>27</v>
      </c>
      <c r="P1239" s="3" t="s">
        <v>27</v>
      </c>
      <c r="Q1239" s="3" t="s">
        <v>27</v>
      </c>
      <c r="R1239" s="3" t="s">
        <v>28</v>
      </c>
      <c r="S1239" s="3" t="s">
        <v>28</v>
      </c>
      <c r="T1239" s="3" t="s">
        <v>27</v>
      </c>
    </row>
    <row r="1240" spans="1:20" ht="409.6">
      <c r="A1240" s="3">
        <v>2730354</v>
      </c>
      <c r="B1240" s="3">
        <f>HYPERLINK("https://platform.v2.vetology.net/cases/2730354/screening-report/6?type=pdf&amp;v=v6&amp;scorecard=1&amp;secret_key=BX%25IJ%24%2F65ieZ%29f6", 2730354)</f>
        <v>2730354</v>
      </c>
      <c r="C1240" s="3">
        <f>HYPERLINK("https://platform.v2.vetology.net/report/v/final/"&amp;2730354, 2730354)</f>
        <v>2730354</v>
      </c>
      <c r="D1240" s="3" t="s">
        <v>4543</v>
      </c>
      <c r="E1240" s="3" t="s">
        <v>4544</v>
      </c>
      <c r="F1240" s="3" t="s">
        <v>4545</v>
      </c>
      <c r="G1240" s="3" t="s">
        <v>23</v>
      </c>
      <c r="H1240" s="3" t="s">
        <v>4546</v>
      </c>
      <c r="I1240" s="3" t="s">
        <v>2190</v>
      </c>
      <c r="J1240" s="3" t="s">
        <v>148</v>
      </c>
      <c r="K1240" s="3" t="s">
        <v>27</v>
      </c>
      <c r="L1240" s="3" t="s">
        <v>28</v>
      </c>
      <c r="M1240" s="3" t="s">
        <v>27</v>
      </c>
      <c r="N1240" s="3" t="s">
        <v>28</v>
      </c>
      <c r="O1240" s="3" t="s">
        <v>27</v>
      </c>
      <c r="P1240" s="3" t="s">
        <v>28</v>
      </c>
      <c r="Q1240" s="3" t="s">
        <v>28</v>
      </c>
      <c r="R1240" s="3" t="s">
        <v>28</v>
      </c>
      <c r="S1240" s="3" t="s">
        <v>28</v>
      </c>
      <c r="T1240" s="3" t="s">
        <v>28</v>
      </c>
    </row>
    <row r="1241" spans="1:20" ht="290.25">
      <c r="A1241" s="3">
        <v>2730322</v>
      </c>
      <c r="B1241" s="3">
        <f>HYPERLINK("https://platform.v2.vetology.net/cases/2730322/screening-report/6?type=pdf&amp;v=v6&amp;scorecard=1&amp;secret_key=BX%25IJ%24%2F65ieZ%29f6", 2730322)</f>
        <v>2730322</v>
      </c>
      <c r="C1241" s="3">
        <f>HYPERLINK("https://platform.v2.vetology.net/report/v/final/"&amp;2730322, 2730322)</f>
        <v>2730322</v>
      </c>
      <c r="D1241" s="3" t="s">
        <v>4547</v>
      </c>
      <c r="E1241" s="3" t="s">
        <v>4548</v>
      </c>
      <c r="F1241" s="3" t="s">
        <v>1061</v>
      </c>
      <c r="G1241" s="3" t="s">
        <v>100</v>
      </c>
      <c r="H1241" s="3" t="s">
        <v>1768</v>
      </c>
      <c r="I1241" s="3" t="s">
        <v>316</v>
      </c>
      <c r="J1241" s="3" t="s">
        <v>317</v>
      </c>
      <c r="K1241" s="3" t="s">
        <v>28</v>
      </c>
      <c r="L1241" s="3" t="s">
        <v>28</v>
      </c>
      <c r="M1241" s="3" t="s">
        <v>28</v>
      </c>
      <c r="N1241" s="3" t="s">
        <v>28</v>
      </c>
      <c r="O1241" s="3" t="s">
        <v>27</v>
      </c>
      <c r="P1241" s="3" t="s">
        <v>28</v>
      </c>
      <c r="Q1241" s="3" t="s">
        <v>28</v>
      </c>
      <c r="R1241" s="3" t="s">
        <v>28</v>
      </c>
      <c r="S1241" s="3" t="s">
        <v>28</v>
      </c>
      <c r="T1241" s="3" t="s">
        <v>28</v>
      </c>
    </row>
    <row r="1242" spans="1:20" ht="275.25">
      <c r="A1242" s="3">
        <v>2730321</v>
      </c>
      <c r="B1242" s="3">
        <f>HYPERLINK("https://platform.v2.vetology.net/cases/2730321/screening-report/6?type=pdf&amp;v=v6&amp;scorecard=1&amp;secret_key=BX%25IJ%24%2F65ieZ%29f6", 2730321)</f>
        <v>2730321</v>
      </c>
      <c r="C1242" s="3">
        <f>HYPERLINK("https://platform.v2.vetology.net/report/v/final/"&amp;2730321, 2730321)</f>
        <v>2730321</v>
      </c>
      <c r="D1242" s="3" t="s">
        <v>4549</v>
      </c>
      <c r="E1242" s="3" t="s">
        <v>4550</v>
      </c>
      <c r="F1242" s="3" t="s">
        <v>4551</v>
      </c>
      <c r="G1242" s="3" t="s">
        <v>211</v>
      </c>
      <c r="H1242" s="3" t="s">
        <v>590</v>
      </c>
      <c r="I1242" s="3" t="s">
        <v>291</v>
      </c>
      <c r="J1242" s="3" t="s">
        <v>225</v>
      </c>
      <c r="K1242" s="3" t="s">
        <v>27</v>
      </c>
      <c r="L1242" s="3" t="s">
        <v>27</v>
      </c>
      <c r="M1242" s="3" t="s">
        <v>28</v>
      </c>
      <c r="N1242" s="3" t="s">
        <v>27</v>
      </c>
      <c r="O1242" s="3" t="s">
        <v>27</v>
      </c>
      <c r="P1242" s="3" t="s">
        <v>28</v>
      </c>
      <c r="Q1242" s="3" t="s">
        <v>28</v>
      </c>
      <c r="R1242" s="3" t="s">
        <v>27</v>
      </c>
      <c r="S1242" s="3" t="s">
        <v>28</v>
      </c>
      <c r="T1242" s="3" t="s">
        <v>27</v>
      </c>
    </row>
    <row r="1243" spans="1:20" ht="290.25">
      <c r="A1243" s="3">
        <v>2730292</v>
      </c>
      <c r="B1243" s="3">
        <f>HYPERLINK("https://platform.v2.vetology.net/cases/2730292/screening-report/6?type=pdf&amp;v=v6&amp;scorecard=1&amp;secret_key=BX%25IJ%24%2F65ieZ%29f6", 2730292)</f>
        <v>2730292</v>
      </c>
      <c r="C1243" s="3">
        <f>HYPERLINK("https://platform.v2.vetology.net/report/v/final/"&amp;2730292, 2730292)</f>
        <v>2730292</v>
      </c>
      <c r="D1243" s="3" t="s">
        <v>4552</v>
      </c>
      <c r="E1243" s="3" t="s">
        <v>4553</v>
      </c>
      <c r="F1243" s="3" t="s">
        <v>4554</v>
      </c>
      <c r="G1243" s="3" t="s">
        <v>186</v>
      </c>
      <c r="H1243" s="3" t="s">
        <v>4555</v>
      </c>
      <c r="I1243" s="3" t="s">
        <v>4556</v>
      </c>
      <c r="J1243" s="3" t="s">
        <v>297</v>
      </c>
      <c r="K1243" s="3" t="s">
        <v>27</v>
      </c>
      <c r="L1243" s="3" t="s">
        <v>27</v>
      </c>
      <c r="M1243" s="3" t="s">
        <v>27</v>
      </c>
      <c r="N1243" s="3" t="s">
        <v>27</v>
      </c>
      <c r="O1243" s="3" t="s">
        <v>27</v>
      </c>
      <c r="P1243" s="3" t="s">
        <v>28</v>
      </c>
      <c r="Q1243" s="3" t="s">
        <v>27</v>
      </c>
      <c r="R1243" s="3" t="s">
        <v>28</v>
      </c>
      <c r="S1243" s="3" t="s">
        <v>28</v>
      </c>
      <c r="T1243" s="3" t="s">
        <v>27</v>
      </c>
    </row>
    <row r="1244" spans="1:20" ht="409.6">
      <c r="A1244" s="3">
        <v>2730254</v>
      </c>
      <c r="B1244" s="3">
        <f>HYPERLINK("https://platform.v2.vetology.net/cases/2730254/screening-report/6?type=pdf&amp;v=v6&amp;scorecard=1&amp;secret_key=BX%25IJ%24%2F65ieZ%29f6", 2730254)</f>
        <v>2730254</v>
      </c>
      <c r="C1244" s="3">
        <f>HYPERLINK("https://platform.v2.vetology.net/report/v/final/"&amp;2730254, 2730254)</f>
        <v>2730254</v>
      </c>
      <c r="D1244" s="3" t="s">
        <v>4557</v>
      </c>
      <c r="E1244" s="3" t="s">
        <v>4558</v>
      </c>
      <c r="F1244" s="3" t="s">
        <v>4559</v>
      </c>
      <c r="G1244" s="3" t="s">
        <v>57</v>
      </c>
      <c r="H1244" s="3" t="s">
        <v>4560</v>
      </c>
      <c r="I1244" s="3" t="s">
        <v>678</v>
      </c>
      <c r="J1244" s="3" t="s">
        <v>679</v>
      </c>
      <c r="K1244" s="3" t="s">
        <v>28</v>
      </c>
      <c r="L1244" s="3" t="s">
        <v>27</v>
      </c>
      <c r="M1244" s="3" t="s">
        <v>28</v>
      </c>
      <c r="N1244" s="3" t="s">
        <v>27</v>
      </c>
      <c r="O1244" s="3" t="s">
        <v>27</v>
      </c>
      <c r="P1244" s="3" t="s">
        <v>28</v>
      </c>
      <c r="Q1244" s="3" t="s">
        <v>28</v>
      </c>
      <c r="R1244" s="3" t="s">
        <v>27</v>
      </c>
      <c r="S1244" s="3" t="s">
        <v>27</v>
      </c>
      <c r="T1244" s="3" t="s">
        <v>27</v>
      </c>
    </row>
    <row r="1245" spans="1:20" ht="336">
      <c r="A1245" s="3">
        <v>2730251</v>
      </c>
      <c r="B1245" s="3">
        <f>HYPERLINK("https://platform.v2.vetology.net/cases/2730251/screening-report/6?type=pdf&amp;v=v6&amp;scorecard=1&amp;secret_key=BX%25IJ%24%2F65ieZ%29f6", 2730251)</f>
        <v>2730251</v>
      </c>
      <c r="C1245" s="3">
        <f>HYPERLINK("https://platform.v2.vetology.net/report/v/final/"&amp;2730251, 2730251)</f>
        <v>2730251</v>
      </c>
      <c r="D1245" s="3" t="s">
        <v>4561</v>
      </c>
      <c r="E1245" s="3" t="s">
        <v>4562</v>
      </c>
      <c r="F1245" s="3" t="s">
        <v>4563</v>
      </c>
      <c r="G1245" s="3" t="s">
        <v>179</v>
      </c>
      <c r="H1245" s="3" t="s">
        <v>4564</v>
      </c>
      <c r="I1245" s="3" t="s">
        <v>1491</v>
      </c>
      <c r="J1245" s="3" t="s">
        <v>1492</v>
      </c>
      <c r="K1245" s="3" t="s">
        <v>27</v>
      </c>
      <c r="L1245" s="3" t="s">
        <v>27</v>
      </c>
      <c r="M1245" s="3" t="s">
        <v>28</v>
      </c>
      <c r="N1245" s="3" t="s">
        <v>27</v>
      </c>
      <c r="O1245" s="3" t="s">
        <v>27</v>
      </c>
      <c r="P1245" s="3" t="s">
        <v>28</v>
      </c>
      <c r="Q1245" s="3" t="s">
        <v>28</v>
      </c>
      <c r="R1245" s="3" t="s">
        <v>27</v>
      </c>
      <c r="S1245" s="3" t="s">
        <v>28</v>
      </c>
      <c r="T1245" s="3" t="s">
        <v>28</v>
      </c>
    </row>
    <row r="1246" spans="1:20" ht="409.6">
      <c r="A1246" s="3">
        <v>2730195</v>
      </c>
      <c r="B1246" s="3">
        <f>HYPERLINK("https://platform.v2.vetology.net/cases/2730195/screening-report/6?type=pdf&amp;v=v6&amp;scorecard=1&amp;secret_key=BX%25IJ%24%2F65ieZ%29f6", 2730195)</f>
        <v>2730195</v>
      </c>
      <c r="C1246" s="3">
        <f>HYPERLINK("https://platform.v2.vetology.net/report/v/final/"&amp;2730195, 2730195)</f>
        <v>2730195</v>
      </c>
      <c r="D1246" s="3" t="s">
        <v>4565</v>
      </c>
      <c r="E1246" s="3" t="s">
        <v>4566</v>
      </c>
      <c r="F1246" s="3" t="s">
        <v>4567</v>
      </c>
      <c r="G1246" s="3" t="s">
        <v>186</v>
      </c>
      <c r="H1246" s="3" t="s">
        <v>1351</v>
      </c>
      <c r="I1246" s="3" t="s">
        <v>1352</v>
      </c>
      <c r="J1246" s="3" t="s">
        <v>1353</v>
      </c>
      <c r="K1246" s="3" t="s">
        <v>28</v>
      </c>
      <c r="L1246" s="3" t="s">
        <v>27</v>
      </c>
      <c r="M1246" s="3" t="s">
        <v>28</v>
      </c>
      <c r="N1246" s="3" t="s">
        <v>27</v>
      </c>
      <c r="O1246" s="3" t="s">
        <v>27</v>
      </c>
      <c r="P1246" s="3" t="s">
        <v>28</v>
      </c>
      <c r="Q1246" s="3" t="s">
        <v>28</v>
      </c>
      <c r="R1246" s="3" t="s">
        <v>27</v>
      </c>
      <c r="S1246" s="3" t="s">
        <v>27</v>
      </c>
      <c r="T1246" s="3" t="s">
        <v>27</v>
      </c>
    </row>
    <row r="1247" spans="1:20" ht="366">
      <c r="A1247" s="3">
        <v>2730167</v>
      </c>
      <c r="B1247" s="3">
        <f>HYPERLINK("https://platform.v2.vetology.net/cases/2730167/screening-report/6?type=pdf&amp;v=v6&amp;scorecard=1&amp;secret_key=BX%25IJ%24%2F65ieZ%29f6", 2730167)</f>
        <v>2730167</v>
      </c>
      <c r="C1247" s="3">
        <f>HYPERLINK("https://platform.v2.vetology.net/report/v/final/"&amp;2730167, 2730167)</f>
        <v>2730167</v>
      </c>
      <c r="D1247" s="3" t="s">
        <v>4568</v>
      </c>
      <c r="E1247" s="3" t="s">
        <v>4569</v>
      </c>
      <c r="F1247" s="3"/>
      <c r="G1247" s="3" t="s">
        <v>100</v>
      </c>
      <c r="H1247" s="3" t="s">
        <v>4570</v>
      </c>
      <c r="I1247" s="3" t="s">
        <v>4571</v>
      </c>
      <c r="J1247" s="3" t="s">
        <v>4572</v>
      </c>
      <c r="K1247" s="3" t="s">
        <v>28</v>
      </c>
      <c r="L1247" s="3" t="s">
        <v>28</v>
      </c>
      <c r="M1247" s="3" t="s">
        <v>28</v>
      </c>
      <c r="N1247" s="3" t="s">
        <v>28</v>
      </c>
      <c r="O1247" s="3" t="s">
        <v>27</v>
      </c>
      <c r="P1247" s="3" t="s">
        <v>28</v>
      </c>
      <c r="Q1247" s="3" t="s">
        <v>27</v>
      </c>
      <c r="R1247" s="3" t="s">
        <v>28</v>
      </c>
      <c r="S1247" s="3" t="s">
        <v>28</v>
      </c>
      <c r="T1247" s="3" t="s">
        <v>28</v>
      </c>
    </row>
    <row r="1248" spans="1:20" ht="396.75">
      <c r="A1248" s="3">
        <v>2730153</v>
      </c>
      <c r="B1248" s="3">
        <f>HYPERLINK("https://platform.v2.vetology.net/cases/2730153/screening-report/6?type=pdf&amp;v=v6&amp;scorecard=1&amp;secret_key=BX%25IJ%24%2F65ieZ%29f6", 2730153)</f>
        <v>2730153</v>
      </c>
      <c r="C1248" s="3">
        <f>HYPERLINK("https://platform.v2.vetology.net/report/v/final/"&amp;2730153, 2730153)</f>
        <v>2730153</v>
      </c>
      <c r="D1248" s="3" t="s">
        <v>4573</v>
      </c>
      <c r="E1248" s="3" t="s">
        <v>4574</v>
      </c>
      <c r="F1248" s="3" t="s">
        <v>4575</v>
      </c>
      <c r="G1248" s="3" t="s">
        <v>186</v>
      </c>
      <c r="H1248" s="3" t="s">
        <v>4576</v>
      </c>
      <c r="I1248" s="3" t="s">
        <v>469</v>
      </c>
      <c r="J1248" s="3" t="s">
        <v>470</v>
      </c>
      <c r="K1248" s="3" t="s">
        <v>28</v>
      </c>
      <c r="L1248" s="3" t="s">
        <v>28</v>
      </c>
      <c r="M1248" s="3" t="s">
        <v>28</v>
      </c>
      <c r="N1248" s="3" t="s">
        <v>28</v>
      </c>
      <c r="O1248" s="3" t="s">
        <v>27</v>
      </c>
      <c r="P1248" s="3" t="s">
        <v>28</v>
      </c>
      <c r="Q1248" s="3" t="s">
        <v>28</v>
      </c>
      <c r="R1248" s="3" t="s">
        <v>28</v>
      </c>
      <c r="S1248" s="3" t="s">
        <v>28</v>
      </c>
      <c r="T1248" s="3" t="s">
        <v>28</v>
      </c>
    </row>
    <row r="1249" spans="1:20" ht="366">
      <c r="A1249" s="3">
        <v>2730143</v>
      </c>
      <c r="B1249" s="3">
        <f>HYPERLINK("https://platform.v2.vetology.net/cases/2730143/screening-report/6?type=pdf&amp;v=v6&amp;scorecard=1&amp;secret_key=BX%25IJ%24%2F65ieZ%29f6", 2730143)</f>
        <v>2730143</v>
      </c>
      <c r="C1249" s="3">
        <f>HYPERLINK("https://platform.v2.vetology.net/report/v/final/"&amp;2730143, 2730143)</f>
        <v>2730143</v>
      </c>
      <c r="D1249" s="3" t="s">
        <v>4577</v>
      </c>
      <c r="E1249" s="3" t="s">
        <v>4578</v>
      </c>
      <c r="F1249" s="3" t="s">
        <v>1377</v>
      </c>
      <c r="G1249" s="3" t="s">
        <v>186</v>
      </c>
      <c r="H1249" s="3" t="s">
        <v>4579</v>
      </c>
      <c r="I1249" s="3" t="s">
        <v>1210</v>
      </c>
      <c r="J1249" s="3" t="s">
        <v>207</v>
      </c>
      <c r="K1249" s="3" t="s">
        <v>28</v>
      </c>
      <c r="L1249" s="3" t="s">
        <v>27</v>
      </c>
      <c r="M1249" s="3" t="s">
        <v>28</v>
      </c>
      <c r="N1249" s="3" t="s">
        <v>27</v>
      </c>
      <c r="O1249" s="3" t="s">
        <v>27</v>
      </c>
      <c r="P1249" s="3" t="s">
        <v>28</v>
      </c>
      <c r="Q1249" s="3" t="s">
        <v>27</v>
      </c>
      <c r="R1249" s="3" t="s">
        <v>27</v>
      </c>
      <c r="S1249" s="3" t="s">
        <v>28</v>
      </c>
      <c r="T1249" s="3" t="s">
        <v>27</v>
      </c>
    </row>
    <row r="1250" spans="1:20" ht="381.75">
      <c r="A1250" s="3">
        <v>2730137</v>
      </c>
      <c r="B1250" s="3">
        <f>HYPERLINK("https://platform.v2.vetology.net/cases/2730137/screening-report/6?type=pdf&amp;v=v6&amp;scorecard=1&amp;secret_key=BX%25IJ%24%2F65ieZ%29f6", 2730137)</f>
        <v>2730137</v>
      </c>
      <c r="C1250" s="3">
        <f>HYPERLINK("https://platform.v2.vetology.net/report/v/final/"&amp;2730137, 2730137)</f>
        <v>2730137</v>
      </c>
      <c r="D1250" s="3" t="s">
        <v>4580</v>
      </c>
      <c r="E1250" s="3" t="s">
        <v>4581</v>
      </c>
      <c r="F1250" s="3" t="s">
        <v>4582</v>
      </c>
      <c r="G1250" s="3" t="s">
        <v>23</v>
      </c>
      <c r="H1250" s="3" t="s">
        <v>4583</v>
      </c>
      <c r="I1250" s="3" t="s">
        <v>793</v>
      </c>
      <c r="J1250" s="3" t="s">
        <v>794</v>
      </c>
      <c r="K1250" s="3" t="s">
        <v>28</v>
      </c>
      <c r="L1250" s="3" t="s">
        <v>28</v>
      </c>
      <c r="M1250" s="3" t="s">
        <v>28</v>
      </c>
      <c r="N1250" s="3" t="s">
        <v>28</v>
      </c>
      <c r="O1250" s="3" t="s">
        <v>28</v>
      </c>
      <c r="P1250" s="3" t="s">
        <v>28</v>
      </c>
      <c r="Q1250" s="3" t="s">
        <v>28</v>
      </c>
      <c r="R1250" s="3" t="s">
        <v>28</v>
      </c>
      <c r="S1250" s="3" t="s">
        <v>28</v>
      </c>
      <c r="T1250" s="3" t="s">
        <v>28</v>
      </c>
    </row>
    <row r="1251" spans="1:20" ht="409.6">
      <c r="A1251" s="3">
        <v>2730135</v>
      </c>
      <c r="B1251" s="3">
        <f>HYPERLINK("https://platform.v2.vetology.net/cases/2730135/screening-report/6?type=pdf&amp;v=v6&amp;scorecard=1&amp;secret_key=BX%25IJ%24%2F65ieZ%29f6", 2730135)</f>
        <v>2730135</v>
      </c>
      <c r="C1251" s="3">
        <f>HYPERLINK("https://platform.v2.vetology.net/report/v/final/"&amp;2730135, 2730135)</f>
        <v>2730135</v>
      </c>
      <c r="D1251" s="3" t="s">
        <v>4584</v>
      </c>
      <c r="E1251" s="3" t="s">
        <v>4585</v>
      </c>
      <c r="F1251" s="3" t="s">
        <v>22</v>
      </c>
      <c r="G1251" s="3" t="s">
        <v>23</v>
      </c>
      <c r="H1251" s="3" t="s">
        <v>31</v>
      </c>
      <c r="I1251" s="3" t="s">
        <v>32</v>
      </c>
      <c r="J1251" s="3" t="s">
        <v>33</v>
      </c>
      <c r="K1251" s="3" t="s">
        <v>28</v>
      </c>
      <c r="L1251" s="3" t="s">
        <v>28</v>
      </c>
      <c r="M1251" s="3" t="s">
        <v>28</v>
      </c>
      <c r="N1251" s="3" t="s">
        <v>28</v>
      </c>
      <c r="O1251" s="3" t="s">
        <v>28</v>
      </c>
      <c r="P1251" s="3" t="s">
        <v>28</v>
      </c>
      <c r="Q1251" s="3" t="s">
        <v>28</v>
      </c>
      <c r="R1251" s="3" t="s">
        <v>28</v>
      </c>
      <c r="S1251" s="3" t="s">
        <v>28</v>
      </c>
      <c r="T1251" s="3" t="s">
        <v>28</v>
      </c>
    </row>
    <row r="1252" spans="1:20" ht="183">
      <c r="A1252" s="3">
        <v>2730126</v>
      </c>
      <c r="B1252" s="3">
        <f>HYPERLINK("https://platform.v2.vetology.net/cases/2730126/screening-report/6?type=pdf&amp;v=v6&amp;scorecard=1&amp;secret_key=BX%25IJ%24%2F65ieZ%29f6", 2730126)</f>
        <v>2730126</v>
      </c>
      <c r="C1252" s="3">
        <f>HYPERLINK("https://platform.v2.vetology.net/report/v/final/"&amp;2730126, 2730126)</f>
        <v>2730126</v>
      </c>
      <c r="D1252" s="3" t="s">
        <v>4586</v>
      </c>
      <c r="E1252" s="3" t="s">
        <v>4587</v>
      </c>
      <c r="F1252" s="3" t="s">
        <v>4588</v>
      </c>
      <c r="G1252" s="3" t="s">
        <v>186</v>
      </c>
      <c r="H1252" s="3" t="s">
        <v>2331</v>
      </c>
      <c r="I1252" s="3" t="s">
        <v>305</v>
      </c>
      <c r="J1252" s="3" t="s">
        <v>799</v>
      </c>
      <c r="K1252" s="3" t="s">
        <v>28</v>
      </c>
      <c r="L1252" s="3" t="s">
        <v>28</v>
      </c>
      <c r="M1252" s="3" t="s">
        <v>28</v>
      </c>
      <c r="N1252" s="3" t="s">
        <v>28</v>
      </c>
      <c r="O1252" s="3" t="s">
        <v>27</v>
      </c>
      <c r="P1252" s="3" t="s">
        <v>28</v>
      </c>
      <c r="Q1252" s="3" t="s">
        <v>28</v>
      </c>
      <c r="R1252" s="3" t="s">
        <v>28</v>
      </c>
      <c r="S1252" s="3" t="s">
        <v>28</v>
      </c>
      <c r="T1252" s="3" t="s">
        <v>28</v>
      </c>
    </row>
    <row r="1253" spans="1:20" ht="409.6">
      <c r="A1253" s="3">
        <v>2730121</v>
      </c>
      <c r="B1253" s="3">
        <f>HYPERLINK("https://platform.v2.vetology.net/cases/2730121/screening-report/6?type=pdf&amp;v=v6&amp;scorecard=1&amp;secret_key=BX%25IJ%24%2F65ieZ%29f6", 2730121)</f>
        <v>2730121</v>
      </c>
      <c r="C1253" s="3">
        <f>HYPERLINK("https://platform.v2.vetology.net/report/v/final/"&amp;2730121, 2730121)</f>
        <v>2730121</v>
      </c>
      <c r="D1253" s="3" t="s">
        <v>4589</v>
      </c>
      <c r="E1253" s="3" t="s">
        <v>35</v>
      </c>
      <c r="F1253" s="3" t="s">
        <v>22</v>
      </c>
      <c r="G1253" s="3" t="s">
        <v>23</v>
      </c>
      <c r="H1253" s="3" t="s">
        <v>4590</v>
      </c>
      <c r="I1253" s="3" t="s">
        <v>4591</v>
      </c>
      <c r="J1253" s="3" t="s">
        <v>4592</v>
      </c>
      <c r="K1253" s="3" t="s">
        <v>28</v>
      </c>
      <c r="L1253" s="3" t="s">
        <v>28</v>
      </c>
      <c r="M1253" s="3" t="s">
        <v>28</v>
      </c>
      <c r="N1253" s="3" t="s">
        <v>28</v>
      </c>
      <c r="O1253" s="3" t="s">
        <v>28</v>
      </c>
      <c r="P1253" s="3" t="s">
        <v>28</v>
      </c>
      <c r="Q1253" s="3" t="s">
        <v>28</v>
      </c>
      <c r="R1253" s="3" t="s">
        <v>28</v>
      </c>
      <c r="S1253" s="3" t="s">
        <v>27</v>
      </c>
      <c r="T1253" s="3" t="s">
        <v>28</v>
      </c>
    </row>
    <row r="1254" spans="1:20" ht="351">
      <c r="A1254" s="3">
        <v>2729974</v>
      </c>
      <c r="B1254" s="3">
        <f>HYPERLINK("https://platform.v2.vetology.net/cases/2729974/screening-report/6?type=pdf&amp;v=v6&amp;scorecard=1&amp;secret_key=BX%25IJ%24%2F65ieZ%29f6", 2729974)</f>
        <v>2729974</v>
      </c>
      <c r="C1254" s="3">
        <f>HYPERLINK("https://platform.v2.vetology.net/report/v/final/"&amp;2729974, 2729974)</f>
        <v>2729974</v>
      </c>
      <c r="D1254" s="3" t="s">
        <v>4593</v>
      </c>
      <c r="E1254" s="3" t="s">
        <v>4594</v>
      </c>
      <c r="F1254" s="3" t="s">
        <v>22</v>
      </c>
      <c r="G1254" s="3" t="s">
        <v>23</v>
      </c>
      <c r="H1254" s="3" t="s">
        <v>519</v>
      </c>
      <c r="I1254" s="3" t="s">
        <v>1344</v>
      </c>
      <c r="J1254" s="3" t="s">
        <v>33</v>
      </c>
      <c r="K1254" s="3" t="s">
        <v>28</v>
      </c>
      <c r="L1254" s="3" t="s">
        <v>28</v>
      </c>
      <c r="M1254" s="3" t="s">
        <v>28</v>
      </c>
      <c r="N1254" s="3" t="s">
        <v>28</v>
      </c>
      <c r="O1254" s="3" t="s">
        <v>28</v>
      </c>
      <c r="P1254" s="3" t="s">
        <v>28</v>
      </c>
      <c r="Q1254" s="3" t="s">
        <v>27</v>
      </c>
      <c r="R1254" s="3" t="s">
        <v>28</v>
      </c>
      <c r="S1254" s="3" t="s">
        <v>28</v>
      </c>
      <c r="T1254" s="3" t="s">
        <v>28</v>
      </c>
    </row>
    <row r="1255" spans="1:20" ht="381.75">
      <c r="A1255" s="3">
        <v>2729953</v>
      </c>
      <c r="B1255" s="3">
        <f>HYPERLINK("https://platform.v2.vetology.net/cases/2729953/screening-report/6?type=pdf&amp;v=v6&amp;scorecard=1&amp;secret_key=BX%25IJ%24%2F65ieZ%29f6", 2729953)</f>
        <v>2729953</v>
      </c>
      <c r="C1255" s="3">
        <f>HYPERLINK("https://platform.v2.vetology.net/report/v/final/"&amp;2729953, 2729953)</f>
        <v>2729953</v>
      </c>
      <c r="D1255" s="3" t="s">
        <v>4595</v>
      </c>
      <c r="E1255" s="3" t="s">
        <v>4596</v>
      </c>
      <c r="F1255" s="3" t="s">
        <v>4597</v>
      </c>
      <c r="G1255" s="3" t="s">
        <v>179</v>
      </c>
      <c r="H1255" s="3" t="s">
        <v>851</v>
      </c>
      <c r="I1255" s="3" t="s">
        <v>32</v>
      </c>
      <c r="J1255" s="3" t="s">
        <v>33</v>
      </c>
      <c r="K1255" s="3" t="s">
        <v>28</v>
      </c>
      <c r="L1255" s="3" t="s">
        <v>28</v>
      </c>
      <c r="M1255" s="3" t="s">
        <v>28</v>
      </c>
      <c r="N1255" s="3" t="s">
        <v>28</v>
      </c>
      <c r="O1255" s="3" t="s">
        <v>28</v>
      </c>
      <c r="P1255" s="3" t="s">
        <v>28</v>
      </c>
      <c r="Q1255" s="3" t="s">
        <v>28</v>
      </c>
      <c r="R1255" s="3" t="s">
        <v>28</v>
      </c>
      <c r="S1255" s="3" t="s">
        <v>28</v>
      </c>
      <c r="T1255" s="3" t="s">
        <v>28</v>
      </c>
    </row>
    <row r="1256" spans="1:20" ht="409.6">
      <c r="A1256" s="3">
        <v>2729946</v>
      </c>
      <c r="B1256" s="3">
        <f>HYPERLINK("https://platform.v2.vetology.net/cases/2729946/screening-report/6?type=pdf&amp;v=v6&amp;scorecard=1&amp;secret_key=BX%25IJ%24%2F65ieZ%29f6", 2729946)</f>
        <v>2729946</v>
      </c>
      <c r="C1256" s="3">
        <f>HYPERLINK("https://platform.v2.vetology.net/report/v/final/"&amp;2729946, 2729946)</f>
        <v>2729946</v>
      </c>
      <c r="D1256" s="3" t="s">
        <v>4598</v>
      </c>
      <c r="E1256" s="3" t="s">
        <v>4599</v>
      </c>
      <c r="F1256" s="3" t="s">
        <v>4600</v>
      </c>
      <c r="G1256" s="3" t="s">
        <v>57</v>
      </c>
      <c r="H1256" s="3" t="s">
        <v>4601</v>
      </c>
      <c r="I1256" s="3" t="s">
        <v>4602</v>
      </c>
      <c r="J1256" s="3" t="s">
        <v>4603</v>
      </c>
      <c r="K1256" s="3" t="s">
        <v>27</v>
      </c>
      <c r="L1256" s="3" t="s">
        <v>28</v>
      </c>
      <c r="M1256" s="3" t="s">
        <v>27</v>
      </c>
      <c r="N1256" s="3" t="s">
        <v>28</v>
      </c>
      <c r="O1256" s="3" t="s">
        <v>27</v>
      </c>
      <c r="P1256" s="3" t="s">
        <v>28</v>
      </c>
      <c r="Q1256" s="3" t="s">
        <v>28</v>
      </c>
      <c r="R1256" s="3" t="s">
        <v>28</v>
      </c>
      <c r="S1256" s="3" t="s">
        <v>28</v>
      </c>
      <c r="T1256" s="3" t="s">
        <v>28</v>
      </c>
    </row>
    <row r="1257" spans="1:20" ht="366">
      <c r="A1257" s="3">
        <v>2729944</v>
      </c>
      <c r="B1257" s="3">
        <f>HYPERLINK("https://platform.v2.vetology.net/cases/2729944/screening-report/6?type=pdf&amp;v=v6&amp;scorecard=1&amp;secret_key=BX%25IJ%24%2F65ieZ%29f6", 2729944)</f>
        <v>2729944</v>
      </c>
      <c r="C1257" s="3">
        <f>HYPERLINK("https://platform.v2.vetology.net/report/v/final/"&amp;2729944, 2729944)</f>
        <v>2729944</v>
      </c>
      <c r="D1257" s="3" t="s">
        <v>4604</v>
      </c>
      <c r="E1257" s="3" t="s">
        <v>4605</v>
      </c>
      <c r="F1257" s="3" t="s">
        <v>22</v>
      </c>
      <c r="G1257" s="3" t="s">
        <v>23</v>
      </c>
      <c r="H1257" s="3" t="s">
        <v>338</v>
      </c>
      <c r="I1257" s="3" t="s">
        <v>339</v>
      </c>
      <c r="J1257" s="3" t="s">
        <v>4606</v>
      </c>
      <c r="K1257" s="3" t="s">
        <v>28</v>
      </c>
      <c r="L1257" s="3" t="s">
        <v>28</v>
      </c>
      <c r="M1257" s="3" t="s">
        <v>28</v>
      </c>
      <c r="N1257" s="3" t="s">
        <v>28</v>
      </c>
      <c r="O1257" s="3" t="s">
        <v>27</v>
      </c>
      <c r="P1257" s="3" t="s">
        <v>28</v>
      </c>
      <c r="Q1257" s="3" t="s">
        <v>28</v>
      </c>
      <c r="R1257" s="3" t="s">
        <v>28</v>
      </c>
      <c r="S1257" s="3" t="s">
        <v>27</v>
      </c>
      <c r="T1257" s="3" t="s">
        <v>28</v>
      </c>
    </row>
    <row r="1258" spans="1:20" ht="409.6">
      <c r="A1258" s="3">
        <v>2729862</v>
      </c>
      <c r="B1258" s="3">
        <f>HYPERLINK("https://platform.v2.vetology.net/cases/2729862/screening-report/6?type=pdf&amp;v=v6&amp;scorecard=1&amp;secret_key=BX%25IJ%24%2F65ieZ%29f6", 2729862)</f>
        <v>2729862</v>
      </c>
      <c r="C1258" s="3">
        <f>HYPERLINK("https://platform.v2.vetology.net/report/v/final/"&amp;2729862, 2729862)</f>
        <v>2729862</v>
      </c>
      <c r="D1258" s="3" t="s">
        <v>4607</v>
      </c>
      <c r="E1258" s="3" t="s">
        <v>4608</v>
      </c>
      <c r="F1258" s="3" t="s">
        <v>4609</v>
      </c>
      <c r="G1258" s="3" t="s">
        <v>64</v>
      </c>
      <c r="H1258" s="3" t="s">
        <v>1905</v>
      </c>
      <c r="I1258" s="3" t="s">
        <v>37</v>
      </c>
      <c r="J1258" s="3" t="s">
        <v>38</v>
      </c>
      <c r="K1258" s="3" t="s">
        <v>28</v>
      </c>
      <c r="L1258" s="3" t="s">
        <v>28</v>
      </c>
      <c r="M1258" s="3" t="s">
        <v>28</v>
      </c>
      <c r="N1258" s="3" t="s">
        <v>28</v>
      </c>
      <c r="O1258" s="3" t="s">
        <v>27</v>
      </c>
      <c r="P1258" s="3" t="s">
        <v>28</v>
      </c>
      <c r="Q1258" s="3" t="s">
        <v>28</v>
      </c>
      <c r="R1258" s="3" t="s">
        <v>28</v>
      </c>
      <c r="S1258" s="3" t="s">
        <v>28</v>
      </c>
      <c r="T1258" s="3" t="s">
        <v>28</v>
      </c>
    </row>
    <row r="1259" spans="1:20" ht="321">
      <c r="A1259" s="3">
        <v>2729845</v>
      </c>
      <c r="B1259" s="3">
        <f>HYPERLINK("https://platform.v2.vetology.net/cases/2729845/screening-report/6?type=pdf&amp;v=v6&amp;scorecard=1&amp;secret_key=BX%25IJ%24%2F65ieZ%29f6", 2729845)</f>
        <v>2729845</v>
      </c>
      <c r="C1259" s="3">
        <f>HYPERLINK("https://platform.v2.vetology.net/report/v/final/"&amp;2729845, 2729845)</f>
        <v>2729845</v>
      </c>
      <c r="D1259" s="3" t="s">
        <v>4610</v>
      </c>
      <c r="E1259" s="3" t="s">
        <v>4611</v>
      </c>
      <c r="F1259" s="3" t="s">
        <v>22</v>
      </c>
      <c r="G1259" s="3" t="s">
        <v>23</v>
      </c>
      <c r="H1259" s="3" t="s">
        <v>519</v>
      </c>
      <c r="I1259" s="3" t="s">
        <v>1344</v>
      </c>
      <c r="J1259" s="3" t="s">
        <v>33</v>
      </c>
      <c r="K1259" s="3" t="s">
        <v>28</v>
      </c>
      <c r="L1259" s="3" t="s">
        <v>28</v>
      </c>
      <c r="M1259" s="3" t="s">
        <v>28</v>
      </c>
      <c r="N1259" s="3" t="s">
        <v>28</v>
      </c>
      <c r="O1259" s="3" t="s">
        <v>27</v>
      </c>
      <c r="P1259" s="3" t="s">
        <v>28</v>
      </c>
      <c r="Q1259" s="3" t="s">
        <v>28</v>
      </c>
      <c r="R1259" s="3" t="s">
        <v>28</v>
      </c>
      <c r="S1259" s="3" t="s">
        <v>28</v>
      </c>
      <c r="T1259" s="3" t="s">
        <v>28</v>
      </c>
    </row>
    <row r="1260" spans="1:20" ht="409.6">
      <c r="A1260" s="3">
        <v>2729843</v>
      </c>
      <c r="B1260" s="3">
        <f>HYPERLINK("https://platform.v2.vetology.net/cases/2729843/screening-report/6?type=pdf&amp;v=v6&amp;scorecard=1&amp;secret_key=BX%25IJ%24%2F65ieZ%29f6", 2729843)</f>
        <v>2729843</v>
      </c>
      <c r="C1260" s="3">
        <f>HYPERLINK("https://platform.v2.vetology.net/report/v/final/"&amp;2729843, 2729843)</f>
        <v>2729843</v>
      </c>
      <c r="D1260" s="3" t="s">
        <v>4612</v>
      </c>
      <c r="E1260" s="3" t="s">
        <v>4613</v>
      </c>
      <c r="F1260" s="3" t="s">
        <v>4614</v>
      </c>
      <c r="G1260" s="3" t="s">
        <v>23</v>
      </c>
      <c r="H1260" s="3" t="s">
        <v>309</v>
      </c>
      <c r="I1260" s="3" t="s">
        <v>310</v>
      </c>
      <c r="J1260" s="3" t="s">
        <v>311</v>
      </c>
      <c r="K1260" s="3" t="s">
        <v>27</v>
      </c>
      <c r="L1260" s="3" t="s">
        <v>27</v>
      </c>
      <c r="M1260" s="3" t="s">
        <v>28</v>
      </c>
      <c r="N1260" s="3" t="s">
        <v>27</v>
      </c>
      <c r="O1260" s="3" t="s">
        <v>27</v>
      </c>
      <c r="P1260" s="3" t="s">
        <v>28</v>
      </c>
      <c r="Q1260" s="3" t="s">
        <v>27</v>
      </c>
      <c r="R1260" s="3" t="s">
        <v>27</v>
      </c>
      <c r="S1260" s="3" t="s">
        <v>27</v>
      </c>
      <c r="T1260" s="3" t="s">
        <v>27</v>
      </c>
    </row>
    <row r="1261" spans="1:20" ht="305.25">
      <c r="A1261" s="3">
        <v>2729827</v>
      </c>
      <c r="B1261" s="3">
        <f>HYPERLINK("https://platform.v2.vetology.net/cases/2729827/screening-report/6?type=pdf&amp;v=v6&amp;scorecard=1&amp;secret_key=BX%25IJ%24%2F65ieZ%29f6", 2729827)</f>
        <v>2729827</v>
      </c>
      <c r="C1261" s="3">
        <f>HYPERLINK("https://platform.v2.vetology.net/report/v/final/"&amp;2729827, 2729827)</f>
        <v>2729827</v>
      </c>
      <c r="D1261" s="3" t="s">
        <v>4615</v>
      </c>
      <c r="E1261" s="3" t="s">
        <v>4616</v>
      </c>
      <c r="F1261" s="3" t="s">
        <v>4617</v>
      </c>
      <c r="G1261" s="3" t="s">
        <v>100</v>
      </c>
      <c r="H1261" s="3" t="s">
        <v>1597</v>
      </c>
      <c r="I1261" s="3" t="s">
        <v>32</v>
      </c>
      <c r="J1261" s="3" t="s">
        <v>33</v>
      </c>
      <c r="K1261" s="3" t="s">
        <v>28</v>
      </c>
      <c r="L1261" s="3" t="s">
        <v>28</v>
      </c>
      <c r="M1261" s="3" t="s">
        <v>28</v>
      </c>
      <c r="N1261" s="3" t="s">
        <v>28</v>
      </c>
      <c r="O1261" s="3" t="s">
        <v>28</v>
      </c>
      <c r="P1261" s="3" t="s">
        <v>28</v>
      </c>
      <c r="Q1261" s="3" t="s">
        <v>28</v>
      </c>
      <c r="R1261" s="3" t="s">
        <v>28</v>
      </c>
      <c r="S1261" s="3" t="s">
        <v>28</v>
      </c>
      <c r="T1261" s="3" t="s">
        <v>28</v>
      </c>
    </row>
    <row r="1262" spans="1:20" ht="409.6">
      <c r="A1262" s="3">
        <v>2729814</v>
      </c>
      <c r="B1262" s="3">
        <f>HYPERLINK("https://platform.v2.vetology.net/cases/2729814/screening-report/6?type=pdf&amp;v=v6&amp;scorecard=1&amp;secret_key=BX%25IJ%24%2F65ieZ%29f6", 2729814)</f>
        <v>2729814</v>
      </c>
      <c r="C1262" s="3">
        <f>HYPERLINK("https://platform.v2.vetology.net/report/v/final/"&amp;2729814, 2729814)</f>
        <v>2729814</v>
      </c>
      <c r="D1262" s="3" t="s">
        <v>4618</v>
      </c>
      <c r="E1262" s="3" t="s">
        <v>4619</v>
      </c>
      <c r="F1262" s="3" t="s">
        <v>76</v>
      </c>
      <c r="G1262" s="3" t="s">
        <v>23</v>
      </c>
      <c r="H1262" s="3" t="s">
        <v>4620</v>
      </c>
      <c r="I1262" s="3" t="s">
        <v>2825</v>
      </c>
      <c r="J1262" s="3" t="s">
        <v>2826</v>
      </c>
      <c r="K1262" s="3" t="s">
        <v>27</v>
      </c>
      <c r="L1262" s="3" t="s">
        <v>28</v>
      </c>
      <c r="M1262" s="3" t="s">
        <v>27</v>
      </c>
      <c r="N1262" s="3" t="s">
        <v>28</v>
      </c>
      <c r="O1262" s="3" t="s">
        <v>27</v>
      </c>
      <c r="P1262" s="3" t="s">
        <v>28</v>
      </c>
      <c r="Q1262" s="3" t="s">
        <v>28</v>
      </c>
      <c r="R1262" s="3" t="s">
        <v>28</v>
      </c>
      <c r="S1262" s="3" t="s">
        <v>28</v>
      </c>
      <c r="T1262" s="3" t="s">
        <v>28</v>
      </c>
    </row>
    <row r="1263" spans="1:20" ht="305.25">
      <c r="A1263" s="3">
        <v>2729699</v>
      </c>
      <c r="B1263" s="3">
        <f>HYPERLINK("https://platform.v2.vetology.net/cases/2729699/screening-report/6?type=pdf&amp;v=v6&amp;scorecard=1&amp;secret_key=BX%25IJ%24%2F65ieZ%29f6", 2729699)</f>
        <v>2729699</v>
      </c>
      <c r="C1263" s="3">
        <f>HYPERLINK("https://platform.v2.vetology.net/report/v/final/"&amp;2729699, 2729699)</f>
        <v>2729699</v>
      </c>
      <c r="D1263" s="3" t="s">
        <v>4621</v>
      </c>
      <c r="E1263" s="3" t="s">
        <v>4622</v>
      </c>
      <c r="F1263" s="3" t="s">
        <v>4623</v>
      </c>
      <c r="G1263" s="3" t="s">
        <v>186</v>
      </c>
      <c r="H1263" s="3" t="s">
        <v>4184</v>
      </c>
      <c r="I1263" s="3" t="s">
        <v>136</v>
      </c>
      <c r="J1263" s="3" t="s">
        <v>137</v>
      </c>
      <c r="K1263" s="3" t="s">
        <v>28</v>
      </c>
      <c r="L1263" s="3" t="s">
        <v>28</v>
      </c>
      <c r="M1263" s="3" t="s">
        <v>28</v>
      </c>
      <c r="N1263" s="3" t="s">
        <v>27</v>
      </c>
      <c r="O1263" s="3" t="s">
        <v>27</v>
      </c>
      <c r="P1263" s="3" t="s">
        <v>28</v>
      </c>
      <c r="Q1263" s="3" t="s">
        <v>28</v>
      </c>
      <c r="R1263" s="3" t="s">
        <v>27</v>
      </c>
      <c r="S1263" s="3" t="s">
        <v>28</v>
      </c>
      <c r="T1263" s="3" t="s">
        <v>27</v>
      </c>
    </row>
    <row r="1264" spans="1:20" ht="366">
      <c r="A1264" s="3">
        <v>2729677</v>
      </c>
      <c r="B1264" s="3">
        <f>HYPERLINK("https://platform.v2.vetology.net/cases/2729677/screening-report/6?type=pdf&amp;v=v6&amp;scorecard=1&amp;secret_key=BX%25IJ%24%2F65ieZ%29f6", 2729677)</f>
        <v>2729677</v>
      </c>
      <c r="C1264" s="3">
        <f>HYPERLINK("https://platform.v2.vetology.net/report/v/final/"&amp;2729677, 2729677)</f>
        <v>2729677</v>
      </c>
      <c r="D1264" s="3" t="s">
        <v>4624</v>
      </c>
      <c r="E1264" s="3" t="s">
        <v>4625</v>
      </c>
      <c r="F1264" s="3" t="s">
        <v>4626</v>
      </c>
      <c r="G1264" s="3" t="s">
        <v>23</v>
      </c>
      <c r="H1264" s="3" t="s">
        <v>4627</v>
      </c>
      <c r="I1264" s="3" t="s">
        <v>961</v>
      </c>
      <c r="J1264" s="3" t="s">
        <v>962</v>
      </c>
      <c r="K1264" s="3" t="s">
        <v>27</v>
      </c>
      <c r="L1264" s="3" t="s">
        <v>28</v>
      </c>
      <c r="M1264" s="3" t="s">
        <v>27</v>
      </c>
      <c r="N1264" s="3" t="s">
        <v>28</v>
      </c>
      <c r="O1264" s="3" t="s">
        <v>27</v>
      </c>
      <c r="P1264" s="3" t="s">
        <v>27</v>
      </c>
      <c r="Q1264" s="3" t="s">
        <v>27</v>
      </c>
      <c r="R1264" s="3" t="s">
        <v>28</v>
      </c>
      <c r="S1264" s="3" t="s">
        <v>28</v>
      </c>
      <c r="T1264" s="3" t="s">
        <v>28</v>
      </c>
    </row>
    <row r="1265" spans="1:20" ht="396.75">
      <c r="A1265" s="3">
        <v>2729654</v>
      </c>
      <c r="B1265" s="3">
        <f>HYPERLINK("https://platform.v2.vetology.net/cases/2729654/screening-report/6?type=pdf&amp;v=v6&amp;scorecard=1&amp;secret_key=BX%25IJ%24%2F65ieZ%29f6", 2729654)</f>
        <v>2729654</v>
      </c>
      <c r="C1265" s="3">
        <f>HYPERLINK("https://platform.v2.vetology.net/report/v/final/"&amp;2729654, 2729654)</f>
        <v>2729654</v>
      </c>
      <c r="D1265" s="3" t="s">
        <v>4628</v>
      </c>
      <c r="E1265" s="3" t="s">
        <v>4629</v>
      </c>
      <c r="F1265" s="3" t="s">
        <v>22</v>
      </c>
      <c r="G1265" s="3" t="s">
        <v>23</v>
      </c>
      <c r="H1265" s="3" t="s">
        <v>1826</v>
      </c>
      <c r="I1265" s="3" t="s">
        <v>614</v>
      </c>
      <c r="J1265" s="3" t="s">
        <v>615</v>
      </c>
      <c r="K1265" s="3" t="s">
        <v>28</v>
      </c>
      <c r="L1265" s="3" t="s">
        <v>27</v>
      </c>
      <c r="M1265" s="3" t="s">
        <v>28</v>
      </c>
      <c r="N1265" s="3" t="s">
        <v>27</v>
      </c>
      <c r="O1265" s="3" t="s">
        <v>27</v>
      </c>
      <c r="P1265" s="3" t="s">
        <v>27</v>
      </c>
      <c r="Q1265" s="3" t="s">
        <v>28</v>
      </c>
      <c r="R1265" s="3" t="s">
        <v>27</v>
      </c>
      <c r="S1265" s="3" t="s">
        <v>27</v>
      </c>
      <c r="T1265" s="3" t="s">
        <v>27</v>
      </c>
    </row>
    <row r="1266" spans="1:20" ht="351">
      <c r="A1266" s="3">
        <v>2729653</v>
      </c>
      <c r="B1266" s="3">
        <f>HYPERLINK("https://platform.v2.vetology.net/cases/2729653/screening-report/6?type=pdf&amp;v=v6&amp;scorecard=1&amp;secret_key=BX%25IJ%24%2F65ieZ%29f6", 2729653)</f>
        <v>2729653</v>
      </c>
      <c r="C1266" s="3">
        <f>HYPERLINK("https://platform.v2.vetology.net/report/v/final/"&amp;2729653, 2729653)</f>
        <v>2729653</v>
      </c>
      <c r="D1266" s="3" t="s">
        <v>4630</v>
      </c>
      <c r="E1266" s="3" t="s">
        <v>4631</v>
      </c>
      <c r="F1266" s="3" t="s">
        <v>1154</v>
      </c>
      <c r="G1266" s="3" t="s">
        <v>23</v>
      </c>
      <c r="H1266" s="3" t="s">
        <v>4632</v>
      </c>
      <c r="I1266" s="3" t="s">
        <v>273</v>
      </c>
      <c r="J1266" s="3" t="s">
        <v>274</v>
      </c>
      <c r="K1266" s="3" t="s">
        <v>28</v>
      </c>
      <c r="L1266" s="3" t="s">
        <v>27</v>
      </c>
      <c r="M1266" s="3" t="s">
        <v>28</v>
      </c>
      <c r="N1266" s="3" t="s">
        <v>28</v>
      </c>
      <c r="O1266" s="3" t="s">
        <v>27</v>
      </c>
      <c r="P1266" s="3" t="s">
        <v>27</v>
      </c>
      <c r="Q1266" s="3" t="s">
        <v>28</v>
      </c>
      <c r="R1266" s="3" t="s">
        <v>27</v>
      </c>
      <c r="S1266" s="3" t="s">
        <v>28</v>
      </c>
      <c r="T1266" s="3" t="s">
        <v>27</v>
      </c>
    </row>
    <row r="1267" spans="1:20" ht="366">
      <c r="A1267" s="3">
        <v>2729633</v>
      </c>
      <c r="B1267" s="3">
        <f>HYPERLINK("https://platform.v2.vetology.net/cases/2729633/screening-report/6?type=pdf&amp;v=v6&amp;scorecard=1&amp;secret_key=BX%25IJ%24%2F65ieZ%29f6", 2729633)</f>
        <v>2729633</v>
      </c>
      <c r="C1267" s="3">
        <f>HYPERLINK("https://platform.v2.vetology.net/report/v/final/"&amp;2729633, 2729633)</f>
        <v>2729633</v>
      </c>
      <c r="D1267" s="3" t="s">
        <v>4633</v>
      </c>
      <c r="E1267" s="3" t="s">
        <v>4634</v>
      </c>
      <c r="F1267" s="3" t="s">
        <v>4635</v>
      </c>
      <c r="G1267" s="3" t="s">
        <v>186</v>
      </c>
      <c r="H1267" s="3" t="s">
        <v>1482</v>
      </c>
      <c r="I1267" s="3" t="s">
        <v>1483</v>
      </c>
      <c r="J1267" s="3" t="s">
        <v>207</v>
      </c>
      <c r="K1267" s="3" t="s">
        <v>28</v>
      </c>
      <c r="L1267" s="3" t="s">
        <v>28</v>
      </c>
      <c r="M1267" s="3" t="s">
        <v>28</v>
      </c>
      <c r="N1267" s="3" t="s">
        <v>28</v>
      </c>
      <c r="O1267" s="3" t="s">
        <v>27</v>
      </c>
      <c r="P1267" s="3" t="s">
        <v>28</v>
      </c>
      <c r="Q1267" s="3" t="s">
        <v>28</v>
      </c>
      <c r="R1267" s="3" t="s">
        <v>28</v>
      </c>
      <c r="S1267" s="3" t="s">
        <v>28</v>
      </c>
      <c r="T1267" s="3" t="s">
        <v>28</v>
      </c>
    </row>
    <row r="1268" spans="1:20" ht="381.75">
      <c r="A1268" s="3">
        <v>2729632</v>
      </c>
      <c r="B1268" s="3">
        <f>HYPERLINK("https://platform.v2.vetology.net/cases/2729632/screening-report/6?type=pdf&amp;v=v6&amp;scorecard=1&amp;secret_key=BX%25IJ%24%2F65ieZ%29f6", 2729632)</f>
        <v>2729632</v>
      </c>
      <c r="C1268" s="3">
        <f>HYPERLINK("https://platform.v2.vetology.net/report/v/final/"&amp;2729632, 2729632)</f>
        <v>2729632</v>
      </c>
      <c r="D1268" s="3" t="s">
        <v>4636</v>
      </c>
      <c r="E1268" s="3" t="s">
        <v>4637</v>
      </c>
      <c r="F1268" s="3" t="s">
        <v>4638</v>
      </c>
      <c r="G1268" s="3" t="s">
        <v>186</v>
      </c>
      <c r="H1268" s="3" t="s">
        <v>1478</v>
      </c>
      <c r="I1268" s="3" t="s">
        <v>279</v>
      </c>
      <c r="J1268" s="3" t="s">
        <v>280</v>
      </c>
      <c r="K1268" s="3" t="s">
        <v>28</v>
      </c>
      <c r="L1268" s="3" t="s">
        <v>28</v>
      </c>
      <c r="M1268" s="3" t="s">
        <v>28</v>
      </c>
      <c r="N1268" s="3" t="s">
        <v>28</v>
      </c>
      <c r="O1268" s="3" t="s">
        <v>28</v>
      </c>
      <c r="P1268" s="3" t="s">
        <v>28</v>
      </c>
      <c r="Q1268" s="3" t="s">
        <v>28</v>
      </c>
      <c r="R1268" s="3" t="s">
        <v>28</v>
      </c>
      <c r="S1268" s="3" t="s">
        <v>28</v>
      </c>
      <c r="T1268" s="3" t="s">
        <v>27</v>
      </c>
    </row>
    <row r="1269" spans="1:20" ht="366">
      <c r="A1269" s="3">
        <v>2729549</v>
      </c>
      <c r="B1269" s="3">
        <f>HYPERLINK("https://platform.v2.vetology.net/cases/2729549/screening-report/6?type=pdf&amp;v=v6&amp;scorecard=1&amp;secret_key=BX%25IJ%24%2F65ieZ%29f6", 2729549)</f>
        <v>2729549</v>
      </c>
      <c r="C1269" s="3">
        <f>HYPERLINK("https://platform.v2.vetology.net/report/v/final/"&amp;2729549, 2729549)</f>
        <v>2729549</v>
      </c>
      <c r="D1269" s="3" t="s">
        <v>4639</v>
      </c>
      <c r="E1269" s="3" t="s">
        <v>4640</v>
      </c>
      <c r="F1269" s="3" t="s">
        <v>4641</v>
      </c>
      <c r="G1269" s="3" t="s">
        <v>57</v>
      </c>
      <c r="H1269" s="3" t="s">
        <v>4642</v>
      </c>
      <c r="I1269" s="3" t="s">
        <v>2524</v>
      </c>
      <c r="J1269" s="3" t="s">
        <v>1374</v>
      </c>
      <c r="K1269" s="3" t="s">
        <v>27</v>
      </c>
      <c r="L1269" s="3" t="s">
        <v>27</v>
      </c>
      <c r="M1269" s="3" t="s">
        <v>27</v>
      </c>
      <c r="N1269" s="3" t="s">
        <v>27</v>
      </c>
      <c r="O1269" s="3" t="s">
        <v>27</v>
      </c>
      <c r="P1269" s="3" t="s">
        <v>28</v>
      </c>
      <c r="Q1269" s="3" t="s">
        <v>27</v>
      </c>
      <c r="R1269" s="3" t="s">
        <v>27</v>
      </c>
      <c r="S1269" s="3" t="s">
        <v>27</v>
      </c>
      <c r="T1269" s="3" t="s">
        <v>27</v>
      </c>
    </row>
    <row r="1270" spans="1:20" ht="290.25">
      <c r="A1270" s="3">
        <v>2729538</v>
      </c>
      <c r="B1270" s="3">
        <f>HYPERLINK("https://platform.v2.vetology.net/cases/2729538/screening-report/6?type=pdf&amp;v=v6&amp;scorecard=1&amp;secret_key=BX%25IJ%24%2F65ieZ%29f6", 2729538)</f>
        <v>2729538</v>
      </c>
      <c r="C1270" s="3">
        <f>HYPERLINK("https://platform.v2.vetology.net/report/v/final/"&amp;2729538, 2729538)</f>
        <v>2729538</v>
      </c>
      <c r="D1270" s="3" t="s">
        <v>4643</v>
      </c>
      <c r="E1270" s="3" t="s">
        <v>4644</v>
      </c>
      <c r="F1270" s="3" t="s">
        <v>4645</v>
      </c>
      <c r="G1270" s="3" t="s">
        <v>179</v>
      </c>
      <c r="H1270" s="3" t="s">
        <v>362</v>
      </c>
      <c r="I1270" s="3" t="s">
        <v>72</v>
      </c>
      <c r="J1270" s="3" t="s">
        <v>363</v>
      </c>
      <c r="K1270" s="3" t="s">
        <v>28</v>
      </c>
      <c r="L1270" s="3" t="s">
        <v>28</v>
      </c>
      <c r="M1270" s="3" t="s">
        <v>28</v>
      </c>
      <c r="N1270" s="3" t="s">
        <v>27</v>
      </c>
      <c r="O1270" s="3" t="s">
        <v>28</v>
      </c>
      <c r="P1270" s="3" t="s">
        <v>28</v>
      </c>
      <c r="Q1270" s="3" t="s">
        <v>28</v>
      </c>
      <c r="R1270" s="3" t="s">
        <v>28</v>
      </c>
      <c r="S1270" s="3" t="s">
        <v>28</v>
      </c>
      <c r="T1270" s="3" t="s">
        <v>27</v>
      </c>
    </row>
    <row r="1271" spans="1:20" ht="381.75">
      <c r="A1271" s="3">
        <v>2729498</v>
      </c>
      <c r="B1271" s="3">
        <f>HYPERLINK("https://platform.v2.vetology.net/cases/2729498/screening-report/6?type=pdf&amp;v=v6&amp;scorecard=1&amp;secret_key=BX%25IJ%24%2F65ieZ%29f6", 2729498)</f>
        <v>2729498</v>
      </c>
      <c r="C1271" s="3">
        <f>HYPERLINK("https://platform.v2.vetology.net/report/v/final/"&amp;2729498, 2729498)</f>
        <v>2729498</v>
      </c>
      <c r="D1271" s="3" t="s">
        <v>4646</v>
      </c>
      <c r="E1271" s="3" t="s">
        <v>4647</v>
      </c>
      <c r="F1271" s="3" t="s">
        <v>2881</v>
      </c>
      <c r="G1271" s="3" t="s">
        <v>57</v>
      </c>
      <c r="H1271" s="3" t="s">
        <v>2013</v>
      </c>
      <c r="I1271" s="3" t="s">
        <v>32</v>
      </c>
      <c r="J1271" s="3" t="s">
        <v>33</v>
      </c>
      <c r="K1271" s="3" t="s">
        <v>28</v>
      </c>
      <c r="L1271" s="3" t="s">
        <v>28</v>
      </c>
      <c r="M1271" s="3" t="s">
        <v>28</v>
      </c>
      <c r="N1271" s="3" t="s">
        <v>28</v>
      </c>
      <c r="O1271" s="3" t="s">
        <v>28</v>
      </c>
      <c r="P1271" s="3" t="s">
        <v>28</v>
      </c>
      <c r="Q1271" s="3" t="s">
        <v>28</v>
      </c>
      <c r="R1271" s="3" t="s">
        <v>28</v>
      </c>
      <c r="S1271" s="3" t="s">
        <v>28</v>
      </c>
      <c r="T1271" s="3" t="s">
        <v>28</v>
      </c>
    </row>
    <row r="1272" spans="1:20" ht="396.75">
      <c r="A1272" s="3">
        <v>2729462</v>
      </c>
      <c r="B1272" s="3">
        <f>HYPERLINK("https://platform.v2.vetology.net/cases/2729462/screening-report/6?type=pdf&amp;v=v6&amp;scorecard=1&amp;secret_key=BX%25IJ%24%2F65ieZ%29f6", 2729462)</f>
        <v>2729462</v>
      </c>
      <c r="C1272" s="3">
        <f>HYPERLINK("https://platform.v2.vetology.net/report/v/final/"&amp;2729462, 2729462)</f>
        <v>2729462</v>
      </c>
      <c r="D1272" s="3" t="s">
        <v>4648</v>
      </c>
      <c r="E1272" s="3" t="s">
        <v>4649</v>
      </c>
      <c r="F1272" s="3" t="s">
        <v>4650</v>
      </c>
      <c r="G1272" s="3" t="s">
        <v>57</v>
      </c>
      <c r="H1272" s="3" t="s">
        <v>350</v>
      </c>
      <c r="I1272" s="3" t="s">
        <v>351</v>
      </c>
      <c r="J1272" s="3" t="s">
        <v>352</v>
      </c>
      <c r="K1272" s="3" t="s">
        <v>28</v>
      </c>
      <c r="L1272" s="3" t="s">
        <v>28</v>
      </c>
      <c r="M1272" s="3" t="s">
        <v>28</v>
      </c>
      <c r="N1272" s="3" t="s">
        <v>28</v>
      </c>
      <c r="O1272" s="3" t="s">
        <v>27</v>
      </c>
      <c r="P1272" s="3" t="s">
        <v>28</v>
      </c>
      <c r="Q1272" s="3" t="s">
        <v>28</v>
      </c>
      <c r="R1272" s="3" t="s">
        <v>28</v>
      </c>
      <c r="S1272" s="3" t="s">
        <v>28</v>
      </c>
      <c r="T1272" s="3" t="s">
        <v>27</v>
      </c>
    </row>
    <row r="1273" spans="1:20" ht="321">
      <c r="A1273" s="3">
        <v>2729376</v>
      </c>
      <c r="B1273" s="3">
        <f>HYPERLINK("https://platform.v2.vetology.net/cases/2729376/screening-report/6?type=pdf&amp;v=v6&amp;scorecard=1&amp;secret_key=BX%25IJ%24%2F65ieZ%29f6", 2729376)</f>
        <v>2729376</v>
      </c>
      <c r="C1273" s="3">
        <f>HYPERLINK("https://platform.v2.vetology.net/report/v/final/"&amp;2729376, 2729376)</f>
        <v>2729376</v>
      </c>
      <c r="D1273" s="3" t="s">
        <v>4651</v>
      </c>
      <c r="E1273" s="3" t="s">
        <v>4652</v>
      </c>
      <c r="F1273" s="3" t="s">
        <v>4653</v>
      </c>
      <c r="G1273" s="3" t="s">
        <v>1772</v>
      </c>
      <c r="H1273" s="3" t="s">
        <v>1597</v>
      </c>
      <c r="I1273" s="3" t="s">
        <v>32</v>
      </c>
      <c r="J1273" s="3" t="s">
        <v>33</v>
      </c>
      <c r="K1273" s="3" t="s">
        <v>28</v>
      </c>
      <c r="L1273" s="3" t="s">
        <v>28</v>
      </c>
      <c r="M1273" s="3" t="s">
        <v>28</v>
      </c>
      <c r="N1273" s="3" t="s">
        <v>28</v>
      </c>
      <c r="O1273" s="3" t="s">
        <v>28</v>
      </c>
      <c r="P1273" s="3" t="s">
        <v>28</v>
      </c>
      <c r="Q1273" s="3" t="s">
        <v>28</v>
      </c>
      <c r="R1273" s="3" t="s">
        <v>28</v>
      </c>
      <c r="S1273" s="3" t="s">
        <v>28</v>
      </c>
      <c r="T1273" s="3" t="s">
        <v>28</v>
      </c>
    </row>
    <row r="1274" spans="1:20" ht="366">
      <c r="A1274" s="3">
        <v>2729347</v>
      </c>
      <c r="B1274" s="3">
        <f>HYPERLINK("https://platform.v2.vetology.net/cases/2729347/screening-report/6?type=pdf&amp;v=v6&amp;scorecard=1&amp;secret_key=BX%25IJ%24%2F65ieZ%29f6", 2729347)</f>
        <v>2729347</v>
      </c>
      <c r="C1274" s="3">
        <f>HYPERLINK("https://platform.v2.vetology.net/report/v/final/"&amp;2729347, 2729347)</f>
        <v>2729347</v>
      </c>
      <c r="D1274" s="3" t="s">
        <v>4654</v>
      </c>
      <c r="E1274" s="3" t="s">
        <v>4655</v>
      </c>
      <c r="F1274" s="3" t="s">
        <v>22</v>
      </c>
      <c r="G1274" s="3" t="s">
        <v>23</v>
      </c>
      <c r="H1274" s="3" t="s">
        <v>4656</v>
      </c>
      <c r="I1274" s="3" t="s">
        <v>883</v>
      </c>
      <c r="J1274" s="3" t="s">
        <v>884</v>
      </c>
      <c r="K1274" s="3" t="s">
        <v>27</v>
      </c>
      <c r="L1274" s="3" t="s">
        <v>28</v>
      </c>
      <c r="M1274" s="3" t="s">
        <v>28</v>
      </c>
      <c r="N1274" s="3" t="s">
        <v>28</v>
      </c>
      <c r="O1274" s="3" t="s">
        <v>28</v>
      </c>
      <c r="P1274" s="3" t="s">
        <v>28</v>
      </c>
      <c r="Q1274" s="3" t="s">
        <v>28</v>
      </c>
      <c r="R1274" s="3" t="s">
        <v>28</v>
      </c>
      <c r="S1274" s="3" t="s">
        <v>28</v>
      </c>
      <c r="T1274" s="3" t="s">
        <v>28</v>
      </c>
    </row>
    <row r="1275" spans="1:20" ht="366">
      <c r="A1275" s="3">
        <v>2729311</v>
      </c>
      <c r="B1275" s="3">
        <f>HYPERLINK("https://platform.v2.vetology.net/cases/2729311/screening-report/6?type=pdf&amp;v=v6&amp;scorecard=1&amp;secret_key=BX%25IJ%24%2F65ieZ%29f6", 2729311)</f>
        <v>2729311</v>
      </c>
      <c r="C1275" s="3">
        <f>HYPERLINK("https://platform.v2.vetology.net/report/v/final/"&amp;2729311, 2729311)</f>
        <v>2729311</v>
      </c>
      <c r="D1275" s="3" t="s">
        <v>4657</v>
      </c>
      <c r="E1275" s="3" t="s">
        <v>4658</v>
      </c>
      <c r="F1275" s="3" t="s">
        <v>4659</v>
      </c>
      <c r="G1275" s="3" t="s">
        <v>57</v>
      </c>
      <c r="H1275" s="3" t="s">
        <v>4660</v>
      </c>
      <c r="I1275" s="3" t="s">
        <v>993</v>
      </c>
      <c r="J1275" s="3" t="s">
        <v>994</v>
      </c>
      <c r="K1275" s="3" t="s">
        <v>28</v>
      </c>
      <c r="L1275" s="3" t="s">
        <v>28</v>
      </c>
      <c r="M1275" s="3" t="s">
        <v>28</v>
      </c>
      <c r="N1275" s="3" t="s">
        <v>28</v>
      </c>
      <c r="O1275" s="3" t="s">
        <v>28</v>
      </c>
      <c r="P1275" s="3" t="s">
        <v>28</v>
      </c>
      <c r="Q1275" s="3" t="s">
        <v>28</v>
      </c>
      <c r="R1275" s="3" t="s">
        <v>28</v>
      </c>
      <c r="S1275" s="3" t="s">
        <v>28</v>
      </c>
      <c r="T1275" s="3" t="s">
        <v>28</v>
      </c>
    </row>
    <row r="1276" spans="1:20" ht="409.6">
      <c r="A1276" s="3">
        <v>2729293</v>
      </c>
      <c r="B1276" s="3">
        <f>HYPERLINK("https://platform.v2.vetology.net/cases/2729293/screening-report/6?type=pdf&amp;v=v6&amp;scorecard=1&amp;secret_key=BX%25IJ%24%2F65ieZ%29f6", 2729293)</f>
        <v>2729293</v>
      </c>
      <c r="C1276" s="3">
        <f>HYPERLINK("https://platform.v2.vetology.net/report/v/final/"&amp;2729293, 2729293)</f>
        <v>2729293</v>
      </c>
      <c r="D1276" s="3" t="s">
        <v>4661</v>
      </c>
      <c r="E1276" s="3" t="s">
        <v>4662</v>
      </c>
      <c r="F1276" s="3" t="s">
        <v>99</v>
      </c>
      <c r="G1276" s="3" t="s">
        <v>100</v>
      </c>
      <c r="H1276" s="3" t="s">
        <v>4663</v>
      </c>
      <c r="I1276" s="3" t="s">
        <v>368</v>
      </c>
      <c r="J1276" s="3" t="s">
        <v>369</v>
      </c>
      <c r="K1276" s="3" t="s">
        <v>27</v>
      </c>
      <c r="L1276" s="3" t="s">
        <v>28</v>
      </c>
      <c r="M1276" s="3" t="s">
        <v>27</v>
      </c>
      <c r="N1276" s="3" t="s">
        <v>28</v>
      </c>
      <c r="O1276" s="3" t="s">
        <v>27</v>
      </c>
      <c r="P1276" s="3" t="s">
        <v>28</v>
      </c>
      <c r="Q1276" s="3" t="s">
        <v>27</v>
      </c>
      <c r="R1276" s="3" t="s">
        <v>28</v>
      </c>
      <c r="S1276" s="3" t="s">
        <v>28</v>
      </c>
      <c r="T1276" s="3" t="s">
        <v>28</v>
      </c>
    </row>
    <row r="1277" spans="1:20" ht="396.75">
      <c r="A1277" s="3">
        <v>2729277</v>
      </c>
      <c r="B1277" s="3">
        <f>HYPERLINK("https://platform.v2.vetology.net/cases/2729277/screening-report/6?type=pdf&amp;v=v6&amp;scorecard=1&amp;secret_key=BX%25IJ%24%2F65ieZ%29f6", 2729277)</f>
        <v>2729277</v>
      </c>
      <c r="C1277" s="3">
        <f>HYPERLINK("https://platform.v2.vetology.net/report/v/final/"&amp;2729277, 2729277)</f>
        <v>2729277</v>
      </c>
      <c r="D1277" s="3" t="s">
        <v>4664</v>
      </c>
      <c r="E1277" s="3" t="s">
        <v>4665</v>
      </c>
      <c r="F1277" s="3" t="s">
        <v>3964</v>
      </c>
      <c r="G1277" s="3" t="s">
        <v>186</v>
      </c>
      <c r="H1277" s="3" t="s">
        <v>595</v>
      </c>
      <c r="I1277" s="3" t="s">
        <v>596</v>
      </c>
      <c r="J1277" s="3" t="s">
        <v>597</v>
      </c>
      <c r="K1277" s="3" t="s">
        <v>28</v>
      </c>
      <c r="L1277" s="3" t="s">
        <v>27</v>
      </c>
      <c r="M1277" s="3" t="s">
        <v>28</v>
      </c>
      <c r="N1277" s="3" t="s">
        <v>27</v>
      </c>
      <c r="O1277" s="3" t="s">
        <v>27</v>
      </c>
      <c r="P1277" s="3" t="s">
        <v>28</v>
      </c>
      <c r="Q1277" s="3" t="s">
        <v>28</v>
      </c>
      <c r="R1277" s="3" t="s">
        <v>27</v>
      </c>
      <c r="S1277" s="3" t="s">
        <v>28</v>
      </c>
      <c r="T1277" s="3" t="s">
        <v>27</v>
      </c>
    </row>
    <row r="1278" spans="1:20" ht="244.5">
      <c r="A1278" s="3">
        <v>2729267</v>
      </c>
      <c r="B1278" s="3">
        <f>HYPERLINK("https://platform.v2.vetology.net/cases/2729267/screening-report/6?type=pdf&amp;v=v6&amp;scorecard=1&amp;secret_key=BX%25IJ%24%2F65ieZ%29f6", 2729267)</f>
        <v>2729267</v>
      </c>
      <c r="C1278" s="3">
        <f>HYPERLINK("https://platform.v2.vetology.net/report/v/final/"&amp;2729267, 2729267)</f>
        <v>2729267</v>
      </c>
      <c r="D1278" s="3" t="s">
        <v>4666</v>
      </c>
      <c r="E1278" s="3" t="s">
        <v>4667</v>
      </c>
      <c r="F1278" s="3" t="s">
        <v>277</v>
      </c>
      <c r="G1278" s="3" t="s">
        <v>186</v>
      </c>
      <c r="H1278" s="3" t="s">
        <v>4046</v>
      </c>
      <c r="I1278" s="3" t="s">
        <v>1497</v>
      </c>
      <c r="J1278" s="3" t="s">
        <v>207</v>
      </c>
      <c r="K1278" s="3" t="s">
        <v>28</v>
      </c>
      <c r="L1278" s="3" t="s">
        <v>28</v>
      </c>
      <c r="M1278" s="3" t="s">
        <v>28</v>
      </c>
      <c r="N1278" s="3" t="s">
        <v>28</v>
      </c>
      <c r="O1278" s="3" t="s">
        <v>27</v>
      </c>
      <c r="P1278" s="3" t="s">
        <v>27</v>
      </c>
      <c r="Q1278" s="3" t="s">
        <v>28</v>
      </c>
      <c r="R1278" s="3" t="s">
        <v>28</v>
      </c>
      <c r="S1278" s="3" t="s">
        <v>28</v>
      </c>
      <c r="T1278" s="3" t="s">
        <v>28</v>
      </c>
    </row>
    <row r="1279" spans="1:20" ht="366">
      <c r="A1279" s="3">
        <v>2729194</v>
      </c>
      <c r="B1279" s="3">
        <f>HYPERLINK("https://platform.v2.vetology.net/cases/2729194/screening-report/6?type=pdf&amp;v=v6&amp;scorecard=1&amp;secret_key=BX%25IJ%24%2F65ieZ%29f6", 2729194)</f>
        <v>2729194</v>
      </c>
      <c r="C1279" s="3">
        <f>HYPERLINK("https://platform.v2.vetology.net/report/v/final/"&amp;2729194, 2729194)</f>
        <v>2729194</v>
      </c>
      <c r="D1279" s="3" t="s">
        <v>4668</v>
      </c>
      <c r="E1279" s="3" t="s">
        <v>4669</v>
      </c>
      <c r="F1279" s="3" t="s">
        <v>3508</v>
      </c>
      <c r="G1279" s="3" t="s">
        <v>211</v>
      </c>
      <c r="H1279" s="3" t="s">
        <v>3625</v>
      </c>
      <c r="I1279" s="3" t="s">
        <v>4670</v>
      </c>
      <c r="J1279" s="3" t="s">
        <v>225</v>
      </c>
      <c r="K1279" s="3" t="s">
        <v>27</v>
      </c>
      <c r="L1279" s="3" t="s">
        <v>27</v>
      </c>
      <c r="M1279" s="3" t="s">
        <v>27</v>
      </c>
      <c r="N1279" s="3" t="s">
        <v>27</v>
      </c>
      <c r="O1279" s="3" t="s">
        <v>27</v>
      </c>
      <c r="P1279" s="3" t="s">
        <v>28</v>
      </c>
      <c r="Q1279" s="3" t="s">
        <v>28</v>
      </c>
      <c r="R1279" s="3" t="s">
        <v>27</v>
      </c>
      <c r="S1279" s="3" t="s">
        <v>27</v>
      </c>
      <c r="T1279" s="3" t="s">
        <v>27</v>
      </c>
    </row>
    <row r="1280" spans="1:20" ht="409.6">
      <c r="A1280" s="3">
        <v>2729180</v>
      </c>
      <c r="B1280" s="3">
        <f>HYPERLINK("https://platform.v2.vetology.net/cases/2729180/screening-report/6?type=pdf&amp;v=v6&amp;scorecard=1&amp;secret_key=BX%25IJ%24%2F65ieZ%29f6", 2729180)</f>
        <v>2729180</v>
      </c>
      <c r="C1280" s="3">
        <f>HYPERLINK("https://platform.v2.vetology.net/report/v/final/"&amp;2729180, 2729180)</f>
        <v>2729180</v>
      </c>
      <c r="D1280" s="3" t="s">
        <v>4671</v>
      </c>
      <c r="E1280" s="3" t="s">
        <v>4672</v>
      </c>
      <c r="F1280" s="3" t="s">
        <v>4673</v>
      </c>
      <c r="G1280" s="3" t="s">
        <v>57</v>
      </c>
      <c r="H1280" s="3" t="s">
        <v>4195</v>
      </c>
      <c r="I1280" s="3" t="s">
        <v>2771</v>
      </c>
      <c r="J1280" s="3" t="s">
        <v>2772</v>
      </c>
      <c r="K1280" s="3" t="s">
        <v>28</v>
      </c>
      <c r="L1280" s="3" t="s">
        <v>27</v>
      </c>
      <c r="M1280" s="3" t="s">
        <v>28</v>
      </c>
      <c r="N1280" s="3" t="s">
        <v>27</v>
      </c>
      <c r="O1280" s="3" t="s">
        <v>28</v>
      </c>
      <c r="P1280" s="3" t="s">
        <v>28</v>
      </c>
      <c r="Q1280" s="3" t="s">
        <v>28</v>
      </c>
      <c r="R1280" s="3" t="s">
        <v>27</v>
      </c>
      <c r="S1280" s="3" t="s">
        <v>27</v>
      </c>
      <c r="T1280" s="3" t="s">
        <v>27</v>
      </c>
    </row>
    <row r="1281" spans="1:20" ht="409.6">
      <c r="A1281" s="3">
        <v>2729109</v>
      </c>
      <c r="B1281" s="3">
        <f>HYPERLINK("https://platform.v2.vetology.net/cases/2729109/screening-report/6?type=pdf&amp;v=v6&amp;scorecard=1&amp;secret_key=BX%25IJ%24%2F65ieZ%29f6", 2729109)</f>
        <v>2729109</v>
      </c>
      <c r="C1281" s="3">
        <f>HYPERLINK("https://platform.v2.vetology.net/report/v/final/"&amp;2729109, 2729109)</f>
        <v>2729109</v>
      </c>
      <c r="D1281" s="3" t="s">
        <v>4674</v>
      </c>
      <c r="E1281" s="3" t="s">
        <v>4675</v>
      </c>
      <c r="F1281" s="3" t="s">
        <v>22</v>
      </c>
      <c r="G1281" s="3" t="s">
        <v>23</v>
      </c>
      <c r="H1281" s="3" t="s">
        <v>4676</v>
      </c>
      <c r="I1281" s="3" t="s">
        <v>1497</v>
      </c>
      <c r="J1281" s="3" t="s">
        <v>207</v>
      </c>
      <c r="K1281" s="3" t="s">
        <v>28</v>
      </c>
      <c r="L1281" s="3" t="s">
        <v>28</v>
      </c>
      <c r="M1281" s="3" t="s">
        <v>28</v>
      </c>
      <c r="N1281" s="3" t="s">
        <v>27</v>
      </c>
      <c r="O1281" s="3" t="s">
        <v>28</v>
      </c>
      <c r="P1281" s="3" t="s">
        <v>28</v>
      </c>
      <c r="Q1281" s="3" t="s">
        <v>28</v>
      </c>
      <c r="R1281" s="3" t="s">
        <v>27</v>
      </c>
      <c r="S1281" s="3" t="s">
        <v>27</v>
      </c>
      <c r="T1281" s="3" t="s">
        <v>27</v>
      </c>
    </row>
    <row r="1282" spans="1:20" ht="381.75">
      <c r="A1282" s="3">
        <v>2729039</v>
      </c>
      <c r="B1282" s="3">
        <f>HYPERLINK("https://platform.v2.vetology.net/cases/2729039/screening-report/6?type=pdf&amp;v=v6&amp;scorecard=1&amp;secret_key=BX%25IJ%24%2F65ieZ%29f6", 2729039)</f>
        <v>2729039</v>
      </c>
      <c r="C1282" s="3">
        <f>HYPERLINK("https://platform.v2.vetology.net/report/v/final/"&amp;2729039, 2729039)</f>
        <v>2729039</v>
      </c>
      <c r="D1282" s="3" t="s">
        <v>4677</v>
      </c>
      <c r="E1282" s="3" t="s">
        <v>4678</v>
      </c>
      <c r="F1282" s="3" t="s">
        <v>22</v>
      </c>
      <c r="G1282" s="3" t="s">
        <v>23</v>
      </c>
      <c r="H1282" s="3" t="s">
        <v>2760</v>
      </c>
      <c r="I1282" s="3" t="s">
        <v>37</v>
      </c>
      <c r="J1282" s="3" t="s">
        <v>38</v>
      </c>
      <c r="K1282" s="3" t="s">
        <v>28</v>
      </c>
      <c r="L1282" s="3" t="s">
        <v>28</v>
      </c>
      <c r="M1282" s="3" t="s">
        <v>28</v>
      </c>
      <c r="N1282" s="3" t="s">
        <v>28</v>
      </c>
      <c r="O1282" s="3" t="s">
        <v>27</v>
      </c>
      <c r="P1282" s="3" t="s">
        <v>28</v>
      </c>
      <c r="Q1282" s="3" t="s">
        <v>28</v>
      </c>
      <c r="R1282" s="3" t="s">
        <v>28</v>
      </c>
      <c r="S1282" s="3" t="s">
        <v>28</v>
      </c>
      <c r="T1282" s="3" t="s">
        <v>28</v>
      </c>
    </row>
    <row r="1283" spans="1:20" ht="409.6">
      <c r="A1283" s="3">
        <v>2728955</v>
      </c>
      <c r="B1283" s="3">
        <f>HYPERLINK("https://platform.v2.vetology.net/cases/2728955/screening-report/6?type=pdf&amp;v=v6&amp;scorecard=1&amp;secret_key=BX%25IJ%24%2F65ieZ%29f6", 2728955)</f>
        <v>2728955</v>
      </c>
      <c r="C1283" s="3">
        <f>HYPERLINK("https://platform.v2.vetology.net/report/v/final/"&amp;2728955, 2728955)</f>
        <v>2728955</v>
      </c>
      <c r="D1283" s="3" t="s">
        <v>4679</v>
      </c>
      <c r="E1283" s="3" t="s">
        <v>4680</v>
      </c>
      <c r="F1283" s="3" t="s">
        <v>4681</v>
      </c>
      <c r="G1283" s="3" t="s">
        <v>179</v>
      </c>
      <c r="H1283" s="3" t="s">
        <v>4682</v>
      </c>
      <c r="I1283" s="3" t="s">
        <v>250</v>
      </c>
      <c r="J1283" s="3" t="s">
        <v>251</v>
      </c>
      <c r="K1283" s="3" t="s">
        <v>28</v>
      </c>
      <c r="L1283" s="3" t="s">
        <v>28</v>
      </c>
      <c r="M1283" s="3" t="s">
        <v>28</v>
      </c>
      <c r="N1283" s="3" t="s">
        <v>28</v>
      </c>
      <c r="O1283" s="3" t="s">
        <v>27</v>
      </c>
      <c r="P1283" s="3" t="s">
        <v>27</v>
      </c>
      <c r="Q1283" s="3" t="s">
        <v>28</v>
      </c>
      <c r="R1283" s="3" t="s">
        <v>28</v>
      </c>
      <c r="S1283" s="3" t="s">
        <v>28</v>
      </c>
      <c r="T1283" s="3" t="s">
        <v>28</v>
      </c>
    </row>
    <row r="1284" spans="1:20" ht="409.6">
      <c r="A1284" s="3">
        <v>2728944</v>
      </c>
      <c r="B1284" s="3">
        <f>HYPERLINK("https://platform.v2.vetology.net/cases/2728944/screening-report/6?type=pdf&amp;v=v6&amp;scorecard=1&amp;secret_key=BX%25IJ%24%2F65ieZ%29f6", 2728944)</f>
        <v>2728944</v>
      </c>
      <c r="C1284" s="3">
        <f>HYPERLINK("https://platform.v2.vetology.net/report/v/final/"&amp;2728944, 2728944)</f>
        <v>2728944</v>
      </c>
      <c r="D1284" s="3" t="s">
        <v>4683</v>
      </c>
      <c r="E1284" s="3" t="s">
        <v>4684</v>
      </c>
      <c r="F1284" s="3" t="s">
        <v>22</v>
      </c>
      <c r="G1284" s="3" t="s">
        <v>100</v>
      </c>
      <c r="H1284" s="3" t="s">
        <v>1046</v>
      </c>
      <c r="I1284" s="3" t="s">
        <v>59</v>
      </c>
      <c r="J1284" s="3" t="s">
        <v>60</v>
      </c>
      <c r="K1284" s="3" t="s">
        <v>27</v>
      </c>
      <c r="L1284" s="3" t="s">
        <v>28</v>
      </c>
      <c r="M1284" s="3" t="s">
        <v>28</v>
      </c>
      <c r="N1284" s="3" t="s">
        <v>28</v>
      </c>
      <c r="O1284" s="3" t="s">
        <v>27</v>
      </c>
      <c r="P1284" s="3" t="s">
        <v>28</v>
      </c>
      <c r="Q1284" s="3" t="s">
        <v>28</v>
      </c>
      <c r="R1284" s="3" t="s">
        <v>28</v>
      </c>
      <c r="S1284" s="3" t="s">
        <v>28</v>
      </c>
      <c r="T1284" s="3" t="s">
        <v>27</v>
      </c>
    </row>
    <row r="1285" spans="1:20" ht="409.6">
      <c r="A1285" s="3">
        <v>2728917</v>
      </c>
      <c r="B1285" s="3">
        <f>HYPERLINK("https://platform.v2.vetology.net/cases/2728917/screening-report/6?type=pdf&amp;v=v6&amp;scorecard=1&amp;secret_key=BX%25IJ%24%2F65ieZ%29f6", 2728917)</f>
        <v>2728917</v>
      </c>
      <c r="C1285" s="3">
        <f>HYPERLINK("https://platform.v2.vetology.net/report/v/final/"&amp;2728917, 2728917)</f>
        <v>2728917</v>
      </c>
      <c r="D1285" s="3" t="s">
        <v>4685</v>
      </c>
      <c r="E1285" s="3" t="s">
        <v>4686</v>
      </c>
      <c r="F1285" s="3" t="s">
        <v>4687</v>
      </c>
      <c r="G1285" s="3" t="s">
        <v>566</v>
      </c>
      <c r="H1285" s="3" t="s">
        <v>4688</v>
      </c>
      <c r="I1285" s="3" t="s">
        <v>1070</v>
      </c>
      <c r="J1285" s="3" t="s">
        <v>207</v>
      </c>
      <c r="K1285" s="3" t="s">
        <v>28</v>
      </c>
      <c r="L1285" s="3" t="s">
        <v>28</v>
      </c>
      <c r="M1285" s="3" t="s">
        <v>28</v>
      </c>
      <c r="N1285" s="3" t="s">
        <v>28</v>
      </c>
      <c r="O1285" s="3" t="s">
        <v>27</v>
      </c>
      <c r="P1285" s="3" t="s">
        <v>28</v>
      </c>
      <c r="Q1285" s="3" t="s">
        <v>28</v>
      </c>
      <c r="R1285" s="3" t="s">
        <v>28</v>
      </c>
      <c r="S1285" s="3" t="s">
        <v>28</v>
      </c>
      <c r="T1285" s="3" t="s">
        <v>28</v>
      </c>
    </row>
    <row r="1286" spans="1:20" ht="366">
      <c r="A1286" s="3">
        <v>2728885</v>
      </c>
      <c r="B1286" s="3">
        <f>HYPERLINK("https://platform.v2.vetology.net/cases/2728885/screening-report/6?type=pdf&amp;v=v6&amp;scorecard=1&amp;secret_key=BX%25IJ%24%2F65ieZ%29f6", 2728885)</f>
        <v>2728885</v>
      </c>
      <c r="C1286" s="3">
        <f>HYPERLINK("https://platform.v2.vetology.net/report/v/final/"&amp;2728885, 2728885)</f>
        <v>2728885</v>
      </c>
      <c r="D1286" s="3" t="s">
        <v>4689</v>
      </c>
      <c r="E1286" s="3" t="s">
        <v>4690</v>
      </c>
      <c r="F1286" s="3" t="s">
        <v>22</v>
      </c>
      <c r="G1286" s="3" t="s">
        <v>23</v>
      </c>
      <c r="H1286" s="3" t="s">
        <v>4691</v>
      </c>
      <c r="I1286" s="3" t="s">
        <v>1483</v>
      </c>
      <c r="J1286" s="3" t="s">
        <v>207</v>
      </c>
      <c r="K1286" s="3" t="s">
        <v>28</v>
      </c>
      <c r="L1286" s="3" t="s">
        <v>28</v>
      </c>
      <c r="M1286" s="3" t="s">
        <v>28</v>
      </c>
      <c r="N1286" s="3" t="s">
        <v>28</v>
      </c>
      <c r="O1286" s="3" t="s">
        <v>27</v>
      </c>
      <c r="P1286" s="3" t="s">
        <v>28</v>
      </c>
      <c r="Q1286" s="3" t="s">
        <v>28</v>
      </c>
      <c r="R1286" s="3" t="s">
        <v>28</v>
      </c>
      <c r="S1286" s="3" t="s">
        <v>28</v>
      </c>
      <c r="T1286" s="3" t="s">
        <v>27</v>
      </c>
    </row>
    <row r="1287" spans="1:20" ht="259.5">
      <c r="A1287" s="3">
        <v>2728866</v>
      </c>
      <c r="B1287" s="3">
        <f>HYPERLINK("https://platform.v2.vetology.net/cases/2728866/screening-report/6?type=pdf&amp;v=v6&amp;scorecard=1&amp;secret_key=BX%25IJ%24%2F65ieZ%29f6", 2728866)</f>
        <v>2728866</v>
      </c>
      <c r="C1287" s="3">
        <f>HYPERLINK("https://platform.v2.vetology.net/report/v/final/"&amp;2728866, 2728866)</f>
        <v>2728866</v>
      </c>
      <c r="D1287" s="3" t="s">
        <v>4692</v>
      </c>
      <c r="E1287" s="3" t="s">
        <v>4693</v>
      </c>
      <c r="F1287" s="3" t="s">
        <v>4694</v>
      </c>
      <c r="G1287" s="3" t="s">
        <v>179</v>
      </c>
      <c r="H1287" s="3" t="s">
        <v>31</v>
      </c>
      <c r="I1287" s="3" t="s">
        <v>2041</v>
      </c>
      <c r="J1287" s="3" t="s">
        <v>297</v>
      </c>
      <c r="K1287" s="3" t="s">
        <v>27</v>
      </c>
      <c r="L1287" s="3" t="s">
        <v>28</v>
      </c>
      <c r="M1287" s="3" t="s">
        <v>28</v>
      </c>
      <c r="N1287" s="3" t="s">
        <v>28</v>
      </c>
      <c r="O1287" s="3" t="s">
        <v>27</v>
      </c>
      <c r="P1287" s="3" t="s">
        <v>28</v>
      </c>
      <c r="Q1287" s="3" t="s">
        <v>28</v>
      </c>
      <c r="R1287" s="3" t="s">
        <v>28</v>
      </c>
      <c r="S1287" s="3" t="s">
        <v>28</v>
      </c>
      <c r="T1287" s="3" t="s">
        <v>28</v>
      </c>
    </row>
    <row r="1288" spans="1:20" ht="381.75">
      <c r="A1288" s="3">
        <v>2728813</v>
      </c>
      <c r="B1288" s="3">
        <f>HYPERLINK("https://platform.v2.vetology.net/cases/2728813/screening-report/6?type=pdf&amp;v=v6&amp;scorecard=1&amp;secret_key=BX%25IJ%24%2F65ieZ%29f6", 2728813)</f>
        <v>2728813</v>
      </c>
      <c r="C1288" s="3">
        <f>HYPERLINK("https://platform.v2.vetology.net/report/v/final/"&amp;2728813, 2728813)</f>
        <v>2728813</v>
      </c>
      <c r="D1288" s="3" t="s">
        <v>4695</v>
      </c>
      <c r="E1288" s="3" t="s">
        <v>1230</v>
      </c>
      <c r="F1288" s="3" t="s">
        <v>1049</v>
      </c>
      <c r="G1288" s="3" t="s">
        <v>100</v>
      </c>
      <c r="H1288" s="3" t="s">
        <v>1905</v>
      </c>
      <c r="I1288" s="3" t="s">
        <v>37</v>
      </c>
      <c r="J1288" s="3" t="s">
        <v>38</v>
      </c>
      <c r="K1288" s="3" t="s">
        <v>27</v>
      </c>
      <c r="L1288" s="3" t="s">
        <v>28</v>
      </c>
      <c r="M1288" s="3" t="s">
        <v>27</v>
      </c>
      <c r="N1288" s="3" t="s">
        <v>28</v>
      </c>
      <c r="O1288" s="3" t="s">
        <v>27</v>
      </c>
      <c r="P1288" s="3" t="s">
        <v>28</v>
      </c>
      <c r="Q1288" s="3" t="s">
        <v>28</v>
      </c>
      <c r="R1288" s="3" t="s">
        <v>28</v>
      </c>
      <c r="S1288" s="3" t="s">
        <v>28</v>
      </c>
      <c r="T1288" s="3" t="s">
        <v>28</v>
      </c>
    </row>
    <row r="1289" spans="1:20" ht="244.5">
      <c r="A1289" s="3">
        <v>2728786</v>
      </c>
      <c r="B1289" s="3">
        <f>HYPERLINK("https://platform.v2.vetology.net/cases/2728786/screening-report/6?type=pdf&amp;v=v6&amp;scorecard=1&amp;secret_key=BX%25IJ%24%2F65ieZ%29f6", 2728786)</f>
        <v>2728786</v>
      </c>
      <c r="C1289" s="3">
        <f>HYPERLINK("https://platform.v2.vetology.net/report/v/final/"&amp;2728786, 2728786)</f>
        <v>2728786</v>
      </c>
      <c r="D1289" s="3" t="s">
        <v>4696</v>
      </c>
      <c r="E1289" s="3" t="s">
        <v>4697</v>
      </c>
      <c r="F1289" s="3"/>
      <c r="G1289" s="3" t="s">
        <v>122</v>
      </c>
      <c r="H1289" s="3" t="s">
        <v>4698</v>
      </c>
      <c r="I1289" s="3" t="s">
        <v>4699</v>
      </c>
      <c r="J1289" s="3" t="s">
        <v>4700</v>
      </c>
      <c r="K1289" s="3" t="s">
        <v>27</v>
      </c>
      <c r="L1289" s="3" t="s">
        <v>27</v>
      </c>
      <c r="M1289" s="3" t="s">
        <v>27</v>
      </c>
      <c r="N1289" s="3" t="s">
        <v>28</v>
      </c>
      <c r="O1289" s="3" t="s">
        <v>27</v>
      </c>
      <c r="P1289" s="3" t="s">
        <v>27</v>
      </c>
      <c r="Q1289" s="3" t="s">
        <v>27</v>
      </c>
      <c r="R1289" s="3" t="s">
        <v>28</v>
      </c>
      <c r="S1289" s="3" t="s">
        <v>28</v>
      </c>
      <c r="T1289" s="3" t="s">
        <v>27</v>
      </c>
    </row>
    <row r="1290" spans="1:20" ht="381.75">
      <c r="A1290" s="3">
        <v>2728710</v>
      </c>
      <c r="B1290" s="3">
        <f>HYPERLINK("https://platform.v2.vetology.net/cases/2728710/screening-report/6?type=pdf&amp;v=v6&amp;scorecard=1&amp;secret_key=BX%25IJ%24%2F65ieZ%29f6", 2728710)</f>
        <v>2728710</v>
      </c>
      <c r="C1290" s="3">
        <f>HYPERLINK("https://platform.v2.vetology.net/report/v/final/"&amp;2728710, 2728710)</f>
        <v>2728710</v>
      </c>
      <c r="D1290" s="3" t="s">
        <v>4701</v>
      </c>
      <c r="E1290" s="3" t="s">
        <v>4702</v>
      </c>
      <c r="F1290" s="3" t="s">
        <v>4703</v>
      </c>
      <c r="G1290" s="3" t="s">
        <v>186</v>
      </c>
      <c r="H1290" s="3" t="s">
        <v>855</v>
      </c>
      <c r="I1290" s="3" t="s">
        <v>856</v>
      </c>
      <c r="J1290" s="3" t="s">
        <v>857</v>
      </c>
      <c r="K1290" s="3" t="s">
        <v>27</v>
      </c>
      <c r="L1290" s="3" t="s">
        <v>28</v>
      </c>
      <c r="M1290" s="3" t="s">
        <v>28</v>
      </c>
      <c r="N1290" s="3" t="s">
        <v>28</v>
      </c>
      <c r="O1290" s="3" t="s">
        <v>27</v>
      </c>
      <c r="P1290" s="3" t="s">
        <v>28</v>
      </c>
      <c r="Q1290" s="3" t="s">
        <v>28</v>
      </c>
      <c r="R1290" s="3" t="s">
        <v>28</v>
      </c>
      <c r="S1290" s="3" t="s">
        <v>28</v>
      </c>
      <c r="T1290" s="3" t="s">
        <v>28</v>
      </c>
    </row>
    <row r="1291" spans="1:20" ht="409.6">
      <c r="A1291" s="3">
        <v>2728705</v>
      </c>
      <c r="B1291" s="3">
        <f>HYPERLINK("https://platform.v2.vetology.net/cases/2728705/screening-report/6?type=pdf&amp;v=v6&amp;scorecard=1&amp;secret_key=BX%25IJ%24%2F65ieZ%29f6", 2728705)</f>
        <v>2728705</v>
      </c>
      <c r="C1291" s="3">
        <f>HYPERLINK("https://platform.v2.vetology.net/report/v/final/"&amp;2728705, 2728705)</f>
        <v>2728705</v>
      </c>
      <c r="D1291" s="3" t="s">
        <v>4704</v>
      </c>
      <c r="E1291" s="3" t="s">
        <v>4705</v>
      </c>
      <c r="F1291" s="3"/>
      <c r="G1291" s="3" t="s">
        <v>122</v>
      </c>
      <c r="H1291" s="3" t="s">
        <v>1056</v>
      </c>
      <c r="I1291" s="3" t="s">
        <v>1057</v>
      </c>
      <c r="J1291" s="3" t="s">
        <v>1058</v>
      </c>
      <c r="K1291" s="3" t="s">
        <v>28</v>
      </c>
      <c r="L1291" s="3" t="s">
        <v>28</v>
      </c>
      <c r="M1291" s="3" t="s">
        <v>28</v>
      </c>
      <c r="N1291" s="3" t="s">
        <v>28</v>
      </c>
      <c r="O1291" s="3" t="s">
        <v>27</v>
      </c>
      <c r="P1291" s="3" t="s">
        <v>28</v>
      </c>
      <c r="Q1291" s="3" t="s">
        <v>28</v>
      </c>
      <c r="R1291" s="3" t="s">
        <v>28</v>
      </c>
      <c r="S1291" s="3" t="s">
        <v>28</v>
      </c>
      <c r="T1291" s="3" t="s">
        <v>27</v>
      </c>
    </row>
    <row r="1292" spans="1:20" ht="305.25">
      <c r="A1292" s="3">
        <v>2728689</v>
      </c>
      <c r="B1292" s="3">
        <f>HYPERLINK("https://platform.v2.vetology.net/cases/2728689/screening-report/6?type=pdf&amp;v=v6&amp;scorecard=1&amp;secret_key=BX%25IJ%24%2F65ieZ%29f6", 2728689)</f>
        <v>2728689</v>
      </c>
      <c r="C1292" s="3">
        <f>HYPERLINK("https://platform.v2.vetology.net/report/v/final/"&amp;2728689, 2728689)</f>
        <v>2728689</v>
      </c>
      <c r="D1292" s="3" t="s">
        <v>4706</v>
      </c>
      <c r="E1292" s="3" t="s">
        <v>4707</v>
      </c>
      <c r="F1292" s="3" t="s">
        <v>1668</v>
      </c>
      <c r="G1292" s="3" t="s">
        <v>122</v>
      </c>
      <c r="H1292" s="3" t="s">
        <v>4708</v>
      </c>
      <c r="I1292" s="3" t="s">
        <v>4709</v>
      </c>
      <c r="J1292" s="3" t="s">
        <v>207</v>
      </c>
      <c r="K1292" s="3" t="s">
        <v>28</v>
      </c>
      <c r="L1292" s="3" t="s">
        <v>28</v>
      </c>
      <c r="M1292" s="3" t="s">
        <v>28</v>
      </c>
      <c r="N1292" s="3" t="s">
        <v>28</v>
      </c>
      <c r="O1292" s="3" t="s">
        <v>27</v>
      </c>
      <c r="P1292" s="3" t="s">
        <v>28</v>
      </c>
      <c r="Q1292" s="3" t="s">
        <v>28</v>
      </c>
      <c r="R1292" s="3" t="s">
        <v>28</v>
      </c>
      <c r="S1292" s="3" t="s">
        <v>28</v>
      </c>
      <c r="T1292" s="3" t="s">
        <v>28</v>
      </c>
    </row>
    <row r="1293" spans="1:20" ht="409.6">
      <c r="A1293" s="3">
        <v>2728681</v>
      </c>
      <c r="B1293" s="3">
        <f>HYPERLINK("https://platform.v2.vetology.net/cases/2728681/screening-report/6?type=pdf&amp;v=v6&amp;scorecard=1&amp;secret_key=BX%25IJ%24%2F65ieZ%29f6", 2728681)</f>
        <v>2728681</v>
      </c>
      <c r="C1293" s="3">
        <f>HYPERLINK("https://platform.v2.vetology.net/report/v/final/"&amp;2728681, 2728681)</f>
        <v>2728681</v>
      </c>
      <c r="D1293" s="3" t="s">
        <v>4710</v>
      </c>
      <c r="E1293" s="3" t="s">
        <v>4711</v>
      </c>
      <c r="F1293" s="3" t="s">
        <v>4712</v>
      </c>
      <c r="G1293" s="3" t="s">
        <v>57</v>
      </c>
      <c r="H1293" s="3" t="s">
        <v>677</v>
      </c>
      <c r="I1293" s="3" t="s">
        <v>678</v>
      </c>
      <c r="J1293" s="3" t="s">
        <v>1264</v>
      </c>
      <c r="K1293" s="3" t="s">
        <v>28</v>
      </c>
      <c r="L1293" s="3" t="s">
        <v>27</v>
      </c>
      <c r="M1293" s="3" t="s">
        <v>28</v>
      </c>
      <c r="N1293" s="3" t="s">
        <v>27</v>
      </c>
      <c r="O1293" s="3" t="s">
        <v>27</v>
      </c>
      <c r="P1293" s="3" t="s">
        <v>28</v>
      </c>
      <c r="Q1293" s="3" t="s">
        <v>28</v>
      </c>
      <c r="R1293" s="3" t="s">
        <v>27</v>
      </c>
      <c r="S1293" s="3" t="s">
        <v>27</v>
      </c>
      <c r="T1293" s="3" t="s">
        <v>27</v>
      </c>
    </row>
    <row r="1294" spans="1:20" ht="381.75">
      <c r="A1294" s="3">
        <v>2728671</v>
      </c>
      <c r="B1294" s="3">
        <f>HYPERLINK("https://platform.v2.vetology.net/cases/2728671/screening-report/6?type=pdf&amp;v=v6&amp;scorecard=1&amp;secret_key=BX%25IJ%24%2F65ieZ%29f6", 2728671)</f>
        <v>2728671</v>
      </c>
      <c r="C1294" s="3">
        <f>HYPERLINK("https://platform.v2.vetology.net/report/v/final/"&amp;2728671, 2728671)</f>
        <v>2728671</v>
      </c>
      <c r="D1294" s="3" t="s">
        <v>4713</v>
      </c>
      <c r="E1294" s="3" t="s">
        <v>4714</v>
      </c>
      <c r="F1294" s="3" t="s">
        <v>22</v>
      </c>
      <c r="G1294" s="3" t="s">
        <v>100</v>
      </c>
      <c r="H1294" s="3" t="s">
        <v>171</v>
      </c>
      <c r="I1294" s="3" t="s">
        <v>172</v>
      </c>
      <c r="J1294" s="3" t="s">
        <v>109</v>
      </c>
      <c r="K1294" s="3" t="s">
        <v>27</v>
      </c>
      <c r="L1294" s="3" t="s">
        <v>27</v>
      </c>
      <c r="M1294" s="3" t="s">
        <v>28</v>
      </c>
      <c r="N1294" s="3" t="s">
        <v>27</v>
      </c>
      <c r="O1294" s="3" t="s">
        <v>28</v>
      </c>
      <c r="P1294" s="3" t="s">
        <v>28</v>
      </c>
      <c r="Q1294" s="3" t="s">
        <v>27</v>
      </c>
      <c r="R1294" s="3" t="s">
        <v>27</v>
      </c>
      <c r="S1294" s="3" t="s">
        <v>27</v>
      </c>
      <c r="T1294" s="3" t="s">
        <v>27</v>
      </c>
    </row>
    <row r="1295" spans="1:20" ht="259.5">
      <c r="A1295" s="3">
        <v>2728656</v>
      </c>
      <c r="B1295" s="3">
        <f>HYPERLINK("https://platform.v2.vetology.net/cases/2728656/screening-report/6?type=pdf&amp;v=v6&amp;scorecard=1&amp;secret_key=BX%25IJ%24%2F65ieZ%29f6", 2728656)</f>
        <v>2728656</v>
      </c>
      <c r="C1295" s="3">
        <f>HYPERLINK("https://platform.v2.vetology.net/report/v/final/"&amp;2728656, 2728656)</f>
        <v>2728656</v>
      </c>
      <c r="D1295" s="3" t="s">
        <v>4715</v>
      </c>
      <c r="E1295" s="3" t="s">
        <v>4716</v>
      </c>
      <c r="F1295" s="3" t="s">
        <v>4717</v>
      </c>
      <c r="G1295" s="3" t="s">
        <v>186</v>
      </c>
      <c r="H1295" s="3" t="s">
        <v>2679</v>
      </c>
      <c r="I1295" s="3" t="s">
        <v>1660</v>
      </c>
      <c r="J1295" s="3" t="s">
        <v>207</v>
      </c>
      <c r="K1295" s="3" t="s">
        <v>28</v>
      </c>
      <c r="L1295" s="3" t="s">
        <v>28</v>
      </c>
      <c r="M1295" s="3" t="s">
        <v>28</v>
      </c>
      <c r="N1295" s="3" t="s">
        <v>28</v>
      </c>
      <c r="O1295" s="3" t="s">
        <v>27</v>
      </c>
      <c r="P1295" s="3" t="s">
        <v>27</v>
      </c>
      <c r="Q1295" s="3" t="s">
        <v>28</v>
      </c>
      <c r="R1295" s="3" t="s">
        <v>28</v>
      </c>
      <c r="S1295" s="3" t="s">
        <v>28</v>
      </c>
      <c r="T1295" s="3" t="s">
        <v>28</v>
      </c>
    </row>
    <row r="1296" spans="1:20" ht="409.6">
      <c r="A1296" s="3">
        <v>2728641</v>
      </c>
      <c r="B1296" s="3">
        <f>HYPERLINK("https://platform.v2.vetology.net/cases/2728641/screening-report/6?type=pdf&amp;v=v6&amp;scorecard=1&amp;secret_key=BX%25IJ%24%2F65ieZ%29f6", 2728641)</f>
        <v>2728641</v>
      </c>
      <c r="C1296" s="3">
        <f>HYPERLINK("https://platform.v2.vetology.net/report/v/final/"&amp;2728641, 2728641)</f>
        <v>2728641</v>
      </c>
      <c r="D1296" s="3" t="s">
        <v>4718</v>
      </c>
      <c r="E1296" s="3" t="s">
        <v>4719</v>
      </c>
      <c r="F1296" s="3" t="s">
        <v>4720</v>
      </c>
      <c r="G1296" s="3" t="s">
        <v>23</v>
      </c>
      <c r="H1296" s="3" t="s">
        <v>4721</v>
      </c>
      <c r="I1296" s="3" t="s">
        <v>310</v>
      </c>
      <c r="J1296" s="3" t="s">
        <v>311</v>
      </c>
      <c r="K1296" s="3" t="s">
        <v>28</v>
      </c>
      <c r="L1296" s="3" t="s">
        <v>27</v>
      </c>
      <c r="M1296" s="3" t="s">
        <v>28</v>
      </c>
      <c r="N1296" s="3" t="s">
        <v>27</v>
      </c>
      <c r="O1296" s="3" t="s">
        <v>27</v>
      </c>
      <c r="P1296" s="3" t="s">
        <v>28</v>
      </c>
      <c r="Q1296" s="3" t="s">
        <v>27</v>
      </c>
      <c r="R1296" s="3" t="s">
        <v>27</v>
      </c>
      <c r="S1296" s="3" t="s">
        <v>27</v>
      </c>
      <c r="T1296" s="3" t="s">
        <v>27</v>
      </c>
    </row>
    <row r="1297" spans="1:20" ht="381.75">
      <c r="A1297" s="3">
        <v>2728624</v>
      </c>
      <c r="B1297" s="3">
        <f>HYPERLINK("https://platform.v2.vetology.net/cases/2728624/screening-report/6?type=pdf&amp;v=v6&amp;scorecard=1&amp;secret_key=BX%25IJ%24%2F65ieZ%29f6", 2728624)</f>
        <v>2728624</v>
      </c>
      <c r="C1297" s="3">
        <f>HYPERLINK("https://platform.v2.vetology.net/report/v/final/"&amp;2728624, 2728624)</f>
        <v>2728624</v>
      </c>
      <c r="D1297" s="3" t="s">
        <v>4722</v>
      </c>
      <c r="E1297" s="3" t="s">
        <v>4723</v>
      </c>
      <c r="F1297" s="3" t="s">
        <v>4724</v>
      </c>
      <c r="G1297" s="3" t="s">
        <v>179</v>
      </c>
      <c r="H1297" s="3" t="s">
        <v>4725</v>
      </c>
      <c r="I1297" s="3" t="s">
        <v>291</v>
      </c>
      <c r="J1297" s="3" t="s">
        <v>363</v>
      </c>
      <c r="K1297" s="3" t="s">
        <v>28</v>
      </c>
      <c r="L1297" s="3" t="s">
        <v>28</v>
      </c>
      <c r="M1297" s="3" t="s">
        <v>28</v>
      </c>
      <c r="N1297" s="3" t="s">
        <v>27</v>
      </c>
      <c r="O1297" s="3" t="s">
        <v>27</v>
      </c>
      <c r="P1297" s="3" t="s">
        <v>28</v>
      </c>
      <c r="Q1297" s="3" t="s">
        <v>27</v>
      </c>
      <c r="R1297" s="3" t="s">
        <v>27</v>
      </c>
      <c r="S1297" s="3" t="s">
        <v>27</v>
      </c>
      <c r="T1297" s="3" t="s">
        <v>27</v>
      </c>
    </row>
    <row r="1298" spans="1:20" ht="409.6">
      <c r="A1298" s="3">
        <v>2728575</v>
      </c>
      <c r="B1298" s="3">
        <f>HYPERLINK("https://platform.v2.vetology.net/cases/2728575/screening-report/6?type=pdf&amp;v=v6&amp;scorecard=1&amp;secret_key=BX%25IJ%24%2F65ieZ%29f6", 2728575)</f>
        <v>2728575</v>
      </c>
      <c r="C1298" s="3">
        <f>HYPERLINK("https://platform.v2.vetology.net/report/v/final/"&amp;2728575, 2728575)</f>
        <v>2728575</v>
      </c>
      <c r="D1298" s="3" t="s">
        <v>4726</v>
      </c>
      <c r="E1298" s="3" t="s">
        <v>4727</v>
      </c>
      <c r="F1298" s="3" t="s">
        <v>4728</v>
      </c>
      <c r="G1298" s="3" t="s">
        <v>64</v>
      </c>
      <c r="H1298" s="3" t="s">
        <v>350</v>
      </c>
      <c r="I1298" s="3" t="s">
        <v>351</v>
      </c>
      <c r="J1298" s="3" t="s">
        <v>352</v>
      </c>
      <c r="K1298" s="3" t="s">
        <v>28</v>
      </c>
      <c r="L1298" s="3" t="s">
        <v>28</v>
      </c>
      <c r="M1298" s="3" t="s">
        <v>28</v>
      </c>
      <c r="N1298" s="3" t="s">
        <v>28</v>
      </c>
      <c r="O1298" s="3" t="s">
        <v>27</v>
      </c>
      <c r="P1298" s="3" t="s">
        <v>28</v>
      </c>
      <c r="Q1298" s="3" t="s">
        <v>28</v>
      </c>
      <c r="R1298" s="3" t="s">
        <v>28</v>
      </c>
      <c r="S1298" s="3" t="s">
        <v>28</v>
      </c>
      <c r="T1298" s="3" t="s">
        <v>27</v>
      </c>
    </row>
    <row r="1299" spans="1:20" ht="336">
      <c r="A1299" s="3">
        <v>2728551</v>
      </c>
      <c r="B1299" s="3">
        <f>HYPERLINK("https://platform.v2.vetology.net/cases/2728551/screening-report/6?type=pdf&amp;v=v6&amp;scorecard=1&amp;secret_key=BX%25IJ%24%2F65ieZ%29f6", 2728551)</f>
        <v>2728551</v>
      </c>
      <c r="C1299" s="3">
        <f>HYPERLINK("https://platform.v2.vetology.net/report/v/final/"&amp;2728551, 2728551)</f>
        <v>2728551</v>
      </c>
      <c r="D1299" s="3" t="s">
        <v>4729</v>
      </c>
      <c r="E1299" s="3" t="s">
        <v>4730</v>
      </c>
      <c r="F1299" s="3" t="s">
        <v>22</v>
      </c>
      <c r="G1299" s="3" t="s">
        <v>23</v>
      </c>
      <c r="H1299" s="3" t="s">
        <v>123</v>
      </c>
      <c r="I1299" s="3" t="s">
        <v>124</v>
      </c>
      <c r="J1299" s="3" t="s">
        <v>125</v>
      </c>
      <c r="K1299" s="3" t="s">
        <v>27</v>
      </c>
      <c r="L1299" s="3" t="s">
        <v>28</v>
      </c>
      <c r="M1299" s="3" t="s">
        <v>28</v>
      </c>
      <c r="N1299" s="3" t="s">
        <v>28</v>
      </c>
      <c r="O1299" s="3" t="s">
        <v>27</v>
      </c>
      <c r="P1299" s="3" t="s">
        <v>28</v>
      </c>
      <c r="Q1299" s="3" t="s">
        <v>28</v>
      </c>
      <c r="R1299" s="3" t="s">
        <v>28</v>
      </c>
      <c r="S1299" s="3" t="s">
        <v>28</v>
      </c>
      <c r="T1299" s="3" t="s">
        <v>28</v>
      </c>
    </row>
    <row r="1300" spans="1:20" ht="366">
      <c r="A1300" s="3">
        <v>2728533</v>
      </c>
      <c r="B1300" s="3">
        <f>HYPERLINK("https://platform.v2.vetology.net/cases/2728533/screening-report/6?type=pdf&amp;v=v6&amp;scorecard=1&amp;secret_key=BX%25IJ%24%2F65ieZ%29f6", 2728533)</f>
        <v>2728533</v>
      </c>
      <c r="C1300" s="3">
        <f>HYPERLINK("https://platform.v2.vetology.net/report/v/final/"&amp;2728533, 2728533)</f>
        <v>2728533</v>
      </c>
      <c r="D1300" s="3" t="s">
        <v>4731</v>
      </c>
      <c r="E1300" s="3" t="s">
        <v>2530</v>
      </c>
      <c r="F1300" s="3" t="s">
        <v>22</v>
      </c>
      <c r="G1300" s="3" t="s">
        <v>100</v>
      </c>
      <c r="H1300" s="3" t="s">
        <v>1033</v>
      </c>
      <c r="I1300" s="3" t="s">
        <v>1034</v>
      </c>
      <c r="J1300" s="3" t="s">
        <v>1035</v>
      </c>
      <c r="K1300" s="3" t="s">
        <v>28</v>
      </c>
      <c r="L1300" s="3" t="s">
        <v>28</v>
      </c>
      <c r="M1300" s="3" t="s">
        <v>28</v>
      </c>
      <c r="N1300" s="3" t="s">
        <v>27</v>
      </c>
      <c r="O1300" s="3" t="s">
        <v>27</v>
      </c>
      <c r="P1300" s="3" t="s">
        <v>28</v>
      </c>
      <c r="Q1300" s="3" t="s">
        <v>28</v>
      </c>
      <c r="R1300" s="3" t="s">
        <v>27</v>
      </c>
      <c r="S1300" s="3" t="s">
        <v>28</v>
      </c>
      <c r="T1300" s="3" t="s">
        <v>27</v>
      </c>
    </row>
    <row r="1301" spans="1:20" ht="409.6">
      <c r="A1301" s="3">
        <v>2728531</v>
      </c>
      <c r="B1301" s="3">
        <f>HYPERLINK("https://platform.v2.vetology.net/cases/2728531/screening-report/6?type=pdf&amp;v=v6&amp;scorecard=1&amp;secret_key=BX%25IJ%24%2F65ieZ%29f6", 2728531)</f>
        <v>2728531</v>
      </c>
      <c r="C1301" s="3">
        <f>HYPERLINK("https://platform.v2.vetology.net/report/v/final/"&amp;2728531, 2728531)</f>
        <v>2728531</v>
      </c>
      <c r="D1301" s="3" t="s">
        <v>4732</v>
      </c>
      <c r="E1301" s="3" t="s">
        <v>4733</v>
      </c>
      <c r="F1301" s="3" t="s">
        <v>4734</v>
      </c>
      <c r="G1301" s="3" t="s">
        <v>179</v>
      </c>
      <c r="H1301" s="3" t="s">
        <v>4735</v>
      </c>
      <c r="I1301" s="3" t="s">
        <v>2771</v>
      </c>
      <c r="J1301" s="3" t="s">
        <v>2772</v>
      </c>
      <c r="K1301" s="3" t="s">
        <v>28</v>
      </c>
      <c r="L1301" s="3" t="s">
        <v>27</v>
      </c>
      <c r="M1301" s="3" t="s">
        <v>28</v>
      </c>
      <c r="N1301" s="3" t="s">
        <v>27</v>
      </c>
      <c r="O1301" s="3" t="s">
        <v>28</v>
      </c>
      <c r="P1301" s="3" t="s">
        <v>28</v>
      </c>
      <c r="Q1301" s="3" t="s">
        <v>28</v>
      </c>
      <c r="R1301" s="3" t="s">
        <v>27</v>
      </c>
      <c r="S1301" s="3" t="s">
        <v>27</v>
      </c>
      <c r="T1301" s="3" t="s">
        <v>27</v>
      </c>
    </row>
    <row r="1302" spans="1:20" ht="409.6">
      <c r="A1302" s="3">
        <v>2728467</v>
      </c>
      <c r="B1302" s="3">
        <f>HYPERLINK("https://platform.v2.vetology.net/cases/2728467/screening-report/6?type=pdf&amp;v=v6&amp;scorecard=1&amp;secret_key=BX%25IJ%24%2F65ieZ%29f6", 2728467)</f>
        <v>2728467</v>
      </c>
      <c r="C1302" s="3">
        <f>HYPERLINK("https://platform.v2.vetology.net/report/v/final/"&amp;2728467, 2728467)</f>
        <v>2728467</v>
      </c>
      <c r="D1302" s="3" t="s">
        <v>4736</v>
      </c>
      <c r="E1302" s="3" t="s">
        <v>4737</v>
      </c>
      <c r="F1302" s="3" t="s">
        <v>4738</v>
      </c>
      <c r="G1302" s="3" t="s">
        <v>179</v>
      </c>
      <c r="H1302" s="3" t="s">
        <v>4739</v>
      </c>
      <c r="I1302" s="3" t="s">
        <v>469</v>
      </c>
      <c r="J1302" s="3" t="s">
        <v>470</v>
      </c>
      <c r="K1302" s="3" t="s">
        <v>28</v>
      </c>
      <c r="L1302" s="3" t="s">
        <v>28</v>
      </c>
      <c r="M1302" s="3" t="s">
        <v>28</v>
      </c>
      <c r="N1302" s="3" t="s">
        <v>28</v>
      </c>
      <c r="O1302" s="3" t="s">
        <v>27</v>
      </c>
      <c r="P1302" s="3" t="s">
        <v>28</v>
      </c>
      <c r="Q1302" s="3" t="s">
        <v>28</v>
      </c>
      <c r="R1302" s="3" t="s">
        <v>28</v>
      </c>
      <c r="S1302" s="3" t="s">
        <v>28</v>
      </c>
      <c r="T1302" s="3" t="s">
        <v>28</v>
      </c>
    </row>
    <row r="1303" spans="1:20" ht="305.25">
      <c r="A1303" s="3">
        <v>2728458</v>
      </c>
      <c r="B1303" s="3">
        <f>HYPERLINK("https://platform.v2.vetology.net/cases/2728458/screening-report/6?type=pdf&amp;v=v6&amp;scorecard=1&amp;secret_key=BX%25IJ%24%2F65ieZ%29f6", 2728458)</f>
        <v>2728458</v>
      </c>
      <c r="C1303" s="3">
        <f>HYPERLINK("https://platform.v2.vetology.net/report/v/final/"&amp;2728458, 2728458)</f>
        <v>2728458</v>
      </c>
      <c r="D1303" s="3" t="s">
        <v>4740</v>
      </c>
      <c r="E1303" s="3" t="s">
        <v>4741</v>
      </c>
      <c r="F1303" s="3" t="s">
        <v>22</v>
      </c>
      <c r="G1303" s="3" t="s">
        <v>100</v>
      </c>
      <c r="H1303" s="3" t="s">
        <v>4742</v>
      </c>
      <c r="I1303" s="3" t="s">
        <v>3465</v>
      </c>
      <c r="J1303" s="3" t="s">
        <v>207</v>
      </c>
      <c r="K1303" s="3" t="s">
        <v>28</v>
      </c>
      <c r="L1303" s="3" t="s">
        <v>27</v>
      </c>
      <c r="M1303" s="3" t="s">
        <v>28</v>
      </c>
      <c r="N1303" s="3" t="s">
        <v>27</v>
      </c>
      <c r="O1303" s="3" t="s">
        <v>27</v>
      </c>
      <c r="P1303" s="3" t="s">
        <v>28</v>
      </c>
      <c r="Q1303" s="3" t="s">
        <v>28</v>
      </c>
      <c r="R1303" s="3" t="s">
        <v>28</v>
      </c>
      <c r="S1303" s="3" t="s">
        <v>28</v>
      </c>
      <c r="T1303" s="3" t="s">
        <v>27</v>
      </c>
    </row>
    <row r="1304" spans="1:20" ht="409.6">
      <c r="A1304" s="3">
        <v>2728397</v>
      </c>
      <c r="B1304" s="3">
        <f>HYPERLINK("https://platform.v2.vetology.net/cases/2728397/screening-report/6?type=pdf&amp;v=v6&amp;scorecard=1&amp;secret_key=BX%25IJ%24%2F65ieZ%29f6", 2728397)</f>
        <v>2728397</v>
      </c>
      <c r="C1304" s="3">
        <f>HYPERLINK("https://platform.v2.vetology.net/report/v/final/"&amp;2728397, 2728397)</f>
        <v>2728397</v>
      </c>
      <c r="D1304" s="3" t="s">
        <v>4743</v>
      </c>
      <c r="E1304" s="3" t="s">
        <v>4744</v>
      </c>
      <c r="F1304" s="3" t="s">
        <v>1049</v>
      </c>
      <c r="G1304" s="3" t="s">
        <v>100</v>
      </c>
      <c r="H1304" s="3" t="s">
        <v>3689</v>
      </c>
      <c r="I1304" s="3" t="s">
        <v>520</v>
      </c>
      <c r="J1304" s="3" t="s">
        <v>335</v>
      </c>
      <c r="K1304" s="3" t="s">
        <v>28</v>
      </c>
      <c r="L1304" s="3" t="s">
        <v>28</v>
      </c>
      <c r="M1304" s="3" t="s">
        <v>27</v>
      </c>
      <c r="N1304" s="3" t="s">
        <v>28</v>
      </c>
      <c r="O1304" s="3" t="s">
        <v>28</v>
      </c>
      <c r="P1304" s="3" t="s">
        <v>28</v>
      </c>
      <c r="Q1304" s="3" t="s">
        <v>28</v>
      </c>
      <c r="R1304" s="3" t="s">
        <v>28</v>
      </c>
      <c r="S1304" s="3" t="s">
        <v>28</v>
      </c>
      <c r="T1304" s="3" t="s">
        <v>28</v>
      </c>
    </row>
    <row r="1305" spans="1:20" ht="290.25">
      <c r="A1305" s="3">
        <v>2728364</v>
      </c>
      <c r="B1305" s="3">
        <f>HYPERLINK("https://platform.v2.vetology.net/cases/2728364/screening-report/6?type=pdf&amp;v=v6&amp;scorecard=1&amp;secret_key=BX%25IJ%24%2F65ieZ%29f6", 2728364)</f>
        <v>2728364</v>
      </c>
      <c r="C1305" s="3">
        <f>HYPERLINK("https://platform.v2.vetology.net/report/v/final/"&amp;2728364, 2728364)</f>
        <v>2728364</v>
      </c>
      <c r="D1305" s="3" t="s">
        <v>4745</v>
      </c>
      <c r="E1305" s="3" t="s">
        <v>4746</v>
      </c>
      <c r="F1305" s="3" t="s">
        <v>4747</v>
      </c>
      <c r="G1305" s="3" t="s">
        <v>1772</v>
      </c>
      <c r="H1305" s="3" t="s">
        <v>4748</v>
      </c>
      <c r="I1305" s="3" t="s">
        <v>2165</v>
      </c>
      <c r="J1305" s="3" t="s">
        <v>207</v>
      </c>
      <c r="K1305" s="3" t="s">
        <v>27</v>
      </c>
      <c r="L1305" s="3" t="s">
        <v>28</v>
      </c>
      <c r="M1305" s="3" t="s">
        <v>27</v>
      </c>
      <c r="N1305" s="3" t="s">
        <v>28</v>
      </c>
      <c r="O1305" s="3" t="s">
        <v>27</v>
      </c>
      <c r="P1305" s="3" t="s">
        <v>28</v>
      </c>
      <c r="Q1305" s="3" t="s">
        <v>28</v>
      </c>
      <c r="R1305" s="3" t="s">
        <v>28</v>
      </c>
      <c r="S1305" s="3" t="s">
        <v>28</v>
      </c>
      <c r="T1305" s="3" t="s">
        <v>28</v>
      </c>
    </row>
    <row r="1306" spans="1:20" ht="396.75">
      <c r="A1306" s="3">
        <v>2728346</v>
      </c>
      <c r="B1306" s="3">
        <f>HYPERLINK("https://platform.v2.vetology.net/cases/2728346/screening-report/6?type=pdf&amp;v=v6&amp;scorecard=1&amp;secret_key=BX%25IJ%24%2F65ieZ%29f6", 2728346)</f>
        <v>2728346</v>
      </c>
      <c r="C1306" s="3">
        <f>HYPERLINK("https://platform.v2.vetology.net/report/v/final/"&amp;2728346, 2728346)</f>
        <v>2728346</v>
      </c>
      <c r="D1306" s="3" t="s">
        <v>4749</v>
      </c>
      <c r="E1306" s="3" t="s">
        <v>1690</v>
      </c>
      <c r="F1306" s="3"/>
      <c r="G1306" s="3" t="s">
        <v>100</v>
      </c>
      <c r="H1306" s="3" t="s">
        <v>4750</v>
      </c>
      <c r="I1306" s="3" t="s">
        <v>469</v>
      </c>
      <c r="J1306" s="3" t="s">
        <v>470</v>
      </c>
      <c r="K1306" s="3" t="s">
        <v>28</v>
      </c>
      <c r="L1306" s="3" t="s">
        <v>28</v>
      </c>
      <c r="M1306" s="3" t="s">
        <v>28</v>
      </c>
      <c r="N1306" s="3" t="s">
        <v>28</v>
      </c>
      <c r="O1306" s="3" t="s">
        <v>27</v>
      </c>
      <c r="P1306" s="3" t="s">
        <v>28</v>
      </c>
      <c r="Q1306" s="3" t="s">
        <v>28</v>
      </c>
      <c r="R1306" s="3" t="s">
        <v>28</v>
      </c>
      <c r="S1306" s="3" t="s">
        <v>28</v>
      </c>
      <c r="T1306" s="3" t="s">
        <v>28</v>
      </c>
    </row>
    <row r="1307" spans="1:20" ht="409.6">
      <c r="A1307" s="3">
        <v>2728345</v>
      </c>
      <c r="B1307" s="3">
        <f>HYPERLINK("https://platform.v2.vetology.net/cases/2728345/screening-report/6?type=pdf&amp;v=v6&amp;scorecard=1&amp;secret_key=BX%25IJ%24%2F65ieZ%29f6", 2728345)</f>
        <v>2728345</v>
      </c>
      <c r="C1307" s="3">
        <f>HYPERLINK("https://platform.v2.vetology.net/report/v/final/"&amp;2728345, 2728345)</f>
        <v>2728345</v>
      </c>
      <c r="D1307" s="3" t="s">
        <v>4751</v>
      </c>
      <c r="E1307" s="3" t="s">
        <v>4752</v>
      </c>
      <c r="F1307" s="3" t="s">
        <v>22</v>
      </c>
      <c r="G1307" s="3" t="s">
        <v>100</v>
      </c>
      <c r="H1307" s="3" t="s">
        <v>362</v>
      </c>
      <c r="I1307" s="3" t="s">
        <v>72</v>
      </c>
      <c r="J1307" s="3" t="s">
        <v>363</v>
      </c>
      <c r="K1307" s="3" t="s">
        <v>28</v>
      </c>
      <c r="L1307" s="3" t="s">
        <v>28</v>
      </c>
      <c r="M1307" s="3" t="s">
        <v>28</v>
      </c>
      <c r="N1307" s="3" t="s">
        <v>28</v>
      </c>
      <c r="O1307" s="3" t="s">
        <v>27</v>
      </c>
      <c r="P1307" s="3" t="s">
        <v>28</v>
      </c>
      <c r="Q1307" s="3" t="s">
        <v>28</v>
      </c>
      <c r="R1307" s="3" t="s">
        <v>28</v>
      </c>
      <c r="S1307" s="3" t="s">
        <v>28</v>
      </c>
      <c r="T1307" s="3" t="s">
        <v>27</v>
      </c>
    </row>
    <row r="1308" spans="1:20" ht="366">
      <c r="A1308" s="3">
        <v>2728316</v>
      </c>
      <c r="B1308" s="3">
        <f>HYPERLINK("https://platform.v2.vetology.net/cases/2728316/screening-report/6?type=pdf&amp;v=v6&amp;scorecard=1&amp;secret_key=BX%25IJ%24%2F65ieZ%29f6", 2728316)</f>
        <v>2728316</v>
      </c>
      <c r="C1308" s="3">
        <f>HYPERLINK("https://platform.v2.vetology.net/report/v/final/"&amp;2728316, 2728316)</f>
        <v>2728316</v>
      </c>
      <c r="D1308" s="3" t="s">
        <v>4753</v>
      </c>
      <c r="E1308" s="3" t="s">
        <v>4754</v>
      </c>
      <c r="F1308" s="3" t="s">
        <v>4755</v>
      </c>
      <c r="G1308" s="3" t="s">
        <v>186</v>
      </c>
      <c r="H1308" s="3" t="s">
        <v>1482</v>
      </c>
      <c r="I1308" s="3" t="s">
        <v>1483</v>
      </c>
      <c r="J1308" s="3" t="s">
        <v>207</v>
      </c>
      <c r="K1308" s="3" t="s">
        <v>28</v>
      </c>
      <c r="L1308" s="3" t="s">
        <v>28</v>
      </c>
      <c r="M1308" s="3" t="s">
        <v>28</v>
      </c>
      <c r="N1308" s="3" t="s">
        <v>28</v>
      </c>
      <c r="O1308" s="3" t="s">
        <v>27</v>
      </c>
      <c r="P1308" s="3" t="s">
        <v>28</v>
      </c>
      <c r="Q1308" s="3" t="s">
        <v>28</v>
      </c>
      <c r="R1308" s="3" t="s">
        <v>28</v>
      </c>
      <c r="S1308" s="3" t="s">
        <v>27</v>
      </c>
      <c r="T1308" s="3" t="s">
        <v>27</v>
      </c>
    </row>
    <row r="1309" spans="1:20" ht="366">
      <c r="A1309" s="3">
        <v>2728269</v>
      </c>
      <c r="B1309" s="3">
        <f>HYPERLINK("https://platform.v2.vetology.net/cases/2728269/screening-report/6?type=pdf&amp;v=v6&amp;scorecard=1&amp;secret_key=BX%25IJ%24%2F65ieZ%29f6", 2728269)</f>
        <v>2728269</v>
      </c>
      <c r="C1309" s="3">
        <f>HYPERLINK("https://platform.v2.vetology.net/report/v/final/"&amp;2728269, 2728269)</f>
        <v>2728269</v>
      </c>
      <c r="D1309" s="3" t="s">
        <v>4756</v>
      </c>
      <c r="E1309" s="3" t="s">
        <v>4757</v>
      </c>
      <c r="F1309" s="3" t="s">
        <v>772</v>
      </c>
      <c r="G1309" s="3" t="s">
        <v>57</v>
      </c>
      <c r="H1309" s="3" t="s">
        <v>4758</v>
      </c>
      <c r="I1309" s="3" t="s">
        <v>267</v>
      </c>
      <c r="J1309" s="3" t="s">
        <v>268</v>
      </c>
      <c r="K1309" s="3" t="s">
        <v>27</v>
      </c>
      <c r="L1309" s="3" t="s">
        <v>28</v>
      </c>
      <c r="M1309" s="3" t="s">
        <v>28</v>
      </c>
      <c r="N1309" s="3" t="s">
        <v>28</v>
      </c>
      <c r="O1309" s="3" t="s">
        <v>27</v>
      </c>
      <c r="P1309" s="3" t="s">
        <v>27</v>
      </c>
      <c r="Q1309" s="3" t="s">
        <v>28</v>
      </c>
      <c r="R1309" s="3" t="s">
        <v>28</v>
      </c>
      <c r="S1309" s="3" t="s">
        <v>28</v>
      </c>
      <c r="T1309" s="3" t="s">
        <v>28</v>
      </c>
    </row>
    <row r="1310" spans="1:20" ht="336">
      <c r="A1310" s="3">
        <v>2728222</v>
      </c>
      <c r="B1310" s="3">
        <f>HYPERLINK("https://platform.v2.vetology.net/cases/2728222/screening-report/6?type=pdf&amp;v=v6&amp;scorecard=1&amp;secret_key=BX%25IJ%24%2F65ieZ%29f6", 2728222)</f>
        <v>2728222</v>
      </c>
      <c r="C1310" s="3">
        <f>HYPERLINK("https://platform.v2.vetology.net/report/v/final/"&amp;2728222, 2728222)</f>
        <v>2728222</v>
      </c>
      <c r="D1310" s="3" t="s">
        <v>4759</v>
      </c>
      <c r="E1310" s="3" t="s">
        <v>4760</v>
      </c>
      <c r="F1310" s="3" t="s">
        <v>4761</v>
      </c>
      <c r="G1310" s="3" t="s">
        <v>179</v>
      </c>
      <c r="H1310" s="3" t="s">
        <v>4762</v>
      </c>
      <c r="I1310" s="3" t="s">
        <v>4763</v>
      </c>
      <c r="J1310" s="3" t="s">
        <v>4764</v>
      </c>
      <c r="K1310" s="3" t="s">
        <v>28</v>
      </c>
      <c r="L1310" s="3" t="s">
        <v>28</v>
      </c>
      <c r="M1310" s="3" t="s">
        <v>28</v>
      </c>
      <c r="N1310" s="3" t="s">
        <v>28</v>
      </c>
      <c r="O1310" s="3" t="s">
        <v>27</v>
      </c>
      <c r="P1310" s="3" t="s">
        <v>27</v>
      </c>
      <c r="Q1310" s="3" t="s">
        <v>27</v>
      </c>
      <c r="R1310" s="3" t="s">
        <v>28</v>
      </c>
      <c r="S1310" s="3" t="s">
        <v>27</v>
      </c>
      <c r="T1310" s="3" t="s">
        <v>27</v>
      </c>
    </row>
    <row r="1311" spans="1:20" ht="409.6">
      <c r="A1311" s="3">
        <v>2728210</v>
      </c>
      <c r="B1311" s="3">
        <f>HYPERLINK("https://platform.v2.vetology.net/cases/2728210/screening-report/6?type=pdf&amp;v=v6&amp;scorecard=1&amp;secret_key=BX%25IJ%24%2F65ieZ%29f6", 2728210)</f>
        <v>2728210</v>
      </c>
      <c r="C1311" s="3">
        <f>HYPERLINK("https://platform.v2.vetology.net/report/v/final/"&amp;2728210, 2728210)</f>
        <v>2728210</v>
      </c>
      <c r="D1311" s="3" t="s">
        <v>4765</v>
      </c>
      <c r="E1311" s="3" t="s">
        <v>4766</v>
      </c>
      <c r="F1311" s="3" t="s">
        <v>4767</v>
      </c>
      <c r="G1311" s="3" t="s">
        <v>57</v>
      </c>
      <c r="H1311" s="3" t="s">
        <v>4768</v>
      </c>
      <c r="I1311" s="3" t="s">
        <v>1051</v>
      </c>
      <c r="J1311" s="3" t="s">
        <v>1052</v>
      </c>
      <c r="K1311" s="3" t="s">
        <v>27</v>
      </c>
      <c r="L1311" s="3" t="s">
        <v>28</v>
      </c>
      <c r="M1311" s="3" t="s">
        <v>27</v>
      </c>
      <c r="N1311" s="3" t="s">
        <v>27</v>
      </c>
      <c r="O1311" s="3" t="s">
        <v>27</v>
      </c>
      <c r="P1311" s="3" t="s">
        <v>28</v>
      </c>
      <c r="Q1311" s="3" t="s">
        <v>27</v>
      </c>
      <c r="R1311" s="3" t="s">
        <v>27</v>
      </c>
      <c r="S1311" s="3" t="s">
        <v>27</v>
      </c>
      <c r="T1311" s="3" t="s">
        <v>28</v>
      </c>
    </row>
    <row r="1312" spans="1:20" ht="381.75">
      <c r="A1312" s="3">
        <v>2728190</v>
      </c>
      <c r="B1312" s="3">
        <f>HYPERLINK("https://platform.v2.vetology.net/cases/2728190/screening-report/6?type=pdf&amp;v=v6&amp;scorecard=1&amp;secret_key=BX%25IJ%24%2F65ieZ%29f6", 2728190)</f>
        <v>2728190</v>
      </c>
      <c r="C1312" s="3">
        <f>HYPERLINK("https://platform.v2.vetology.net/report/v/final/"&amp;2728190, 2728190)</f>
        <v>2728190</v>
      </c>
      <c r="D1312" s="3" t="s">
        <v>4769</v>
      </c>
      <c r="E1312" s="3" t="s">
        <v>4770</v>
      </c>
      <c r="F1312" s="3" t="s">
        <v>1762</v>
      </c>
      <c r="G1312" s="3" t="s">
        <v>100</v>
      </c>
      <c r="H1312" s="3" t="s">
        <v>171</v>
      </c>
      <c r="I1312" s="3" t="s">
        <v>172</v>
      </c>
      <c r="J1312" s="3" t="s">
        <v>109</v>
      </c>
      <c r="K1312" s="3" t="s">
        <v>27</v>
      </c>
      <c r="L1312" s="3" t="s">
        <v>28</v>
      </c>
      <c r="M1312" s="3" t="s">
        <v>28</v>
      </c>
      <c r="N1312" s="3" t="s">
        <v>27</v>
      </c>
      <c r="O1312" s="3" t="s">
        <v>27</v>
      </c>
      <c r="P1312" s="3" t="s">
        <v>28</v>
      </c>
      <c r="Q1312" s="3" t="s">
        <v>28</v>
      </c>
      <c r="R1312" s="3" t="s">
        <v>27</v>
      </c>
      <c r="S1312" s="3" t="s">
        <v>28</v>
      </c>
      <c r="T1312" s="3" t="s">
        <v>27</v>
      </c>
    </row>
    <row r="1313" spans="1:20" ht="396.75">
      <c r="A1313" s="3">
        <v>2728169</v>
      </c>
      <c r="B1313" s="3">
        <f>HYPERLINK("https://platform.v2.vetology.net/cases/2728169/screening-report/6?type=pdf&amp;v=v6&amp;scorecard=1&amp;secret_key=BX%25IJ%24%2F65ieZ%29f6", 2728169)</f>
        <v>2728169</v>
      </c>
      <c r="C1313" s="3">
        <f>HYPERLINK("https://platform.v2.vetology.net/report/v/final/"&amp;2728169, 2728169)</f>
        <v>2728169</v>
      </c>
      <c r="D1313" s="3" t="s">
        <v>4771</v>
      </c>
      <c r="E1313" s="3" t="s">
        <v>4772</v>
      </c>
      <c r="F1313" s="3" t="s">
        <v>4773</v>
      </c>
      <c r="G1313" s="3" t="s">
        <v>57</v>
      </c>
      <c r="H1313" s="3" t="s">
        <v>4184</v>
      </c>
      <c r="I1313" s="3" t="s">
        <v>136</v>
      </c>
      <c r="J1313" s="3" t="s">
        <v>137</v>
      </c>
      <c r="K1313" s="3" t="s">
        <v>28</v>
      </c>
      <c r="L1313" s="3" t="s">
        <v>28</v>
      </c>
      <c r="M1313" s="3" t="s">
        <v>28</v>
      </c>
      <c r="N1313" s="3" t="s">
        <v>28</v>
      </c>
      <c r="O1313" s="3" t="s">
        <v>27</v>
      </c>
      <c r="P1313" s="3" t="s">
        <v>28</v>
      </c>
      <c r="Q1313" s="3" t="s">
        <v>28</v>
      </c>
      <c r="R1313" s="3" t="s">
        <v>27</v>
      </c>
      <c r="S1313" s="3" t="s">
        <v>28</v>
      </c>
      <c r="T1313" s="3" t="s">
        <v>27</v>
      </c>
    </row>
    <row r="1314" spans="1:20" ht="305.25">
      <c r="A1314" s="3">
        <v>2728126</v>
      </c>
      <c r="B1314" s="3">
        <f>HYPERLINK("https://platform.v2.vetology.net/cases/2728126/screening-report/6?type=pdf&amp;v=v6&amp;scorecard=1&amp;secret_key=BX%25IJ%24%2F65ieZ%29f6", 2728126)</f>
        <v>2728126</v>
      </c>
      <c r="C1314" s="3">
        <f>HYPERLINK("https://platform.v2.vetology.net/report/v/final/"&amp;2728126, 2728126)</f>
        <v>2728126</v>
      </c>
      <c r="D1314" s="3" t="s">
        <v>4774</v>
      </c>
      <c r="E1314" s="3" t="s">
        <v>4775</v>
      </c>
      <c r="F1314" s="3" t="s">
        <v>4776</v>
      </c>
      <c r="G1314" s="3" t="s">
        <v>186</v>
      </c>
      <c r="H1314" s="3" t="s">
        <v>31</v>
      </c>
      <c r="I1314" s="3" t="s">
        <v>2764</v>
      </c>
      <c r="J1314" s="3" t="s">
        <v>33</v>
      </c>
      <c r="K1314" s="3" t="s">
        <v>28</v>
      </c>
      <c r="L1314" s="3" t="s">
        <v>28</v>
      </c>
      <c r="M1314" s="3" t="s">
        <v>28</v>
      </c>
      <c r="N1314" s="3" t="s">
        <v>28</v>
      </c>
      <c r="O1314" s="3" t="s">
        <v>27</v>
      </c>
      <c r="P1314" s="3" t="s">
        <v>27</v>
      </c>
      <c r="Q1314" s="3" t="s">
        <v>28</v>
      </c>
      <c r="R1314" s="3" t="s">
        <v>28</v>
      </c>
      <c r="S1314" s="3" t="s">
        <v>27</v>
      </c>
      <c r="T1314" s="3" t="s">
        <v>27</v>
      </c>
    </row>
    <row r="1315" spans="1:20" ht="409.6">
      <c r="A1315" s="3">
        <v>2728074</v>
      </c>
      <c r="B1315" s="3">
        <f>HYPERLINK("https://platform.v2.vetology.net/cases/2728074/screening-report/6?type=pdf&amp;v=v6&amp;scorecard=1&amp;secret_key=BX%25IJ%24%2F65ieZ%29f6", 2728074)</f>
        <v>2728074</v>
      </c>
      <c r="C1315" s="3">
        <f>HYPERLINK("https://platform.v2.vetology.net/report/v/final/"&amp;2728074, 2728074)</f>
        <v>2728074</v>
      </c>
      <c r="D1315" s="3" t="s">
        <v>4777</v>
      </c>
      <c r="E1315" s="3" t="s">
        <v>4778</v>
      </c>
      <c r="F1315" s="3" t="s">
        <v>4779</v>
      </c>
      <c r="G1315" s="3" t="s">
        <v>186</v>
      </c>
      <c r="H1315" s="3" t="s">
        <v>1046</v>
      </c>
      <c r="I1315" s="3" t="s">
        <v>59</v>
      </c>
      <c r="J1315" s="3" t="s">
        <v>60</v>
      </c>
      <c r="K1315" s="3" t="s">
        <v>28</v>
      </c>
      <c r="L1315" s="3" t="s">
        <v>28</v>
      </c>
      <c r="M1315" s="3" t="s">
        <v>28</v>
      </c>
      <c r="N1315" s="3" t="s">
        <v>28</v>
      </c>
      <c r="O1315" s="3" t="s">
        <v>27</v>
      </c>
      <c r="P1315" s="3" t="s">
        <v>28</v>
      </c>
      <c r="Q1315" s="3" t="s">
        <v>28</v>
      </c>
      <c r="R1315" s="3" t="s">
        <v>28</v>
      </c>
      <c r="S1315" s="3" t="s">
        <v>28</v>
      </c>
      <c r="T1315" s="3" t="s">
        <v>27</v>
      </c>
    </row>
    <row r="1316" spans="1:20" ht="336">
      <c r="A1316" s="3">
        <v>2728069</v>
      </c>
      <c r="B1316" s="3">
        <f>HYPERLINK("https://platform.v2.vetology.net/cases/2728069/screening-report/6?type=pdf&amp;v=v6&amp;scorecard=1&amp;secret_key=BX%25IJ%24%2F65ieZ%29f6", 2728069)</f>
        <v>2728069</v>
      </c>
      <c r="C1316" s="3">
        <f>HYPERLINK("https://platform.v2.vetology.net/report/v/final/"&amp;2728069, 2728069)</f>
        <v>2728069</v>
      </c>
      <c r="D1316" s="3" t="s">
        <v>4780</v>
      </c>
      <c r="E1316" s="3" t="s">
        <v>4781</v>
      </c>
      <c r="F1316" s="3" t="s">
        <v>4782</v>
      </c>
      <c r="G1316" s="3" t="s">
        <v>186</v>
      </c>
      <c r="H1316" s="3" t="s">
        <v>135</v>
      </c>
      <c r="I1316" s="3" t="s">
        <v>136</v>
      </c>
      <c r="J1316" s="3" t="s">
        <v>424</v>
      </c>
      <c r="K1316" s="3" t="s">
        <v>28</v>
      </c>
      <c r="L1316" s="3" t="s">
        <v>28</v>
      </c>
      <c r="M1316" s="3" t="s">
        <v>28</v>
      </c>
      <c r="N1316" s="3" t="s">
        <v>28</v>
      </c>
      <c r="O1316" s="3" t="s">
        <v>27</v>
      </c>
      <c r="P1316" s="3" t="s">
        <v>28</v>
      </c>
      <c r="Q1316" s="3" t="s">
        <v>28</v>
      </c>
      <c r="R1316" s="3" t="s">
        <v>28</v>
      </c>
      <c r="S1316" s="3" t="s">
        <v>28</v>
      </c>
      <c r="T1316" s="3" t="s">
        <v>27</v>
      </c>
    </row>
    <row r="1317" spans="1:20" ht="336">
      <c r="A1317" s="3">
        <v>2728057</v>
      </c>
      <c r="B1317" s="3">
        <f>HYPERLINK("https://platform.v2.vetology.net/cases/2728057/screening-report/6?type=pdf&amp;v=v6&amp;scorecard=1&amp;secret_key=BX%25IJ%24%2F65ieZ%29f6", 2728057)</f>
        <v>2728057</v>
      </c>
      <c r="C1317" s="3">
        <f>HYPERLINK("https://platform.v2.vetology.net/report/v/final/"&amp;2728057, 2728057)</f>
        <v>2728057</v>
      </c>
      <c r="D1317" s="3" t="s">
        <v>4783</v>
      </c>
      <c r="E1317" s="3" t="s">
        <v>4784</v>
      </c>
      <c r="F1317" s="3"/>
      <c r="G1317" s="3" t="s">
        <v>122</v>
      </c>
      <c r="H1317" s="3" t="s">
        <v>41</v>
      </c>
      <c r="I1317" s="3" t="s">
        <v>42</v>
      </c>
      <c r="J1317" s="3" t="s">
        <v>43</v>
      </c>
      <c r="K1317" s="3" t="s">
        <v>28</v>
      </c>
      <c r="L1317" s="3" t="s">
        <v>27</v>
      </c>
      <c r="M1317" s="3" t="s">
        <v>28</v>
      </c>
      <c r="N1317" s="3" t="s">
        <v>27</v>
      </c>
      <c r="O1317" s="3" t="s">
        <v>27</v>
      </c>
      <c r="P1317" s="3" t="s">
        <v>28</v>
      </c>
      <c r="Q1317" s="3" t="s">
        <v>27</v>
      </c>
      <c r="R1317" s="3" t="s">
        <v>28</v>
      </c>
      <c r="S1317" s="3" t="s">
        <v>27</v>
      </c>
      <c r="T1317" s="3" t="s">
        <v>27</v>
      </c>
    </row>
    <row r="1318" spans="1:20" ht="381.75">
      <c r="A1318" s="3">
        <v>2728056</v>
      </c>
      <c r="B1318" s="3">
        <f>HYPERLINK("https://platform.v2.vetology.net/cases/2728056/screening-report/6?type=pdf&amp;v=v6&amp;scorecard=1&amp;secret_key=BX%25IJ%24%2F65ieZ%29f6", 2728056)</f>
        <v>2728056</v>
      </c>
      <c r="C1318" s="3">
        <f>HYPERLINK("https://platform.v2.vetology.net/report/v/final/"&amp;2728056, 2728056)</f>
        <v>2728056</v>
      </c>
      <c r="D1318" s="3" t="s">
        <v>4785</v>
      </c>
      <c r="E1318" s="3" t="s">
        <v>4786</v>
      </c>
      <c r="F1318" s="3" t="s">
        <v>22</v>
      </c>
      <c r="G1318" s="3" t="s">
        <v>23</v>
      </c>
      <c r="H1318" s="3" t="s">
        <v>2655</v>
      </c>
      <c r="I1318" s="3" t="s">
        <v>37</v>
      </c>
      <c r="J1318" s="3" t="s">
        <v>38</v>
      </c>
      <c r="K1318" s="3" t="s">
        <v>28</v>
      </c>
      <c r="L1318" s="3" t="s">
        <v>28</v>
      </c>
      <c r="M1318" s="3" t="s">
        <v>28</v>
      </c>
      <c r="N1318" s="3" t="s">
        <v>28</v>
      </c>
      <c r="O1318" s="3" t="s">
        <v>27</v>
      </c>
      <c r="P1318" s="3" t="s">
        <v>28</v>
      </c>
      <c r="Q1318" s="3" t="s">
        <v>28</v>
      </c>
      <c r="R1318" s="3" t="s">
        <v>28</v>
      </c>
      <c r="S1318" s="3" t="s">
        <v>28</v>
      </c>
      <c r="T1318" s="3" t="s">
        <v>28</v>
      </c>
    </row>
    <row r="1319" spans="1:20" ht="409.6">
      <c r="A1319" s="3">
        <v>2728009</v>
      </c>
      <c r="B1319" s="3">
        <f>HYPERLINK("https://platform.v2.vetology.net/cases/2728009/screening-report/6?type=pdf&amp;v=v6&amp;scorecard=1&amp;secret_key=BX%25IJ%24%2F65ieZ%29f6", 2728009)</f>
        <v>2728009</v>
      </c>
      <c r="C1319" s="3">
        <f>HYPERLINK("https://platform.v2.vetology.net/report/v/final/"&amp;2728009, 2728009)</f>
        <v>2728009</v>
      </c>
      <c r="D1319" s="3" t="s">
        <v>4787</v>
      </c>
      <c r="E1319" s="3" t="s">
        <v>4788</v>
      </c>
      <c r="F1319" s="3" t="s">
        <v>56</v>
      </c>
      <c r="G1319" s="3" t="s">
        <v>57</v>
      </c>
      <c r="H1319" s="3" t="s">
        <v>4789</v>
      </c>
      <c r="I1319" s="3" t="s">
        <v>4790</v>
      </c>
      <c r="J1319" s="3" t="s">
        <v>4791</v>
      </c>
      <c r="K1319" s="3" t="s">
        <v>27</v>
      </c>
      <c r="L1319" s="3" t="s">
        <v>28</v>
      </c>
      <c r="M1319" s="3" t="s">
        <v>28</v>
      </c>
      <c r="N1319" s="3" t="s">
        <v>28</v>
      </c>
      <c r="O1319" s="3" t="s">
        <v>27</v>
      </c>
      <c r="P1319" s="3" t="s">
        <v>28</v>
      </c>
      <c r="Q1319" s="3" t="s">
        <v>28</v>
      </c>
      <c r="R1319" s="3" t="s">
        <v>28</v>
      </c>
      <c r="S1319" s="3" t="s">
        <v>28</v>
      </c>
      <c r="T1319" s="3" t="s">
        <v>28</v>
      </c>
    </row>
    <row r="1320" spans="1:20" ht="409.6">
      <c r="A1320" s="3">
        <v>2728007</v>
      </c>
      <c r="B1320" s="3">
        <f>HYPERLINK("https://platform.v2.vetology.net/cases/2728007/screening-report/6?type=pdf&amp;v=v6&amp;scorecard=1&amp;secret_key=BX%25IJ%24%2F65ieZ%29f6", 2728007)</f>
        <v>2728007</v>
      </c>
      <c r="C1320" s="3">
        <f>HYPERLINK("https://platform.v2.vetology.net/report/v/final/"&amp;2728007, 2728007)</f>
        <v>2728007</v>
      </c>
      <c r="D1320" s="3" t="s">
        <v>4792</v>
      </c>
      <c r="E1320" s="3" t="s">
        <v>4793</v>
      </c>
      <c r="F1320" s="3" t="s">
        <v>4794</v>
      </c>
      <c r="G1320" s="3" t="s">
        <v>64</v>
      </c>
      <c r="H1320" s="3" t="s">
        <v>4795</v>
      </c>
      <c r="I1320" s="3" t="s">
        <v>4796</v>
      </c>
      <c r="J1320" s="3" t="s">
        <v>148</v>
      </c>
      <c r="K1320" s="3" t="s">
        <v>27</v>
      </c>
      <c r="L1320" s="3" t="s">
        <v>28</v>
      </c>
      <c r="M1320" s="3" t="s">
        <v>28</v>
      </c>
      <c r="N1320" s="3" t="s">
        <v>28</v>
      </c>
      <c r="O1320" s="3" t="s">
        <v>27</v>
      </c>
      <c r="P1320" s="3" t="s">
        <v>28</v>
      </c>
      <c r="Q1320" s="3" t="s">
        <v>27</v>
      </c>
      <c r="R1320" s="3" t="s">
        <v>28</v>
      </c>
      <c r="S1320" s="3" t="s">
        <v>28</v>
      </c>
      <c r="T1320" s="3" t="s">
        <v>28</v>
      </c>
    </row>
    <row r="1321" spans="1:20" ht="366">
      <c r="A1321" s="3">
        <v>2727983</v>
      </c>
      <c r="B1321" s="3">
        <f>HYPERLINK("https://platform.v2.vetology.net/cases/2727983/screening-report/6?type=pdf&amp;v=v6&amp;scorecard=1&amp;secret_key=BX%25IJ%24%2F65ieZ%29f6", 2727983)</f>
        <v>2727983</v>
      </c>
      <c r="C1321" s="3">
        <f>HYPERLINK("https://platform.v2.vetology.net/report/v/final/"&amp;2727983, 2727983)</f>
        <v>2727983</v>
      </c>
      <c r="D1321" s="3" t="s">
        <v>4797</v>
      </c>
      <c r="E1321" s="3" t="s">
        <v>4798</v>
      </c>
      <c r="F1321" s="3" t="s">
        <v>4799</v>
      </c>
      <c r="G1321" s="3" t="s">
        <v>57</v>
      </c>
      <c r="H1321" s="3" t="s">
        <v>908</v>
      </c>
      <c r="I1321" s="3" t="s">
        <v>32</v>
      </c>
      <c r="J1321" s="3" t="s">
        <v>119</v>
      </c>
      <c r="K1321" s="3" t="s">
        <v>28</v>
      </c>
      <c r="L1321" s="3" t="s">
        <v>28</v>
      </c>
      <c r="M1321" s="3" t="s">
        <v>28</v>
      </c>
      <c r="N1321" s="3" t="s">
        <v>28</v>
      </c>
      <c r="O1321" s="3" t="s">
        <v>28</v>
      </c>
      <c r="P1321" s="3" t="s">
        <v>28</v>
      </c>
      <c r="Q1321" s="3" t="s">
        <v>28</v>
      </c>
      <c r="R1321" s="3" t="s">
        <v>28</v>
      </c>
      <c r="S1321" s="3" t="s">
        <v>28</v>
      </c>
      <c r="T1321" s="3" t="s">
        <v>28</v>
      </c>
    </row>
    <row r="1322" spans="1:20" ht="409.6">
      <c r="A1322" s="3">
        <v>2727979</v>
      </c>
      <c r="B1322" s="3">
        <f>HYPERLINK("https://platform.v2.vetology.net/cases/2727979/screening-report/6?type=pdf&amp;v=v6&amp;scorecard=1&amp;secret_key=BX%25IJ%24%2F65ieZ%29f6", 2727979)</f>
        <v>2727979</v>
      </c>
      <c r="C1322" s="3">
        <f>HYPERLINK("https://platform.v2.vetology.net/report/v/final/"&amp;2727979, 2727979)</f>
        <v>2727979</v>
      </c>
      <c r="D1322" s="3" t="s">
        <v>4800</v>
      </c>
      <c r="E1322" s="3" t="s">
        <v>4801</v>
      </c>
      <c r="F1322" s="3" t="s">
        <v>4802</v>
      </c>
      <c r="G1322" s="3" t="s">
        <v>64</v>
      </c>
      <c r="H1322" s="3" t="s">
        <v>419</v>
      </c>
      <c r="I1322" s="3" t="s">
        <v>316</v>
      </c>
      <c r="J1322" s="3" t="s">
        <v>317</v>
      </c>
      <c r="K1322" s="3" t="s">
        <v>28</v>
      </c>
      <c r="L1322" s="3" t="s">
        <v>28</v>
      </c>
      <c r="M1322" s="3" t="s">
        <v>28</v>
      </c>
      <c r="N1322" s="3" t="s">
        <v>28</v>
      </c>
      <c r="O1322" s="3" t="s">
        <v>27</v>
      </c>
      <c r="P1322" s="3" t="s">
        <v>28</v>
      </c>
      <c r="Q1322" s="3" t="s">
        <v>28</v>
      </c>
      <c r="R1322" s="3" t="s">
        <v>28</v>
      </c>
      <c r="S1322" s="3" t="s">
        <v>28</v>
      </c>
      <c r="T1322" s="3" t="s">
        <v>28</v>
      </c>
    </row>
    <row r="1323" spans="1:20" ht="409.6">
      <c r="A1323" s="3">
        <v>2727953</v>
      </c>
      <c r="B1323" s="3">
        <f>HYPERLINK("https://platform.v2.vetology.net/cases/2727953/screening-report/6?type=pdf&amp;v=v6&amp;scorecard=1&amp;secret_key=BX%25IJ%24%2F65ieZ%29f6", 2727953)</f>
        <v>2727953</v>
      </c>
      <c r="C1323" s="3">
        <f>HYPERLINK("https://platform.v2.vetology.net/report/v/final/"&amp;2727953, 2727953)</f>
        <v>2727953</v>
      </c>
      <c r="D1323" s="3" t="s">
        <v>4803</v>
      </c>
      <c r="E1323" s="3" t="s">
        <v>4804</v>
      </c>
      <c r="F1323" s="3" t="s">
        <v>4805</v>
      </c>
      <c r="G1323" s="3" t="s">
        <v>57</v>
      </c>
      <c r="H1323" s="3" t="s">
        <v>419</v>
      </c>
      <c r="I1323" s="3" t="s">
        <v>316</v>
      </c>
      <c r="J1323" s="3" t="s">
        <v>317</v>
      </c>
      <c r="K1323" s="3" t="s">
        <v>28</v>
      </c>
      <c r="L1323" s="3" t="s">
        <v>28</v>
      </c>
      <c r="M1323" s="3" t="s">
        <v>28</v>
      </c>
      <c r="N1323" s="3" t="s">
        <v>28</v>
      </c>
      <c r="O1323" s="3" t="s">
        <v>27</v>
      </c>
      <c r="P1323" s="3" t="s">
        <v>28</v>
      </c>
      <c r="Q1323" s="3" t="s">
        <v>28</v>
      </c>
      <c r="R1323" s="3" t="s">
        <v>28</v>
      </c>
      <c r="S1323" s="3" t="s">
        <v>28</v>
      </c>
      <c r="T1323" s="3" t="s">
        <v>28</v>
      </c>
    </row>
    <row r="1324" spans="1:20" ht="351">
      <c r="A1324" s="3">
        <v>2727939</v>
      </c>
      <c r="B1324" s="3">
        <f>HYPERLINK("https://platform.v2.vetology.net/cases/2727939/screening-report/6?type=pdf&amp;v=v6&amp;scorecard=1&amp;secret_key=BX%25IJ%24%2F65ieZ%29f6", 2727939)</f>
        <v>2727939</v>
      </c>
      <c r="C1324" s="3">
        <f>HYPERLINK("https://platform.v2.vetology.net/report/v/final/"&amp;2727939, 2727939)</f>
        <v>2727939</v>
      </c>
      <c r="D1324" s="3" t="s">
        <v>4806</v>
      </c>
      <c r="E1324" s="3" t="s">
        <v>4807</v>
      </c>
      <c r="F1324" s="3"/>
      <c r="G1324" s="3" t="s">
        <v>122</v>
      </c>
      <c r="H1324" s="3" t="s">
        <v>2064</v>
      </c>
      <c r="I1324" s="3" t="s">
        <v>1472</v>
      </c>
      <c r="J1324" s="3" t="s">
        <v>1374</v>
      </c>
      <c r="K1324" s="3" t="s">
        <v>28</v>
      </c>
      <c r="L1324" s="3" t="s">
        <v>28</v>
      </c>
      <c r="M1324" s="3" t="s">
        <v>27</v>
      </c>
      <c r="N1324" s="3" t="s">
        <v>28</v>
      </c>
      <c r="O1324" s="3" t="s">
        <v>27</v>
      </c>
      <c r="P1324" s="3" t="s">
        <v>28</v>
      </c>
      <c r="Q1324" s="3" t="s">
        <v>28</v>
      </c>
      <c r="R1324" s="3" t="s">
        <v>28</v>
      </c>
      <c r="S1324" s="3" t="s">
        <v>28</v>
      </c>
      <c r="T1324" s="3" t="s">
        <v>28</v>
      </c>
    </row>
    <row r="1325" spans="1:20" ht="244.5">
      <c r="A1325" s="3">
        <v>2727905</v>
      </c>
      <c r="B1325" s="3">
        <f>HYPERLINK("https://platform.v2.vetology.net/cases/2727905/screening-report/6?type=pdf&amp;v=v6&amp;scorecard=1&amp;secret_key=BX%25IJ%24%2F65ieZ%29f6", 2727905)</f>
        <v>2727905</v>
      </c>
      <c r="C1325" s="3">
        <f>HYPERLINK("https://platform.v2.vetology.net/report/v/final/"&amp;2727905, 2727905)</f>
        <v>2727905</v>
      </c>
      <c r="D1325" s="3" t="s">
        <v>4808</v>
      </c>
      <c r="E1325" s="3" t="s">
        <v>4809</v>
      </c>
      <c r="F1325" s="3" t="s">
        <v>4810</v>
      </c>
      <c r="G1325" s="3" t="s">
        <v>179</v>
      </c>
      <c r="H1325" s="3" t="s">
        <v>851</v>
      </c>
      <c r="I1325" s="3" t="s">
        <v>129</v>
      </c>
      <c r="J1325" s="3" t="s">
        <v>119</v>
      </c>
      <c r="K1325" s="3" t="s">
        <v>28</v>
      </c>
      <c r="L1325" s="3" t="s">
        <v>28</v>
      </c>
      <c r="M1325" s="3" t="s">
        <v>28</v>
      </c>
      <c r="N1325" s="3" t="s">
        <v>28</v>
      </c>
      <c r="O1325" s="3" t="s">
        <v>27</v>
      </c>
      <c r="P1325" s="3" t="s">
        <v>28</v>
      </c>
      <c r="Q1325" s="3" t="s">
        <v>28</v>
      </c>
      <c r="R1325" s="3" t="s">
        <v>28</v>
      </c>
      <c r="S1325" s="3" t="s">
        <v>28</v>
      </c>
      <c r="T1325" s="3" t="s">
        <v>28</v>
      </c>
    </row>
    <row r="1326" spans="1:20" ht="409.6">
      <c r="A1326" s="3">
        <v>2727876</v>
      </c>
      <c r="B1326" s="3">
        <f>HYPERLINK("https://platform.v2.vetology.net/cases/2727876/screening-report/6?type=pdf&amp;v=v6&amp;scorecard=1&amp;secret_key=BX%25IJ%24%2F65ieZ%29f6", 2727876)</f>
        <v>2727876</v>
      </c>
      <c r="C1326" s="3">
        <f>HYPERLINK("https://platform.v2.vetology.net/report/v/final/"&amp;2727876, 2727876)</f>
        <v>2727876</v>
      </c>
      <c r="D1326" s="3" t="s">
        <v>4811</v>
      </c>
      <c r="E1326" s="3" t="s">
        <v>4812</v>
      </c>
      <c r="F1326" s="3" t="s">
        <v>4813</v>
      </c>
      <c r="G1326" s="3" t="s">
        <v>64</v>
      </c>
      <c r="H1326" s="3" t="s">
        <v>31</v>
      </c>
      <c r="I1326" s="3" t="s">
        <v>32</v>
      </c>
      <c r="J1326" s="3" t="s">
        <v>33</v>
      </c>
      <c r="K1326" s="3" t="s">
        <v>28</v>
      </c>
      <c r="L1326" s="3" t="s">
        <v>28</v>
      </c>
      <c r="M1326" s="3" t="s">
        <v>28</v>
      </c>
      <c r="N1326" s="3" t="s">
        <v>28</v>
      </c>
      <c r="O1326" s="3" t="s">
        <v>28</v>
      </c>
      <c r="P1326" s="3" t="s">
        <v>28</v>
      </c>
      <c r="Q1326" s="3" t="s">
        <v>28</v>
      </c>
      <c r="R1326" s="3" t="s">
        <v>28</v>
      </c>
      <c r="S1326" s="3" t="s">
        <v>28</v>
      </c>
      <c r="T1326" s="3" t="s">
        <v>28</v>
      </c>
    </row>
    <row r="1327" spans="1:20" ht="409.6">
      <c r="A1327" s="3">
        <v>2727836</v>
      </c>
      <c r="B1327" s="3">
        <f>HYPERLINK("https://platform.v2.vetology.net/cases/2727836/screening-report/6?type=pdf&amp;v=v6&amp;scorecard=1&amp;secret_key=BX%25IJ%24%2F65ieZ%29f6", 2727836)</f>
        <v>2727836</v>
      </c>
      <c r="C1327" s="3">
        <f>HYPERLINK("https://platform.v2.vetology.net/report/v/final/"&amp;2727836, 2727836)</f>
        <v>2727836</v>
      </c>
      <c r="D1327" s="3" t="s">
        <v>4814</v>
      </c>
      <c r="E1327" s="3" t="s">
        <v>4815</v>
      </c>
      <c r="F1327" s="3" t="s">
        <v>4816</v>
      </c>
      <c r="G1327" s="3" t="s">
        <v>496</v>
      </c>
      <c r="H1327" s="3" t="s">
        <v>519</v>
      </c>
      <c r="I1327" s="3" t="s">
        <v>520</v>
      </c>
      <c r="J1327" s="3" t="s">
        <v>335</v>
      </c>
      <c r="K1327" s="3" t="s">
        <v>27</v>
      </c>
      <c r="L1327" s="3" t="s">
        <v>28</v>
      </c>
      <c r="M1327" s="3" t="s">
        <v>28</v>
      </c>
      <c r="N1327" s="3" t="s">
        <v>28</v>
      </c>
      <c r="O1327" s="3" t="s">
        <v>27</v>
      </c>
      <c r="P1327" s="3" t="s">
        <v>28</v>
      </c>
      <c r="Q1327" s="3" t="s">
        <v>28</v>
      </c>
      <c r="R1327" s="3" t="s">
        <v>28</v>
      </c>
      <c r="S1327" s="3" t="s">
        <v>28</v>
      </c>
      <c r="T1327" s="3" t="s">
        <v>28</v>
      </c>
    </row>
    <row r="1328" spans="1:20" ht="409.6">
      <c r="A1328" s="3">
        <v>2727808</v>
      </c>
      <c r="B1328" s="3">
        <f>HYPERLINK("https://platform.v2.vetology.net/cases/2727808/screening-report/6?type=pdf&amp;v=v6&amp;scorecard=1&amp;secret_key=BX%25IJ%24%2F65ieZ%29f6", 2727808)</f>
        <v>2727808</v>
      </c>
      <c r="C1328" s="3">
        <f>HYPERLINK("https://platform.v2.vetology.net/report/v/final/"&amp;2727808, 2727808)</f>
        <v>2727808</v>
      </c>
      <c r="D1328" s="3" t="s">
        <v>4817</v>
      </c>
      <c r="E1328" s="3" t="s">
        <v>4818</v>
      </c>
      <c r="F1328" s="3" t="s">
        <v>4819</v>
      </c>
      <c r="G1328" s="3" t="s">
        <v>186</v>
      </c>
      <c r="H1328" s="3" t="s">
        <v>4820</v>
      </c>
      <c r="I1328" s="3" t="s">
        <v>4821</v>
      </c>
      <c r="J1328" s="3" t="s">
        <v>4822</v>
      </c>
      <c r="K1328" s="3" t="s">
        <v>28</v>
      </c>
      <c r="L1328" s="3" t="s">
        <v>28</v>
      </c>
      <c r="M1328" s="3" t="s">
        <v>27</v>
      </c>
      <c r="N1328" s="3" t="s">
        <v>27</v>
      </c>
      <c r="O1328" s="3" t="s">
        <v>27</v>
      </c>
      <c r="P1328" s="3" t="s">
        <v>28</v>
      </c>
      <c r="Q1328" s="3" t="s">
        <v>27</v>
      </c>
      <c r="R1328" s="3" t="s">
        <v>28</v>
      </c>
      <c r="S1328" s="3" t="s">
        <v>27</v>
      </c>
      <c r="T1328" s="3" t="s">
        <v>27</v>
      </c>
    </row>
    <row r="1329" spans="1:20" ht="244.5">
      <c r="A1329" s="3">
        <v>2727783</v>
      </c>
      <c r="B1329" s="3">
        <f>HYPERLINK("https://platform.v2.vetology.net/cases/2727783/screening-report/6?type=pdf&amp;v=v6&amp;scorecard=1&amp;secret_key=BX%25IJ%24%2F65ieZ%29f6", 2727783)</f>
        <v>2727783</v>
      </c>
      <c r="C1329" s="3">
        <f>HYPERLINK("https://platform.v2.vetology.net/report/v/final/"&amp;2727783, 2727783)</f>
        <v>2727783</v>
      </c>
      <c r="D1329" s="3" t="s">
        <v>4823</v>
      </c>
      <c r="E1329" s="3" t="s">
        <v>4824</v>
      </c>
      <c r="F1329" s="3" t="s">
        <v>4825</v>
      </c>
      <c r="G1329" s="3" t="s">
        <v>186</v>
      </c>
      <c r="H1329" s="3" t="s">
        <v>4826</v>
      </c>
      <c r="I1329" s="3" t="s">
        <v>4827</v>
      </c>
      <c r="J1329" s="3" t="s">
        <v>4700</v>
      </c>
      <c r="K1329" s="3" t="s">
        <v>27</v>
      </c>
      <c r="L1329" s="3" t="s">
        <v>28</v>
      </c>
      <c r="M1329" s="3" t="s">
        <v>28</v>
      </c>
      <c r="N1329" s="3" t="s">
        <v>28</v>
      </c>
      <c r="O1329" s="3" t="s">
        <v>27</v>
      </c>
      <c r="P1329" s="3" t="s">
        <v>28</v>
      </c>
      <c r="Q1329" s="3" t="s">
        <v>28</v>
      </c>
      <c r="R1329" s="3" t="s">
        <v>28</v>
      </c>
      <c r="S1329" s="3" t="s">
        <v>28</v>
      </c>
      <c r="T1329" s="3" t="s">
        <v>28</v>
      </c>
    </row>
    <row r="1330" spans="1:20" ht="336">
      <c r="A1330" s="3">
        <v>2727773</v>
      </c>
      <c r="B1330" s="3">
        <f>HYPERLINK("https://platform.v2.vetology.net/cases/2727773/screening-report/6?type=pdf&amp;v=v6&amp;scorecard=1&amp;secret_key=BX%25IJ%24%2F65ieZ%29f6", 2727773)</f>
        <v>2727773</v>
      </c>
      <c r="C1330" s="3">
        <f>HYPERLINK("https://platform.v2.vetology.net/report/v/final/"&amp;2727773, 2727773)</f>
        <v>2727773</v>
      </c>
      <c r="D1330" s="3" t="s">
        <v>4828</v>
      </c>
      <c r="E1330" s="3" t="s">
        <v>4829</v>
      </c>
      <c r="F1330" s="3" t="s">
        <v>4830</v>
      </c>
      <c r="G1330" s="3" t="s">
        <v>179</v>
      </c>
      <c r="H1330" s="3" t="s">
        <v>2611</v>
      </c>
      <c r="I1330" s="3" t="s">
        <v>66</v>
      </c>
      <c r="J1330" s="3" t="s">
        <v>67</v>
      </c>
      <c r="K1330" s="3" t="s">
        <v>27</v>
      </c>
      <c r="L1330" s="3" t="s">
        <v>28</v>
      </c>
      <c r="M1330" s="3" t="s">
        <v>28</v>
      </c>
      <c r="N1330" s="3" t="s">
        <v>28</v>
      </c>
      <c r="O1330" s="3" t="s">
        <v>28</v>
      </c>
      <c r="P1330" s="3" t="s">
        <v>28</v>
      </c>
      <c r="Q1330" s="3" t="s">
        <v>28</v>
      </c>
      <c r="R1330" s="3" t="s">
        <v>28</v>
      </c>
      <c r="S1330" s="3" t="s">
        <v>28</v>
      </c>
      <c r="T1330" s="3" t="s">
        <v>28</v>
      </c>
    </row>
    <row r="1331" spans="1:20" ht="409.6">
      <c r="A1331" s="3">
        <v>2727770</v>
      </c>
      <c r="B1331" s="3">
        <f>HYPERLINK("https://platform.v2.vetology.net/cases/2727770/screening-report/6?type=pdf&amp;v=v6&amp;scorecard=1&amp;secret_key=BX%25IJ%24%2F65ieZ%29f6", 2727770)</f>
        <v>2727770</v>
      </c>
      <c r="C1331" s="3">
        <f>HYPERLINK("https://platform.v2.vetology.net/report/v/final/"&amp;2727770, 2727770)</f>
        <v>2727770</v>
      </c>
      <c r="D1331" s="3" t="s">
        <v>4831</v>
      </c>
      <c r="E1331" s="3" t="s">
        <v>4832</v>
      </c>
      <c r="F1331" s="3" t="s">
        <v>4833</v>
      </c>
      <c r="G1331" s="3" t="s">
        <v>57</v>
      </c>
      <c r="H1331" s="3" t="s">
        <v>3965</v>
      </c>
      <c r="I1331" s="3" t="s">
        <v>351</v>
      </c>
      <c r="J1331" s="3" t="s">
        <v>352</v>
      </c>
      <c r="K1331" s="3" t="s">
        <v>28</v>
      </c>
      <c r="L1331" s="3" t="s">
        <v>28</v>
      </c>
      <c r="M1331" s="3" t="s">
        <v>28</v>
      </c>
      <c r="N1331" s="3" t="s">
        <v>28</v>
      </c>
      <c r="O1331" s="3" t="s">
        <v>28</v>
      </c>
      <c r="P1331" s="3" t="s">
        <v>28</v>
      </c>
      <c r="Q1331" s="3" t="s">
        <v>28</v>
      </c>
      <c r="R1331" s="3" t="s">
        <v>27</v>
      </c>
      <c r="S1331" s="3" t="s">
        <v>28</v>
      </c>
      <c r="T1331" s="3" t="s">
        <v>27</v>
      </c>
    </row>
    <row r="1332" spans="1:20" ht="409.6">
      <c r="A1332" s="3">
        <v>2727760</v>
      </c>
      <c r="B1332" s="3">
        <f>HYPERLINK("https://platform.v2.vetology.net/cases/2727760/screening-report/6?type=pdf&amp;v=v6&amp;scorecard=1&amp;secret_key=BX%25IJ%24%2F65ieZ%29f6", 2727760)</f>
        <v>2727760</v>
      </c>
      <c r="C1332" s="3">
        <f>HYPERLINK("https://platform.v2.vetology.net/report/v/final/"&amp;2727760, 2727760)</f>
        <v>2727760</v>
      </c>
      <c r="D1332" s="3" t="s">
        <v>4834</v>
      </c>
      <c r="E1332" s="3" t="s">
        <v>4835</v>
      </c>
      <c r="F1332" s="3" t="s">
        <v>4836</v>
      </c>
      <c r="G1332" s="3" t="s">
        <v>64</v>
      </c>
      <c r="H1332" s="3" t="s">
        <v>4837</v>
      </c>
      <c r="I1332" s="3" t="s">
        <v>4838</v>
      </c>
      <c r="J1332" s="3" t="s">
        <v>4839</v>
      </c>
      <c r="K1332" s="3" t="s">
        <v>27</v>
      </c>
      <c r="L1332" s="3" t="s">
        <v>28</v>
      </c>
      <c r="M1332" s="3" t="s">
        <v>27</v>
      </c>
      <c r="N1332" s="3" t="s">
        <v>27</v>
      </c>
      <c r="O1332" s="3" t="s">
        <v>27</v>
      </c>
      <c r="P1332" s="3" t="s">
        <v>28</v>
      </c>
      <c r="Q1332" s="3" t="s">
        <v>28</v>
      </c>
      <c r="R1332" s="3" t="s">
        <v>28</v>
      </c>
      <c r="S1332" s="3" t="s">
        <v>28</v>
      </c>
      <c r="T1332" s="3" t="s">
        <v>28</v>
      </c>
    </row>
    <row r="1333" spans="1:20" ht="259.5">
      <c r="A1333" s="3">
        <v>2727757</v>
      </c>
      <c r="B1333" s="3">
        <f>HYPERLINK("https://platform.v2.vetology.net/cases/2727757/screening-report/6?type=pdf&amp;v=v6&amp;scorecard=1&amp;secret_key=BX%25IJ%24%2F65ieZ%29f6", 2727757)</f>
        <v>2727757</v>
      </c>
      <c r="C1333" s="3">
        <f>HYPERLINK("https://platform.v2.vetology.net/report/v/final/"&amp;2727757, 2727757)</f>
        <v>2727757</v>
      </c>
      <c r="D1333" s="3" t="s">
        <v>4840</v>
      </c>
      <c r="E1333" s="3" t="s">
        <v>4841</v>
      </c>
      <c r="F1333" s="3"/>
      <c r="G1333" s="3" t="s">
        <v>122</v>
      </c>
      <c r="H1333" s="3" t="s">
        <v>4842</v>
      </c>
      <c r="I1333" s="3" t="s">
        <v>464</v>
      </c>
      <c r="J1333" s="3" t="s">
        <v>207</v>
      </c>
      <c r="K1333" s="3" t="s">
        <v>28</v>
      </c>
      <c r="L1333" s="3" t="s">
        <v>28</v>
      </c>
      <c r="M1333" s="3" t="s">
        <v>28</v>
      </c>
      <c r="N1333" s="3" t="s">
        <v>28</v>
      </c>
      <c r="O1333" s="3" t="s">
        <v>28</v>
      </c>
      <c r="P1333" s="3" t="s">
        <v>27</v>
      </c>
      <c r="Q1333" s="3" t="s">
        <v>28</v>
      </c>
      <c r="R1333" s="3" t="s">
        <v>28</v>
      </c>
      <c r="S1333" s="3" t="s">
        <v>28</v>
      </c>
      <c r="T1333" s="3" t="s">
        <v>28</v>
      </c>
    </row>
    <row r="1334" spans="1:20" ht="336">
      <c r="A1334" s="3">
        <v>2727737</v>
      </c>
      <c r="B1334" s="3">
        <f>HYPERLINK("https://platform.v2.vetology.net/cases/2727737/screening-report/6?type=pdf&amp;v=v6&amp;scorecard=1&amp;secret_key=BX%25IJ%24%2F65ieZ%29f6", 2727737)</f>
        <v>2727737</v>
      </c>
      <c r="C1334" s="3">
        <f>HYPERLINK("https://platform.v2.vetology.net/report/v/final/"&amp;2727737, 2727737)</f>
        <v>2727737</v>
      </c>
      <c r="D1334" s="3" t="s">
        <v>4843</v>
      </c>
      <c r="E1334" s="3" t="s">
        <v>4844</v>
      </c>
      <c r="F1334" s="3" t="s">
        <v>4845</v>
      </c>
      <c r="G1334" s="3" t="s">
        <v>496</v>
      </c>
      <c r="H1334" s="3" t="s">
        <v>223</v>
      </c>
      <c r="I1334" s="3" t="s">
        <v>224</v>
      </c>
      <c r="J1334" s="3" t="s">
        <v>225</v>
      </c>
      <c r="K1334" s="3" t="s">
        <v>28</v>
      </c>
      <c r="L1334" s="3" t="s">
        <v>28</v>
      </c>
      <c r="M1334" s="3" t="s">
        <v>28</v>
      </c>
      <c r="N1334" s="3" t="s">
        <v>28</v>
      </c>
      <c r="O1334" s="3" t="s">
        <v>28</v>
      </c>
      <c r="P1334" s="3" t="s">
        <v>28</v>
      </c>
      <c r="Q1334" s="3" t="s">
        <v>28</v>
      </c>
      <c r="R1334" s="3" t="s">
        <v>28</v>
      </c>
      <c r="S1334" s="3" t="s">
        <v>27</v>
      </c>
      <c r="T1334" s="3" t="s">
        <v>27</v>
      </c>
    </row>
    <row r="1335" spans="1:20" ht="381.75">
      <c r="A1335" s="3">
        <v>2727718</v>
      </c>
      <c r="B1335" s="3">
        <f>HYPERLINK("https://platform.v2.vetology.net/cases/2727718/screening-report/6?type=pdf&amp;v=v6&amp;scorecard=1&amp;secret_key=BX%25IJ%24%2F65ieZ%29f6", 2727718)</f>
        <v>2727718</v>
      </c>
      <c r="C1335" s="3">
        <f>HYPERLINK("https://platform.v2.vetology.net/report/v/final/"&amp;2727718, 2727718)</f>
        <v>2727718</v>
      </c>
      <c r="D1335" s="3" t="s">
        <v>4846</v>
      </c>
      <c r="E1335" s="3" t="s">
        <v>4847</v>
      </c>
      <c r="F1335" s="3" t="s">
        <v>4848</v>
      </c>
      <c r="G1335" s="3" t="s">
        <v>186</v>
      </c>
      <c r="H1335" s="3" t="s">
        <v>304</v>
      </c>
      <c r="I1335" s="3" t="s">
        <v>305</v>
      </c>
      <c r="J1335" s="3" t="s">
        <v>119</v>
      </c>
      <c r="K1335" s="3" t="s">
        <v>28</v>
      </c>
      <c r="L1335" s="3" t="s">
        <v>28</v>
      </c>
      <c r="M1335" s="3" t="s">
        <v>28</v>
      </c>
      <c r="N1335" s="3" t="s">
        <v>28</v>
      </c>
      <c r="O1335" s="3" t="s">
        <v>28</v>
      </c>
      <c r="P1335" s="3" t="s">
        <v>28</v>
      </c>
      <c r="Q1335" s="3" t="s">
        <v>28</v>
      </c>
      <c r="R1335" s="3" t="s">
        <v>28</v>
      </c>
      <c r="S1335" s="3" t="s">
        <v>28</v>
      </c>
      <c r="T1335" s="3" t="s">
        <v>28</v>
      </c>
    </row>
    <row r="1336" spans="1:20" ht="396.75">
      <c r="A1336" s="3">
        <v>2727705</v>
      </c>
      <c r="B1336" s="3">
        <f>HYPERLINK("https://platform.v2.vetology.net/cases/2727705/screening-report/6?type=pdf&amp;v=v6&amp;scorecard=1&amp;secret_key=BX%25IJ%24%2F65ieZ%29f6", 2727705)</f>
        <v>2727705</v>
      </c>
      <c r="C1336" s="3">
        <f>HYPERLINK("https://platform.v2.vetology.net/report/v/final/"&amp;2727705, 2727705)</f>
        <v>2727705</v>
      </c>
      <c r="D1336" s="3" t="s">
        <v>4849</v>
      </c>
      <c r="E1336" s="3" t="s">
        <v>4850</v>
      </c>
      <c r="F1336" s="3" t="s">
        <v>4851</v>
      </c>
      <c r="G1336" s="3" t="s">
        <v>186</v>
      </c>
      <c r="H1336" s="3" t="s">
        <v>4852</v>
      </c>
      <c r="I1336" s="3" t="s">
        <v>2854</v>
      </c>
      <c r="J1336" s="3" t="s">
        <v>2855</v>
      </c>
      <c r="K1336" s="3" t="s">
        <v>28</v>
      </c>
      <c r="L1336" s="3" t="s">
        <v>28</v>
      </c>
      <c r="M1336" s="3" t="s">
        <v>28</v>
      </c>
      <c r="N1336" s="3" t="s">
        <v>28</v>
      </c>
      <c r="O1336" s="3" t="s">
        <v>27</v>
      </c>
      <c r="P1336" s="3" t="s">
        <v>28</v>
      </c>
      <c r="Q1336" s="3" t="s">
        <v>28</v>
      </c>
      <c r="R1336" s="3" t="s">
        <v>28</v>
      </c>
      <c r="S1336" s="3" t="s">
        <v>28</v>
      </c>
      <c r="T1336" s="3" t="s">
        <v>28</v>
      </c>
    </row>
    <row r="1337" spans="1:20" ht="409.6">
      <c r="A1337" s="3">
        <v>2727697</v>
      </c>
      <c r="B1337" s="3">
        <f>HYPERLINK("https://platform.v2.vetology.net/cases/2727697/screening-report/6?type=pdf&amp;v=v6&amp;scorecard=1&amp;secret_key=BX%25IJ%24%2F65ieZ%29f6", 2727697)</f>
        <v>2727697</v>
      </c>
      <c r="C1337" s="3">
        <f>HYPERLINK("https://platform.v2.vetology.net/report/v/final/"&amp;2727697, 2727697)</f>
        <v>2727697</v>
      </c>
      <c r="D1337" s="3" t="s">
        <v>4853</v>
      </c>
      <c r="E1337" s="3" t="s">
        <v>4854</v>
      </c>
      <c r="F1337" s="3" t="s">
        <v>4855</v>
      </c>
      <c r="G1337" s="3" t="s">
        <v>186</v>
      </c>
      <c r="H1337" s="3" t="s">
        <v>1591</v>
      </c>
      <c r="I1337" s="3" t="s">
        <v>1592</v>
      </c>
      <c r="J1337" s="3" t="s">
        <v>1593</v>
      </c>
      <c r="K1337" s="3" t="s">
        <v>28</v>
      </c>
      <c r="L1337" s="3" t="s">
        <v>28</v>
      </c>
      <c r="M1337" s="3" t="s">
        <v>27</v>
      </c>
      <c r="N1337" s="3" t="s">
        <v>28</v>
      </c>
      <c r="O1337" s="3" t="s">
        <v>27</v>
      </c>
      <c r="P1337" s="3" t="s">
        <v>28</v>
      </c>
      <c r="Q1337" s="3" t="s">
        <v>28</v>
      </c>
      <c r="R1337" s="3" t="s">
        <v>28</v>
      </c>
      <c r="S1337" s="3" t="s">
        <v>27</v>
      </c>
      <c r="T1337" s="3" t="s">
        <v>28</v>
      </c>
    </row>
    <row r="1338" spans="1:20" ht="381.75">
      <c r="A1338" s="3">
        <v>2727622</v>
      </c>
      <c r="B1338" s="3">
        <f>HYPERLINK("https://platform.v2.vetology.net/cases/2727622/screening-report/6?type=pdf&amp;v=v6&amp;scorecard=1&amp;secret_key=BX%25IJ%24%2F65ieZ%29f6", 2727622)</f>
        <v>2727622</v>
      </c>
      <c r="C1338" s="3">
        <f>HYPERLINK("https://platform.v2.vetology.net/report/v/final/"&amp;2727622, 2727622)</f>
        <v>2727622</v>
      </c>
      <c r="D1338" s="3" t="s">
        <v>4856</v>
      </c>
      <c r="E1338" s="3" t="s">
        <v>4857</v>
      </c>
      <c r="F1338" s="3" t="s">
        <v>4858</v>
      </c>
      <c r="G1338" s="3" t="s">
        <v>186</v>
      </c>
      <c r="H1338" s="3" t="s">
        <v>171</v>
      </c>
      <c r="I1338" s="3" t="s">
        <v>172</v>
      </c>
      <c r="J1338" s="3" t="s">
        <v>109</v>
      </c>
      <c r="K1338" s="3" t="s">
        <v>28</v>
      </c>
      <c r="L1338" s="3" t="s">
        <v>27</v>
      </c>
      <c r="M1338" s="3" t="s">
        <v>28</v>
      </c>
      <c r="N1338" s="3" t="s">
        <v>27</v>
      </c>
      <c r="O1338" s="3" t="s">
        <v>27</v>
      </c>
      <c r="P1338" s="3" t="s">
        <v>28</v>
      </c>
      <c r="Q1338" s="3" t="s">
        <v>28</v>
      </c>
      <c r="R1338" s="3" t="s">
        <v>27</v>
      </c>
      <c r="S1338" s="3" t="s">
        <v>27</v>
      </c>
      <c r="T1338" s="3" t="s">
        <v>27</v>
      </c>
    </row>
    <row r="1339" spans="1:20" ht="275.25">
      <c r="A1339" s="3">
        <v>2727596</v>
      </c>
      <c r="B1339" s="3">
        <f>HYPERLINK("https://platform.v2.vetology.net/cases/2727596/screening-report/6?type=pdf&amp;v=v6&amp;scorecard=1&amp;secret_key=BX%25IJ%24%2F65ieZ%29f6", 2727596)</f>
        <v>2727596</v>
      </c>
      <c r="C1339" s="3">
        <f>HYPERLINK("https://platform.v2.vetology.net/report/v/final/"&amp;2727596, 2727596)</f>
        <v>2727596</v>
      </c>
      <c r="D1339" s="3" t="s">
        <v>4859</v>
      </c>
      <c r="E1339" s="3" t="s">
        <v>4860</v>
      </c>
      <c r="F1339" s="3" t="s">
        <v>4861</v>
      </c>
      <c r="G1339" s="3" t="s">
        <v>186</v>
      </c>
      <c r="H1339" s="3" t="s">
        <v>4862</v>
      </c>
      <c r="I1339" s="3" t="s">
        <v>305</v>
      </c>
      <c r="J1339" s="3" t="s">
        <v>799</v>
      </c>
      <c r="K1339" s="3" t="s">
        <v>28</v>
      </c>
      <c r="L1339" s="3" t="s">
        <v>28</v>
      </c>
      <c r="M1339" s="3" t="s">
        <v>27</v>
      </c>
      <c r="N1339" s="3" t="s">
        <v>28</v>
      </c>
      <c r="O1339" s="3" t="s">
        <v>27</v>
      </c>
      <c r="P1339" s="3" t="s">
        <v>28</v>
      </c>
      <c r="Q1339" s="3" t="s">
        <v>27</v>
      </c>
      <c r="R1339" s="3" t="s">
        <v>28</v>
      </c>
      <c r="S1339" s="3" t="s">
        <v>28</v>
      </c>
      <c r="T1339" s="3" t="s">
        <v>28</v>
      </c>
    </row>
    <row r="1340" spans="1:20" ht="409.6">
      <c r="A1340" s="3">
        <v>2727595</v>
      </c>
      <c r="B1340" s="3">
        <f>HYPERLINK("https://platform.v2.vetology.net/cases/2727595/screening-report/6?type=pdf&amp;v=v6&amp;scorecard=1&amp;secret_key=BX%25IJ%24%2F65ieZ%29f6", 2727595)</f>
        <v>2727595</v>
      </c>
      <c r="C1340" s="3">
        <f>HYPERLINK("https://platform.v2.vetology.net/report/v/final/"&amp;2727595, 2727595)</f>
        <v>2727595</v>
      </c>
      <c r="D1340" s="3" t="s">
        <v>4863</v>
      </c>
      <c r="E1340" s="3" t="s">
        <v>4864</v>
      </c>
      <c r="F1340" s="3" t="s">
        <v>22</v>
      </c>
      <c r="G1340" s="3" t="s">
        <v>23</v>
      </c>
      <c r="H1340" s="3" t="s">
        <v>4865</v>
      </c>
      <c r="I1340" s="3" t="s">
        <v>1339</v>
      </c>
      <c r="J1340" s="3" t="s">
        <v>1340</v>
      </c>
      <c r="K1340" s="3" t="s">
        <v>28</v>
      </c>
      <c r="L1340" s="3" t="s">
        <v>28</v>
      </c>
      <c r="M1340" s="3" t="s">
        <v>28</v>
      </c>
      <c r="N1340" s="3" t="s">
        <v>28</v>
      </c>
      <c r="O1340" s="3" t="s">
        <v>27</v>
      </c>
      <c r="P1340" s="3" t="s">
        <v>28</v>
      </c>
      <c r="Q1340" s="3" t="s">
        <v>27</v>
      </c>
      <c r="R1340" s="3" t="s">
        <v>28</v>
      </c>
      <c r="S1340" s="3" t="s">
        <v>28</v>
      </c>
      <c r="T1340" s="3" t="s">
        <v>28</v>
      </c>
    </row>
    <row r="1341" spans="1:20" ht="351">
      <c r="A1341" s="3">
        <v>2727573</v>
      </c>
      <c r="B1341" s="3">
        <f>HYPERLINK("https://platform.v2.vetology.net/cases/2727573/screening-report/6?type=pdf&amp;v=v6&amp;scorecard=1&amp;secret_key=BX%25IJ%24%2F65ieZ%29f6", 2727573)</f>
        <v>2727573</v>
      </c>
      <c r="C1341" s="3">
        <f>HYPERLINK("https://platform.v2.vetology.net/report/v/final/"&amp;2727573, 2727573)</f>
        <v>2727573</v>
      </c>
      <c r="D1341" s="3" t="s">
        <v>4866</v>
      </c>
      <c r="E1341" s="3" t="s">
        <v>4867</v>
      </c>
      <c r="F1341" s="3" t="s">
        <v>4868</v>
      </c>
      <c r="G1341" s="3" t="s">
        <v>496</v>
      </c>
      <c r="H1341" s="3" t="s">
        <v>4869</v>
      </c>
      <c r="I1341" s="3" t="s">
        <v>606</v>
      </c>
      <c r="J1341" s="3" t="s">
        <v>207</v>
      </c>
      <c r="K1341" s="3" t="s">
        <v>28</v>
      </c>
      <c r="L1341" s="3" t="s">
        <v>27</v>
      </c>
      <c r="M1341" s="3" t="s">
        <v>28</v>
      </c>
      <c r="N1341" s="3" t="s">
        <v>27</v>
      </c>
      <c r="O1341" s="3" t="s">
        <v>27</v>
      </c>
      <c r="P1341" s="3" t="s">
        <v>28</v>
      </c>
      <c r="Q1341" s="3" t="s">
        <v>28</v>
      </c>
      <c r="R1341" s="3" t="s">
        <v>27</v>
      </c>
      <c r="S1341" s="3" t="s">
        <v>28</v>
      </c>
      <c r="T1341" s="3" t="s">
        <v>27</v>
      </c>
    </row>
    <row r="1342" spans="1:20" ht="244.5">
      <c r="A1342" s="3">
        <v>2727546</v>
      </c>
      <c r="B1342" s="3">
        <f>HYPERLINK("https://platform.v2.vetology.net/cases/2727546/screening-report/6?type=pdf&amp;v=v6&amp;scorecard=1&amp;secret_key=BX%25IJ%24%2F65ieZ%29f6", 2727546)</f>
        <v>2727546</v>
      </c>
      <c r="C1342" s="3">
        <f>HYPERLINK("https://platform.v2.vetology.net/report/v/final/"&amp;2727546, 2727546)</f>
        <v>2727546</v>
      </c>
      <c r="D1342" s="3" t="s">
        <v>4870</v>
      </c>
      <c r="E1342" s="3" t="s">
        <v>4871</v>
      </c>
      <c r="F1342" s="3" t="s">
        <v>1963</v>
      </c>
      <c r="G1342" s="3" t="s">
        <v>186</v>
      </c>
      <c r="H1342" s="3" t="s">
        <v>238</v>
      </c>
      <c r="I1342" s="3"/>
      <c r="J1342" s="3" t="s">
        <v>207</v>
      </c>
      <c r="K1342" s="3" t="s">
        <v>28</v>
      </c>
      <c r="L1342" s="3" t="s">
        <v>28</v>
      </c>
      <c r="M1342" s="3" t="s">
        <v>28</v>
      </c>
      <c r="N1342" s="3" t="s">
        <v>28</v>
      </c>
      <c r="O1342" s="3" t="s">
        <v>28</v>
      </c>
      <c r="P1342" s="3" t="s">
        <v>28</v>
      </c>
      <c r="Q1342" s="3" t="s">
        <v>28</v>
      </c>
      <c r="R1342" s="3" t="s">
        <v>28</v>
      </c>
      <c r="S1342" s="3" t="s">
        <v>28</v>
      </c>
      <c r="T1342" s="3" t="s">
        <v>27</v>
      </c>
    </row>
    <row r="1343" spans="1:20" ht="409.6">
      <c r="A1343" s="3">
        <v>2727516</v>
      </c>
      <c r="B1343" s="3">
        <f>HYPERLINK("https://platform.v2.vetology.net/cases/2727516/screening-report/6?type=pdf&amp;v=v6&amp;scorecard=1&amp;secret_key=BX%25IJ%24%2F65ieZ%29f6", 2727516)</f>
        <v>2727516</v>
      </c>
      <c r="C1343" s="3">
        <f>HYPERLINK("https://platform.v2.vetology.net/report/v/final/"&amp;2727516, 2727516)</f>
        <v>2727516</v>
      </c>
      <c r="D1343" s="3" t="s">
        <v>4872</v>
      </c>
      <c r="E1343" s="3" t="s">
        <v>4873</v>
      </c>
      <c r="F1343" s="3" t="s">
        <v>4874</v>
      </c>
      <c r="G1343" s="3" t="s">
        <v>64</v>
      </c>
      <c r="H1343" s="3" t="s">
        <v>315</v>
      </c>
      <c r="I1343" s="3" t="s">
        <v>316</v>
      </c>
      <c r="J1343" s="3" t="s">
        <v>317</v>
      </c>
      <c r="K1343" s="3" t="s">
        <v>28</v>
      </c>
      <c r="L1343" s="3" t="s">
        <v>28</v>
      </c>
      <c r="M1343" s="3" t="s">
        <v>28</v>
      </c>
      <c r="N1343" s="3" t="s">
        <v>28</v>
      </c>
      <c r="O1343" s="3" t="s">
        <v>27</v>
      </c>
      <c r="P1343" s="3" t="s">
        <v>28</v>
      </c>
      <c r="Q1343" s="3" t="s">
        <v>28</v>
      </c>
      <c r="R1343" s="3" t="s">
        <v>28</v>
      </c>
      <c r="S1343" s="3" t="s">
        <v>28</v>
      </c>
      <c r="T1343" s="3" t="s">
        <v>28</v>
      </c>
    </row>
    <row r="1344" spans="1:20" ht="244.5">
      <c r="A1344" s="3">
        <v>2727492</v>
      </c>
      <c r="B1344" s="3">
        <f>HYPERLINK("https://platform.v2.vetology.net/cases/2727492/screening-report/6?type=pdf&amp;v=v6&amp;scorecard=1&amp;secret_key=BX%25IJ%24%2F65ieZ%29f6", 2727492)</f>
        <v>2727492</v>
      </c>
      <c r="C1344" s="3">
        <f>HYPERLINK("https://platform.v2.vetology.net/report/v/final/"&amp;2727492, 2727492)</f>
        <v>2727492</v>
      </c>
      <c r="D1344" s="3" t="s">
        <v>4875</v>
      </c>
      <c r="E1344" s="3" t="s">
        <v>4876</v>
      </c>
      <c r="F1344" s="3" t="s">
        <v>277</v>
      </c>
      <c r="G1344" s="3" t="s">
        <v>186</v>
      </c>
      <c r="H1344" s="3" t="s">
        <v>4877</v>
      </c>
      <c r="I1344" s="3" t="s">
        <v>2024</v>
      </c>
      <c r="J1344" s="3" t="s">
        <v>207</v>
      </c>
      <c r="K1344" s="3" t="s">
        <v>28</v>
      </c>
      <c r="L1344" s="3" t="s">
        <v>28</v>
      </c>
      <c r="M1344" s="3" t="s">
        <v>28</v>
      </c>
      <c r="N1344" s="3" t="s">
        <v>28</v>
      </c>
      <c r="O1344" s="3" t="s">
        <v>27</v>
      </c>
      <c r="P1344" s="3" t="s">
        <v>28</v>
      </c>
      <c r="Q1344" s="3" t="s">
        <v>27</v>
      </c>
      <c r="R1344" s="3" t="s">
        <v>28</v>
      </c>
      <c r="S1344" s="3" t="s">
        <v>28</v>
      </c>
      <c r="T1344" s="3" t="s">
        <v>27</v>
      </c>
    </row>
    <row r="1345" spans="1:20" ht="409.6">
      <c r="A1345" s="3">
        <v>2727358</v>
      </c>
      <c r="B1345" s="3">
        <f>HYPERLINK("https://platform.v2.vetology.net/cases/2727358/screening-report/6?type=pdf&amp;v=v6&amp;scorecard=1&amp;secret_key=BX%25IJ%24%2F65ieZ%29f6", 2727358)</f>
        <v>2727358</v>
      </c>
      <c r="C1345" s="3">
        <f>HYPERLINK("https://platform.v2.vetology.net/report/v/final/"&amp;2727358, 2727358)</f>
        <v>2727358</v>
      </c>
      <c r="D1345" s="3" t="s">
        <v>4878</v>
      </c>
      <c r="E1345" s="3" t="s">
        <v>4879</v>
      </c>
      <c r="F1345" s="3" t="s">
        <v>4880</v>
      </c>
      <c r="G1345" s="3" t="s">
        <v>57</v>
      </c>
      <c r="H1345" s="3" t="s">
        <v>4881</v>
      </c>
      <c r="I1345" s="3" t="s">
        <v>1529</v>
      </c>
      <c r="J1345" s="3" t="s">
        <v>1530</v>
      </c>
      <c r="K1345" s="3" t="s">
        <v>27</v>
      </c>
      <c r="L1345" s="3" t="s">
        <v>27</v>
      </c>
      <c r="M1345" s="3" t="s">
        <v>28</v>
      </c>
      <c r="N1345" s="3" t="s">
        <v>28</v>
      </c>
      <c r="O1345" s="3" t="s">
        <v>27</v>
      </c>
      <c r="P1345" s="3" t="s">
        <v>28</v>
      </c>
      <c r="Q1345" s="3" t="s">
        <v>28</v>
      </c>
      <c r="R1345" s="3" t="s">
        <v>28</v>
      </c>
      <c r="S1345" s="3" t="s">
        <v>28</v>
      </c>
      <c r="T1345" s="3" t="s">
        <v>28</v>
      </c>
    </row>
    <row r="1346" spans="1:20" ht="351">
      <c r="A1346" s="3">
        <v>2727285</v>
      </c>
      <c r="B1346" s="3">
        <f>HYPERLINK("https://platform.v2.vetology.net/cases/2727285/screening-report/6?type=pdf&amp;v=v6&amp;scorecard=1&amp;secret_key=BX%25IJ%24%2F65ieZ%29f6", 2727285)</f>
        <v>2727285</v>
      </c>
      <c r="C1346" s="3">
        <f>HYPERLINK("https://platform.v2.vetology.net/report/v/final/"&amp;2727285, 2727285)</f>
        <v>2727285</v>
      </c>
      <c r="D1346" s="3" t="s">
        <v>4882</v>
      </c>
      <c r="E1346" s="3" t="s">
        <v>4883</v>
      </c>
      <c r="F1346" s="3" t="s">
        <v>3245</v>
      </c>
      <c r="G1346" s="3" t="s">
        <v>57</v>
      </c>
      <c r="H1346" s="3" t="s">
        <v>4884</v>
      </c>
      <c r="I1346" s="3" t="s">
        <v>4885</v>
      </c>
      <c r="J1346" s="3" t="s">
        <v>1021</v>
      </c>
      <c r="K1346" s="3" t="s">
        <v>27</v>
      </c>
      <c r="L1346" s="3" t="s">
        <v>28</v>
      </c>
      <c r="M1346" s="3" t="s">
        <v>27</v>
      </c>
      <c r="N1346" s="3" t="s">
        <v>28</v>
      </c>
      <c r="O1346" s="3" t="s">
        <v>27</v>
      </c>
      <c r="P1346" s="3" t="s">
        <v>28</v>
      </c>
      <c r="Q1346" s="3" t="s">
        <v>27</v>
      </c>
      <c r="R1346" s="3" t="s">
        <v>28</v>
      </c>
      <c r="S1346" s="3" t="s">
        <v>28</v>
      </c>
      <c r="T1346" s="3" t="s">
        <v>28</v>
      </c>
    </row>
    <row r="1347" spans="1:20" ht="366">
      <c r="A1347" s="3">
        <v>2727215</v>
      </c>
      <c r="B1347" s="3">
        <f>HYPERLINK("https://platform.v2.vetology.net/cases/2727215/screening-report/6?type=pdf&amp;v=v6&amp;scorecard=1&amp;secret_key=BX%25IJ%24%2F65ieZ%29f6", 2727215)</f>
        <v>2727215</v>
      </c>
      <c r="C1347" s="3">
        <f>HYPERLINK("https://platform.v2.vetology.net/report/v/final/"&amp;2727215, 2727215)</f>
        <v>2727215</v>
      </c>
      <c r="D1347" s="3" t="s">
        <v>4886</v>
      </c>
      <c r="E1347" s="3" t="s">
        <v>4887</v>
      </c>
      <c r="F1347" s="3" t="s">
        <v>3245</v>
      </c>
      <c r="G1347" s="3" t="s">
        <v>57</v>
      </c>
      <c r="H1347" s="3" t="s">
        <v>1597</v>
      </c>
      <c r="I1347" s="3" t="s">
        <v>32</v>
      </c>
      <c r="J1347" s="3" t="s">
        <v>119</v>
      </c>
      <c r="K1347" s="3" t="s">
        <v>28</v>
      </c>
      <c r="L1347" s="3" t="s">
        <v>28</v>
      </c>
      <c r="M1347" s="3" t="s">
        <v>28</v>
      </c>
      <c r="N1347" s="3" t="s">
        <v>28</v>
      </c>
      <c r="O1347" s="3" t="s">
        <v>27</v>
      </c>
      <c r="P1347" s="3" t="s">
        <v>28</v>
      </c>
      <c r="Q1347" s="3" t="s">
        <v>28</v>
      </c>
      <c r="R1347" s="3" t="s">
        <v>28</v>
      </c>
      <c r="S1347" s="3" t="s">
        <v>28</v>
      </c>
      <c r="T1347" s="3" t="s">
        <v>28</v>
      </c>
    </row>
    <row r="1348" spans="1:20" ht="409.6">
      <c r="A1348" s="3">
        <v>2727212</v>
      </c>
      <c r="B1348" s="3">
        <f>HYPERLINK("https://platform.v2.vetology.net/cases/2727212/screening-report/6?type=pdf&amp;v=v6&amp;scorecard=1&amp;secret_key=BX%25IJ%24%2F65ieZ%29f6", 2727212)</f>
        <v>2727212</v>
      </c>
      <c r="C1348" s="3">
        <f>HYPERLINK("https://platform.v2.vetology.net/report/v/final/"&amp;2727212, 2727212)</f>
        <v>2727212</v>
      </c>
      <c r="D1348" s="3" t="s">
        <v>4888</v>
      </c>
      <c r="E1348" s="3" t="s">
        <v>4889</v>
      </c>
      <c r="F1348" s="3" t="s">
        <v>4890</v>
      </c>
      <c r="G1348" s="3" t="s">
        <v>23</v>
      </c>
      <c r="H1348" s="3" t="s">
        <v>4891</v>
      </c>
      <c r="I1348" s="3" t="s">
        <v>678</v>
      </c>
      <c r="J1348" s="3" t="s">
        <v>679</v>
      </c>
      <c r="K1348" s="3" t="s">
        <v>28</v>
      </c>
      <c r="L1348" s="3" t="s">
        <v>27</v>
      </c>
      <c r="M1348" s="3" t="s">
        <v>28</v>
      </c>
      <c r="N1348" s="3" t="s">
        <v>27</v>
      </c>
      <c r="O1348" s="3" t="s">
        <v>27</v>
      </c>
      <c r="P1348" s="3" t="s">
        <v>28</v>
      </c>
      <c r="Q1348" s="3" t="s">
        <v>28</v>
      </c>
      <c r="R1348" s="3" t="s">
        <v>27</v>
      </c>
      <c r="S1348" s="3" t="s">
        <v>27</v>
      </c>
      <c r="T1348" s="3" t="s">
        <v>27</v>
      </c>
    </row>
    <row r="1349" spans="1:20" ht="409.6">
      <c r="A1349" s="3">
        <v>2727207</v>
      </c>
      <c r="B1349" s="3">
        <f>HYPERLINK("https://platform.v2.vetology.net/cases/2727207/screening-report/6?type=pdf&amp;v=v6&amp;scorecard=1&amp;secret_key=BX%25IJ%24%2F65ieZ%29f6", 2727207)</f>
        <v>2727207</v>
      </c>
      <c r="C1349" s="3">
        <f>HYPERLINK("https://platform.v2.vetology.net/report/v/final/"&amp;2727207, 2727207)</f>
        <v>2727207</v>
      </c>
      <c r="D1349" s="3" t="s">
        <v>4892</v>
      </c>
      <c r="E1349" s="3" t="s">
        <v>4893</v>
      </c>
      <c r="F1349" s="3" t="s">
        <v>22</v>
      </c>
      <c r="G1349" s="3" t="s">
        <v>23</v>
      </c>
      <c r="H1349" s="3" t="s">
        <v>683</v>
      </c>
      <c r="I1349" s="3" t="s">
        <v>32</v>
      </c>
      <c r="J1349" s="3" t="s">
        <v>578</v>
      </c>
      <c r="K1349" s="3" t="s">
        <v>27</v>
      </c>
      <c r="L1349" s="3" t="s">
        <v>28</v>
      </c>
      <c r="M1349" s="3" t="s">
        <v>28</v>
      </c>
      <c r="N1349" s="3" t="s">
        <v>28</v>
      </c>
      <c r="O1349" s="3" t="s">
        <v>27</v>
      </c>
      <c r="P1349" s="3" t="s">
        <v>28</v>
      </c>
      <c r="Q1349" s="3" t="s">
        <v>27</v>
      </c>
      <c r="R1349" s="3" t="s">
        <v>28</v>
      </c>
      <c r="S1349" s="3" t="s">
        <v>28</v>
      </c>
      <c r="T1349" s="3" t="s">
        <v>28</v>
      </c>
    </row>
    <row r="1350" spans="1:20" ht="351">
      <c r="A1350" s="3">
        <v>2727193</v>
      </c>
      <c r="B1350" s="3">
        <f>HYPERLINK("https://platform.v2.vetology.net/cases/2727193/screening-report/6?type=pdf&amp;v=v6&amp;scorecard=1&amp;secret_key=BX%25IJ%24%2F65ieZ%29f6", 2727193)</f>
        <v>2727193</v>
      </c>
      <c r="C1350" s="3">
        <f>HYPERLINK("https://platform.v2.vetology.net/report/v/final/"&amp;2727193, 2727193)</f>
        <v>2727193</v>
      </c>
      <c r="D1350" s="3" t="s">
        <v>4894</v>
      </c>
      <c r="E1350" s="3" t="s">
        <v>4895</v>
      </c>
      <c r="F1350" s="3" t="s">
        <v>4896</v>
      </c>
      <c r="G1350" s="3" t="s">
        <v>57</v>
      </c>
      <c r="H1350" s="3" t="s">
        <v>135</v>
      </c>
      <c r="I1350" s="3" t="s">
        <v>136</v>
      </c>
      <c r="J1350" s="3" t="s">
        <v>424</v>
      </c>
      <c r="K1350" s="3" t="s">
        <v>27</v>
      </c>
      <c r="L1350" s="3" t="s">
        <v>28</v>
      </c>
      <c r="M1350" s="3" t="s">
        <v>28</v>
      </c>
      <c r="N1350" s="3" t="s">
        <v>28</v>
      </c>
      <c r="O1350" s="3" t="s">
        <v>28</v>
      </c>
      <c r="P1350" s="3" t="s">
        <v>28</v>
      </c>
      <c r="Q1350" s="3" t="s">
        <v>28</v>
      </c>
      <c r="R1350" s="3" t="s">
        <v>28</v>
      </c>
      <c r="S1350" s="3" t="s">
        <v>28</v>
      </c>
      <c r="T1350" s="3" t="s">
        <v>27</v>
      </c>
    </row>
    <row r="1351" spans="1:20" ht="396.75">
      <c r="A1351" s="3">
        <v>2727182</v>
      </c>
      <c r="B1351" s="3">
        <f>HYPERLINK("https://platform.v2.vetology.net/cases/2727182/screening-report/6?type=pdf&amp;v=v6&amp;scorecard=1&amp;secret_key=BX%25IJ%24%2F65ieZ%29f6", 2727182)</f>
        <v>2727182</v>
      </c>
      <c r="C1351" s="3">
        <f>HYPERLINK("https://platform.v2.vetology.net/report/v/final/"&amp;2727182, 2727182)</f>
        <v>2727182</v>
      </c>
      <c r="D1351" s="3" t="s">
        <v>4897</v>
      </c>
      <c r="E1351" s="3" t="s">
        <v>4898</v>
      </c>
      <c r="F1351" s="3" t="s">
        <v>4899</v>
      </c>
      <c r="G1351" s="3" t="s">
        <v>57</v>
      </c>
      <c r="H1351" s="3" t="s">
        <v>31</v>
      </c>
      <c r="I1351" s="3" t="s">
        <v>32</v>
      </c>
      <c r="J1351" s="3" t="s">
        <v>33</v>
      </c>
      <c r="K1351" s="3" t="s">
        <v>28</v>
      </c>
      <c r="L1351" s="3" t="s">
        <v>28</v>
      </c>
      <c r="M1351" s="3" t="s">
        <v>28</v>
      </c>
      <c r="N1351" s="3" t="s">
        <v>28</v>
      </c>
      <c r="O1351" s="3" t="s">
        <v>28</v>
      </c>
      <c r="P1351" s="3" t="s">
        <v>28</v>
      </c>
      <c r="Q1351" s="3" t="s">
        <v>28</v>
      </c>
      <c r="R1351" s="3" t="s">
        <v>28</v>
      </c>
      <c r="S1351" s="3" t="s">
        <v>28</v>
      </c>
      <c r="T1351" s="3" t="s">
        <v>28</v>
      </c>
    </row>
    <row r="1352" spans="1:20" ht="409.6">
      <c r="A1352" s="3">
        <v>2727169</v>
      </c>
      <c r="B1352" s="3">
        <f>HYPERLINK("https://platform.v2.vetology.net/cases/2727169/screening-report/6?type=pdf&amp;v=v6&amp;scorecard=1&amp;secret_key=BX%25IJ%24%2F65ieZ%29f6", 2727169)</f>
        <v>2727169</v>
      </c>
      <c r="C1352" s="3">
        <f>HYPERLINK("https://platform.v2.vetology.net/report/v/final/"&amp;2727169, 2727169)</f>
        <v>2727169</v>
      </c>
      <c r="D1352" s="3" t="s">
        <v>4900</v>
      </c>
      <c r="E1352" s="3" t="s">
        <v>4901</v>
      </c>
      <c r="F1352" s="3" t="s">
        <v>4902</v>
      </c>
      <c r="G1352" s="3" t="s">
        <v>100</v>
      </c>
      <c r="H1352" s="3" t="s">
        <v>2058</v>
      </c>
      <c r="I1352" s="3" t="s">
        <v>357</v>
      </c>
      <c r="J1352" s="3" t="s">
        <v>358</v>
      </c>
      <c r="K1352" s="3" t="s">
        <v>28</v>
      </c>
      <c r="L1352" s="3" t="s">
        <v>28</v>
      </c>
      <c r="M1352" s="3" t="s">
        <v>27</v>
      </c>
      <c r="N1352" s="3" t="s">
        <v>27</v>
      </c>
      <c r="O1352" s="3" t="s">
        <v>28</v>
      </c>
      <c r="P1352" s="3" t="s">
        <v>28</v>
      </c>
      <c r="Q1352" s="3" t="s">
        <v>28</v>
      </c>
      <c r="R1352" s="3" t="s">
        <v>28</v>
      </c>
      <c r="S1352" s="3" t="s">
        <v>28</v>
      </c>
      <c r="T1352" s="3" t="s">
        <v>27</v>
      </c>
    </row>
    <row r="1353" spans="1:20" ht="396.75">
      <c r="A1353" s="3">
        <v>2727110</v>
      </c>
      <c r="B1353" s="3">
        <f>HYPERLINK("https://platform.v2.vetology.net/cases/2727110/screening-report/6?type=pdf&amp;v=v6&amp;scorecard=1&amp;secret_key=BX%25IJ%24%2F65ieZ%29f6", 2727110)</f>
        <v>2727110</v>
      </c>
      <c r="C1353" s="3">
        <f>HYPERLINK("https://platform.v2.vetology.net/report/v/final/"&amp;2727110, 2727110)</f>
        <v>2727110</v>
      </c>
      <c r="D1353" s="3" t="s">
        <v>4903</v>
      </c>
      <c r="E1353" s="3" t="s">
        <v>4904</v>
      </c>
      <c r="F1353" s="3" t="s">
        <v>4905</v>
      </c>
      <c r="G1353" s="3" t="s">
        <v>186</v>
      </c>
      <c r="H1353" s="3" t="s">
        <v>4906</v>
      </c>
      <c r="I1353" s="3" t="s">
        <v>469</v>
      </c>
      <c r="J1353" s="3" t="s">
        <v>470</v>
      </c>
      <c r="K1353" s="3" t="s">
        <v>28</v>
      </c>
      <c r="L1353" s="3" t="s">
        <v>28</v>
      </c>
      <c r="M1353" s="3" t="s">
        <v>28</v>
      </c>
      <c r="N1353" s="3" t="s">
        <v>28</v>
      </c>
      <c r="O1353" s="3" t="s">
        <v>27</v>
      </c>
      <c r="P1353" s="3" t="s">
        <v>27</v>
      </c>
      <c r="Q1353" s="3" t="s">
        <v>28</v>
      </c>
      <c r="R1353" s="3" t="s">
        <v>28</v>
      </c>
      <c r="S1353" s="3" t="s">
        <v>28</v>
      </c>
      <c r="T1353" s="3" t="s">
        <v>28</v>
      </c>
    </row>
    <row r="1354" spans="1:20" ht="351">
      <c r="A1354" s="3">
        <v>2727055</v>
      </c>
      <c r="B1354" s="3">
        <f>HYPERLINK("https://platform.v2.vetology.net/cases/2727055/screening-report/6?type=pdf&amp;v=v6&amp;scorecard=1&amp;secret_key=BX%25IJ%24%2F65ieZ%29f6", 2727055)</f>
        <v>2727055</v>
      </c>
      <c r="C1354" s="3">
        <f>HYPERLINK("https://platform.v2.vetology.net/report/v/final/"&amp;2727055, 2727055)</f>
        <v>2727055</v>
      </c>
      <c r="D1354" s="3" t="s">
        <v>4907</v>
      </c>
      <c r="E1354" s="3" t="s">
        <v>4908</v>
      </c>
      <c r="F1354" s="3"/>
      <c r="G1354" s="3" t="s">
        <v>122</v>
      </c>
      <c r="H1354" s="3" t="s">
        <v>4909</v>
      </c>
      <c r="I1354" s="3" t="s">
        <v>793</v>
      </c>
      <c r="J1354" s="3" t="s">
        <v>1439</v>
      </c>
      <c r="K1354" s="3" t="s">
        <v>28</v>
      </c>
      <c r="L1354" s="3" t="s">
        <v>28</v>
      </c>
      <c r="M1354" s="3" t="s">
        <v>28</v>
      </c>
      <c r="N1354" s="3" t="s">
        <v>28</v>
      </c>
      <c r="O1354" s="3" t="s">
        <v>27</v>
      </c>
      <c r="P1354" s="3" t="s">
        <v>28</v>
      </c>
      <c r="Q1354" s="3" t="s">
        <v>28</v>
      </c>
      <c r="R1354" s="3" t="s">
        <v>28</v>
      </c>
      <c r="S1354" s="3" t="s">
        <v>28</v>
      </c>
      <c r="T1354" s="3" t="s">
        <v>28</v>
      </c>
    </row>
    <row r="1355" spans="1:20" ht="351">
      <c r="A1355" s="3">
        <v>2726945</v>
      </c>
      <c r="B1355" s="3">
        <f>HYPERLINK("https://platform.v2.vetology.net/cases/2726945/screening-report/6?type=pdf&amp;v=v6&amp;scorecard=1&amp;secret_key=BX%25IJ%24%2F65ieZ%29f6", 2726945)</f>
        <v>2726945</v>
      </c>
      <c r="C1355" s="3">
        <f>HYPERLINK("https://platform.v2.vetology.net/report/v/final/"&amp;2726945, 2726945)</f>
        <v>2726945</v>
      </c>
      <c r="D1355" s="3" t="s">
        <v>4910</v>
      </c>
      <c r="E1355" s="3" t="s">
        <v>4911</v>
      </c>
      <c r="F1355" s="3" t="s">
        <v>22</v>
      </c>
      <c r="G1355" s="3" t="s">
        <v>23</v>
      </c>
      <c r="H1355" s="3" t="s">
        <v>2064</v>
      </c>
      <c r="I1355" s="3" t="s">
        <v>1472</v>
      </c>
      <c r="J1355" s="3" t="s">
        <v>1374</v>
      </c>
      <c r="K1355" s="3" t="s">
        <v>27</v>
      </c>
      <c r="L1355" s="3" t="s">
        <v>28</v>
      </c>
      <c r="M1355" s="3" t="s">
        <v>27</v>
      </c>
      <c r="N1355" s="3" t="s">
        <v>28</v>
      </c>
      <c r="O1355" s="3" t="s">
        <v>28</v>
      </c>
      <c r="P1355" s="3" t="s">
        <v>28</v>
      </c>
      <c r="Q1355" s="3" t="s">
        <v>28</v>
      </c>
      <c r="R1355" s="3" t="s">
        <v>28</v>
      </c>
      <c r="S1355" s="3" t="s">
        <v>28</v>
      </c>
      <c r="T1355" s="3" t="s">
        <v>28</v>
      </c>
    </row>
    <row r="1356" spans="1:20" ht="409.6">
      <c r="A1356" s="3">
        <v>2726921</v>
      </c>
      <c r="B1356" s="3">
        <f>HYPERLINK("https://platform.v2.vetology.net/cases/2726921/screening-report/6?type=pdf&amp;v=v6&amp;scorecard=1&amp;secret_key=BX%25IJ%24%2F65ieZ%29f6", 2726921)</f>
        <v>2726921</v>
      </c>
      <c r="C1356" s="3">
        <f>HYPERLINK("https://platform.v2.vetology.net/report/v/final/"&amp;2726921, 2726921)</f>
        <v>2726921</v>
      </c>
      <c r="D1356" s="3" t="s">
        <v>4912</v>
      </c>
      <c r="E1356" s="3" t="s">
        <v>4913</v>
      </c>
      <c r="F1356" s="3" t="s">
        <v>99</v>
      </c>
      <c r="G1356" s="3" t="s">
        <v>100</v>
      </c>
      <c r="H1356" s="3" t="s">
        <v>4914</v>
      </c>
      <c r="I1356" s="3" t="s">
        <v>4915</v>
      </c>
      <c r="J1356" s="3" t="s">
        <v>4916</v>
      </c>
      <c r="K1356" s="3" t="s">
        <v>28</v>
      </c>
      <c r="L1356" s="3" t="s">
        <v>27</v>
      </c>
      <c r="M1356" s="3" t="s">
        <v>27</v>
      </c>
      <c r="N1356" s="3" t="s">
        <v>27</v>
      </c>
      <c r="O1356" s="3" t="s">
        <v>28</v>
      </c>
      <c r="P1356" s="3" t="s">
        <v>28</v>
      </c>
      <c r="Q1356" s="3" t="s">
        <v>28</v>
      </c>
      <c r="R1356" s="3" t="s">
        <v>27</v>
      </c>
      <c r="S1356" s="3" t="s">
        <v>27</v>
      </c>
      <c r="T1356" s="3" t="s">
        <v>28</v>
      </c>
    </row>
    <row r="1357" spans="1:20" ht="259.5">
      <c r="A1357" s="3">
        <v>2726878</v>
      </c>
      <c r="B1357" s="3">
        <f>HYPERLINK("https://platform.v2.vetology.net/cases/2726878/screening-report/6?type=pdf&amp;v=v6&amp;scorecard=1&amp;secret_key=BX%25IJ%24%2F65ieZ%29f6", 2726878)</f>
        <v>2726878</v>
      </c>
      <c r="C1357" s="3">
        <f>HYPERLINK("https://platform.v2.vetology.net/report/v/final/"&amp;2726878, 2726878)</f>
        <v>2726878</v>
      </c>
      <c r="D1357" s="3" t="s">
        <v>4917</v>
      </c>
      <c r="E1357" s="3" t="s">
        <v>4918</v>
      </c>
      <c r="F1357" s="3" t="s">
        <v>4919</v>
      </c>
      <c r="G1357" s="3" t="s">
        <v>186</v>
      </c>
      <c r="H1357" s="3" t="s">
        <v>864</v>
      </c>
      <c r="I1357" s="3" t="s">
        <v>865</v>
      </c>
      <c r="J1357" s="3" t="s">
        <v>866</v>
      </c>
      <c r="K1357" s="3" t="s">
        <v>28</v>
      </c>
      <c r="L1357" s="3" t="s">
        <v>28</v>
      </c>
      <c r="M1357" s="3" t="s">
        <v>28</v>
      </c>
      <c r="N1357" s="3" t="s">
        <v>28</v>
      </c>
      <c r="O1357" s="3" t="s">
        <v>27</v>
      </c>
      <c r="P1357" s="3" t="s">
        <v>28</v>
      </c>
      <c r="Q1357" s="3" t="s">
        <v>28</v>
      </c>
      <c r="R1357" s="3" t="s">
        <v>28</v>
      </c>
      <c r="S1357" s="3" t="s">
        <v>28</v>
      </c>
      <c r="T1357" s="3" t="s">
        <v>28</v>
      </c>
    </row>
    <row r="1358" spans="1:20" ht="409.6">
      <c r="A1358" s="3">
        <v>2726869</v>
      </c>
      <c r="B1358" s="3">
        <f>HYPERLINK("https://platform.v2.vetology.net/cases/2726869/screening-report/6?type=pdf&amp;v=v6&amp;scorecard=1&amp;secret_key=BX%25IJ%24%2F65ieZ%29f6", 2726869)</f>
        <v>2726869</v>
      </c>
      <c r="C1358" s="3">
        <f>HYPERLINK("https://platform.v2.vetology.net/report/v/final/"&amp;2726869, 2726869)</f>
        <v>2726869</v>
      </c>
      <c r="D1358" s="3" t="s">
        <v>4920</v>
      </c>
      <c r="E1358" s="3" t="s">
        <v>4921</v>
      </c>
      <c r="F1358" s="3" t="s">
        <v>22</v>
      </c>
      <c r="G1358" s="3" t="s">
        <v>372</v>
      </c>
      <c r="H1358" s="3" t="s">
        <v>855</v>
      </c>
      <c r="I1358" s="3" t="s">
        <v>856</v>
      </c>
      <c r="J1358" s="3" t="s">
        <v>857</v>
      </c>
      <c r="K1358" s="3" t="s">
        <v>28</v>
      </c>
      <c r="L1358" s="3" t="s">
        <v>28</v>
      </c>
      <c r="M1358" s="3" t="s">
        <v>28</v>
      </c>
      <c r="N1358" s="3" t="s">
        <v>28</v>
      </c>
      <c r="O1358" s="3" t="s">
        <v>27</v>
      </c>
      <c r="P1358" s="3" t="s">
        <v>28</v>
      </c>
      <c r="Q1358" s="3" t="s">
        <v>28</v>
      </c>
      <c r="R1358" s="3" t="s">
        <v>28</v>
      </c>
      <c r="S1358" s="3" t="s">
        <v>28</v>
      </c>
      <c r="T1358" s="3" t="s">
        <v>28</v>
      </c>
    </row>
    <row r="1359" spans="1:20" ht="366">
      <c r="A1359" s="3">
        <v>2726848</v>
      </c>
      <c r="B1359" s="3">
        <f>HYPERLINK("https://platform.v2.vetology.net/cases/2726848/screening-report/6?type=pdf&amp;v=v6&amp;scorecard=1&amp;secret_key=BX%25IJ%24%2F65ieZ%29f6", 2726848)</f>
        <v>2726848</v>
      </c>
      <c r="C1359" s="3">
        <f>HYPERLINK("https://platform.v2.vetology.net/report/v/final/"&amp;2726848, 2726848)</f>
        <v>2726848</v>
      </c>
      <c r="D1359" s="3" t="s">
        <v>4922</v>
      </c>
      <c r="E1359" s="3" t="s">
        <v>4923</v>
      </c>
      <c r="F1359" s="3" t="s">
        <v>22</v>
      </c>
      <c r="G1359" s="3" t="s">
        <v>23</v>
      </c>
      <c r="H1359" s="3" t="s">
        <v>1271</v>
      </c>
      <c r="I1359" s="3" t="s">
        <v>883</v>
      </c>
      <c r="J1359" s="3" t="s">
        <v>884</v>
      </c>
      <c r="K1359" s="3" t="s">
        <v>28</v>
      </c>
      <c r="L1359" s="3" t="s">
        <v>28</v>
      </c>
      <c r="M1359" s="3" t="s">
        <v>28</v>
      </c>
      <c r="N1359" s="3" t="s">
        <v>28</v>
      </c>
      <c r="O1359" s="3" t="s">
        <v>28</v>
      </c>
      <c r="P1359" s="3" t="s">
        <v>28</v>
      </c>
      <c r="Q1359" s="3" t="s">
        <v>28</v>
      </c>
      <c r="R1359" s="3" t="s">
        <v>28</v>
      </c>
      <c r="S1359" s="3" t="s">
        <v>28</v>
      </c>
      <c r="T1359" s="3" t="s">
        <v>28</v>
      </c>
    </row>
    <row r="1360" spans="1:20" ht="409.6">
      <c r="A1360" s="3">
        <v>2726843</v>
      </c>
      <c r="B1360" s="3">
        <f>HYPERLINK("https://platform.v2.vetology.net/cases/2726843/screening-report/6?type=pdf&amp;v=v6&amp;scorecard=1&amp;secret_key=BX%25IJ%24%2F65ieZ%29f6", 2726843)</f>
        <v>2726843</v>
      </c>
      <c r="C1360" s="3">
        <f>HYPERLINK("https://platform.v2.vetology.net/report/v/final/"&amp;2726843, 2726843)</f>
        <v>2726843</v>
      </c>
      <c r="D1360" s="3" t="s">
        <v>4924</v>
      </c>
      <c r="E1360" s="3" t="s">
        <v>4925</v>
      </c>
      <c r="F1360" s="3" t="s">
        <v>22</v>
      </c>
      <c r="G1360" s="3" t="s">
        <v>23</v>
      </c>
      <c r="H1360" s="3" t="s">
        <v>31</v>
      </c>
      <c r="I1360" s="3" t="s">
        <v>32</v>
      </c>
      <c r="J1360" s="3" t="s">
        <v>33</v>
      </c>
      <c r="K1360" s="3" t="s">
        <v>28</v>
      </c>
      <c r="L1360" s="3" t="s">
        <v>28</v>
      </c>
      <c r="M1360" s="3" t="s">
        <v>28</v>
      </c>
      <c r="N1360" s="3" t="s">
        <v>28</v>
      </c>
      <c r="O1360" s="3" t="s">
        <v>27</v>
      </c>
      <c r="P1360" s="3" t="s">
        <v>28</v>
      </c>
      <c r="Q1360" s="3" t="s">
        <v>28</v>
      </c>
      <c r="R1360" s="3" t="s">
        <v>28</v>
      </c>
      <c r="S1360" s="3" t="s">
        <v>28</v>
      </c>
      <c r="T1360" s="3" t="s">
        <v>28</v>
      </c>
    </row>
    <row r="1361" spans="1:20" ht="409.6">
      <c r="A1361" s="3">
        <v>2726837</v>
      </c>
      <c r="B1361" s="3">
        <f>HYPERLINK("https://platform.v2.vetology.net/cases/2726837/screening-report/6?type=pdf&amp;v=v6&amp;scorecard=1&amp;secret_key=BX%25IJ%24%2F65ieZ%29f6", 2726837)</f>
        <v>2726837</v>
      </c>
      <c r="C1361" s="3">
        <f>HYPERLINK("https://platform.v2.vetology.net/report/v/final/"&amp;2726837, 2726837)</f>
        <v>2726837</v>
      </c>
      <c r="D1361" s="3" t="s">
        <v>4926</v>
      </c>
      <c r="E1361" s="3" t="s">
        <v>4927</v>
      </c>
      <c r="F1361" s="3" t="s">
        <v>4928</v>
      </c>
      <c r="G1361" s="3" t="s">
        <v>186</v>
      </c>
      <c r="H1361" s="3" t="s">
        <v>1046</v>
      </c>
      <c r="I1361" s="3" t="s">
        <v>59</v>
      </c>
      <c r="J1361" s="3" t="s">
        <v>60</v>
      </c>
      <c r="K1361" s="3" t="s">
        <v>28</v>
      </c>
      <c r="L1361" s="3" t="s">
        <v>28</v>
      </c>
      <c r="M1361" s="3" t="s">
        <v>28</v>
      </c>
      <c r="N1361" s="3" t="s">
        <v>28</v>
      </c>
      <c r="O1361" s="3" t="s">
        <v>27</v>
      </c>
      <c r="P1361" s="3" t="s">
        <v>28</v>
      </c>
      <c r="Q1361" s="3" t="s">
        <v>28</v>
      </c>
      <c r="R1361" s="3" t="s">
        <v>28</v>
      </c>
      <c r="S1361" s="3" t="s">
        <v>28</v>
      </c>
      <c r="T1361" s="3" t="s">
        <v>27</v>
      </c>
    </row>
    <row r="1362" spans="1:20" ht="381.75">
      <c r="A1362" s="3">
        <v>2726813</v>
      </c>
      <c r="B1362" s="3">
        <f>HYPERLINK("https://platform.v2.vetology.net/cases/2726813/screening-report/6?type=pdf&amp;v=v6&amp;scorecard=1&amp;secret_key=BX%25IJ%24%2F65ieZ%29f6", 2726813)</f>
        <v>2726813</v>
      </c>
      <c r="C1362" s="3">
        <f>HYPERLINK("https://platform.v2.vetology.net/report/v/final/"&amp;2726813, 2726813)</f>
        <v>2726813</v>
      </c>
      <c r="D1362" s="3" t="s">
        <v>4929</v>
      </c>
      <c r="E1362" s="3" t="s">
        <v>4930</v>
      </c>
      <c r="F1362" s="3" t="s">
        <v>4931</v>
      </c>
      <c r="G1362" s="3" t="s">
        <v>186</v>
      </c>
      <c r="H1362" s="3" t="s">
        <v>2096</v>
      </c>
      <c r="I1362" s="3" t="s">
        <v>856</v>
      </c>
      <c r="J1362" s="3" t="s">
        <v>857</v>
      </c>
      <c r="K1362" s="3" t="s">
        <v>27</v>
      </c>
      <c r="L1362" s="3" t="s">
        <v>28</v>
      </c>
      <c r="M1362" s="3" t="s">
        <v>28</v>
      </c>
      <c r="N1362" s="3" t="s">
        <v>28</v>
      </c>
      <c r="O1362" s="3" t="s">
        <v>27</v>
      </c>
      <c r="P1362" s="3" t="s">
        <v>28</v>
      </c>
      <c r="Q1362" s="3" t="s">
        <v>28</v>
      </c>
      <c r="R1362" s="3" t="s">
        <v>28</v>
      </c>
      <c r="S1362" s="3" t="s">
        <v>28</v>
      </c>
      <c r="T1362" s="3" t="s">
        <v>28</v>
      </c>
    </row>
    <row r="1363" spans="1:20" ht="321">
      <c r="A1363" s="3">
        <v>2726786</v>
      </c>
      <c r="B1363" s="3">
        <f>HYPERLINK("https://platform.v2.vetology.net/cases/2726786/screening-report/6?type=pdf&amp;v=v6&amp;scorecard=1&amp;secret_key=BX%25IJ%24%2F65ieZ%29f6", 2726786)</f>
        <v>2726786</v>
      </c>
      <c r="C1363" s="3">
        <f>HYPERLINK("https://platform.v2.vetology.net/report/v/final/"&amp;2726786, 2726786)</f>
        <v>2726786</v>
      </c>
      <c r="D1363" s="3" t="s">
        <v>4932</v>
      </c>
      <c r="E1363" s="3" t="s">
        <v>4933</v>
      </c>
      <c r="F1363" s="3" t="s">
        <v>4934</v>
      </c>
      <c r="G1363" s="3" t="s">
        <v>186</v>
      </c>
      <c r="H1363" s="3" t="s">
        <v>4935</v>
      </c>
      <c r="I1363" s="3" t="s">
        <v>4936</v>
      </c>
      <c r="J1363" s="3" t="s">
        <v>4937</v>
      </c>
      <c r="K1363" s="3" t="s">
        <v>27</v>
      </c>
      <c r="L1363" s="3" t="s">
        <v>28</v>
      </c>
      <c r="M1363" s="3" t="s">
        <v>28</v>
      </c>
      <c r="N1363" s="3" t="s">
        <v>28</v>
      </c>
      <c r="O1363" s="3" t="s">
        <v>27</v>
      </c>
      <c r="P1363" s="3" t="s">
        <v>28</v>
      </c>
      <c r="Q1363" s="3" t="s">
        <v>27</v>
      </c>
      <c r="R1363" s="3" t="s">
        <v>28</v>
      </c>
      <c r="S1363" s="3" t="s">
        <v>28</v>
      </c>
      <c r="T1363" s="3" t="s">
        <v>28</v>
      </c>
    </row>
    <row r="1364" spans="1:20" ht="409.6">
      <c r="A1364" s="3">
        <v>2726774</v>
      </c>
      <c r="B1364" s="3">
        <f>HYPERLINK("https://platform.v2.vetology.net/cases/2726774/screening-report/6?type=pdf&amp;v=v6&amp;scorecard=1&amp;secret_key=BX%25IJ%24%2F65ieZ%29f6", 2726774)</f>
        <v>2726774</v>
      </c>
      <c r="C1364" s="3">
        <f>HYPERLINK("https://platform.v2.vetology.net/report/v/final/"&amp;2726774, 2726774)</f>
        <v>2726774</v>
      </c>
      <c r="D1364" s="3" t="s">
        <v>4938</v>
      </c>
      <c r="E1364" s="3" t="s">
        <v>4939</v>
      </c>
      <c r="F1364" s="3" t="s">
        <v>4940</v>
      </c>
      <c r="G1364" s="3" t="s">
        <v>64</v>
      </c>
      <c r="H1364" s="3" t="s">
        <v>2962</v>
      </c>
      <c r="I1364" s="3" t="s">
        <v>2963</v>
      </c>
      <c r="J1364" s="3" t="s">
        <v>2964</v>
      </c>
      <c r="K1364" s="3" t="s">
        <v>27</v>
      </c>
      <c r="L1364" s="3" t="s">
        <v>28</v>
      </c>
      <c r="M1364" s="3" t="s">
        <v>28</v>
      </c>
      <c r="N1364" s="3" t="s">
        <v>28</v>
      </c>
      <c r="O1364" s="3" t="s">
        <v>27</v>
      </c>
      <c r="P1364" s="3" t="s">
        <v>28</v>
      </c>
      <c r="Q1364" s="3" t="s">
        <v>27</v>
      </c>
      <c r="R1364" s="3" t="s">
        <v>28</v>
      </c>
      <c r="S1364" s="3" t="s">
        <v>28</v>
      </c>
      <c r="T1364" s="3" t="s">
        <v>28</v>
      </c>
    </row>
    <row r="1365" spans="1:20" ht="351">
      <c r="A1365" s="3">
        <v>2726651</v>
      </c>
      <c r="B1365" s="3">
        <f>HYPERLINK("https://platform.v2.vetology.net/cases/2726651/screening-report/6?type=pdf&amp;v=v6&amp;scorecard=1&amp;secret_key=BX%25IJ%24%2F65ieZ%29f6", 2726651)</f>
        <v>2726651</v>
      </c>
      <c r="C1365" s="3">
        <f>HYPERLINK("https://platform.v2.vetology.net/report/v/final/"&amp;2726651, 2726651)</f>
        <v>2726651</v>
      </c>
      <c r="D1365" s="3" t="s">
        <v>4941</v>
      </c>
      <c r="E1365" s="3" t="s">
        <v>1230</v>
      </c>
      <c r="F1365" s="3" t="s">
        <v>1049</v>
      </c>
      <c r="G1365" s="3" t="s">
        <v>100</v>
      </c>
      <c r="H1365" s="3" t="s">
        <v>2064</v>
      </c>
      <c r="I1365" s="3" t="s">
        <v>1472</v>
      </c>
      <c r="J1365" s="3" t="s">
        <v>1374</v>
      </c>
      <c r="K1365" s="3" t="s">
        <v>27</v>
      </c>
      <c r="L1365" s="3" t="s">
        <v>28</v>
      </c>
      <c r="M1365" s="3" t="s">
        <v>27</v>
      </c>
      <c r="N1365" s="3" t="s">
        <v>28</v>
      </c>
      <c r="O1365" s="3" t="s">
        <v>27</v>
      </c>
      <c r="P1365" s="3" t="s">
        <v>28</v>
      </c>
      <c r="Q1365" s="3" t="s">
        <v>28</v>
      </c>
      <c r="R1365" s="3" t="s">
        <v>28</v>
      </c>
      <c r="S1365" s="3" t="s">
        <v>28</v>
      </c>
      <c r="T1365" s="3" t="s">
        <v>28</v>
      </c>
    </row>
    <row r="1366" spans="1:20" ht="229.5">
      <c r="A1366" s="3">
        <v>2726605</v>
      </c>
      <c r="B1366" s="3">
        <f>HYPERLINK("https://platform.v2.vetology.net/cases/2726605/screening-report/6?type=pdf&amp;v=v6&amp;scorecard=1&amp;secret_key=BX%25IJ%24%2F65ieZ%29f6", 2726605)</f>
        <v>2726605</v>
      </c>
      <c r="C1366" s="3">
        <f>HYPERLINK("https://platform.v2.vetology.net/report/v/final/"&amp;2726605, 2726605)</f>
        <v>2726605</v>
      </c>
      <c r="D1366" s="3" t="s">
        <v>4942</v>
      </c>
      <c r="E1366" s="3" t="s">
        <v>4943</v>
      </c>
      <c r="F1366" s="3"/>
      <c r="G1366" s="3" t="s">
        <v>122</v>
      </c>
      <c r="H1366" s="3" t="s">
        <v>238</v>
      </c>
      <c r="I1366" s="3"/>
      <c r="J1366" s="3" t="s">
        <v>207</v>
      </c>
      <c r="K1366" s="3" t="s">
        <v>28</v>
      </c>
      <c r="L1366" s="3" t="s">
        <v>28</v>
      </c>
      <c r="M1366" s="3" t="s">
        <v>28</v>
      </c>
      <c r="N1366" s="3" t="s">
        <v>28</v>
      </c>
      <c r="O1366" s="3" t="s">
        <v>27</v>
      </c>
      <c r="P1366" s="3" t="s">
        <v>28</v>
      </c>
      <c r="Q1366" s="3" t="s">
        <v>28</v>
      </c>
      <c r="R1366" s="3" t="s">
        <v>28</v>
      </c>
      <c r="S1366" s="3" t="s">
        <v>28</v>
      </c>
      <c r="T1366" s="3" t="s">
        <v>28</v>
      </c>
    </row>
    <row r="1367" spans="1:20" ht="409.6">
      <c r="A1367" s="3">
        <v>2726593</v>
      </c>
      <c r="B1367" s="3">
        <f>HYPERLINK("https://platform.v2.vetology.net/cases/2726593/screening-report/6?type=pdf&amp;v=v6&amp;scorecard=1&amp;secret_key=BX%25IJ%24%2F65ieZ%29f6", 2726593)</f>
        <v>2726593</v>
      </c>
      <c r="C1367" s="3">
        <f>HYPERLINK("https://platform.v2.vetology.net/report/v/final/"&amp;2726593, 2726593)</f>
        <v>2726593</v>
      </c>
      <c r="D1367" s="3" t="s">
        <v>4944</v>
      </c>
      <c r="E1367" s="3" t="s">
        <v>4945</v>
      </c>
      <c r="F1367" s="3" t="s">
        <v>4946</v>
      </c>
      <c r="G1367" s="3" t="s">
        <v>211</v>
      </c>
      <c r="H1367" s="3" t="s">
        <v>1117</v>
      </c>
      <c r="I1367" s="3" t="s">
        <v>1118</v>
      </c>
      <c r="J1367" s="3" t="s">
        <v>1119</v>
      </c>
      <c r="K1367" s="3" t="s">
        <v>28</v>
      </c>
      <c r="L1367" s="3" t="s">
        <v>28</v>
      </c>
      <c r="M1367" s="3" t="s">
        <v>27</v>
      </c>
      <c r="N1367" s="3" t="s">
        <v>28</v>
      </c>
      <c r="O1367" s="3" t="s">
        <v>27</v>
      </c>
      <c r="P1367" s="3" t="s">
        <v>28</v>
      </c>
      <c r="Q1367" s="3" t="s">
        <v>28</v>
      </c>
      <c r="R1367" s="3" t="s">
        <v>28</v>
      </c>
      <c r="S1367" s="3" t="s">
        <v>28</v>
      </c>
      <c r="T1367" s="3" t="s">
        <v>27</v>
      </c>
    </row>
    <row r="1368" spans="1:20" ht="409.6">
      <c r="A1368" s="3">
        <v>2726572</v>
      </c>
      <c r="B1368" s="3">
        <f>HYPERLINK("https://platform.v2.vetology.net/cases/2726572/screening-report/6?type=pdf&amp;v=v6&amp;scorecard=1&amp;secret_key=BX%25IJ%24%2F65ieZ%29f6", 2726572)</f>
        <v>2726572</v>
      </c>
      <c r="C1368" s="3">
        <f>HYPERLINK("https://platform.v2.vetology.net/report/v/final/"&amp;2726572, 2726572)</f>
        <v>2726572</v>
      </c>
      <c r="D1368" s="3" t="s">
        <v>4947</v>
      </c>
      <c r="E1368" s="3" t="s">
        <v>4948</v>
      </c>
      <c r="F1368" s="3" t="s">
        <v>1049</v>
      </c>
      <c r="G1368" s="3" t="s">
        <v>100</v>
      </c>
      <c r="H1368" s="3" t="s">
        <v>4949</v>
      </c>
      <c r="I1368" s="3" t="s">
        <v>1688</v>
      </c>
      <c r="J1368" s="3" t="s">
        <v>207</v>
      </c>
      <c r="K1368" s="3" t="s">
        <v>27</v>
      </c>
      <c r="L1368" s="3" t="s">
        <v>28</v>
      </c>
      <c r="M1368" s="3" t="s">
        <v>27</v>
      </c>
      <c r="N1368" s="3" t="s">
        <v>28</v>
      </c>
      <c r="O1368" s="3" t="s">
        <v>27</v>
      </c>
      <c r="P1368" s="3" t="s">
        <v>28</v>
      </c>
      <c r="Q1368" s="3" t="s">
        <v>27</v>
      </c>
      <c r="R1368" s="3" t="s">
        <v>28</v>
      </c>
      <c r="S1368" s="3" t="s">
        <v>28</v>
      </c>
      <c r="T1368" s="3" t="s">
        <v>27</v>
      </c>
    </row>
    <row r="1369" spans="1:20" ht="409.6">
      <c r="A1369" s="3">
        <v>2726448</v>
      </c>
      <c r="B1369" s="3">
        <f>HYPERLINK("https://platform.v2.vetology.net/cases/2726448/screening-report/6?type=pdf&amp;v=v6&amp;scorecard=1&amp;secret_key=BX%25IJ%24%2F65ieZ%29f6", 2726448)</f>
        <v>2726448</v>
      </c>
      <c r="C1369" s="3">
        <f>HYPERLINK("https://platform.v2.vetology.net/report/v/final/"&amp;2726448, 2726448)</f>
        <v>2726448</v>
      </c>
      <c r="D1369" s="3" t="s">
        <v>4950</v>
      </c>
      <c r="E1369" s="3" t="s">
        <v>4951</v>
      </c>
      <c r="F1369" s="3" t="s">
        <v>4952</v>
      </c>
      <c r="G1369" s="3" t="s">
        <v>211</v>
      </c>
      <c r="H1369" s="3" t="s">
        <v>4953</v>
      </c>
      <c r="I1369" s="3" t="s">
        <v>659</v>
      </c>
      <c r="J1369" s="3" t="s">
        <v>660</v>
      </c>
      <c r="K1369" s="3" t="s">
        <v>28</v>
      </c>
      <c r="L1369" s="3" t="s">
        <v>28</v>
      </c>
      <c r="M1369" s="3" t="s">
        <v>28</v>
      </c>
      <c r="N1369" s="3" t="s">
        <v>28</v>
      </c>
      <c r="O1369" s="3" t="s">
        <v>27</v>
      </c>
      <c r="P1369" s="3" t="s">
        <v>28</v>
      </c>
      <c r="Q1369" s="3" t="s">
        <v>28</v>
      </c>
      <c r="R1369" s="3" t="s">
        <v>28</v>
      </c>
      <c r="S1369" s="3" t="s">
        <v>28</v>
      </c>
      <c r="T1369" s="3" t="s">
        <v>28</v>
      </c>
    </row>
    <row r="1370" spans="1:20" ht="321">
      <c r="A1370" s="3">
        <v>2726437</v>
      </c>
      <c r="B1370" s="3">
        <f>HYPERLINK("https://platform.v2.vetology.net/cases/2726437/screening-report/6?type=pdf&amp;v=v6&amp;scorecard=1&amp;secret_key=BX%25IJ%24%2F65ieZ%29f6", 2726437)</f>
        <v>2726437</v>
      </c>
      <c r="C1370" s="3">
        <f>HYPERLINK("https://platform.v2.vetology.net/report/v/final/"&amp;2726437, 2726437)</f>
        <v>2726437</v>
      </c>
      <c r="D1370" s="3" t="s">
        <v>4954</v>
      </c>
      <c r="E1370" s="3" t="s">
        <v>4955</v>
      </c>
      <c r="F1370" s="3" t="s">
        <v>22</v>
      </c>
      <c r="G1370" s="3" t="s">
        <v>23</v>
      </c>
      <c r="H1370" s="3" t="s">
        <v>31</v>
      </c>
      <c r="I1370" s="3" t="s">
        <v>32</v>
      </c>
      <c r="J1370" s="3" t="s">
        <v>1566</v>
      </c>
      <c r="K1370" s="3" t="s">
        <v>28</v>
      </c>
      <c r="L1370" s="3" t="s">
        <v>28</v>
      </c>
      <c r="M1370" s="3" t="s">
        <v>28</v>
      </c>
      <c r="N1370" s="3" t="s">
        <v>28</v>
      </c>
      <c r="O1370" s="3" t="s">
        <v>27</v>
      </c>
      <c r="P1370" s="3" t="s">
        <v>28</v>
      </c>
      <c r="Q1370" s="3" t="s">
        <v>28</v>
      </c>
      <c r="R1370" s="3" t="s">
        <v>28</v>
      </c>
      <c r="S1370" s="3" t="s">
        <v>28</v>
      </c>
      <c r="T1370" s="3" t="s">
        <v>28</v>
      </c>
    </row>
    <row r="1371" spans="1:20" ht="229.5">
      <c r="A1371" s="3">
        <v>2726432</v>
      </c>
      <c r="B1371" s="3">
        <f>HYPERLINK("https://platform.v2.vetology.net/cases/2726432/screening-report/6?type=pdf&amp;v=v6&amp;scorecard=1&amp;secret_key=BX%25IJ%24%2F65ieZ%29f6", 2726432)</f>
        <v>2726432</v>
      </c>
      <c r="C1371" s="3">
        <f>HYPERLINK("https://platform.v2.vetology.net/report/v/final/"&amp;2726432, 2726432)</f>
        <v>2726432</v>
      </c>
      <c r="D1371" s="3" t="s">
        <v>4956</v>
      </c>
      <c r="E1371" s="3" t="s">
        <v>4957</v>
      </c>
      <c r="F1371" s="3" t="s">
        <v>4958</v>
      </c>
      <c r="G1371" s="3" t="s">
        <v>186</v>
      </c>
      <c r="H1371" s="3" t="s">
        <v>4211</v>
      </c>
      <c r="I1371" s="3" t="s">
        <v>3369</v>
      </c>
      <c r="J1371" s="3" t="s">
        <v>207</v>
      </c>
      <c r="K1371" s="3" t="s">
        <v>28</v>
      </c>
      <c r="L1371" s="3" t="s">
        <v>28</v>
      </c>
      <c r="M1371" s="3" t="s">
        <v>28</v>
      </c>
      <c r="N1371" s="3" t="s">
        <v>28</v>
      </c>
      <c r="O1371" s="3" t="s">
        <v>27</v>
      </c>
      <c r="P1371" s="3" t="s">
        <v>28</v>
      </c>
      <c r="Q1371" s="3" t="s">
        <v>28</v>
      </c>
      <c r="R1371" s="3" t="s">
        <v>28</v>
      </c>
      <c r="S1371" s="3" t="s">
        <v>28</v>
      </c>
      <c r="T1371" s="3" t="s">
        <v>28</v>
      </c>
    </row>
    <row r="1372" spans="1:20" ht="381.75">
      <c r="A1372" s="3">
        <v>2726389</v>
      </c>
      <c r="B1372" s="3">
        <f>HYPERLINK("https://platform.v2.vetology.net/cases/2726389/screening-report/6?type=pdf&amp;v=v6&amp;scorecard=1&amp;secret_key=BX%25IJ%24%2F65ieZ%29f6", 2726389)</f>
        <v>2726389</v>
      </c>
      <c r="C1372" s="3">
        <f>HYPERLINK("https://platform.v2.vetology.net/report/v/final/"&amp;2726389, 2726389)</f>
        <v>2726389</v>
      </c>
      <c r="D1372" s="3" t="s">
        <v>4959</v>
      </c>
      <c r="E1372" s="3" t="s">
        <v>4960</v>
      </c>
      <c r="F1372" s="3" t="s">
        <v>22</v>
      </c>
      <c r="G1372" s="3" t="s">
        <v>23</v>
      </c>
      <c r="H1372" s="3" t="s">
        <v>1905</v>
      </c>
      <c r="I1372" s="3" t="s">
        <v>37</v>
      </c>
      <c r="J1372" s="3" t="s">
        <v>38</v>
      </c>
      <c r="K1372" s="3" t="s">
        <v>28</v>
      </c>
      <c r="L1372" s="3" t="s">
        <v>28</v>
      </c>
      <c r="M1372" s="3" t="s">
        <v>28</v>
      </c>
      <c r="N1372" s="3" t="s">
        <v>28</v>
      </c>
      <c r="O1372" s="3" t="s">
        <v>28</v>
      </c>
      <c r="P1372" s="3" t="s">
        <v>28</v>
      </c>
      <c r="Q1372" s="3" t="s">
        <v>28</v>
      </c>
      <c r="R1372" s="3" t="s">
        <v>28</v>
      </c>
      <c r="S1372" s="3" t="s">
        <v>28</v>
      </c>
      <c r="T1372" s="3" t="s">
        <v>28</v>
      </c>
    </row>
    <row r="1373" spans="1:20" ht="305.25">
      <c r="A1373" s="3">
        <v>2726320</v>
      </c>
      <c r="B1373" s="3">
        <f>HYPERLINK("https://platform.v2.vetology.net/cases/2726320/screening-report/6?type=pdf&amp;v=v6&amp;scorecard=1&amp;secret_key=BX%25IJ%24%2F65ieZ%29f6", 2726320)</f>
        <v>2726320</v>
      </c>
      <c r="C1373" s="3">
        <f>HYPERLINK("https://platform.v2.vetology.net/report/v/final/"&amp;2726320, 2726320)</f>
        <v>2726320</v>
      </c>
      <c r="D1373" s="3" t="s">
        <v>4961</v>
      </c>
      <c r="E1373" s="3" t="s">
        <v>1089</v>
      </c>
      <c r="F1373" s="3" t="s">
        <v>1090</v>
      </c>
      <c r="G1373" s="3" t="s">
        <v>100</v>
      </c>
      <c r="H1373" s="3" t="s">
        <v>4688</v>
      </c>
      <c r="I1373" s="3" t="s">
        <v>1070</v>
      </c>
      <c r="J1373" s="3" t="s">
        <v>207</v>
      </c>
      <c r="K1373" s="3" t="s">
        <v>28</v>
      </c>
      <c r="L1373" s="3" t="s">
        <v>28</v>
      </c>
      <c r="M1373" s="3" t="s">
        <v>28</v>
      </c>
      <c r="N1373" s="3" t="s">
        <v>28</v>
      </c>
      <c r="O1373" s="3" t="s">
        <v>27</v>
      </c>
      <c r="P1373" s="3" t="s">
        <v>28</v>
      </c>
      <c r="Q1373" s="3" t="s">
        <v>28</v>
      </c>
      <c r="R1373" s="3" t="s">
        <v>28</v>
      </c>
      <c r="S1373" s="3" t="s">
        <v>28</v>
      </c>
      <c r="T1373" s="3" t="s">
        <v>28</v>
      </c>
    </row>
    <row r="1374" spans="1:20" ht="396.75">
      <c r="A1374" s="3">
        <v>2726309</v>
      </c>
      <c r="B1374" s="3">
        <f>HYPERLINK("https://platform.v2.vetology.net/cases/2726309/screening-report/6?type=pdf&amp;v=v6&amp;scorecard=1&amp;secret_key=BX%25IJ%24%2F65ieZ%29f6", 2726309)</f>
        <v>2726309</v>
      </c>
      <c r="C1374" s="3">
        <f>HYPERLINK("https://platform.v2.vetology.net/report/v/final/"&amp;2726309, 2726309)</f>
        <v>2726309</v>
      </c>
      <c r="D1374" s="3" t="s">
        <v>4962</v>
      </c>
      <c r="E1374" s="3" t="s">
        <v>4963</v>
      </c>
      <c r="F1374" s="3" t="s">
        <v>4964</v>
      </c>
      <c r="G1374" s="3" t="s">
        <v>179</v>
      </c>
      <c r="H1374" s="3" t="s">
        <v>4965</v>
      </c>
      <c r="I1374" s="3" t="s">
        <v>2565</v>
      </c>
      <c r="J1374" s="3" t="s">
        <v>2566</v>
      </c>
      <c r="K1374" s="3" t="s">
        <v>28</v>
      </c>
      <c r="L1374" s="3" t="s">
        <v>27</v>
      </c>
      <c r="M1374" s="3" t="s">
        <v>28</v>
      </c>
      <c r="N1374" s="3" t="s">
        <v>27</v>
      </c>
      <c r="O1374" s="3" t="s">
        <v>27</v>
      </c>
      <c r="P1374" s="3" t="s">
        <v>28</v>
      </c>
      <c r="Q1374" s="3" t="s">
        <v>27</v>
      </c>
      <c r="R1374" s="3" t="s">
        <v>28</v>
      </c>
      <c r="S1374" s="3" t="s">
        <v>27</v>
      </c>
      <c r="T1374" s="3" t="s">
        <v>27</v>
      </c>
    </row>
    <row r="1375" spans="1:20" ht="366">
      <c r="A1375" s="3">
        <v>2726273</v>
      </c>
      <c r="B1375" s="3">
        <f>HYPERLINK("https://platform.v2.vetology.net/cases/2726273/screening-report/6?type=pdf&amp;v=v6&amp;scorecard=1&amp;secret_key=BX%25IJ%24%2F65ieZ%29f6", 2726273)</f>
        <v>2726273</v>
      </c>
      <c r="C1375" s="3">
        <f>HYPERLINK("https://platform.v2.vetology.net/report/v/final/"&amp;2726273, 2726273)</f>
        <v>2726273</v>
      </c>
      <c r="D1375" s="3" t="s">
        <v>4966</v>
      </c>
      <c r="E1375" s="3" t="s">
        <v>4967</v>
      </c>
      <c r="F1375" s="3" t="s">
        <v>4968</v>
      </c>
      <c r="G1375" s="3" t="s">
        <v>186</v>
      </c>
      <c r="H1375" s="3" t="s">
        <v>212</v>
      </c>
      <c r="I1375" s="3" t="s">
        <v>213</v>
      </c>
      <c r="J1375" s="3" t="s">
        <v>214</v>
      </c>
      <c r="K1375" s="3" t="s">
        <v>28</v>
      </c>
      <c r="L1375" s="3" t="s">
        <v>28</v>
      </c>
      <c r="M1375" s="3" t="s">
        <v>28</v>
      </c>
      <c r="N1375" s="3" t="s">
        <v>28</v>
      </c>
      <c r="O1375" s="3" t="s">
        <v>27</v>
      </c>
      <c r="P1375" s="3" t="s">
        <v>28</v>
      </c>
      <c r="Q1375" s="3" t="s">
        <v>28</v>
      </c>
      <c r="R1375" s="3" t="s">
        <v>28</v>
      </c>
      <c r="S1375" s="3" t="s">
        <v>28</v>
      </c>
      <c r="T1375" s="3" t="s">
        <v>28</v>
      </c>
    </row>
    <row r="1376" spans="1:20" ht="409.6">
      <c r="A1376" s="3">
        <v>2726243</v>
      </c>
      <c r="B1376" s="3">
        <f>HYPERLINK("https://platform.v2.vetology.net/cases/2726243/screening-report/6?type=pdf&amp;v=v6&amp;scorecard=1&amp;secret_key=BX%25IJ%24%2F65ieZ%29f6", 2726243)</f>
        <v>2726243</v>
      </c>
      <c r="C1376" s="3">
        <f>HYPERLINK("https://platform.v2.vetology.net/report/v/final/"&amp;2726243, 2726243)</f>
        <v>2726243</v>
      </c>
      <c r="D1376" s="3" t="s">
        <v>4969</v>
      </c>
      <c r="E1376" s="3" t="s">
        <v>4970</v>
      </c>
      <c r="F1376" s="3" t="s">
        <v>4971</v>
      </c>
      <c r="G1376" s="3" t="s">
        <v>23</v>
      </c>
      <c r="H1376" s="3" t="s">
        <v>683</v>
      </c>
      <c r="I1376" s="3" t="s">
        <v>32</v>
      </c>
      <c r="J1376" s="3" t="s">
        <v>578</v>
      </c>
      <c r="K1376" s="3" t="s">
        <v>27</v>
      </c>
      <c r="L1376" s="3" t="s">
        <v>28</v>
      </c>
      <c r="M1376" s="3" t="s">
        <v>28</v>
      </c>
      <c r="N1376" s="3" t="s">
        <v>28</v>
      </c>
      <c r="O1376" s="3" t="s">
        <v>28</v>
      </c>
      <c r="P1376" s="3" t="s">
        <v>28</v>
      </c>
      <c r="Q1376" s="3" t="s">
        <v>28</v>
      </c>
      <c r="R1376" s="3" t="s">
        <v>28</v>
      </c>
      <c r="S1376" s="3" t="s">
        <v>28</v>
      </c>
      <c r="T1376" s="3" t="s">
        <v>28</v>
      </c>
    </row>
    <row r="1377" spans="1:20" ht="259.5">
      <c r="A1377" s="3">
        <v>2726236</v>
      </c>
      <c r="B1377" s="3">
        <f>HYPERLINK("https://platform.v2.vetology.net/cases/2726236/screening-report/6?type=pdf&amp;v=v6&amp;scorecard=1&amp;secret_key=BX%25IJ%24%2F65ieZ%29f6", 2726236)</f>
        <v>2726236</v>
      </c>
      <c r="C1377" s="3">
        <f>HYPERLINK("https://platform.v2.vetology.net/report/v/final/"&amp;2726236, 2726236)</f>
        <v>2726236</v>
      </c>
      <c r="D1377" s="3" t="s">
        <v>4972</v>
      </c>
      <c r="E1377" s="3" t="s">
        <v>4973</v>
      </c>
      <c r="F1377" s="3" t="s">
        <v>4974</v>
      </c>
      <c r="G1377" s="3" t="s">
        <v>186</v>
      </c>
      <c r="H1377" s="3" t="s">
        <v>118</v>
      </c>
      <c r="I1377" s="3" t="s">
        <v>32</v>
      </c>
      <c r="J1377" s="3" t="s">
        <v>119</v>
      </c>
      <c r="K1377" s="3" t="s">
        <v>28</v>
      </c>
      <c r="L1377" s="3" t="s">
        <v>28</v>
      </c>
      <c r="M1377" s="3" t="s">
        <v>28</v>
      </c>
      <c r="N1377" s="3" t="s">
        <v>28</v>
      </c>
      <c r="O1377" s="3" t="s">
        <v>28</v>
      </c>
      <c r="P1377" s="3" t="s">
        <v>28</v>
      </c>
      <c r="Q1377" s="3" t="s">
        <v>28</v>
      </c>
      <c r="R1377" s="3" t="s">
        <v>28</v>
      </c>
      <c r="S1377" s="3" t="s">
        <v>28</v>
      </c>
      <c r="T1377" s="3" t="s">
        <v>28</v>
      </c>
    </row>
    <row r="1378" spans="1:20" ht="409.6">
      <c r="A1378" s="3">
        <v>2726223</v>
      </c>
      <c r="B1378" s="3">
        <f>HYPERLINK("https://platform.v2.vetology.net/cases/2726223/screening-report/6?type=pdf&amp;v=v6&amp;scorecard=1&amp;secret_key=BX%25IJ%24%2F65ieZ%29f6", 2726223)</f>
        <v>2726223</v>
      </c>
      <c r="C1378" s="3">
        <f>HYPERLINK("https://platform.v2.vetology.net/report/v/final/"&amp;2726223, 2726223)</f>
        <v>2726223</v>
      </c>
      <c r="D1378" s="3" t="s">
        <v>4975</v>
      </c>
      <c r="E1378" s="3" t="s">
        <v>4976</v>
      </c>
      <c r="F1378" s="3" t="s">
        <v>4977</v>
      </c>
      <c r="G1378" s="3" t="s">
        <v>64</v>
      </c>
      <c r="H1378" s="3" t="s">
        <v>4978</v>
      </c>
      <c r="I1378" s="3" t="s">
        <v>1368</v>
      </c>
      <c r="J1378" s="3" t="s">
        <v>1369</v>
      </c>
      <c r="K1378" s="3" t="s">
        <v>28</v>
      </c>
      <c r="L1378" s="3" t="s">
        <v>28</v>
      </c>
      <c r="M1378" s="3" t="s">
        <v>28</v>
      </c>
      <c r="N1378" s="3" t="s">
        <v>28</v>
      </c>
      <c r="O1378" s="3" t="s">
        <v>27</v>
      </c>
      <c r="P1378" s="3" t="s">
        <v>28</v>
      </c>
      <c r="Q1378" s="3" t="s">
        <v>28</v>
      </c>
      <c r="R1378" s="3" t="s">
        <v>28</v>
      </c>
      <c r="S1378" s="3" t="s">
        <v>28</v>
      </c>
      <c r="T1378" s="3" t="s">
        <v>28</v>
      </c>
    </row>
    <row r="1379" spans="1:20" ht="290.25">
      <c r="A1379" s="3">
        <v>2726196</v>
      </c>
      <c r="B1379" s="3">
        <f>HYPERLINK("https://platform.v2.vetology.net/cases/2726196/screening-report/6?type=pdf&amp;v=v6&amp;scorecard=1&amp;secret_key=BX%25IJ%24%2F65ieZ%29f6", 2726196)</f>
        <v>2726196</v>
      </c>
      <c r="C1379" s="3">
        <f>HYPERLINK("https://platform.v2.vetology.net/report/v/final/"&amp;2726196, 2726196)</f>
        <v>2726196</v>
      </c>
      <c r="D1379" s="3" t="s">
        <v>4979</v>
      </c>
      <c r="E1379" s="3" t="s">
        <v>3601</v>
      </c>
      <c r="F1379" s="3" t="s">
        <v>22</v>
      </c>
      <c r="G1379" s="3" t="s">
        <v>100</v>
      </c>
      <c r="H1379" s="3" t="s">
        <v>4980</v>
      </c>
      <c r="I1379" s="3" t="s">
        <v>142</v>
      </c>
      <c r="J1379" s="3" t="s">
        <v>143</v>
      </c>
      <c r="K1379" s="3" t="s">
        <v>28</v>
      </c>
      <c r="L1379" s="3" t="s">
        <v>28</v>
      </c>
      <c r="M1379" s="3" t="s">
        <v>27</v>
      </c>
      <c r="N1379" s="3" t="s">
        <v>28</v>
      </c>
      <c r="O1379" s="3" t="s">
        <v>28</v>
      </c>
      <c r="P1379" s="3" t="s">
        <v>28</v>
      </c>
      <c r="Q1379" s="3" t="s">
        <v>28</v>
      </c>
      <c r="R1379" s="3" t="s">
        <v>28</v>
      </c>
      <c r="S1379" s="3" t="s">
        <v>28</v>
      </c>
      <c r="T1379" s="3" t="s">
        <v>27</v>
      </c>
    </row>
    <row r="1380" spans="1:20" ht="409.6">
      <c r="A1380" s="3">
        <v>2726146</v>
      </c>
      <c r="B1380" s="3">
        <f>HYPERLINK("https://platform.v2.vetology.net/cases/2726146/screening-report/6?type=pdf&amp;v=v6&amp;scorecard=1&amp;secret_key=BX%25IJ%24%2F65ieZ%29f6", 2726146)</f>
        <v>2726146</v>
      </c>
      <c r="C1380" s="3">
        <f>HYPERLINK("https://platform.v2.vetology.net/report/v/final/"&amp;2726146, 2726146)</f>
        <v>2726146</v>
      </c>
      <c r="D1380" s="3" t="s">
        <v>4981</v>
      </c>
      <c r="E1380" s="3" t="s">
        <v>4982</v>
      </c>
      <c r="F1380" s="3" t="s">
        <v>4983</v>
      </c>
      <c r="G1380" s="3" t="s">
        <v>64</v>
      </c>
      <c r="H1380" s="3" t="s">
        <v>4984</v>
      </c>
      <c r="I1380" s="3" t="s">
        <v>469</v>
      </c>
      <c r="J1380" s="3" t="s">
        <v>470</v>
      </c>
      <c r="K1380" s="3" t="s">
        <v>28</v>
      </c>
      <c r="L1380" s="3" t="s">
        <v>28</v>
      </c>
      <c r="M1380" s="3" t="s">
        <v>28</v>
      </c>
      <c r="N1380" s="3" t="s">
        <v>28</v>
      </c>
      <c r="O1380" s="3" t="s">
        <v>27</v>
      </c>
      <c r="P1380" s="3" t="s">
        <v>28</v>
      </c>
      <c r="Q1380" s="3" t="s">
        <v>28</v>
      </c>
      <c r="R1380" s="3" t="s">
        <v>28</v>
      </c>
      <c r="S1380" s="3" t="s">
        <v>28</v>
      </c>
      <c r="T1380" s="3" t="s">
        <v>28</v>
      </c>
    </row>
    <row r="1381" spans="1:20" ht="305.25">
      <c r="A1381" s="3">
        <v>2726133</v>
      </c>
      <c r="B1381" s="3">
        <f>HYPERLINK("https://platform.v2.vetology.net/cases/2726133/screening-report/6?type=pdf&amp;v=v6&amp;scorecard=1&amp;secret_key=BX%25IJ%24%2F65ieZ%29f6", 2726133)</f>
        <v>2726133</v>
      </c>
      <c r="C1381" s="3">
        <f>HYPERLINK("https://platform.v2.vetology.net/report/v/final/"&amp;2726133, 2726133)</f>
        <v>2726133</v>
      </c>
      <c r="D1381" s="3" t="s">
        <v>4985</v>
      </c>
      <c r="E1381" s="3" t="s">
        <v>4986</v>
      </c>
      <c r="F1381" s="3" t="s">
        <v>4987</v>
      </c>
      <c r="G1381" s="3" t="s">
        <v>186</v>
      </c>
      <c r="H1381" s="3" t="s">
        <v>31</v>
      </c>
      <c r="I1381" s="3" t="s">
        <v>32</v>
      </c>
      <c r="J1381" s="3" t="s">
        <v>33</v>
      </c>
      <c r="K1381" s="3" t="s">
        <v>28</v>
      </c>
      <c r="L1381" s="3" t="s">
        <v>28</v>
      </c>
      <c r="M1381" s="3" t="s">
        <v>28</v>
      </c>
      <c r="N1381" s="3" t="s">
        <v>28</v>
      </c>
      <c r="O1381" s="3" t="s">
        <v>27</v>
      </c>
      <c r="P1381" s="3" t="s">
        <v>28</v>
      </c>
      <c r="Q1381" s="3" t="s">
        <v>28</v>
      </c>
      <c r="R1381" s="3" t="s">
        <v>28</v>
      </c>
      <c r="S1381" s="3" t="s">
        <v>28</v>
      </c>
      <c r="T1381" s="3" t="s">
        <v>28</v>
      </c>
    </row>
    <row r="1382" spans="1:20" ht="409.6">
      <c r="A1382" s="3">
        <v>2726076</v>
      </c>
      <c r="B1382" s="3">
        <f>HYPERLINK("https://platform.v2.vetology.net/cases/2726076/screening-report/6?type=pdf&amp;v=v6&amp;scorecard=1&amp;secret_key=BX%25IJ%24%2F65ieZ%29f6", 2726076)</f>
        <v>2726076</v>
      </c>
      <c r="C1382" s="3">
        <f>HYPERLINK("https://platform.v2.vetology.net/report/v/final/"&amp;2726076, 2726076)</f>
        <v>2726076</v>
      </c>
      <c r="D1382" s="3" t="s">
        <v>4988</v>
      </c>
      <c r="E1382" s="3" t="s">
        <v>4989</v>
      </c>
      <c r="F1382" s="3" t="s">
        <v>4990</v>
      </c>
      <c r="G1382" s="3" t="s">
        <v>64</v>
      </c>
      <c r="H1382" s="3" t="s">
        <v>855</v>
      </c>
      <c r="I1382" s="3" t="s">
        <v>856</v>
      </c>
      <c r="J1382" s="3" t="s">
        <v>857</v>
      </c>
      <c r="K1382" s="3" t="s">
        <v>27</v>
      </c>
      <c r="L1382" s="3" t="s">
        <v>28</v>
      </c>
      <c r="M1382" s="3" t="s">
        <v>28</v>
      </c>
      <c r="N1382" s="3" t="s">
        <v>28</v>
      </c>
      <c r="O1382" s="3" t="s">
        <v>27</v>
      </c>
      <c r="P1382" s="3" t="s">
        <v>28</v>
      </c>
      <c r="Q1382" s="3" t="s">
        <v>28</v>
      </c>
      <c r="R1382" s="3" t="s">
        <v>28</v>
      </c>
      <c r="S1382" s="3" t="s">
        <v>28</v>
      </c>
      <c r="T1382" s="3" t="s">
        <v>28</v>
      </c>
    </row>
    <row r="1383" spans="1:20" ht="409.6">
      <c r="A1383" s="3">
        <v>2726069</v>
      </c>
      <c r="B1383" s="3">
        <f>HYPERLINK("https://platform.v2.vetology.net/cases/2726069/screening-report/6?type=pdf&amp;v=v6&amp;scorecard=1&amp;secret_key=BX%25IJ%24%2F65ieZ%29f6", 2726069)</f>
        <v>2726069</v>
      </c>
      <c r="C1383" s="3">
        <f>HYPERLINK("https://platform.v2.vetology.net/report/v/final/"&amp;2726069, 2726069)</f>
        <v>2726069</v>
      </c>
      <c r="D1383" s="3" t="s">
        <v>4991</v>
      </c>
      <c r="E1383" s="3" t="s">
        <v>4992</v>
      </c>
      <c r="F1383" s="3" t="s">
        <v>4993</v>
      </c>
      <c r="G1383" s="3" t="s">
        <v>64</v>
      </c>
      <c r="H1383" s="3" t="s">
        <v>4994</v>
      </c>
      <c r="I1383" s="3" t="s">
        <v>224</v>
      </c>
      <c r="J1383" s="3" t="s">
        <v>225</v>
      </c>
      <c r="K1383" s="3" t="s">
        <v>28</v>
      </c>
      <c r="L1383" s="3" t="s">
        <v>28</v>
      </c>
      <c r="M1383" s="3" t="s">
        <v>28</v>
      </c>
      <c r="N1383" s="3" t="s">
        <v>27</v>
      </c>
      <c r="O1383" s="3" t="s">
        <v>27</v>
      </c>
      <c r="P1383" s="3" t="s">
        <v>28</v>
      </c>
      <c r="Q1383" s="3" t="s">
        <v>27</v>
      </c>
      <c r="R1383" s="3" t="s">
        <v>27</v>
      </c>
      <c r="S1383" s="3" t="s">
        <v>27</v>
      </c>
      <c r="T1383" s="3" t="s">
        <v>27</v>
      </c>
    </row>
    <row r="1384" spans="1:20" ht="381.75">
      <c r="A1384" s="3">
        <v>2726043</v>
      </c>
      <c r="B1384" s="3">
        <f>HYPERLINK("https://platform.v2.vetology.net/cases/2726043/screening-report/6?type=pdf&amp;v=v6&amp;scorecard=1&amp;secret_key=BX%25IJ%24%2F65ieZ%29f6", 2726043)</f>
        <v>2726043</v>
      </c>
      <c r="C1384" s="3">
        <f>HYPERLINK("https://platform.v2.vetology.net/report/v/final/"&amp;2726043, 2726043)</f>
        <v>2726043</v>
      </c>
      <c r="D1384" s="3" t="s">
        <v>4995</v>
      </c>
      <c r="E1384" s="3" t="s">
        <v>4996</v>
      </c>
      <c r="F1384" s="3" t="s">
        <v>4997</v>
      </c>
      <c r="G1384" s="3" t="s">
        <v>179</v>
      </c>
      <c r="H1384" s="3" t="s">
        <v>4998</v>
      </c>
      <c r="I1384" s="3" t="s">
        <v>539</v>
      </c>
      <c r="J1384" s="3" t="s">
        <v>540</v>
      </c>
      <c r="K1384" s="3" t="s">
        <v>28</v>
      </c>
      <c r="L1384" s="3" t="s">
        <v>28</v>
      </c>
      <c r="M1384" s="3" t="s">
        <v>28</v>
      </c>
      <c r="N1384" s="3" t="s">
        <v>28</v>
      </c>
      <c r="O1384" s="3" t="s">
        <v>28</v>
      </c>
      <c r="P1384" s="3" t="s">
        <v>28</v>
      </c>
      <c r="Q1384" s="3" t="s">
        <v>28</v>
      </c>
      <c r="R1384" s="3" t="s">
        <v>28</v>
      </c>
      <c r="S1384" s="3" t="s">
        <v>28</v>
      </c>
      <c r="T1384" s="3" t="s">
        <v>28</v>
      </c>
    </row>
    <row r="1385" spans="1:20" ht="396.75">
      <c r="A1385" s="3">
        <v>2726010</v>
      </c>
      <c r="B1385" s="3">
        <f>HYPERLINK("https://platform.v2.vetology.net/cases/2726010/screening-report/6?type=pdf&amp;v=v6&amp;scorecard=1&amp;secret_key=BX%25IJ%24%2F65ieZ%29f6", 2726010)</f>
        <v>2726010</v>
      </c>
      <c r="C1385" s="3">
        <f>HYPERLINK("https://platform.v2.vetology.net/report/v/final/"&amp;2726010, 2726010)</f>
        <v>2726010</v>
      </c>
      <c r="D1385" s="3" t="s">
        <v>4999</v>
      </c>
      <c r="E1385" s="3" t="s">
        <v>5000</v>
      </c>
      <c r="F1385" s="3" t="s">
        <v>5001</v>
      </c>
      <c r="G1385" s="3" t="s">
        <v>179</v>
      </c>
      <c r="H1385" s="3" t="s">
        <v>350</v>
      </c>
      <c r="I1385" s="3" t="s">
        <v>351</v>
      </c>
      <c r="J1385" s="3" t="s">
        <v>352</v>
      </c>
      <c r="K1385" s="3" t="s">
        <v>28</v>
      </c>
      <c r="L1385" s="3" t="s">
        <v>28</v>
      </c>
      <c r="M1385" s="3" t="s">
        <v>28</v>
      </c>
      <c r="N1385" s="3" t="s">
        <v>28</v>
      </c>
      <c r="O1385" s="3" t="s">
        <v>28</v>
      </c>
      <c r="P1385" s="3" t="s">
        <v>28</v>
      </c>
      <c r="Q1385" s="3" t="s">
        <v>28</v>
      </c>
      <c r="R1385" s="3" t="s">
        <v>28</v>
      </c>
      <c r="S1385" s="3" t="s">
        <v>28</v>
      </c>
      <c r="T1385" s="3" t="s">
        <v>27</v>
      </c>
    </row>
    <row r="1386" spans="1:20" ht="366">
      <c r="A1386" s="3">
        <v>2725885</v>
      </c>
      <c r="B1386" s="3">
        <f>HYPERLINK("https://platform.v2.vetology.net/cases/2725885/screening-report/6?type=pdf&amp;v=v6&amp;scorecard=1&amp;secret_key=BX%25IJ%24%2F65ieZ%29f6", 2725885)</f>
        <v>2725885</v>
      </c>
      <c r="C1386" s="3">
        <f>HYPERLINK("https://platform.v2.vetology.net/report/v/final/"&amp;2725885, 2725885)</f>
        <v>2725885</v>
      </c>
      <c r="D1386" s="3" t="s">
        <v>5002</v>
      </c>
      <c r="E1386" s="3" t="s">
        <v>5003</v>
      </c>
      <c r="F1386" s="3" t="s">
        <v>5004</v>
      </c>
      <c r="G1386" s="3" t="s">
        <v>211</v>
      </c>
      <c r="H1386" s="3" t="s">
        <v>1271</v>
      </c>
      <c r="I1386" s="3" t="s">
        <v>883</v>
      </c>
      <c r="J1386" s="3" t="s">
        <v>884</v>
      </c>
      <c r="K1386" s="3" t="s">
        <v>27</v>
      </c>
      <c r="L1386" s="3" t="s">
        <v>28</v>
      </c>
      <c r="M1386" s="3" t="s">
        <v>28</v>
      </c>
      <c r="N1386" s="3" t="s">
        <v>28</v>
      </c>
      <c r="O1386" s="3" t="s">
        <v>28</v>
      </c>
      <c r="P1386" s="3" t="s">
        <v>28</v>
      </c>
      <c r="Q1386" s="3" t="s">
        <v>28</v>
      </c>
      <c r="R1386" s="3" t="s">
        <v>28</v>
      </c>
      <c r="S1386" s="3" t="s">
        <v>28</v>
      </c>
      <c r="T1386" s="3" t="s">
        <v>28</v>
      </c>
    </row>
    <row r="1387" spans="1:20" ht="381.75">
      <c r="A1387" s="3">
        <v>2725871</v>
      </c>
      <c r="B1387" s="3">
        <f>HYPERLINK("https://platform.v2.vetology.net/cases/2725871/screening-report/6?type=pdf&amp;v=v6&amp;scorecard=1&amp;secret_key=BX%25IJ%24%2F65ieZ%29f6", 2725871)</f>
        <v>2725871</v>
      </c>
      <c r="C1387" s="3">
        <f>HYPERLINK("https://platform.v2.vetology.net/report/v/final/"&amp;2725871, 2725871)</f>
        <v>2725871</v>
      </c>
      <c r="D1387" s="3" t="s">
        <v>5005</v>
      </c>
      <c r="E1387" s="3" t="s">
        <v>5006</v>
      </c>
      <c r="F1387" s="3" t="s">
        <v>5007</v>
      </c>
      <c r="G1387" s="3" t="s">
        <v>211</v>
      </c>
      <c r="H1387" s="3" t="s">
        <v>2528</v>
      </c>
      <c r="I1387" s="3" t="s">
        <v>324</v>
      </c>
      <c r="J1387" s="3" t="s">
        <v>325</v>
      </c>
      <c r="K1387" s="3" t="s">
        <v>27</v>
      </c>
      <c r="L1387" s="3" t="s">
        <v>28</v>
      </c>
      <c r="M1387" s="3" t="s">
        <v>27</v>
      </c>
      <c r="N1387" s="3" t="s">
        <v>28</v>
      </c>
      <c r="O1387" s="3" t="s">
        <v>27</v>
      </c>
      <c r="P1387" s="3" t="s">
        <v>28</v>
      </c>
      <c r="Q1387" s="3" t="s">
        <v>27</v>
      </c>
      <c r="R1387" s="3" t="s">
        <v>28</v>
      </c>
      <c r="S1387" s="3" t="s">
        <v>27</v>
      </c>
      <c r="T1387" s="3" t="s">
        <v>28</v>
      </c>
    </row>
    <row r="1388" spans="1:20" ht="396.75">
      <c r="A1388" s="3">
        <v>2725743</v>
      </c>
      <c r="B1388" s="3">
        <f>HYPERLINK("https://platform.v2.vetology.net/cases/2725743/screening-report/6?type=pdf&amp;v=v6&amp;scorecard=1&amp;secret_key=BX%25IJ%24%2F65ieZ%29f6", 2725743)</f>
        <v>2725743</v>
      </c>
      <c r="C1388" s="3">
        <f>HYPERLINK("https://platform.v2.vetology.net/report/v/final/"&amp;2725743, 2725743)</f>
        <v>2725743</v>
      </c>
      <c r="D1388" s="3" t="s">
        <v>5008</v>
      </c>
      <c r="E1388" s="3" t="s">
        <v>5009</v>
      </c>
      <c r="F1388" s="3" t="s">
        <v>797</v>
      </c>
      <c r="G1388" s="3" t="s">
        <v>122</v>
      </c>
      <c r="H1388" s="3" t="s">
        <v>5010</v>
      </c>
      <c r="I1388" s="3" t="s">
        <v>469</v>
      </c>
      <c r="J1388" s="3" t="s">
        <v>470</v>
      </c>
      <c r="K1388" s="3" t="s">
        <v>28</v>
      </c>
      <c r="L1388" s="3" t="s">
        <v>28</v>
      </c>
      <c r="M1388" s="3" t="s">
        <v>28</v>
      </c>
      <c r="N1388" s="3" t="s">
        <v>28</v>
      </c>
      <c r="O1388" s="3" t="s">
        <v>27</v>
      </c>
      <c r="P1388" s="3" t="s">
        <v>28</v>
      </c>
      <c r="Q1388" s="3" t="s">
        <v>28</v>
      </c>
      <c r="R1388" s="3" t="s">
        <v>28</v>
      </c>
      <c r="S1388" s="3" t="s">
        <v>28</v>
      </c>
      <c r="T1388" s="3" t="s">
        <v>28</v>
      </c>
    </row>
    <row r="1389" spans="1:20" ht="366">
      <c r="A1389" s="3">
        <v>2725692</v>
      </c>
      <c r="B1389" s="3">
        <f>HYPERLINK("https://platform.v2.vetology.net/cases/2725692/screening-report/6?type=pdf&amp;v=v6&amp;scorecard=1&amp;secret_key=BX%25IJ%24%2F65ieZ%29f6", 2725692)</f>
        <v>2725692</v>
      </c>
      <c r="C1389" s="3">
        <f>HYPERLINK("https://platform.v2.vetology.net/report/v/final/"&amp;2725692, 2725692)</f>
        <v>2725692</v>
      </c>
      <c r="D1389" s="3" t="s">
        <v>5011</v>
      </c>
      <c r="E1389" s="3" t="s">
        <v>5012</v>
      </c>
      <c r="F1389" s="3" t="s">
        <v>22</v>
      </c>
      <c r="G1389" s="3" t="s">
        <v>23</v>
      </c>
      <c r="H1389" s="3" t="s">
        <v>717</v>
      </c>
      <c r="I1389" s="3" t="s">
        <v>718</v>
      </c>
      <c r="J1389" s="3" t="s">
        <v>719</v>
      </c>
      <c r="K1389" s="3" t="s">
        <v>28</v>
      </c>
      <c r="L1389" s="3" t="s">
        <v>28</v>
      </c>
      <c r="M1389" s="3" t="s">
        <v>28</v>
      </c>
      <c r="N1389" s="3" t="s">
        <v>28</v>
      </c>
      <c r="O1389" s="3" t="s">
        <v>27</v>
      </c>
      <c r="P1389" s="3" t="s">
        <v>28</v>
      </c>
      <c r="Q1389" s="3" t="s">
        <v>28</v>
      </c>
      <c r="R1389" s="3" t="s">
        <v>28</v>
      </c>
      <c r="S1389" s="3" t="s">
        <v>27</v>
      </c>
      <c r="T1389" s="3" t="s">
        <v>28</v>
      </c>
    </row>
    <row r="1390" spans="1:20" ht="366">
      <c r="A1390" s="3">
        <v>2725639</v>
      </c>
      <c r="B1390" s="3">
        <f>HYPERLINK("https://platform.v2.vetology.net/cases/2725639/screening-report/6?type=pdf&amp;v=v6&amp;scorecard=1&amp;secret_key=BX%25IJ%24%2F65ieZ%29f6", 2725639)</f>
        <v>2725639</v>
      </c>
      <c r="C1390" s="3">
        <f>HYPERLINK("https://platform.v2.vetology.net/report/v/final/"&amp;2725639, 2725639)</f>
        <v>2725639</v>
      </c>
      <c r="D1390" s="3" t="s">
        <v>5013</v>
      </c>
      <c r="E1390" s="3" t="s">
        <v>5014</v>
      </c>
      <c r="F1390" s="3" t="s">
        <v>5015</v>
      </c>
      <c r="G1390" s="3" t="s">
        <v>566</v>
      </c>
      <c r="H1390" s="3" t="s">
        <v>123</v>
      </c>
      <c r="I1390" s="3" t="s">
        <v>124</v>
      </c>
      <c r="J1390" s="3" t="s">
        <v>125</v>
      </c>
      <c r="K1390" s="3" t="s">
        <v>28</v>
      </c>
      <c r="L1390" s="3" t="s">
        <v>28</v>
      </c>
      <c r="M1390" s="3" t="s">
        <v>28</v>
      </c>
      <c r="N1390" s="3" t="s">
        <v>28</v>
      </c>
      <c r="O1390" s="3" t="s">
        <v>27</v>
      </c>
      <c r="P1390" s="3" t="s">
        <v>28</v>
      </c>
      <c r="Q1390" s="3" t="s">
        <v>27</v>
      </c>
      <c r="R1390" s="3" t="s">
        <v>28</v>
      </c>
      <c r="S1390" s="3" t="s">
        <v>28</v>
      </c>
      <c r="T1390" s="3" t="s">
        <v>28</v>
      </c>
    </row>
    <row r="1391" spans="1:20" ht="409.6">
      <c r="A1391" s="3">
        <v>2725632</v>
      </c>
      <c r="B1391" s="3">
        <f>HYPERLINK("https://platform.v2.vetology.net/cases/2725632/screening-report/6?type=pdf&amp;v=v6&amp;scorecard=1&amp;secret_key=BX%25IJ%24%2F65ieZ%29f6", 2725632)</f>
        <v>2725632</v>
      </c>
      <c r="C1391" s="3">
        <f>HYPERLINK("https://platform.v2.vetology.net/report/v/final/"&amp;2725632, 2725632)</f>
        <v>2725632</v>
      </c>
      <c r="D1391" s="3" t="s">
        <v>5016</v>
      </c>
      <c r="E1391" s="3" t="s">
        <v>5017</v>
      </c>
      <c r="F1391" s="3" t="s">
        <v>5018</v>
      </c>
      <c r="G1391" s="3" t="s">
        <v>64</v>
      </c>
      <c r="H1391" s="3" t="s">
        <v>5019</v>
      </c>
      <c r="I1391" s="3" t="s">
        <v>693</v>
      </c>
      <c r="J1391" s="3" t="s">
        <v>5020</v>
      </c>
      <c r="K1391" s="3" t="s">
        <v>28</v>
      </c>
      <c r="L1391" s="3" t="s">
        <v>27</v>
      </c>
      <c r="M1391" s="3" t="s">
        <v>28</v>
      </c>
      <c r="N1391" s="3" t="s">
        <v>28</v>
      </c>
      <c r="O1391" s="3" t="s">
        <v>28</v>
      </c>
      <c r="P1391" s="3" t="s">
        <v>28</v>
      </c>
      <c r="Q1391" s="3" t="s">
        <v>28</v>
      </c>
      <c r="R1391" s="3" t="s">
        <v>28</v>
      </c>
      <c r="S1391" s="3" t="s">
        <v>28</v>
      </c>
      <c r="T1391" s="3" t="s">
        <v>27</v>
      </c>
    </row>
    <row r="1392" spans="1:20" ht="396.75">
      <c r="A1392" s="3">
        <v>2725575</v>
      </c>
      <c r="B1392" s="3">
        <f>HYPERLINK("https://platform.v2.vetology.net/cases/2725575/screening-report/6?type=pdf&amp;v=v6&amp;scorecard=1&amp;secret_key=BX%25IJ%24%2F65ieZ%29f6", 2725575)</f>
        <v>2725575</v>
      </c>
      <c r="C1392" s="3">
        <f>HYPERLINK("https://platform.v2.vetology.net/report/v/final/"&amp;2725575, 2725575)</f>
        <v>2725575</v>
      </c>
      <c r="D1392" s="3" t="s">
        <v>5021</v>
      </c>
      <c r="E1392" s="3" t="s">
        <v>5022</v>
      </c>
      <c r="F1392" s="3" t="s">
        <v>5023</v>
      </c>
      <c r="G1392" s="3" t="s">
        <v>100</v>
      </c>
      <c r="H1392" s="3" t="s">
        <v>1097</v>
      </c>
      <c r="I1392" s="3" t="s">
        <v>469</v>
      </c>
      <c r="J1392" s="3" t="s">
        <v>470</v>
      </c>
      <c r="K1392" s="3" t="s">
        <v>28</v>
      </c>
      <c r="L1392" s="3" t="s">
        <v>28</v>
      </c>
      <c r="M1392" s="3" t="s">
        <v>28</v>
      </c>
      <c r="N1392" s="3" t="s">
        <v>28</v>
      </c>
      <c r="O1392" s="3" t="s">
        <v>27</v>
      </c>
      <c r="P1392" s="3" t="s">
        <v>28</v>
      </c>
      <c r="Q1392" s="3" t="s">
        <v>28</v>
      </c>
      <c r="R1392" s="3" t="s">
        <v>28</v>
      </c>
      <c r="S1392" s="3" t="s">
        <v>28</v>
      </c>
      <c r="T1392" s="3" t="s">
        <v>28</v>
      </c>
    </row>
    <row r="1393" spans="1:20" ht="409.6">
      <c r="A1393" s="3">
        <v>2725550</v>
      </c>
      <c r="B1393" s="3">
        <f>HYPERLINK("https://platform.v2.vetology.net/cases/2725550/screening-report/6?type=pdf&amp;v=v6&amp;scorecard=1&amp;secret_key=BX%25IJ%24%2F65ieZ%29f6", 2725550)</f>
        <v>2725550</v>
      </c>
      <c r="C1393" s="3">
        <f>HYPERLINK("https://platform.v2.vetology.net/report/v/final/"&amp;2725550, 2725550)</f>
        <v>2725550</v>
      </c>
      <c r="D1393" s="3" t="s">
        <v>5024</v>
      </c>
      <c r="E1393" s="3" t="s">
        <v>5025</v>
      </c>
      <c r="F1393" s="3" t="s">
        <v>5026</v>
      </c>
      <c r="G1393" s="3" t="s">
        <v>64</v>
      </c>
      <c r="H1393" s="3" t="s">
        <v>350</v>
      </c>
      <c r="I1393" s="3" t="s">
        <v>351</v>
      </c>
      <c r="J1393" s="3" t="s">
        <v>352</v>
      </c>
      <c r="K1393" s="3" t="s">
        <v>28</v>
      </c>
      <c r="L1393" s="3" t="s">
        <v>28</v>
      </c>
      <c r="M1393" s="3" t="s">
        <v>28</v>
      </c>
      <c r="N1393" s="3" t="s">
        <v>28</v>
      </c>
      <c r="O1393" s="3" t="s">
        <v>28</v>
      </c>
      <c r="P1393" s="3" t="s">
        <v>28</v>
      </c>
      <c r="Q1393" s="3" t="s">
        <v>28</v>
      </c>
      <c r="R1393" s="3" t="s">
        <v>28</v>
      </c>
      <c r="S1393" s="3" t="s">
        <v>28</v>
      </c>
      <c r="T1393" s="3" t="s">
        <v>27</v>
      </c>
    </row>
    <row r="1394" spans="1:20" ht="396.75">
      <c r="A1394" s="3">
        <v>2725542</v>
      </c>
      <c r="B1394" s="3">
        <f>HYPERLINK("https://platform.v2.vetology.net/cases/2725542/screening-report/6?type=pdf&amp;v=v6&amp;scorecard=1&amp;secret_key=BX%25IJ%24%2F65ieZ%29f6", 2725542)</f>
        <v>2725542</v>
      </c>
      <c r="C1394" s="3">
        <f>HYPERLINK("https://platform.v2.vetology.net/report/v/final/"&amp;2725542, 2725542)</f>
        <v>2725542</v>
      </c>
      <c r="D1394" s="3" t="s">
        <v>5027</v>
      </c>
      <c r="E1394" s="3" t="s">
        <v>5028</v>
      </c>
      <c r="F1394" s="3" t="s">
        <v>5029</v>
      </c>
      <c r="G1394" s="3" t="s">
        <v>64</v>
      </c>
      <c r="H1394" s="3" t="s">
        <v>212</v>
      </c>
      <c r="I1394" s="3" t="s">
        <v>213</v>
      </c>
      <c r="J1394" s="3" t="s">
        <v>214</v>
      </c>
      <c r="K1394" s="3" t="s">
        <v>28</v>
      </c>
      <c r="L1394" s="3" t="s">
        <v>28</v>
      </c>
      <c r="M1394" s="3" t="s">
        <v>28</v>
      </c>
      <c r="N1394" s="3" t="s">
        <v>28</v>
      </c>
      <c r="O1394" s="3" t="s">
        <v>28</v>
      </c>
      <c r="P1394" s="3" t="s">
        <v>28</v>
      </c>
      <c r="Q1394" s="3" t="s">
        <v>28</v>
      </c>
      <c r="R1394" s="3" t="s">
        <v>28</v>
      </c>
      <c r="S1394" s="3" t="s">
        <v>28</v>
      </c>
      <c r="T1394" s="3" t="s">
        <v>28</v>
      </c>
    </row>
    <row r="1395" spans="1:20" ht="409.6">
      <c r="A1395" s="3">
        <v>2725530</v>
      </c>
      <c r="B1395" s="3">
        <f>HYPERLINK("https://platform.v2.vetology.net/cases/2725530/screening-report/6?type=pdf&amp;v=v6&amp;scorecard=1&amp;secret_key=BX%25IJ%24%2F65ieZ%29f6", 2725530)</f>
        <v>2725530</v>
      </c>
      <c r="C1395" s="3">
        <f>HYPERLINK("https://platform.v2.vetology.net/report/v/final/"&amp;2725530, 2725530)</f>
        <v>2725530</v>
      </c>
      <c r="D1395" s="3" t="s">
        <v>5030</v>
      </c>
      <c r="E1395" s="3" t="s">
        <v>5031</v>
      </c>
      <c r="F1395" s="3" t="s">
        <v>22</v>
      </c>
      <c r="G1395" s="3" t="s">
        <v>23</v>
      </c>
      <c r="H1395" s="3" t="s">
        <v>5032</v>
      </c>
      <c r="I1395" s="3" t="s">
        <v>66</v>
      </c>
      <c r="J1395" s="3" t="s">
        <v>67</v>
      </c>
      <c r="K1395" s="3" t="s">
        <v>27</v>
      </c>
      <c r="L1395" s="3" t="s">
        <v>28</v>
      </c>
      <c r="M1395" s="3" t="s">
        <v>28</v>
      </c>
      <c r="N1395" s="3" t="s">
        <v>28</v>
      </c>
      <c r="O1395" s="3" t="s">
        <v>28</v>
      </c>
      <c r="P1395" s="3" t="s">
        <v>28</v>
      </c>
      <c r="Q1395" s="3" t="s">
        <v>28</v>
      </c>
      <c r="R1395" s="3" t="s">
        <v>28</v>
      </c>
      <c r="S1395" s="3" t="s">
        <v>28</v>
      </c>
      <c r="T1395" s="3" t="s">
        <v>28</v>
      </c>
    </row>
    <row r="1396" spans="1:20" ht="409.6">
      <c r="A1396" s="3">
        <v>2725490</v>
      </c>
      <c r="B1396" s="3">
        <f>HYPERLINK("https://platform.v2.vetology.net/cases/2725490/screening-report/6?type=pdf&amp;v=v6&amp;scorecard=1&amp;secret_key=BX%25IJ%24%2F65ieZ%29f6", 2725490)</f>
        <v>2725490</v>
      </c>
      <c r="C1396" s="3">
        <f>HYPERLINK("https://platform.v2.vetology.net/report/v/final/"&amp;2725490, 2725490)</f>
        <v>2725490</v>
      </c>
      <c r="D1396" s="3" t="s">
        <v>5033</v>
      </c>
      <c r="E1396" s="3" t="s">
        <v>5034</v>
      </c>
      <c r="F1396" s="3" t="s">
        <v>5035</v>
      </c>
      <c r="G1396" s="3" t="s">
        <v>64</v>
      </c>
      <c r="H1396" s="3" t="s">
        <v>5036</v>
      </c>
      <c r="I1396" s="3" t="s">
        <v>2379</v>
      </c>
      <c r="J1396" s="3" t="s">
        <v>1058</v>
      </c>
      <c r="K1396" s="3" t="s">
        <v>28</v>
      </c>
      <c r="L1396" s="3" t="s">
        <v>28</v>
      </c>
      <c r="M1396" s="3" t="s">
        <v>28</v>
      </c>
      <c r="N1396" s="3" t="s">
        <v>27</v>
      </c>
      <c r="O1396" s="3" t="s">
        <v>28</v>
      </c>
      <c r="P1396" s="3" t="s">
        <v>28</v>
      </c>
      <c r="Q1396" s="3" t="s">
        <v>28</v>
      </c>
      <c r="R1396" s="3" t="s">
        <v>27</v>
      </c>
      <c r="S1396" s="3" t="s">
        <v>27</v>
      </c>
      <c r="T1396" s="3" t="s">
        <v>27</v>
      </c>
    </row>
    <row r="1397" spans="1:20" ht="366">
      <c r="A1397" s="3">
        <v>2725458</v>
      </c>
      <c r="B1397" s="3">
        <f>HYPERLINK("https://platform.v2.vetology.net/cases/2725458/screening-report/6?type=pdf&amp;v=v6&amp;scorecard=1&amp;secret_key=BX%25IJ%24%2F65ieZ%29f6", 2725458)</f>
        <v>2725458</v>
      </c>
      <c r="C1397" s="3">
        <f>HYPERLINK("https://platform.v2.vetology.net/report/v/final/"&amp;2725458, 2725458)</f>
        <v>2725458</v>
      </c>
      <c r="D1397" s="3" t="s">
        <v>5037</v>
      </c>
      <c r="E1397" s="3" t="s">
        <v>5038</v>
      </c>
      <c r="F1397" s="3" t="s">
        <v>5039</v>
      </c>
      <c r="G1397" s="3" t="s">
        <v>186</v>
      </c>
      <c r="H1397" s="3" t="s">
        <v>2962</v>
      </c>
      <c r="I1397" s="3" t="s">
        <v>2963</v>
      </c>
      <c r="J1397" s="3" t="s">
        <v>2964</v>
      </c>
      <c r="K1397" s="3" t="s">
        <v>27</v>
      </c>
      <c r="L1397" s="3" t="s">
        <v>28</v>
      </c>
      <c r="M1397" s="3" t="s">
        <v>28</v>
      </c>
      <c r="N1397" s="3" t="s">
        <v>28</v>
      </c>
      <c r="O1397" s="3" t="s">
        <v>27</v>
      </c>
      <c r="P1397" s="3" t="s">
        <v>28</v>
      </c>
      <c r="Q1397" s="3" t="s">
        <v>27</v>
      </c>
      <c r="R1397" s="3" t="s">
        <v>28</v>
      </c>
      <c r="S1397" s="3" t="s">
        <v>28</v>
      </c>
      <c r="T1397" s="3" t="s">
        <v>28</v>
      </c>
    </row>
    <row r="1398" spans="1:20" ht="409.6">
      <c r="A1398" s="3">
        <v>2725412</v>
      </c>
      <c r="B1398" s="3">
        <f>HYPERLINK("https://platform.v2.vetology.net/cases/2725412/screening-report/6?type=pdf&amp;v=v6&amp;scorecard=1&amp;secret_key=BX%25IJ%24%2F65ieZ%29f6", 2725412)</f>
        <v>2725412</v>
      </c>
      <c r="C1398" s="3">
        <f>HYPERLINK("https://platform.v2.vetology.net/report/v/final/"&amp;2725412, 2725412)</f>
        <v>2725412</v>
      </c>
      <c r="D1398" s="3" t="s">
        <v>5040</v>
      </c>
      <c r="E1398" s="3" t="s">
        <v>5041</v>
      </c>
      <c r="F1398" s="3" t="s">
        <v>22</v>
      </c>
      <c r="G1398" s="3" t="s">
        <v>372</v>
      </c>
      <c r="H1398" s="3" t="s">
        <v>5042</v>
      </c>
      <c r="I1398" s="3" t="s">
        <v>1124</v>
      </c>
      <c r="J1398" s="3" t="s">
        <v>1125</v>
      </c>
      <c r="K1398" s="3" t="s">
        <v>28</v>
      </c>
      <c r="L1398" s="3" t="s">
        <v>27</v>
      </c>
      <c r="M1398" s="3" t="s">
        <v>27</v>
      </c>
      <c r="N1398" s="3" t="s">
        <v>28</v>
      </c>
      <c r="O1398" s="3" t="s">
        <v>27</v>
      </c>
      <c r="P1398" s="3" t="s">
        <v>28</v>
      </c>
      <c r="Q1398" s="3" t="s">
        <v>27</v>
      </c>
      <c r="R1398" s="3" t="s">
        <v>28</v>
      </c>
      <c r="S1398" s="3" t="s">
        <v>27</v>
      </c>
      <c r="T1398" s="3" t="s">
        <v>28</v>
      </c>
    </row>
    <row r="1399" spans="1:20" ht="366">
      <c r="A1399" s="3">
        <v>2725394</v>
      </c>
      <c r="B1399" s="3">
        <f>HYPERLINK("https://platform.v2.vetology.net/cases/2725394/screening-report/6?type=pdf&amp;v=v6&amp;scorecard=1&amp;secret_key=BX%25IJ%24%2F65ieZ%29f6", 2725394)</f>
        <v>2725394</v>
      </c>
      <c r="C1399" s="3">
        <f>HYPERLINK("https://platform.v2.vetology.net/report/v/final/"&amp;2725394, 2725394)</f>
        <v>2725394</v>
      </c>
      <c r="D1399" s="3" t="s">
        <v>5043</v>
      </c>
      <c r="E1399" s="3" t="s">
        <v>5044</v>
      </c>
      <c r="F1399" s="3" t="s">
        <v>22</v>
      </c>
      <c r="G1399" s="3" t="s">
        <v>372</v>
      </c>
      <c r="H1399" s="3" t="s">
        <v>3717</v>
      </c>
      <c r="I1399" s="3" t="s">
        <v>3718</v>
      </c>
      <c r="J1399" s="3" t="s">
        <v>3719</v>
      </c>
      <c r="K1399" s="3" t="s">
        <v>28</v>
      </c>
      <c r="L1399" s="3" t="s">
        <v>28</v>
      </c>
      <c r="M1399" s="3" t="s">
        <v>28</v>
      </c>
      <c r="N1399" s="3" t="s">
        <v>28</v>
      </c>
      <c r="O1399" s="3" t="s">
        <v>27</v>
      </c>
      <c r="P1399" s="3" t="s">
        <v>27</v>
      </c>
      <c r="Q1399" s="3" t="s">
        <v>28</v>
      </c>
      <c r="R1399" s="3" t="s">
        <v>28</v>
      </c>
      <c r="S1399" s="3" t="s">
        <v>28</v>
      </c>
      <c r="T1399" s="3" t="s">
        <v>28</v>
      </c>
    </row>
    <row r="1400" spans="1:20" ht="409.6">
      <c r="A1400" s="3">
        <v>2725391</v>
      </c>
      <c r="B1400" s="3">
        <f>HYPERLINK("https://platform.v2.vetology.net/cases/2725391/screening-report/6?type=pdf&amp;v=v6&amp;scorecard=1&amp;secret_key=BX%25IJ%24%2F65ieZ%29f6", 2725391)</f>
        <v>2725391</v>
      </c>
      <c r="C1400" s="3">
        <f>HYPERLINK("https://platform.v2.vetology.net/report/v/final/"&amp;2725391, 2725391)</f>
        <v>2725391</v>
      </c>
      <c r="D1400" s="3" t="s">
        <v>5045</v>
      </c>
      <c r="E1400" s="3" t="s">
        <v>5046</v>
      </c>
      <c r="F1400" s="3" t="s">
        <v>5047</v>
      </c>
      <c r="G1400" s="3" t="s">
        <v>64</v>
      </c>
      <c r="H1400" s="3" t="s">
        <v>31</v>
      </c>
      <c r="I1400" s="3" t="s">
        <v>32</v>
      </c>
      <c r="J1400" s="3" t="s">
        <v>119</v>
      </c>
      <c r="K1400" s="3" t="s">
        <v>28</v>
      </c>
      <c r="L1400" s="3" t="s">
        <v>28</v>
      </c>
      <c r="M1400" s="3" t="s">
        <v>28</v>
      </c>
      <c r="N1400" s="3" t="s">
        <v>28</v>
      </c>
      <c r="O1400" s="3" t="s">
        <v>27</v>
      </c>
      <c r="P1400" s="3" t="s">
        <v>28</v>
      </c>
      <c r="Q1400" s="3" t="s">
        <v>28</v>
      </c>
      <c r="R1400" s="3" t="s">
        <v>28</v>
      </c>
      <c r="S1400" s="3" t="s">
        <v>28</v>
      </c>
      <c r="T1400" s="3" t="s">
        <v>28</v>
      </c>
    </row>
    <row r="1401" spans="1:20" ht="321">
      <c r="A1401" s="3">
        <v>2725320</v>
      </c>
      <c r="B1401" s="3">
        <f>HYPERLINK("https://platform.v2.vetology.net/cases/2725320/screening-report/6?type=pdf&amp;v=v6&amp;scorecard=1&amp;secret_key=BX%25IJ%24%2F65ieZ%29f6", 2725320)</f>
        <v>2725320</v>
      </c>
      <c r="C1401" s="3">
        <f>HYPERLINK("https://platform.v2.vetology.net/report/v/final/"&amp;2725320, 2725320)</f>
        <v>2725320</v>
      </c>
      <c r="D1401" s="3" t="s">
        <v>5048</v>
      </c>
      <c r="E1401" s="3" t="s">
        <v>5049</v>
      </c>
      <c r="F1401" s="3" t="s">
        <v>5050</v>
      </c>
      <c r="G1401" s="3" t="s">
        <v>186</v>
      </c>
      <c r="H1401" s="3" t="s">
        <v>5051</v>
      </c>
      <c r="I1401" s="3" t="s">
        <v>2353</v>
      </c>
      <c r="J1401" s="3" t="s">
        <v>207</v>
      </c>
      <c r="K1401" s="3" t="s">
        <v>27</v>
      </c>
      <c r="L1401" s="3" t="s">
        <v>27</v>
      </c>
      <c r="M1401" s="3" t="s">
        <v>28</v>
      </c>
      <c r="N1401" s="3" t="s">
        <v>27</v>
      </c>
      <c r="O1401" s="3" t="s">
        <v>27</v>
      </c>
      <c r="P1401" s="3" t="s">
        <v>28</v>
      </c>
      <c r="Q1401" s="3" t="s">
        <v>27</v>
      </c>
      <c r="R1401" s="3" t="s">
        <v>27</v>
      </c>
      <c r="S1401" s="3" t="s">
        <v>27</v>
      </c>
      <c r="T1401" s="3" t="s">
        <v>27</v>
      </c>
    </row>
    <row r="1402" spans="1:20" ht="409.6">
      <c r="A1402" s="3">
        <v>2725303</v>
      </c>
      <c r="B1402" s="3">
        <f>HYPERLINK("https://platform.v2.vetology.net/cases/2725303/screening-report/6?type=pdf&amp;v=v6&amp;scorecard=1&amp;secret_key=BX%25IJ%24%2F65ieZ%29f6", 2725303)</f>
        <v>2725303</v>
      </c>
      <c r="C1402" s="3">
        <f>HYPERLINK("https://platform.v2.vetology.net/report/v/final/"&amp;2725303, 2725303)</f>
        <v>2725303</v>
      </c>
      <c r="D1402" s="3" t="s">
        <v>5052</v>
      </c>
      <c r="E1402" s="3" t="s">
        <v>5053</v>
      </c>
      <c r="F1402" s="3" t="s">
        <v>5054</v>
      </c>
      <c r="G1402" s="3" t="s">
        <v>64</v>
      </c>
      <c r="H1402" s="3" t="s">
        <v>5055</v>
      </c>
      <c r="I1402" s="3" t="s">
        <v>2854</v>
      </c>
      <c r="J1402" s="3" t="s">
        <v>2855</v>
      </c>
      <c r="K1402" s="3" t="s">
        <v>28</v>
      </c>
      <c r="L1402" s="3" t="s">
        <v>28</v>
      </c>
      <c r="M1402" s="3" t="s">
        <v>28</v>
      </c>
      <c r="N1402" s="3" t="s">
        <v>28</v>
      </c>
      <c r="O1402" s="3" t="s">
        <v>28</v>
      </c>
      <c r="P1402" s="3" t="s">
        <v>28</v>
      </c>
      <c r="Q1402" s="3" t="s">
        <v>28</v>
      </c>
      <c r="R1402" s="3" t="s">
        <v>28</v>
      </c>
      <c r="S1402" s="3" t="s">
        <v>28</v>
      </c>
      <c r="T1402" s="3" t="s">
        <v>28</v>
      </c>
    </row>
    <row r="1403" spans="1:20" ht="259.5">
      <c r="A1403" s="3">
        <v>2725299</v>
      </c>
      <c r="B1403" s="3">
        <f>HYPERLINK("https://platform.v2.vetology.net/cases/2725299/screening-report/6?type=pdf&amp;v=v6&amp;scorecard=1&amp;secret_key=BX%25IJ%24%2F65ieZ%29f6", 2725299)</f>
        <v>2725299</v>
      </c>
      <c r="C1403" s="3">
        <f>HYPERLINK("https://platform.v2.vetology.net/report/v/final/"&amp;2725299, 2725299)</f>
        <v>2725299</v>
      </c>
      <c r="D1403" s="3" t="s">
        <v>5056</v>
      </c>
      <c r="E1403" s="3" t="s">
        <v>5057</v>
      </c>
      <c r="F1403" s="3" t="s">
        <v>5058</v>
      </c>
      <c r="G1403" s="3" t="s">
        <v>179</v>
      </c>
      <c r="H1403" s="3" t="s">
        <v>5059</v>
      </c>
      <c r="I1403" s="3" t="s">
        <v>305</v>
      </c>
      <c r="J1403" s="3" t="s">
        <v>799</v>
      </c>
      <c r="K1403" s="3" t="s">
        <v>28</v>
      </c>
      <c r="L1403" s="3" t="s">
        <v>28</v>
      </c>
      <c r="M1403" s="3" t="s">
        <v>28</v>
      </c>
      <c r="N1403" s="3" t="s">
        <v>28</v>
      </c>
      <c r="O1403" s="3" t="s">
        <v>27</v>
      </c>
      <c r="P1403" s="3" t="s">
        <v>28</v>
      </c>
      <c r="Q1403" s="3" t="s">
        <v>28</v>
      </c>
      <c r="R1403" s="3" t="s">
        <v>28</v>
      </c>
      <c r="S1403" s="3" t="s">
        <v>28</v>
      </c>
      <c r="T1403" s="3" t="s">
        <v>28</v>
      </c>
    </row>
    <row r="1404" spans="1:20" ht="409.6">
      <c r="A1404" s="3">
        <v>2725287</v>
      </c>
      <c r="B1404" s="3">
        <f>HYPERLINK("https://platform.v2.vetology.net/cases/2725287/screening-report/6?type=pdf&amp;v=v6&amp;scorecard=1&amp;secret_key=BX%25IJ%24%2F65ieZ%29f6", 2725287)</f>
        <v>2725287</v>
      </c>
      <c r="C1404" s="3">
        <f>HYPERLINK("https://platform.v2.vetology.net/report/v/final/"&amp;2725287, 2725287)</f>
        <v>2725287</v>
      </c>
      <c r="D1404" s="3" t="s">
        <v>5060</v>
      </c>
      <c r="E1404" s="3" t="s">
        <v>5061</v>
      </c>
      <c r="F1404" s="3" t="s">
        <v>5062</v>
      </c>
      <c r="G1404" s="3" t="s">
        <v>64</v>
      </c>
      <c r="H1404" s="3" t="s">
        <v>5063</v>
      </c>
      <c r="I1404" s="3" t="s">
        <v>793</v>
      </c>
      <c r="J1404" s="3" t="s">
        <v>794</v>
      </c>
      <c r="K1404" s="3" t="s">
        <v>28</v>
      </c>
      <c r="L1404" s="3" t="s">
        <v>28</v>
      </c>
      <c r="M1404" s="3" t="s">
        <v>28</v>
      </c>
      <c r="N1404" s="3" t="s">
        <v>28</v>
      </c>
      <c r="O1404" s="3" t="s">
        <v>27</v>
      </c>
      <c r="P1404" s="3" t="s">
        <v>28</v>
      </c>
      <c r="Q1404" s="3" t="s">
        <v>28</v>
      </c>
      <c r="R1404" s="3" t="s">
        <v>28</v>
      </c>
      <c r="S1404" s="3" t="s">
        <v>28</v>
      </c>
      <c r="T1404" s="3" t="s">
        <v>28</v>
      </c>
    </row>
    <row r="1405" spans="1:20" ht="259.5">
      <c r="A1405" s="3">
        <v>2725210</v>
      </c>
      <c r="B1405" s="3">
        <f>HYPERLINK("https://platform.v2.vetology.net/cases/2725210/screening-report/6?type=pdf&amp;v=v6&amp;scorecard=1&amp;secret_key=BX%25IJ%24%2F65ieZ%29f6", 2725210)</f>
        <v>2725210</v>
      </c>
      <c r="C1405" s="3">
        <f>HYPERLINK("https://platform.v2.vetology.net/report/v/final/"&amp;2725210, 2725210)</f>
        <v>2725210</v>
      </c>
      <c r="D1405" s="3" t="s">
        <v>5064</v>
      </c>
      <c r="E1405" s="3" t="s">
        <v>5065</v>
      </c>
      <c r="F1405" s="3" t="s">
        <v>5066</v>
      </c>
      <c r="G1405" s="3" t="s">
        <v>496</v>
      </c>
      <c r="H1405" s="3" t="s">
        <v>212</v>
      </c>
      <c r="I1405" s="3" t="s">
        <v>261</v>
      </c>
      <c r="J1405" s="3" t="s">
        <v>262</v>
      </c>
      <c r="K1405" s="3" t="s">
        <v>27</v>
      </c>
      <c r="L1405" s="3" t="s">
        <v>28</v>
      </c>
      <c r="M1405" s="3" t="s">
        <v>27</v>
      </c>
      <c r="N1405" s="3" t="s">
        <v>28</v>
      </c>
      <c r="O1405" s="3" t="s">
        <v>27</v>
      </c>
      <c r="P1405" s="3" t="s">
        <v>28</v>
      </c>
      <c r="Q1405" s="3" t="s">
        <v>28</v>
      </c>
      <c r="R1405" s="3" t="s">
        <v>28</v>
      </c>
      <c r="S1405" s="3" t="s">
        <v>28</v>
      </c>
      <c r="T1405" s="3" t="s">
        <v>27</v>
      </c>
    </row>
    <row r="1406" spans="1:20" ht="275.25">
      <c r="A1406" s="3">
        <v>2725158</v>
      </c>
      <c r="B1406" s="3">
        <f>HYPERLINK("https://platform.v2.vetology.net/cases/2725158/screening-report/6?type=pdf&amp;v=v6&amp;scorecard=1&amp;secret_key=BX%25IJ%24%2F65ieZ%29f6", 2725158)</f>
        <v>2725158</v>
      </c>
      <c r="C1406" s="3">
        <f>HYPERLINK("https://platform.v2.vetology.net/report/v/final/"&amp;2725158, 2725158)</f>
        <v>2725158</v>
      </c>
      <c r="D1406" s="3" t="s">
        <v>5067</v>
      </c>
      <c r="E1406" s="3" t="s">
        <v>2620</v>
      </c>
      <c r="F1406" s="3" t="s">
        <v>1663</v>
      </c>
      <c r="G1406" s="3" t="s">
        <v>23</v>
      </c>
      <c r="H1406" s="3" t="s">
        <v>5068</v>
      </c>
      <c r="I1406" s="3" t="s">
        <v>1109</v>
      </c>
      <c r="J1406" s="3" t="s">
        <v>1110</v>
      </c>
      <c r="K1406" s="3" t="s">
        <v>28</v>
      </c>
      <c r="L1406" s="3" t="s">
        <v>28</v>
      </c>
      <c r="M1406" s="3" t="s">
        <v>28</v>
      </c>
      <c r="N1406" s="3" t="s">
        <v>27</v>
      </c>
      <c r="O1406" s="3" t="s">
        <v>28</v>
      </c>
      <c r="P1406" s="3" t="s">
        <v>28</v>
      </c>
      <c r="Q1406" s="3" t="s">
        <v>28</v>
      </c>
      <c r="R1406" s="3" t="s">
        <v>28</v>
      </c>
      <c r="S1406" s="3" t="s">
        <v>28</v>
      </c>
      <c r="T1406" s="3" t="s">
        <v>27</v>
      </c>
    </row>
    <row r="1407" spans="1:20" ht="290.25">
      <c r="A1407" s="3">
        <v>2725134</v>
      </c>
      <c r="B1407" s="3">
        <f>HYPERLINK("https://platform.v2.vetology.net/cases/2725134/screening-report/6?type=pdf&amp;v=v6&amp;scorecard=1&amp;secret_key=BX%25IJ%24%2F65ieZ%29f6", 2725134)</f>
        <v>2725134</v>
      </c>
      <c r="C1407" s="3">
        <f>HYPERLINK("https://platform.v2.vetology.net/report/v/final/"&amp;2725134, 2725134)</f>
        <v>2725134</v>
      </c>
      <c r="D1407" s="3" t="s">
        <v>5069</v>
      </c>
      <c r="E1407" s="3" t="s">
        <v>5070</v>
      </c>
      <c r="F1407" s="3" t="s">
        <v>5071</v>
      </c>
      <c r="G1407" s="3" t="s">
        <v>179</v>
      </c>
      <c r="H1407" s="3" t="s">
        <v>5072</v>
      </c>
      <c r="I1407" s="3" t="s">
        <v>1491</v>
      </c>
      <c r="J1407" s="3" t="s">
        <v>5073</v>
      </c>
      <c r="K1407" s="3" t="s">
        <v>27</v>
      </c>
      <c r="L1407" s="3" t="s">
        <v>28</v>
      </c>
      <c r="M1407" s="3" t="s">
        <v>28</v>
      </c>
      <c r="N1407" s="3" t="s">
        <v>28</v>
      </c>
      <c r="O1407" s="3" t="s">
        <v>27</v>
      </c>
      <c r="P1407" s="3" t="s">
        <v>27</v>
      </c>
      <c r="Q1407" s="3" t="s">
        <v>28</v>
      </c>
      <c r="R1407" s="3" t="s">
        <v>28</v>
      </c>
      <c r="S1407" s="3" t="s">
        <v>28</v>
      </c>
      <c r="T1407" s="3" t="s">
        <v>27</v>
      </c>
    </row>
    <row r="1408" spans="1:20" ht="409.6">
      <c r="A1408" s="3">
        <v>2725133</v>
      </c>
      <c r="B1408" s="3">
        <f>HYPERLINK("https://platform.v2.vetology.net/cases/2725133/screening-report/6?type=pdf&amp;v=v6&amp;scorecard=1&amp;secret_key=BX%25IJ%24%2F65ieZ%29f6", 2725133)</f>
        <v>2725133</v>
      </c>
      <c r="C1408" s="3">
        <f>HYPERLINK("https://platform.v2.vetology.net/report/v/final/"&amp;2725133, 2725133)</f>
        <v>2725133</v>
      </c>
      <c r="D1408" s="3" t="s">
        <v>5074</v>
      </c>
      <c r="E1408" s="3" t="s">
        <v>5075</v>
      </c>
      <c r="F1408" s="3" t="s">
        <v>5076</v>
      </c>
      <c r="G1408" s="3" t="s">
        <v>186</v>
      </c>
      <c r="H1408" s="3" t="s">
        <v>5077</v>
      </c>
      <c r="I1408" s="3" t="s">
        <v>5078</v>
      </c>
      <c r="J1408" s="3" t="s">
        <v>5079</v>
      </c>
      <c r="K1408" s="3" t="s">
        <v>28</v>
      </c>
      <c r="L1408" s="3" t="s">
        <v>28</v>
      </c>
      <c r="M1408" s="3" t="s">
        <v>27</v>
      </c>
      <c r="N1408" s="3" t="s">
        <v>28</v>
      </c>
      <c r="O1408" s="3" t="s">
        <v>27</v>
      </c>
      <c r="P1408" s="3" t="s">
        <v>27</v>
      </c>
      <c r="Q1408" s="3" t="s">
        <v>28</v>
      </c>
      <c r="R1408" s="3" t="s">
        <v>28</v>
      </c>
      <c r="S1408" s="3" t="s">
        <v>28</v>
      </c>
      <c r="T1408" s="3" t="s">
        <v>28</v>
      </c>
    </row>
    <row r="1409" spans="1:20" ht="409.6">
      <c r="A1409" s="3">
        <v>2725120</v>
      </c>
      <c r="B1409" s="3">
        <f>HYPERLINK("https://platform.v2.vetology.net/cases/2725120/screening-report/6?type=pdf&amp;v=v6&amp;scorecard=1&amp;secret_key=BX%25IJ%24%2F65ieZ%29f6", 2725120)</f>
        <v>2725120</v>
      </c>
      <c r="C1409" s="3">
        <f>HYPERLINK("https://platform.v2.vetology.net/report/v/final/"&amp;2725120, 2725120)</f>
        <v>2725120</v>
      </c>
      <c r="D1409" s="3" t="s">
        <v>5080</v>
      </c>
      <c r="E1409" s="3" t="s">
        <v>294</v>
      </c>
      <c r="F1409" s="3" t="s">
        <v>22</v>
      </c>
      <c r="G1409" s="3" t="s">
        <v>23</v>
      </c>
      <c r="H1409" s="3" t="s">
        <v>5081</v>
      </c>
      <c r="I1409" s="3" t="s">
        <v>52</v>
      </c>
      <c r="J1409" s="3" t="s">
        <v>154</v>
      </c>
      <c r="K1409" s="3" t="s">
        <v>27</v>
      </c>
      <c r="L1409" s="3" t="s">
        <v>28</v>
      </c>
      <c r="M1409" s="3" t="s">
        <v>28</v>
      </c>
      <c r="N1409" s="3" t="s">
        <v>28</v>
      </c>
      <c r="O1409" s="3" t="s">
        <v>27</v>
      </c>
      <c r="P1409" s="3" t="s">
        <v>28</v>
      </c>
      <c r="Q1409" s="3" t="s">
        <v>28</v>
      </c>
      <c r="R1409" s="3" t="s">
        <v>28</v>
      </c>
      <c r="S1409" s="3" t="s">
        <v>28</v>
      </c>
      <c r="T1409" s="3" t="s">
        <v>28</v>
      </c>
    </row>
    <row r="1410" spans="1:20" ht="366">
      <c r="A1410" s="3">
        <v>2725095</v>
      </c>
      <c r="B1410" s="3">
        <f>HYPERLINK("https://platform.v2.vetology.net/cases/2725095/screening-report/6?type=pdf&amp;v=v6&amp;scorecard=1&amp;secret_key=BX%25IJ%24%2F65ieZ%29f6", 2725095)</f>
        <v>2725095</v>
      </c>
      <c r="C1410" s="3">
        <f>HYPERLINK("https://platform.v2.vetology.net/report/v/final/"&amp;2725095, 2725095)</f>
        <v>2725095</v>
      </c>
      <c r="D1410" s="3" t="s">
        <v>5082</v>
      </c>
      <c r="E1410" s="3" t="s">
        <v>5083</v>
      </c>
      <c r="F1410" s="3" t="s">
        <v>5084</v>
      </c>
      <c r="G1410" s="3" t="s">
        <v>186</v>
      </c>
      <c r="H1410" s="3" t="s">
        <v>5085</v>
      </c>
      <c r="I1410" s="3" t="s">
        <v>1875</v>
      </c>
      <c r="J1410" s="3" t="s">
        <v>755</v>
      </c>
      <c r="K1410" s="3" t="s">
        <v>28</v>
      </c>
      <c r="L1410" s="3" t="s">
        <v>28</v>
      </c>
      <c r="M1410" s="3" t="s">
        <v>27</v>
      </c>
      <c r="N1410" s="3" t="s">
        <v>28</v>
      </c>
      <c r="O1410" s="3" t="s">
        <v>27</v>
      </c>
      <c r="P1410" s="3" t="s">
        <v>28</v>
      </c>
      <c r="Q1410" s="3" t="s">
        <v>27</v>
      </c>
      <c r="R1410" s="3" t="s">
        <v>28</v>
      </c>
      <c r="S1410" s="3" t="s">
        <v>28</v>
      </c>
      <c r="T1410" s="3" t="s">
        <v>28</v>
      </c>
    </row>
    <row r="1411" spans="1:20" ht="409.6">
      <c r="A1411" s="3">
        <v>2725077</v>
      </c>
      <c r="B1411" s="3">
        <f>HYPERLINK("https://platform.v2.vetology.net/cases/2725077/screening-report/6?type=pdf&amp;v=v6&amp;scorecard=1&amp;secret_key=BX%25IJ%24%2F65ieZ%29f6", 2725077)</f>
        <v>2725077</v>
      </c>
      <c r="C1411" s="3">
        <f>HYPERLINK("https://platform.v2.vetology.net/report/v/final/"&amp;2725077, 2725077)</f>
        <v>2725077</v>
      </c>
      <c r="D1411" s="3" t="s">
        <v>5086</v>
      </c>
      <c r="E1411" s="3" t="s">
        <v>5087</v>
      </c>
      <c r="F1411" s="3" t="s">
        <v>5088</v>
      </c>
      <c r="G1411" s="3" t="s">
        <v>64</v>
      </c>
      <c r="H1411" s="3" t="s">
        <v>31</v>
      </c>
      <c r="I1411" s="3" t="s">
        <v>32</v>
      </c>
      <c r="J1411" s="3" t="s">
        <v>119</v>
      </c>
      <c r="K1411" s="3" t="s">
        <v>28</v>
      </c>
      <c r="L1411" s="3" t="s">
        <v>28</v>
      </c>
      <c r="M1411" s="3" t="s">
        <v>28</v>
      </c>
      <c r="N1411" s="3" t="s">
        <v>28</v>
      </c>
      <c r="O1411" s="3" t="s">
        <v>28</v>
      </c>
      <c r="P1411" s="3" t="s">
        <v>28</v>
      </c>
      <c r="Q1411" s="3" t="s">
        <v>28</v>
      </c>
      <c r="R1411" s="3" t="s">
        <v>28</v>
      </c>
      <c r="S1411" s="3" t="s">
        <v>28</v>
      </c>
      <c r="T1411" s="3" t="s">
        <v>28</v>
      </c>
    </row>
    <row r="1412" spans="1:20" ht="305.25">
      <c r="A1412" s="3">
        <v>2725033</v>
      </c>
      <c r="B1412" s="3">
        <f>HYPERLINK("https://platform.v2.vetology.net/cases/2725033/screening-report/6?type=pdf&amp;v=v6&amp;scorecard=1&amp;secret_key=BX%25IJ%24%2F65ieZ%29f6", 2725033)</f>
        <v>2725033</v>
      </c>
      <c r="C1412" s="3">
        <f>HYPERLINK("https://platform.v2.vetology.net/report/v/final/"&amp;2725033, 2725033)</f>
        <v>2725033</v>
      </c>
      <c r="D1412" s="3" t="s">
        <v>5089</v>
      </c>
      <c r="E1412" s="3" t="s">
        <v>5090</v>
      </c>
      <c r="F1412" s="3" t="s">
        <v>5091</v>
      </c>
      <c r="G1412" s="3" t="s">
        <v>186</v>
      </c>
      <c r="H1412" s="3" t="s">
        <v>31</v>
      </c>
      <c r="I1412" s="3" t="s">
        <v>32</v>
      </c>
      <c r="J1412" s="3" t="s">
        <v>33</v>
      </c>
      <c r="K1412" s="3" t="s">
        <v>28</v>
      </c>
      <c r="L1412" s="3" t="s">
        <v>27</v>
      </c>
      <c r="M1412" s="3" t="s">
        <v>28</v>
      </c>
      <c r="N1412" s="3" t="s">
        <v>28</v>
      </c>
      <c r="O1412" s="3" t="s">
        <v>28</v>
      </c>
      <c r="P1412" s="3" t="s">
        <v>28</v>
      </c>
      <c r="Q1412" s="3" t="s">
        <v>28</v>
      </c>
      <c r="R1412" s="3" t="s">
        <v>28</v>
      </c>
      <c r="S1412" s="3" t="s">
        <v>28</v>
      </c>
      <c r="T1412" s="3" t="s">
        <v>28</v>
      </c>
    </row>
    <row r="1413" spans="1:20" ht="409.6">
      <c r="A1413" s="3">
        <v>2725010</v>
      </c>
      <c r="B1413" s="3">
        <f>HYPERLINK("https://platform.v2.vetology.net/cases/2725010/screening-report/6?type=pdf&amp;v=v6&amp;scorecard=1&amp;secret_key=BX%25IJ%24%2F65ieZ%29f6", 2725010)</f>
        <v>2725010</v>
      </c>
      <c r="C1413" s="3">
        <f>HYPERLINK("https://platform.v2.vetology.net/report/v/final/"&amp;2725010, 2725010)</f>
        <v>2725010</v>
      </c>
      <c r="D1413" s="3" t="s">
        <v>5092</v>
      </c>
      <c r="E1413" s="3" t="s">
        <v>5093</v>
      </c>
      <c r="F1413" s="3" t="s">
        <v>5094</v>
      </c>
      <c r="G1413" s="3" t="s">
        <v>64</v>
      </c>
      <c r="H1413" s="3" t="s">
        <v>5095</v>
      </c>
      <c r="I1413" s="3" t="s">
        <v>37</v>
      </c>
      <c r="J1413" s="3" t="s">
        <v>38</v>
      </c>
      <c r="K1413" s="3" t="s">
        <v>27</v>
      </c>
      <c r="L1413" s="3" t="s">
        <v>28</v>
      </c>
      <c r="M1413" s="3" t="s">
        <v>27</v>
      </c>
      <c r="N1413" s="3" t="s">
        <v>28</v>
      </c>
      <c r="O1413" s="3" t="s">
        <v>27</v>
      </c>
      <c r="P1413" s="3" t="s">
        <v>28</v>
      </c>
      <c r="Q1413" s="3" t="s">
        <v>28</v>
      </c>
      <c r="R1413" s="3" t="s">
        <v>28</v>
      </c>
      <c r="S1413" s="3" t="s">
        <v>28</v>
      </c>
      <c r="T1413" s="3" t="s">
        <v>28</v>
      </c>
    </row>
    <row r="1414" spans="1:20" ht="409.6">
      <c r="A1414" s="3">
        <v>2724984</v>
      </c>
      <c r="B1414" s="3">
        <f>HYPERLINK("https://platform.v2.vetology.net/cases/2724984/screening-report/6?type=pdf&amp;v=v6&amp;scorecard=1&amp;secret_key=BX%25IJ%24%2F65ieZ%29f6", 2724984)</f>
        <v>2724984</v>
      </c>
      <c r="C1414" s="3">
        <f>HYPERLINK("https://platform.v2.vetology.net/report/v/final/"&amp;2724984, 2724984)</f>
        <v>2724984</v>
      </c>
      <c r="D1414" s="3" t="s">
        <v>5096</v>
      </c>
      <c r="E1414" s="3" t="s">
        <v>5097</v>
      </c>
      <c r="F1414" s="3" t="s">
        <v>5098</v>
      </c>
      <c r="G1414" s="3" t="s">
        <v>186</v>
      </c>
      <c r="H1414" s="3" t="s">
        <v>5099</v>
      </c>
      <c r="I1414" s="3" t="s">
        <v>2825</v>
      </c>
      <c r="J1414" s="3" t="s">
        <v>2826</v>
      </c>
      <c r="K1414" s="3" t="s">
        <v>27</v>
      </c>
      <c r="L1414" s="3" t="s">
        <v>28</v>
      </c>
      <c r="M1414" s="3" t="s">
        <v>27</v>
      </c>
      <c r="N1414" s="3" t="s">
        <v>28</v>
      </c>
      <c r="O1414" s="3" t="s">
        <v>27</v>
      </c>
      <c r="P1414" s="3" t="s">
        <v>28</v>
      </c>
      <c r="Q1414" s="3" t="s">
        <v>27</v>
      </c>
      <c r="R1414" s="3" t="s">
        <v>28</v>
      </c>
      <c r="S1414" s="3" t="s">
        <v>28</v>
      </c>
      <c r="T1414" s="3" t="s">
        <v>28</v>
      </c>
    </row>
    <row r="1415" spans="1:20" ht="305.25">
      <c r="A1415" s="3">
        <v>2724930</v>
      </c>
      <c r="B1415" s="3">
        <f>HYPERLINK("https://platform.v2.vetology.net/cases/2724930/screening-report/6?type=pdf&amp;v=v6&amp;scorecard=1&amp;secret_key=BX%25IJ%24%2F65ieZ%29f6", 2724930)</f>
        <v>2724930</v>
      </c>
      <c r="C1415" s="3">
        <f>HYPERLINK("https://platform.v2.vetology.net/report/v/final/"&amp;2724930, 2724930)</f>
        <v>2724930</v>
      </c>
      <c r="D1415" s="3" t="s">
        <v>5100</v>
      </c>
      <c r="E1415" s="3" t="s">
        <v>5101</v>
      </c>
      <c r="F1415" s="3" t="s">
        <v>277</v>
      </c>
      <c r="G1415" s="3" t="s">
        <v>186</v>
      </c>
      <c r="H1415" s="3" t="s">
        <v>31</v>
      </c>
      <c r="I1415" s="3" t="s">
        <v>1497</v>
      </c>
      <c r="J1415" s="3" t="s">
        <v>33</v>
      </c>
      <c r="K1415" s="3" t="s">
        <v>28</v>
      </c>
      <c r="L1415" s="3" t="s">
        <v>28</v>
      </c>
      <c r="M1415" s="3" t="s">
        <v>28</v>
      </c>
      <c r="N1415" s="3" t="s">
        <v>28</v>
      </c>
      <c r="O1415" s="3" t="s">
        <v>28</v>
      </c>
      <c r="P1415" s="3" t="s">
        <v>28</v>
      </c>
      <c r="Q1415" s="3" t="s">
        <v>27</v>
      </c>
      <c r="R1415" s="3" t="s">
        <v>28</v>
      </c>
      <c r="S1415" s="3" t="s">
        <v>28</v>
      </c>
      <c r="T1415" s="3" t="s">
        <v>27</v>
      </c>
    </row>
    <row r="1416" spans="1:20" ht="351">
      <c r="A1416" s="3">
        <v>2724886</v>
      </c>
      <c r="B1416" s="3">
        <f>HYPERLINK("https://platform.v2.vetology.net/cases/2724886/screening-report/6?type=pdf&amp;v=v6&amp;scorecard=1&amp;secret_key=BX%25IJ%24%2F65ieZ%29f6", 2724886)</f>
        <v>2724886</v>
      </c>
      <c r="C1416" s="3">
        <f>HYPERLINK("https://platform.v2.vetology.net/report/v/final/"&amp;2724886, 2724886)</f>
        <v>2724886</v>
      </c>
      <c r="D1416" s="3" t="s">
        <v>5102</v>
      </c>
      <c r="E1416" s="3" t="s">
        <v>5103</v>
      </c>
      <c r="F1416" s="3" t="s">
        <v>5104</v>
      </c>
      <c r="G1416" s="3" t="s">
        <v>186</v>
      </c>
      <c r="H1416" s="3" t="s">
        <v>2006</v>
      </c>
      <c r="I1416" s="3" t="s">
        <v>1070</v>
      </c>
      <c r="J1416" s="3" t="s">
        <v>207</v>
      </c>
      <c r="K1416" s="3" t="s">
        <v>28</v>
      </c>
      <c r="L1416" s="3" t="s">
        <v>28</v>
      </c>
      <c r="M1416" s="3" t="s">
        <v>28</v>
      </c>
      <c r="N1416" s="3" t="s">
        <v>28</v>
      </c>
      <c r="O1416" s="3" t="s">
        <v>28</v>
      </c>
      <c r="P1416" s="3" t="s">
        <v>28</v>
      </c>
      <c r="Q1416" s="3" t="s">
        <v>28</v>
      </c>
      <c r="R1416" s="3" t="s">
        <v>28</v>
      </c>
      <c r="S1416" s="3" t="s">
        <v>28</v>
      </c>
      <c r="T1416" s="3" t="s">
        <v>28</v>
      </c>
    </row>
    <row r="1417" spans="1:20" ht="409.6">
      <c r="A1417" s="3">
        <v>2724867</v>
      </c>
      <c r="B1417" s="3">
        <f>HYPERLINK("https://platform.v2.vetology.net/cases/2724867/screening-report/6?type=pdf&amp;v=v6&amp;scorecard=1&amp;secret_key=BX%25IJ%24%2F65ieZ%29f6", 2724867)</f>
        <v>2724867</v>
      </c>
      <c r="C1417" s="3">
        <f>HYPERLINK("https://platform.v2.vetology.net/report/v/final/"&amp;2724867, 2724867)</f>
        <v>2724867</v>
      </c>
      <c r="D1417" s="3" t="s">
        <v>5105</v>
      </c>
      <c r="E1417" s="3" t="s">
        <v>5106</v>
      </c>
      <c r="F1417" s="3" t="s">
        <v>5107</v>
      </c>
      <c r="G1417" s="3" t="s">
        <v>64</v>
      </c>
      <c r="H1417" s="3" t="s">
        <v>5108</v>
      </c>
      <c r="I1417" s="3" t="s">
        <v>2565</v>
      </c>
      <c r="J1417" s="3" t="s">
        <v>2566</v>
      </c>
      <c r="K1417" s="3" t="s">
        <v>27</v>
      </c>
      <c r="L1417" s="3" t="s">
        <v>27</v>
      </c>
      <c r="M1417" s="3" t="s">
        <v>28</v>
      </c>
      <c r="N1417" s="3" t="s">
        <v>27</v>
      </c>
      <c r="O1417" s="3" t="s">
        <v>27</v>
      </c>
      <c r="P1417" s="3" t="s">
        <v>28</v>
      </c>
      <c r="Q1417" s="3" t="s">
        <v>28</v>
      </c>
      <c r="R1417" s="3" t="s">
        <v>27</v>
      </c>
      <c r="S1417" s="3" t="s">
        <v>27</v>
      </c>
      <c r="T1417" s="3" t="s">
        <v>27</v>
      </c>
    </row>
    <row r="1418" spans="1:20" ht="381.75">
      <c r="A1418" s="3">
        <v>2724804</v>
      </c>
      <c r="B1418" s="3">
        <f>HYPERLINK("https://platform.v2.vetology.net/cases/2724804/screening-report/6?type=pdf&amp;v=v6&amp;scorecard=1&amp;secret_key=BX%25IJ%24%2F65ieZ%29f6", 2724804)</f>
        <v>2724804</v>
      </c>
      <c r="C1418" s="3">
        <f>HYPERLINK("https://platform.v2.vetology.net/report/v/final/"&amp;2724804, 2724804)</f>
        <v>2724804</v>
      </c>
      <c r="D1418" s="3" t="s">
        <v>5109</v>
      </c>
      <c r="E1418" s="3" t="s">
        <v>5110</v>
      </c>
      <c r="F1418" s="3" t="s">
        <v>2979</v>
      </c>
      <c r="G1418" s="3" t="s">
        <v>122</v>
      </c>
      <c r="H1418" s="3" t="s">
        <v>5111</v>
      </c>
      <c r="I1418" s="3" t="s">
        <v>856</v>
      </c>
      <c r="J1418" s="3" t="s">
        <v>857</v>
      </c>
      <c r="K1418" s="3" t="s">
        <v>27</v>
      </c>
      <c r="L1418" s="3" t="s">
        <v>28</v>
      </c>
      <c r="M1418" s="3" t="s">
        <v>28</v>
      </c>
      <c r="N1418" s="3" t="s">
        <v>28</v>
      </c>
      <c r="O1418" s="3" t="s">
        <v>27</v>
      </c>
      <c r="P1418" s="3" t="s">
        <v>28</v>
      </c>
      <c r="Q1418" s="3" t="s">
        <v>28</v>
      </c>
      <c r="R1418" s="3" t="s">
        <v>28</v>
      </c>
      <c r="S1418" s="3" t="s">
        <v>28</v>
      </c>
      <c r="T1418" s="3" t="s">
        <v>28</v>
      </c>
    </row>
    <row r="1419" spans="1:20" ht="321">
      <c r="A1419" s="3">
        <v>2724749</v>
      </c>
      <c r="B1419" s="3">
        <f>HYPERLINK("https://platform.v2.vetology.net/cases/2724749/screening-report/6?type=pdf&amp;v=v6&amp;scorecard=1&amp;secret_key=BX%25IJ%24%2F65ieZ%29f6", 2724749)</f>
        <v>2724749</v>
      </c>
      <c r="C1419" s="3">
        <f>HYPERLINK("https://platform.v2.vetology.net/report/v/final/"&amp;2724749, 2724749)</f>
        <v>2724749</v>
      </c>
      <c r="D1419" s="3" t="s">
        <v>5112</v>
      </c>
      <c r="E1419" s="3" t="s">
        <v>5113</v>
      </c>
      <c r="F1419" s="3" t="s">
        <v>5114</v>
      </c>
      <c r="G1419" s="3" t="s">
        <v>23</v>
      </c>
      <c r="H1419" s="3" t="s">
        <v>5115</v>
      </c>
      <c r="I1419" s="3" t="s">
        <v>1227</v>
      </c>
      <c r="J1419" s="3" t="s">
        <v>1228</v>
      </c>
      <c r="K1419" s="3" t="s">
        <v>28</v>
      </c>
      <c r="L1419" s="3" t="s">
        <v>28</v>
      </c>
      <c r="M1419" s="3" t="s">
        <v>28</v>
      </c>
      <c r="N1419" s="3" t="s">
        <v>27</v>
      </c>
      <c r="O1419" s="3" t="s">
        <v>27</v>
      </c>
      <c r="P1419" s="3" t="s">
        <v>28</v>
      </c>
      <c r="Q1419" s="3" t="s">
        <v>28</v>
      </c>
      <c r="R1419" s="3" t="s">
        <v>28</v>
      </c>
      <c r="S1419" s="3" t="s">
        <v>27</v>
      </c>
      <c r="T1419" s="3" t="s">
        <v>27</v>
      </c>
    </row>
    <row r="1420" spans="1:20" ht="409.6">
      <c r="A1420" s="3">
        <v>2724746</v>
      </c>
      <c r="B1420" s="3">
        <f>HYPERLINK("https://platform.v2.vetology.net/cases/2724746/screening-report/6?type=pdf&amp;v=v6&amp;scorecard=1&amp;secret_key=BX%25IJ%24%2F65ieZ%29f6", 2724746)</f>
        <v>2724746</v>
      </c>
      <c r="C1420" s="3">
        <f>HYPERLINK("https://platform.v2.vetology.net/report/v/final/"&amp;2724746, 2724746)</f>
        <v>2724746</v>
      </c>
      <c r="D1420" s="3" t="s">
        <v>5116</v>
      </c>
      <c r="E1420" s="3" t="s">
        <v>294</v>
      </c>
      <c r="F1420" s="3" t="s">
        <v>22</v>
      </c>
      <c r="G1420" s="3" t="s">
        <v>23</v>
      </c>
      <c r="H1420" s="3" t="s">
        <v>5117</v>
      </c>
      <c r="I1420" s="3" t="s">
        <v>659</v>
      </c>
      <c r="J1420" s="3" t="s">
        <v>660</v>
      </c>
      <c r="K1420" s="3" t="s">
        <v>27</v>
      </c>
      <c r="L1420" s="3" t="s">
        <v>28</v>
      </c>
      <c r="M1420" s="3" t="s">
        <v>28</v>
      </c>
      <c r="N1420" s="3" t="s">
        <v>28</v>
      </c>
      <c r="O1420" s="3" t="s">
        <v>27</v>
      </c>
      <c r="P1420" s="3" t="s">
        <v>28</v>
      </c>
      <c r="Q1420" s="3" t="s">
        <v>28</v>
      </c>
      <c r="R1420" s="3" t="s">
        <v>28</v>
      </c>
      <c r="S1420" s="3" t="s">
        <v>28</v>
      </c>
      <c r="T1420" s="3" t="s">
        <v>28</v>
      </c>
    </row>
    <row r="1421" spans="1:20" ht="366">
      <c r="A1421" s="3">
        <v>2724724</v>
      </c>
      <c r="B1421" s="3">
        <f>HYPERLINK("https://platform.v2.vetology.net/cases/2724724/screening-report/6?type=pdf&amp;v=v6&amp;scorecard=1&amp;secret_key=BX%25IJ%24%2F65ieZ%29f6", 2724724)</f>
        <v>2724724</v>
      </c>
      <c r="C1421" s="3">
        <f>HYPERLINK("https://platform.v2.vetology.net/report/v/final/"&amp;2724724, 2724724)</f>
        <v>2724724</v>
      </c>
      <c r="D1421" s="3" t="s">
        <v>5118</v>
      </c>
      <c r="E1421" s="3" t="s">
        <v>5119</v>
      </c>
      <c r="F1421" s="3" t="s">
        <v>5120</v>
      </c>
      <c r="G1421" s="3" t="s">
        <v>211</v>
      </c>
      <c r="H1421" s="3" t="s">
        <v>5121</v>
      </c>
      <c r="I1421" s="3" t="s">
        <v>807</v>
      </c>
      <c r="J1421" s="3" t="s">
        <v>808</v>
      </c>
      <c r="K1421" s="3" t="s">
        <v>28</v>
      </c>
      <c r="L1421" s="3" t="s">
        <v>27</v>
      </c>
      <c r="M1421" s="3" t="s">
        <v>27</v>
      </c>
      <c r="N1421" s="3" t="s">
        <v>27</v>
      </c>
      <c r="O1421" s="3" t="s">
        <v>27</v>
      </c>
      <c r="P1421" s="3" t="s">
        <v>28</v>
      </c>
      <c r="Q1421" s="3" t="s">
        <v>28</v>
      </c>
      <c r="R1421" s="3" t="s">
        <v>27</v>
      </c>
      <c r="S1421" s="3" t="s">
        <v>27</v>
      </c>
      <c r="T1421" s="3" t="s">
        <v>27</v>
      </c>
    </row>
    <row r="1422" spans="1:20" ht="396.75">
      <c r="A1422" s="3">
        <v>2724714</v>
      </c>
      <c r="B1422" s="3">
        <f>HYPERLINK("https://platform.v2.vetology.net/cases/2724714/screening-report/6?type=pdf&amp;v=v6&amp;scorecard=1&amp;secret_key=BX%25IJ%24%2F65ieZ%29f6", 2724714)</f>
        <v>2724714</v>
      </c>
      <c r="C1422" s="3">
        <f>HYPERLINK("https://platform.v2.vetology.net/report/v/final/"&amp;2724714, 2724714)</f>
        <v>2724714</v>
      </c>
      <c r="D1422" s="3" t="s">
        <v>5122</v>
      </c>
      <c r="E1422" s="3" t="s">
        <v>5123</v>
      </c>
      <c r="F1422" s="3" t="s">
        <v>5124</v>
      </c>
      <c r="G1422" s="3" t="s">
        <v>211</v>
      </c>
      <c r="H1422" s="3" t="s">
        <v>3877</v>
      </c>
      <c r="I1422" s="3" t="s">
        <v>2011</v>
      </c>
      <c r="J1422" s="3" t="s">
        <v>225</v>
      </c>
      <c r="K1422" s="3" t="s">
        <v>28</v>
      </c>
      <c r="L1422" s="3" t="s">
        <v>27</v>
      </c>
      <c r="M1422" s="3" t="s">
        <v>28</v>
      </c>
      <c r="N1422" s="3" t="s">
        <v>27</v>
      </c>
      <c r="O1422" s="3" t="s">
        <v>27</v>
      </c>
      <c r="P1422" s="3" t="s">
        <v>28</v>
      </c>
      <c r="Q1422" s="3" t="s">
        <v>28</v>
      </c>
      <c r="R1422" s="3" t="s">
        <v>27</v>
      </c>
      <c r="S1422" s="3" t="s">
        <v>27</v>
      </c>
      <c r="T1422" s="3" t="s">
        <v>27</v>
      </c>
    </row>
    <row r="1423" spans="1:20" ht="336">
      <c r="A1423" s="3">
        <v>2724689</v>
      </c>
      <c r="B1423" s="3">
        <f>HYPERLINK("https://platform.v2.vetology.net/cases/2724689/screening-report/6?type=pdf&amp;v=v6&amp;scorecard=1&amp;secret_key=BX%25IJ%24%2F65ieZ%29f6", 2724689)</f>
        <v>2724689</v>
      </c>
      <c r="C1423" s="3">
        <f>HYPERLINK("https://platform.v2.vetology.net/report/v/final/"&amp;2724689, 2724689)</f>
        <v>2724689</v>
      </c>
      <c r="D1423" s="3" t="s">
        <v>5125</v>
      </c>
      <c r="E1423" s="3" t="s">
        <v>5126</v>
      </c>
      <c r="F1423" s="3" t="s">
        <v>76</v>
      </c>
      <c r="G1423" s="3" t="s">
        <v>23</v>
      </c>
      <c r="H1423" s="3" t="s">
        <v>1564</v>
      </c>
      <c r="I1423" s="3" t="s">
        <v>1565</v>
      </c>
      <c r="J1423" s="3" t="s">
        <v>1566</v>
      </c>
      <c r="K1423" s="3" t="s">
        <v>28</v>
      </c>
      <c r="L1423" s="3" t="s">
        <v>28</v>
      </c>
      <c r="M1423" s="3" t="s">
        <v>28</v>
      </c>
      <c r="N1423" s="3" t="s">
        <v>28</v>
      </c>
      <c r="O1423" s="3" t="s">
        <v>27</v>
      </c>
      <c r="P1423" s="3" t="s">
        <v>28</v>
      </c>
      <c r="Q1423" s="3" t="s">
        <v>28</v>
      </c>
      <c r="R1423" s="3" t="s">
        <v>28</v>
      </c>
      <c r="S1423" s="3" t="s">
        <v>28</v>
      </c>
      <c r="T1423" s="3" t="s">
        <v>28</v>
      </c>
    </row>
    <row r="1424" spans="1:20" ht="409.6">
      <c r="A1424" s="3">
        <v>2724672</v>
      </c>
      <c r="B1424" s="3">
        <f>HYPERLINK("https://platform.v2.vetology.net/cases/2724672/screening-report/6?type=pdf&amp;v=v6&amp;scorecard=1&amp;secret_key=BX%25IJ%24%2F65ieZ%29f6", 2724672)</f>
        <v>2724672</v>
      </c>
      <c r="C1424" s="3">
        <f>HYPERLINK("https://platform.v2.vetology.net/report/v/final/"&amp;2724672, 2724672)</f>
        <v>2724672</v>
      </c>
      <c r="D1424" s="3" t="s">
        <v>5127</v>
      </c>
      <c r="E1424" s="3" t="s">
        <v>5128</v>
      </c>
      <c r="F1424" s="3" t="s">
        <v>22</v>
      </c>
      <c r="G1424" s="3" t="s">
        <v>23</v>
      </c>
      <c r="H1424" s="3" t="s">
        <v>2284</v>
      </c>
      <c r="I1424" s="3" t="s">
        <v>345</v>
      </c>
      <c r="J1424" s="3" t="s">
        <v>346</v>
      </c>
      <c r="K1424" s="3" t="s">
        <v>28</v>
      </c>
      <c r="L1424" s="3" t="s">
        <v>28</v>
      </c>
      <c r="M1424" s="3" t="s">
        <v>28</v>
      </c>
      <c r="N1424" s="3" t="s">
        <v>27</v>
      </c>
      <c r="O1424" s="3" t="s">
        <v>28</v>
      </c>
      <c r="P1424" s="3" t="s">
        <v>28</v>
      </c>
      <c r="Q1424" s="3" t="s">
        <v>28</v>
      </c>
      <c r="R1424" s="3" t="s">
        <v>27</v>
      </c>
      <c r="S1424" s="3" t="s">
        <v>27</v>
      </c>
      <c r="T1424" s="3" t="s">
        <v>27</v>
      </c>
    </row>
    <row r="1425" spans="1:20" ht="409.6">
      <c r="A1425" s="3">
        <v>2724651</v>
      </c>
      <c r="B1425" s="3">
        <f>HYPERLINK("https://platform.v2.vetology.net/cases/2724651/screening-report/6?type=pdf&amp;v=v6&amp;scorecard=1&amp;secret_key=BX%25IJ%24%2F65ieZ%29f6", 2724651)</f>
        <v>2724651</v>
      </c>
      <c r="C1425" s="3">
        <f>HYPERLINK("https://platform.v2.vetology.net/report/v/final/"&amp;2724651, 2724651)</f>
        <v>2724651</v>
      </c>
      <c r="D1425" s="3" t="s">
        <v>5129</v>
      </c>
      <c r="E1425" s="3" t="s">
        <v>5130</v>
      </c>
      <c r="F1425" s="3" t="s">
        <v>5131</v>
      </c>
      <c r="G1425" s="3" t="s">
        <v>64</v>
      </c>
      <c r="H1425" s="3" t="s">
        <v>1630</v>
      </c>
      <c r="I1425" s="3" t="s">
        <v>993</v>
      </c>
      <c r="J1425" s="3" t="s">
        <v>994</v>
      </c>
      <c r="K1425" s="3" t="s">
        <v>28</v>
      </c>
      <c r="L1425" s="3" t="s">
        <v>28</v>
      </c>
      <c r="M1425" s="3" t="s">
        <v>28</v>
      </c>
      <c r="N1425" s="3" t="s">
        <v>28</v>
      </c>
      <c r="O1425" s="3" t="s">
        <v>27</v>
      </c>
      <c r="P1425" s="3" t="s">
        <v>28</v>
      </c>
      <c r="Q1425" s="3" t="s">
        <v>28</v>
      </c>
      <c r="R1425" s="3" t="s">
        <v>28</v>
      </c>
      <c r="S1425" s="3" t="s">
        <v>28</v>
      </c>
      <c r="T1425" s="3" t="s">
        <v>28</v>
      </c>
    </row>
    <row r="1426" spans="1:20" ht="366">
      <c r="A1426" s="3">
        <v>2724633</v>
      </c>
      <c r="B1426" s="3">
        <f>HYPERLINK("https://platform.v2.vetology.net/cases/2724633/screening-report/6?type=pdf&amp;v=v6&amp;scorecard=1&amp;secret_key=BX%25IJ%24%2F65ieZ%29f6", 2724633)</f>
        <v>2724633</v>
      </c>
      <c r="C1426" s="3">
        <f>HYPERLINK("https://platform.v2.vetology.net/report/v/final/"&amp;2724633, 2724633)</f>
        <v>2724633</v>
      </c>
      <c r="D1426" s="3" t="s">
        <v>5132</v>
      </c>
      <c r="E1426" s="3" t="s">
        <v>5133</v>
      </c>
      <c r="F1426" s="3" t="s">
        <v>5134</v>
      </c>
      <c r="G1426" s="3" t="s">
        <v>57</v>
      </c>
      <c r="H1426" s="3" t="s">
        <v>5135</v>
      </c>
      <c r="I1426" s="3" t="s">
        <v>200</v>
      </c>
      <c r="J1426" s="3" t="s">
        <v>219</v>
      </c>
      <c r="K1426" s="3" t="s">
        <v>27</v>
      </c>
      <c r="L1426" s="3" t="s">
        <v>28</v>
      </c>
      <c r="M1426" s="3" t="s">
        <v>27</v>
      </c>
      <c r="N1426" s="3" t="s">
        <v>28</v>
      </c>
      <c r="O1426" s="3" t="s">
        <v>27</v>
      </c>
      <c r="P1426" s="3" t="s">
        <v>28</v>
      </c>
      <c r="Q1426" s="3" t="s">
        <v>28</v>
      </c>
      <c r="R1426" s="3" t="s">
        <v>28</v>
      </c>
      <c r="S1426" s="3" t="s">
        <v>28</v>
      </c>
      <c r="T1426" s="3" t="s">
        <v>28</v>
      </c>
    </row>
    <row r="1427" spans="1:20" ht="305.25">
      <c r="A1427" s="3">
        <v>2724614</v>
      </c>
      <c r="B1427" s="3">
        <f>HYPERLINK("https://platform.v2.vetology.net/cases/2724614/screening-report/6?type=pdf&amp;v=v6&amp;scorecard=1&amp;secret_key=BX%25IJ%24%2F65ieZ%29f6", 2724614)</f>
        <v>2724614</v>
      </c>
      <c r="C1427" s="3">
        <f>HYPERLINK("https://platform.v2.vetology.net/report/v/final/"&amp;2724614, 2724614)</f>
        <v>2724614</v>
      </c>
      <c r="D1427" s="3" t="s">
        <v>5136</v>
      </c>
      <c r="E1427" s="3" t="s">
        <v>5137</v>
      </c>
      <c r="F1427" s="3" t="s">
        <v>1377</v>
      </c>
      <c r="G1427" s="3" t="s">
        <v>186</v>
      </c>
      <c r="H1427" s="3" t="s">
        <v>158</v>
      </c>
      <c r="I1427" s="3" t="s">
        <v>32</v>
      </c>
      <c r="J1427" s="3" t="s">
        <v>33</v>
      </c>
      <c r="K1427" s="3" t="s">
        <v>27</v>
      </c>
      <c r="L1427" s="3" t="s">
        <v>28</v>
      </c>
      <c r="M1427" s="3" t="s">
        <v>28</v>
      </c>
      <c r="N1427" s="3" t="s">
        <v>28</v>
      </c>
      <c r="O1427" s="3" t="s">
        <v>27</v>
      </c>
      <c r="P1427" s="3" t="s">
        <v>27</v>
      </c>
      <c r="Q1427" s="3" t="s">
        <v>27</v>
      </c>
      <c r="R1427" s="3" t="s">
        <v>28</v>
      </c>
      <c r="S1427" s="3" t="s">
        <v>28</v>
      </c>
      <c r="T1427" s="3" t="s">
        <v>27</v>
      </c>
    </row>
    <row r="1428" spans="1:20" ht="409.6">
      <c r="A1428" s="3">
        <v>2724612</v>
      </c>
      <c r="B1428" s="3">
        <f>HYPERLINK("https://platform.v2.vetology.net/cases/2724612/screening-report/6?type=pdf&amp;v=v6&amp;scorecard=1&amp;secret_key=BX%25IJ%24%2F65ieZ%29f6", 2724612)</f>
        <v>2724612</v>
      </c>
      <c r="C1428" s="3">
        <f>HYPERLINK("https://platform.v2.vetology.net/report/v/final/"&amp;2724612, 2724612)</f>
        <v>2724612</v>
      </c>
      <c r="D1428" s="3" t="s">
        <v>5138</v>
      </c>
      <c r="E1428" s="3" t="s">
        <v>5139</v>
      </c>
      <c r="F1428" s="3" t="s">
        <v>5140</v>
      </c>
      <c r="G1428" s="3" t="s">
        <v>186</v>
      </c>
      <c r="H1428" s="3" t="s">
        <v>5141</v>
      </c>
      <c r="I1428" s="3" t="s">
        <v>478</v>
      </c>
      <c r="J1428" s="3" t="s">
        <v>479</v>
      </c>
      <c r="K1428" s="3" t="s">
        <v>28</v>
      </c>
      <c r="L1428" s="3" t="s">
        <v>27</v>
      </c>
      <c r="M1428" s="3" t="s">
        <v>28</v>
      </c>
      <c r="N1428" s="3" t="s">
        <v>27</v>
      </c>
      <c r="O1428" s="3" t="s">
        <v>27</v>
      </c>
      <c r="P1428" s="3" t="s">
        <v>28</v>
      </c>
      <c r="Q1428" s="3" t="s">
        <v>28</v>
      </c>
      <c r="R1428" s="3" t="s">
        <v>27</v>
      </c>
      <c r="S1428" s="3" t="s">
        <v>27</v>
      </c>
      <c r="T1428" s="3" t="s">
        <v>27</v>
      </c>
    </row>
    <row r="1429" spans="1:20" ht="409.6">
      <c r="A1429" s="3">
        <v>2724501</v>
      </c>
      <c r="B1429" s="3">
        <f>HYPERLINK("https://platform.v2.vetology.net/cases/2724501/screening-report/6?type=pdf&amp;v=v6&amp;scorecard=1&amp;secret_key=BX%25IJ%24%2F65ieZ%29f6", 2724501)</f>
        <v>2724501</v>
      </c>
      <c r="C1429" s="3">
        <f>HYPERLINK("https://platform.v2.vetology.net/report/v/final/"&amp;2724501, 2724501)</f>
        <v>2724501</v>
      </c>
      <c r="D1429" s="3" t="s">
        <v>5142</v>
      </c>
      <c r="E1429" s="3" t="s">
        <v>5143</v>
      </c>
      <c r="F1429" s="3" t="s">
        <v>5144</v>
      </c>
      <c r="G1429" s="3" t="s">
        <v>64</v>
      </c>
      <c r="H1429" s="3" t="s">
        <v>5145</v>
      </c>
      <c r="I1429" s="3" t="s">
        <v>464</v>
      </c>
      <c r="J1429" s="3" t="s">
        <v>297</v>
      </c>
      <c r="K1429" s="3" t="s">
        <v>27</v>
      </c>
      <c r="L1429" s="3" t="s">
        <v>27</v>
      </c>
      <c r="M1429" s="3" t="s">
        <v>27</v>
      </c>
      <c r="N1429" s="3" t="s">
        <v>28</v>
      </c>
      <c r="O1429" s="3" t="s">
        <v>27</v>
      </c>
      <c r="P1429" s="3" t="s">
        <v>28</v>
      </c>
      <c r="Q1429" s="3" t="s">
        <v>28</v>
      </c>
      <c r="R1429" s="3" t="s">
        <v>28</v>
      </c>
      <c r="S1429" s="3" t="s">
        <v>27</v>
      </c>
      <c r="T1429" s="3" t="s">
        <v>28</v>
      </c>
    </row>
    <row r="1430" spans="1:20" ht="229.5">
      <c r="A1430" s="3">
        <v>2724445</v>
      </c>
      <c r="B1430" s="3">
        <f>HYPERLINK("https://platform.v2.vetology.net/cases/2724445/screening-report/6?type=pdf&amp;v=v6&amp;scorecard=1&amp;secret_key=BX%25IJ%24%2F65ieZ%29f6", 2724445)</f>
        <v>2724445</v>
      </c>
      <c r="C1430" s="3">
        <f>HYPERLINK("https://platform.v2.vetology.net/report/v/final/"&amp;2724445, 2724445)</f>
        <v>2724445</v>
      </c>
      <c r="D1430" s="3" t="s">
        <v>5146</v>
      </c>
      <c r="E1430" s="3" t="s">
        <v>5147</v>
      </c>
      <c r="F1430" s="3" t="s">
        <v>5148</v>
      </c>
      <c r="G1430" s="3" t="s">
        <v>186</v>
      </c>
      <c r="H1430" s="3" t="s">
        <v>158</v>
      </c>
      <c r="I1430" s="3" t="s">
        <v>32</v>
      </c>
      <c r="J1430" s="3" t="s">
        <v>119</v>
      </c>
      <c r="K1430" s="3" t="s">
        <v>28</v>
      </c>
      <c r="L1430" s="3" t="s">
        <v>28</v>
      </c>
      <c r="M1430" s="3" t="s">
        <v>28</v>
      </c>
      <c r="N1430" s="3" t="s">
        <v>28</v>
      </c>
      <c r="O1430" s="3" t="s">
        <v>28</v>
      </c>
      <c r="P1430" s="3" t="s">
        <v>28</v>
      </c>
      <c r="Q1430" s="3" t="s">
        <v>28</v>
      </c>
      <c r="R1430" s="3" t="s">
        <v>28</v>
      </c>
      <c r="S1430" s="3" t="s">
        <v>28</v>
      </c>
      <c r="T1430" s="3" t="s">
        <v>28</v>
      </c>
    </row>
    <row r="1431" spans="1:20" ht="275.25">
      <c r="A1431" s="3">
        <v>2724431</v>
      </c>
      <c r="B1431" s="3">
        <f>HYPERLINK("https://platform.v2.vetology.net/cases/2724431/screening-report/6?type=pdf&amp;v=v6&amp;scorecard=1&amp;secret_key=BX%25IJ%24%2F65ieZ%29f6", 2724431)</f>
        <v>2724431</v>
      </c>
      <c r="C1431" s="3">
        <f>HYPERLINK("https://platform.v2.vetology.net/report/v/final/"&amp;2724431, 2724431)</f>
        <v>2724431</v>
      </c>
      <c r="D1431" s="3" t="s">
        <v>5149</v>
      </c>
      <c r="E1431" s="3" t="s">
        <v>5150</v>
      </c>
      <c r="F1431" s="3" t="s">
        <v>5151</v>
      </c>
      <c r="G1431" s="3" t="s">
        <v>186</v>
      </c>
      <c r="H1431" s="3" t="s">
        <v>409</v>
      </c>
      <c r="I1431" s="3" t="s">
        <v>291</v>
      </c>
      <c r="J1431" s="3" t="s">
        <v>225</v>
      </c>
      <c r="K1431" s="3" t="s">
        <v>27</v>
      </c>
      <c r="L1431" s="3" t="s">
        <v>27</v>
      </c>
      <c r="M1431" s="3" t="s">
        <v>28</v>
      </c>
      <c r="N1431" s="3" t="s">
        <v>28</v>
      </c>
      <c r="O1431" s="3" t="s">
        <v>27</v>
      </c>
      <c r="P1431" s="3" t="s">
        <v>28</v>
      </c>
      <c r="Q1431" s="3" t="s">
        <v>27</v>
      </c>
      <c r="R1431" s="3" t="s">
        <v>28</v>
      </c>
      <c r="S1431" s="3" t="s">
        <v>27</v>
      </c>
      <c r="T1431" s="3" t="s">
        <v>27</v>
      </c>
    </row>
    <row r="1432" spans="1:20" ht="366">
      <c r="A1432" s="3">
        <v>2724424</v>
      </c>
      <c r="B1432" s="3">
        <f>HYPERLINK("https://platform.v2.vetology.net/cases/2724424/screening-report/6?type=pdf&amp;v=v6&amp;scorecard=1&amp;secret_key=BX%25IJ%24%2F65ieZ%29f6", 2724424)</f>
        <v>2724424</v>
      </c>
      <c r="C1432" s="3">
        <f>HYPERLINK("https://platform.v2.vetology.net/report/v/final/"&amp;2724424, 2724424)</f>
        <v>2724424</v>
      </c>
      <c r="D1432" s="3" t="s">
        <v>5152</v>
      </c>
      <c r="E1432" s="3" t="s">
        <v>5153</v>
      </c>
      <c r="F1432" s="3" t="s">
        <v>5154</v>
      </c>
      <c r="G1432" s="3" t="s">
        <v>64</v>
      </c>
      <c r="H1432" s="3" t="s">
        <v>31</v>
      </c>
      <c r="I1432" s="3" t="s">
        <v>32</v>
      </c>
      <c r="J1432" s="3" t="s">
        <v>33</v>
      </c>
      <c r="K1432" s="3" t="s">
        <v>27</v>
      </c>
      <c r="L1432" s="3" t="s">
        <v>28</v>
      </c>
      <c r="M1432" s="3" t="s">
        <v>28</v>
      </c>
      <c r="N1432" s="3" t="s">
        <v>28</v>
      </c>
      <c r="O1432" s="3" t="s">
        <v>28</v>
      </c>
      <c r="P1432" s="3" t="s">
        <v>28</v>
      </c>
      <c r="Q1432" s="3" t="s">
        <v>28</v>
      </c>
      <c r="R1432" s="3" t="s">
        <v>28</v>
      </c>
      <c r="S1432" s="3" t="s">
        <v>28</v>
      </c>
      <c r="T1432" s="3" t="s">
        <v>27</v>
      </c>
    </row>
    <row r="1433" spans="1:20" ht="336">
      <c r="A1433" s="3">
        <v>2724388</v>
      </c>
      <c r="B1433" s="3">
        <f>HYPERLINK("https://platform.v2.vetology.net/cases/2724388/screening-report/6?type=pdf&amp;v=v6&amp;scorecard=1&amp;secret_key=BX%25IJ%24%2F65ieZ%29f6", 2724388)</f>
        <v>2724388</v>
      </c>
      <c r="C1433" s="3">
        <f>HYPERLINK("https://platform.v2.vetology.net/report/v/final/"&amp;2724388, 2724388)</f>
        <v>2724388</v>
      </c>
      <c r="D1433" s="3" t="s">
        <v>5155</v>
      </c>
      <c r="E1433" s="3" t="s">
        <v>5156</v>
      </c>
      <c r="F1433" s="3" t="s">
        <v>5157</v>
      </c>
      <c r="G1433" s="3" t="s">
        <v>122</v>
      </c>
      <c r="H1433" s="3" t="s">
        <v>5158</v>
      </c>
      <c r="I1433" s="3" t="s">
        <v>2413</v>
      </c>
      <c r="J1433" s="3" t="s">
        <v>2414</v>
      </c>
      <c r="K1433" s="3" t="s">
        <v>28</v>
      </c>
      <c r="L1433" s="3" t="s">
        <v>28</v>
      </c>
      <c r="M1433" s="3" t="s">
        <v>28</v>
      </c>
      <c r="N1433" s="3" t="s">
        <v>28</v>
      </c>
      <c r="O1433" s="3" t="s">
        <v>27</v>
      </c>
      <c r="P1433" s="3" t="s">
        <v>27</v>
      </c>
      <c r="Q1433" s="3" t="s">
        <v>28</v>
      </c>
      <c r="R1433" s="3" t="s">
        <v>28</v>
      </c>
      <c r="S1433" s="3" t="s">
        <v>28</v>
      </c>
      <c r="T1433" s="3" t="s">
        <v>28</v>
      </c>
    </row>
    <row r="1434" spans="1:20" ht="409.6">
      <c r="A1434" s="3">
        <v>2724384</v>
      </c>
      <c r="B1434" s="3">
        <f>HYPERLINK("https://platform.v2.vetology.net/cases/2724384/screening-report/6?type=pdf&amp;v=v6&amp;scorecard=1&amp;secret_key=BX%25IJ%24%2F65ieZ%29f6", 2724384)</f>
        <v>2724384</v>
      </c>
      <c r="C1434" s="3">
        <f>HYPERLINK("https://platform.v2.vetology.net/report/v/final/"&amp;2724384, 2724384)</f>
        <v>2724384</v>
      </c>
      <c r="D1434" s="3" t="s">
        <v>5159</v>
      </c>
      <c r="E1434" s="3" t="s">
        <v>5160</v>
      </c>
      <c r="F1434" s="3" t="s">
        <v>5161</v>
      </c>
      <c r="G1434" s="3" t="s">
        <v>186</v>
      </c>
      <c r="H1434" s="3" t="s">
        <v>2058</v>
      </c>
      <c r="I1434" s="3" t="s">
        <v>357</v>
      </c>
      <c r="J1434" s="3" t="s">
        <v>358</v>
      </c>
      <c r="K1434" s="3" t="s">
        <v>28</v>
      </c>
      <c r="L1434" s="3" t="s">
        <v>28</v>
      </c>
      <c r="M1434" s="3" t="s">
        <v>28</v>
      </c>
      <c r="N1434" s="3" t="s">
        <v>28</v>
      </c>
      <c r="O1434" s="3" t="s">
        <v>28</v>
      </c>
      <c r="P1434" s="3" t="s">
        <v>28</v>
      </c>
      <c r="Q1434" s="3" t="s">
        <v>28</v>
      </c>
      <c r="R1434" s="3" t="s">
        <v>28</v>
      </c>
      <c r="S1434" s="3" t="s">
        <v>28</v>
      </c>
      <c r="T1434" s="3" t="s">
        <v>28</v>
      </c>
    </row>
    <row r="1435" spans="1:20" ht="381.75">
      <c r="A1435" s="3">
        <v>2724366</v>
      </c>
      <c r="B1435" s="3">
        <f>HYPERLINK("https://platform.v2.vetology.net/cases/2724366/screening-report/6?type=pdf&amp;v=v6&amp;scorecard=1&amp;secret_key=BX%25IJ%24%2F65ieZ%29f6", 2724366)</f>
        <v>2724366</v>
      </c>
      <c r="C1435" s="3">
        <f>HYPERLINK("https://platform.v2.vetology.net/report/v/final/"&amp;2724366, 2724366)</f>
        <v>2724366</v>
      </c>
      <c r="D1435" s="3" t="s">
        <v>5162</v>
      </c>
      <c r="E1435" s="3" t="s">
        <v>1089</v>
      </c>
      <c r="F1435" s="3" t="s">
        <v>1090</v>
      </c>
      <c r="G1435" s="3" t="s">
        <v>100</v>
      </c>
      <c r="H1435" s="3" t="s">
        <v>5163</v>
      </c>
      <c r="I1435" s="3" t="s">
        <v>1248</v>
      </c>
      <c r="J1435" s="3" t="s">
        <v>325</v>
      </c>
      <c r="K1435" s="3" t="s">
        <v>28</v>
      </c>
      <c r="L1435" s="3" t="s">
        <v>28</v>
      </c>
      <c r="M1435" s="3" t="s">
        <v>27</v>
      </c>
      <c r="N1435" s="3" t="s">
        <v>28</v>
      </c>
      <c r="O1435" s="3" t="s">
        <v>28</v>
      </c>
      <c r="P1435" s="3" t="s">
        <v>28</v>
      </c>
      <c r="Q1435" s="3" t="s">
        <v>27</v>
      </c>
      <c r="R1435" s="3" t="s">
        <v>28</v>
      </c>
      <c r="S1435" s="3" t="s">
        <v>28</v>
      </c>
      <c r="T1435" s="3" t="s">
        <v>28</v>
      </c>
    </row>
    <row r="1436" spans="1:20" ht="409.6">
      <c r="A1436" s="3">
        <v>2724321</v>
      </c>
      <c r="B1436" s="3">
        <f>HYPERLINK("https://platform.v2.vetology.net/cases/2724321/screening-report/6?type=pdf&amp;v=v6&amp;scorecard=1&amp;secret_key=BX%25IJ%24%2F65ieZ%29f6", 2724321)</f>
        <v>2724321</v>
      </c>
      <c r="C1436" s="3">
        <f>HYPERLINK("https://platform.v2.vetology.net/report/v/final/"&amp;2724321, 2724321)</f>
        <v>2724321</v>
      </c>
      <c r="D1436" s="3" t="s">
        <v>5164</v>
      </c>
      <c r="E1436" s="3" t="s">
        <v>5165</v>
      </c>
      <c r="F1436" s="3" t="s">
        <v>5166</v>
      </c>
      <c r="G1436" s="3" t="s">
        <v>64</v>
      </c>
      <c r="H1436" s="3" t="s">
        <v>5167</v>
      </c>
      <c r="I1436" s="3" t="s">
        <v>2972</v>
      </c>
      <c r="J1436" s="3" t="s">
        <v>387</v>
      </c>
      <c r="K1436" s="3" t="s">
        <v>28</v>
      </c>
      <c r="L1436" s="3" t="s">
        <v>28</v>
      </c>
      <c r="M1436" s="3" t="s">
        <v>28</v>
      </c>
      <c r="N1436" s="3" t="s">
        <v>28</v>
      </c>
      <c r="O1436" s="3" t="s">
        <v>27</v>
      </c>
      <c r="P1436" s="3" t="s">
        <v>28</v>
      </c>
      <c r="Q1436" s="3" t="s">
        <v>28</v>
      </c>
      <c r="R1436" s="3" t="s">
        <v>28</v>
      </c>
      <c r="S1436" s="3" t="s">
        <v>28</v>
      </c>
      <c r="T1436" s="3" t="s">
        <v>28</v>
      </c>
    </row>
    <row r="1437" spans="1:20" ht="396.75">
      <c r="A1437" s="3">
        <v>2724289</v>
      </c>
      <c r="B1437" s="3">
        <f>HYPERLINK("https://platform.v2.vetology.net/cases/2724289/screening-report/6?type=pdf&amp;v=v6&amp;scorecard=1&amp;secret_key=BX%25IJ%24%2F65ieZ%29f6", 2724289)</f>
        <v>2724289</v>
      </c>
      <c r="C1437" s="3">
        <f>HYPERLINK("https://platform.v2.vetology.net/report/v/final/"&amp;2724289, 2724289)</f>
        <v>2724289</v>
      </c>
      <c r="D1437" s="3" t="s">
        <v>5168</v>
      </c>
      <c r="E1437" s="3" t="s">
        <v>5169</v>
      </c>
      <c r="F1437" s="3" t="s">
        <v>5170</v>
      </c>
      <c r="G1437" s="3" t="s">
        <v>211</v>
      </c>
      <c r="H1437" s="3" t="s">
        <v>3546</v>
      </c>
      <c r="I1437" s="3" t="s">
        <v>305</v>
      </c>
      <c r="J1437" s="3" t="s">
        <v>2419</v>
      </c>
      <c r="K1437" s="3" t="s">
        <v>27</v>
      </c>
      <c r="L1437" s="3" t="s">
        <v>27</v>
      </c>
      <c r="M1437" s="3" t="s">
        <v>28</v>
      </c>
      <c r="N1437" s="3" t="s">
        <v>28</v>
      </c>
      <c r="O1437" s="3" t="s">
        <v>27</v>
      </c>
      <c r="P1437" s="3" t="s">
        <v>27</v>
      </c>
      <c r="Q1437" s="3" t="s">
        <v>27</v>
      </c>
      <c r="R1437" s="3" t="s">
        <v>28</v>
      </c>
      <c r="S1437" s="3" t="s">
        <v>28</v>
      </c>
      <c r="T1437" s="3" t="s">
        <v>28</v>
      </c>
    </row>
    <row r="1438" spans="1:20" ht="409.6">
      <c r="A1438" s="3">
        <v>2724288</v>
      </c>
      <c r="B1438" s="3">
        <f>HYPERLINK("https://platform.v2.vetology.net/cases/2724288/screening-report/6?type=pdf&amp;v=v6&amp;scorecard=1&amp;secret_key=BX%25IJ%24%2F65ieZ%29f6", 2724288)</f>
        <v>2724288</v>
      </c>
      <c r="C1438" s="3">
        <f>HYPERLINK("https://platform.v2.vetology.net/report/v/final/"&amp;2724288, 2724288)</f>
        <v>2724288</v>
      </c>
      <c r="D1438" s="3" t="s">
        <v>5171</v>
      </c>
      <c r="E1438" s="3" t="s">
        <v>5172</v>
      </c>
      <c r="F1438" s="3" t="s">
        <v>5173</v>
      </c>
      <c r="G1438" s="3" t="s">
        <v>64</v>
      </c>
      <c r="H1438" s="3" t="s">
        <v>158</v>
      </c>
      <c r="I1438" s="3" t="s">
        <v>129</v>
      </c>
      <c r="J1438" s="3" t="s">
        <v>119</v>
      </c>
      <c r="K1438" s="3" t="s">
        <v>28</v>
      </c>
      <c r="L1438" s="3" t="s">
        <v>28</v>
      </c>
      <c r="M1438" s="3" t="s">
        <v>28</v>
      </c>
      <c r="N1438" s="3" t="s">
        <v>28</v>
      </c>
      <c r="O1438" s="3" t="s">
        <v>27</v>
      </c>
      <c r="P1438" s="3" t="s">
        <v>28</v>
      </c>
      <c r="Q1438" s="3" t="s">
        <v>28</v>
      </c>
      <c r="R1438" s="3" t="s">
        <v>28</v>
      </c>
      <c r="S1438" s="3" t="s">
        <v>28</v>
      </c>
      <c r="T1438" s="3" t="s">
        <v>28</v>
      </c>
    </row>
    <row r="1439" spans="1:20" ht="409.6">
      <c r="A1439" s="3">
        <v>2724269</v>
      </c>
      <c r="B1439" s="3">
        <f>HYPERLINK("https://platform.v2.vetology.net/cases/2724269/screening-report/6?type=pdf&amp;v=v6&amp;scorecard=1&amp;secret_key=BX%25IJ%24%2F65ieZ%29f6", 2724269)</f>
        <v>2724269</v>
      </c>
      <c r="C1439" s="3">
        <f>HYPERLINK("https://platform.v2.vetology.net/report/v/final/"&amp;2724269, 2724269)</f>
        <v>2724269</v>
      </c>
      <c r="D1439" s="3" t="s">
        <v>5174</v>
      </c>
      <c r="E1439" s="3" t="s">
        <v>5175</v>
      </c>
      <c r="F1439" s="3" t="s">
        <v>5176</v>
      </c>
      <c r="G1439" s="3" t="s">
        <v>1772</v>
      </c>
      <c r="H1439" s="3" t="s">
        <v>5177</v>
      </c>
      <c r="I1439" s="3" t="s">
        <v>108</v>
      </c>
      <c r="J1439" s="3" t="s">
        <v>109</v>
      </c>
      <c r="K1439" s="3" t="s">
        <v>28</v>
      </c>
      <c r="L1439" s="3" t="s">
        <v>27</v>
      </c>
      <c r="M1439" s="3" t="s">
        <v>28</v>
      </c>
      <c r="N1439" s="3" t="s">
        <v>27</v>
      </c>
      <c r="O1439" s="3" t="s">
        <v>27</v>
      </c>
      <c r="P1439" s="3" t="s">
        <v>28</v>
      </c>
      <c r="Q1439" s="3" t="s">
        <v>28</v>
      </c>
      <c r="R1439" s="3" t="s">
        <v>27</v>
      </c>
      <c r="S1439" s="3" t="s">
        <v>27</v>
      </c>
      <c r="T1439" s="3" t="s">
        <v>27</v>
      </c>
    </row>
    <row r="1440" spans="1:20" ht="409.6">
      <c r="A1440" s="3">
        <v>2724268</v>
      </c>
      <c r="B1440" s="3">
        <f>HYPERLINK("https://platform.v2.vetology.net/cases/2724268/screening-report/6?type=pdf&amp;v=v6&amp;scorecard=1&amp;secret_key=BX%25IJ%24%2F65ieZ%29f6", 2724268)</f>
        <v>2724268</v>
      </c>
      <c r="C1440" s="3">
        <f>HYPERLINK("https://platform.v2.vetology.net/report/v/final/"&amp;2724268, 2724268)</f>
        <v>2724268</v>
      </c>
      <c r="D1440" s="3" t="s">
        <v>5178</v>
      </c>
      <c r="E1440" s="3" t="s">
        <v>5179</v>
      </c>
      <c r="F1440" s="3" t="s">
        <v>5180</v>
      </c>
      <c r="G1440" s="3" t="s">
        <v>64</v>
      </c>
      <c r="H1440" s="3" t="s">
        <v>5181</v>
      </c>
      <c r="I1440" s="3" t="s">
        <v>981</v>
      </c>
      <c r="J1440" s="3" t="s">
        <v>982</v>
      </c>
      <c r="K1440" s="3" t="s">
        <v>28</v>
      </c>
      <c r="L1440" s="3" t="s">
        <v>28</v>
      </c>
      <c r="M1440" s="3" t="s">
        <v>28</v>
      </c>
      <c r="N1440" s="3" t="s">
        <v>28</v>
      </c>
      <c r="O1440" s="3" t="s">
        <v>27</v>
      </c>
      <c r="P1440" s="3" t="s">
        <v>28</v>
      </c>
      <c r="Q1440" s="3" t="s">
        <v>27</v>
      </c>
      <c r="R1440" s="3" t="s">
        <v>28</v>
      </c>
      <c r="S1440" s="3" t="s">
        <v>27</v>
      </c>
      <c r="T1440" s="3" t="s">
        <v>28</v>
      </c>
    </row>
    <row r="1441" spans="1:20" ht="409.6">
      <c r="A1441" s="3">
        <v>2724253</v>
      </c>
      <c r="B1441" s="3">
        <f>HYPERLINK("https://platform.v2.vetology.net/cases/2724253/screening-report/6?type=pdf&amp;v=v6&amp;scorecard=1&amp;secret_key=BX%25IJ%24%2F65ieZ%29f6", 2724253)</f>
        <v>2724253</v>
      </c>
      <c r="C1441" s="3">
        <f>HYPERLINK("https://platform.v2.vetology.net/report/v/final/"&amp;2724253, 2724253)</f>
        <v>2724253</v>
      </c>
      <c r="D1441" s="3" t="s">
        <v>5182</v>
      </c>
      <c r="E1441" s="3" t="s">
        <v>5183</v>
      </c>
      <c r="F1441" s="3" t="s">
        <v>5184</v>
      </c>
      <c r="G1441" s="3" t="s">
        <v>186</v>
      </c>
      <c r="H1441" s="3" t="s">
        <v>5185</v>
      </c>
      <c r="I1441" s="3" t="s">
        <v>5186</v>
      </c>
      <c r="J1441" s="3" t="s">
        <v>5187</v>
      </c>
      <c r="K1441" s="3" t="s">
        <v>28</v>
      </c>
      <c r="L1441" s="3" t="s">
        <v>28</v>
      </c>
      <c r="M1441" s="3" t="s">
        <v>28</v>
      </c>
      <c r="N1441" s="3" t="s">
        <v>28</v>
      </c>
      <c r="O1441" s="3" t="s">
        <v>27</v>
      </c>
      <c r="P1441" s="3" t="s">
        <v>27</v>
      </c>
      <c r="Q1441" s="3" t="s">
        <v>28</v>
      </c>
      <c r="R1441" s="3" t="s">
        <v>28</v>
      </c>
      <c r="S1441" s="3" t="s">
        <v>28</v>
      </c>
      <c r="T1441" s="3" t="s">
        <v>28</v>
      </c>
    </row>
    <row r="1442" spans="1:20" ht="336">
      <c r="A1442" s="3">
        <v>2724243</v>
      </c>
      <c r="B1442" s="3">
        <f>HYPERLINK("https://platform.v2.vetology.net/cases/2724243/screening-report/6?type=pdf&amp;v=v6&amp;scorecard=1&amp;secret_key=BX%25IJ%24%2F65ieZ%29f6", 2724243)</f>
        <v>2724243</v>
      </c>
      <c r="C1442" s="3">
        <f>HYPERLINK("https://platform.v2.vetology.net/report/v/final/"&amp;2724243, 2724243)</f>
        <v>2724243</v>
      </c>
      <c r="D1442" s="3" t="s">
        <v>5188</v>
      </c>
      <c r="E1442" s="3" t="s">
        <v>5189</v>
      </c>
      <c r="F1442" s="3" t="s">
        <v>5190</v>
      </c>
      <c r="G1442" s="3" t="s">
        <v>186</v>
      </c>
      <c r="H1442" s="3" t="s">
        <v>135</v>
      </c>
      <c r="I1442" s="3" t="s">
        <v>136</v>
      </c>
      <c r="J1442" s="3" t="s">
        <v>424</v>
      </c>
      <c r="K1442" s="3" t="s">
        <v>28</v>
      </c>
      <c r="L1442" s="3" t="s">
        <v>28</v>
      </c>
      <c r="M1442" s="3" t="s">
        <v>28</v>
      </c>
      <c r="N1442" s="3" t="s">
        <v>28</v>
      </c>
      <c r="O1442" s="3" t="s">
        <v>27</v>
      </c>
      <c r="P1442" s="3" t="s">
        <v>28</v>
      </c>
      <c r="Q1442" s="3" t="s">
        <v>28</v>
      </c>
      <c r="R1442" s="3" t="s">
        <v>28</v>
      </c>
      <c r="S1442" s="3" t="s">
        <v>28</v>
      </c>
      <c r="T1442" s="3" t="s">
        <v>27</v>
      </c>
    </row>
    <row r="1443" spans="1:20" ht="290.25">
      <c r="A1443" s="3">
        <v>2724234</v>
      </c>
      <c r="B1443" s="3">
        <f>HYPERLINK("https://platform.v2.vetology.net/cases/2724234/screening-report/6?type=pdf&amp;v=v6&amp;scorecard=1&amp;secret_key=BX%25IJ%24%2F65ieZ%29f6", 2724234)</f>
        <v>2724234</v>
      </c>
      <c r="C1443" s="3">
        <f>HYPERLINK("https://platform.v2.vetology.net/report/v/final/"&amp;2724234, 2724234)</f>
        <v>2724234</v>
      </c>
      <c r="D1443" s="3" t="s">
        <v>5191</v>
      </c>
      <c r="E1443" s="3" t="s">
        <v>5192</v>
      </c>
      <c r="F1443" s="3" t="s">
        <v>5193</v>
      </c>
      <c r="G1443" s="3" t="s">
        <v>186</v>
      </c>
      <c r="H1443" s="3" t="s">
        <v>2013</v>
      </c>
      <c r="I1443" s="3" t="s">
        <v>32</v>
      </c>
      <c r="J1443" s="3" t="s">
        <v>119</v>
      </c>
      <c r="K1443" s="3" t="s">
        <v>28</v>
      </c>
      <c r="L1443" s="3" t="s">
        <v>28</v>
      </c>
      <c r="M1443" s="3" t="s">
        <v>28</v>
      </c>
      <c r="N1443" s="3" t="s">
        <v>28</v>
      </c>
      <c r="O1443" s="3" t="s">
        <v>28</v>
      </c>
      <c r="P1443" s="3" t="s">
        <v>28</v>
      </c>
      <c r="Q1443" s="3" t="s">
        <v>28</v>
      </c>
      <c r="R1443" s="3" t="s">
        <v>28</v>
      </c>
      <c r="S1443" s="3" t="s">
        <v>28</v>
      </c>
      <c r="T1443" s="3" t="s">
        <v>28</v>
      </c>
    </row>
    <row r="1444" spans="1:20" ht="321">
      <c r="A1444" s="3">
        <v>2724218</v>
      </c>
      <c r="B1444" s="3">
        <f>HYPERLINK("https://platform.v2.vetology.net/cases/2724218/screening-report/6?type=pdf&amp;v=v6&amp;scorecard=1&amp;secret_key=BX%25IJ%24%2F65ieZ%29f6", 2724218)</f>
        <v>2724218</v>
      </c>
      <c r="C1444" s="3">
        <f>HYPERLINK("https://platform.v2.vetology.net/report/v/final/"&amp;2724218, 2724218)</f>
        <v>2724218</v>
      </c>
      <c r="D1444" s="3" t="s">
        <v>5194</v>
      </c>
      <c r="E1444" s="3" t="s">
        <v>5195</v>
      </c>
      <c r="F1444" s="3" t="s">
        <v>5196</v>
      </c>
      <c r="G1444" s="3" t="s">
        <v>186</v>
      </c>
      <c r="H1444" s="3" t="s">
        <v>4341</v>
      </c>
      <c r="I1444" s="3" t="s">
        <v>706</v>
      </c>
      <c r="J1444" s="3" t="s">
        <v>707</v>
      </c>
      <c r="K1444" s="3" t="s">
        <v>28</v>
      </c>
      <c r="L1444" s="3" t="s">
        <v>28</v>
      </c>
      <c r="M1444" s="3" t="s">
        <v>28</v>
      </c>
      <c r="N1444" s="3" t="s">
        <v>28</v>
      </c>
      <c r="O1444" s="3" t="s">
        <v>27</v>
      </c>
      <c r="P1444" s="3" t="s">
        <v>27</v>
      </c>
      <c r="Q1444" s="3" t="s">
        <v>28</v>
      </c>
      <c r="R1444" s="3" t="s">
        <v>28</v>
      </c>
      <c r="S1444" s="3" t="s">
        <v>28</v>
      </c>
      <c r="T1444" s="3" t="s">
        <v>27</v>
      </c>
    </row>
    <row r="1445" spans="1:20" ht="336">
      <c r="A1445" s="3">
        <v>2724207</v>
      </c>
      <c r="B1445" s="3">
        <f>HYPERLINK("https://platform.v2.vetology.net/cases/2724207/screening-report/6?type=pdf&amp;v=v6&amp;scorecard=1&amp;secret_key=BX%25IJ%24%2F65ieZ%29f6", 2724207)</f>
        <v>2724207</v>
      </c>
      <c r="C1445" s="3">
        <f>HYPERLINK("https://platform.v2.vetology.net/report/v/final/"&amp;2724207, 2724207)</f>
        <v>2724207</v>
      </c>
      <c r="D1445" s="3" t="s">
        <v>5197</v>
      </c>
      <c r="E1445" s="3" t="s">
        <v>5198</v>
      </c>
      <c r="F1445" s="3" t="s">
        <v>5199</v>
      </c>
      <c r="G1445" s="3" t="s">
        <v>186</v>
      </c>
      <c r="H1445" s="3" t="s">
        <v>5200</v>
      </c>
      <c r="I1445" s="3"/>
      <c r="J1445" s="3" t="s">
        <v>399</v>
      </c>
      <c r="K1445" s="3" t="s">
        <v>28</v>
      </c>
      <c r="L1445" s="3" t="s">
        <v>27</v>
      </c>
      <c r="M1445" s="3" t="s">
        <v>28</v>
      </c>
      <c r="N1445" s="3" t="s">
        <v>28</v>
      </c>
      <c r="O1445" s="3" t="s">
        <v>27</v>
      </c>
      <c r="P1445" s="3" t="s">
        <v>28</v>
      </c>
      <c r="Q1445" s="3" t="s">
        <v>27</v>
      </c>
      <c r="R1445" s="3" t="s">
        <v>28</v>
      </c>
      <c r="S1445" s="3" t="s">
        <v>27</v>
      </c>
      <c r="T1445" s="3" t="s">
        <v>28</v>
      </c>
    </row>
    <row r="1446" spans="1:20" ht="336">
      <c r="A1446" s="3">
        <v>2724011</v>
      </c>
      <c r="B1446" s="3">
        <f>HYPERLINK("https://platform.v2.vetology.net/cases/2724011/screening-report/6?type=pdf&amp;v=v6&amp;scorecard=1&amp;secret_key=BX%25IJ%24%2F65ieZ%29f6", 2724011)</f>
        <v>2724011</v>
      </c>
      <c r="C1446" s="3">
        <f>HYPERLINK("https://platform.v2.vetology.net/report/v/final/"&amp;2724011, 2724011)</f>
        <v>2724011</v>
      </c>
      <c r="D1446" s="3" t="s">
        <v>5201</v>
      </c>
      <c r="E1446" s="3" t="s">
        <v>5202</v>
      </c>
      <c r="F1446" s="3" t="s">
        <v>5203</v>
      </c>
      <c r="G1446" s="3" t="s">
        <v>496</v>
      </c>
      <c r="H1446" s="3" t="s">
        <v>5204</v>
      </c>
      <c r="I1446" s="3" t="s">
        <v>2078</v>
      </c>
      <c r="J1446" s="3" t="s">
        <v>2079</v>
      </c>
      <c r="K1446" s="3" t="s">
        <v>28</v>
      </c>
      <c r="L1446" s="3" t="s">
        <v>28</v>
      </c>
      <c r="M1446" s="3" t="s">
        <v>28</v>
      </c>
      <c r="N1446" s="3" t="s">
        <v>28</v>
      </c>
      <c r="O1446" s="3" t="s">
        <v>27</v>
      </c>
      <c r="P1446" s="3" t="s">
        <v>28</v>
      </c>
      <c r="Q1446" s="3" t="s">
        <v>28</v>
      </c>
      <c r="R1446" s="3" t="s">
        <v>28</v>
      </c>
      <c r="S1446" s="3" t="s">
        <v>28</v>
      </c>
      <c r="T1446" s="3" t="s">
        <v>28</v>
      </c>
    </row>
    <row r="1447" spans="1:20" ht="336">
      <c r="A1447" s="3">
        <v>2723977</v>
      </c>
      <c r="B1447" s="3">
        <f>HYPERLINK("https://platform.v2.vetology.net/cases/2723977/screening-report/6?type=pdf&amp;v=v6&amp;scorecard=1&amp;secret_key=BX%25IJ%24%2F65ieZ%29f6", 2723977)</f>
        <v>2723977</v>
      </c>
      <c r="C1447" s="3">
        <f>HYPERLINK("https://platform.v2.vetology.net/report/v/final/"&amp;2723977, 2723977)</f>
        <v>2723977</v>
      </c>
      <c r="D1447" s="3" t="s">
        <v>5205</v>
      </c>
      <c r="E1447" s="3" t="s">
        <v>5206</v>
      </c>
      <c r="F1447" s="3" t="s">
        <v>5207</v>
      </c>
      <c r="G1447" s="3" t="s">
        <v>186</v>
      </c>
      <c r="H1447" s="3" t="s">
        <v>123</v>
      </c>
      <c r="I1447" s="3" t="s">
        <v>124</v>
      </c>
      <c r="J1447" s="3" t="s">
        <v>125</v>
      </c>
      <c r="K1447" s="3" t="s">
        <v>27</v>
      </c>
      <c r="L1447" s="3" t="s">
        <v>28</v>
      </c>
      <c r="M1447" s="3" t="s">
        <v>28</v>
      </c>
      <c r="N1447" s="3" t="s">
        <v>28</v>
      </c>
      <c r="O1447" s="3" t="s">
        <v>27</v>
      </c>
      <c r="P1447" s="3" t="s">
        <v>28</v>
      </c>
      <c r="Q1447" s="3" t="s">
        <v>27</v>
      </c>
      <c r="R1447" s="3" t="s">
        <v>28</v>
      </c>
      <c r="S1447" s="3" t="s">
        <v>28</v>
      </c>
      <c r="T1447" s="3" t="s">
        <v>28</v>
      </c>
    </row>
    <row r="1448" spans="1:20" ht="396.75">
      <c r="A1448" s="3">
        <v>2723950</v>
      </c>
      <c r="B1448" s="3">
        <f>HYPERLINK("https://platform.v2.vetology.net/cases/2723950/screening-report/6?type=pdf&amp;v=v6&amp;scorecard=1&amp;secret_key=BX%25IJ%24%2F65ieZ%29f6", 2723950)</f>
        <v>2723950</v>
      </c>
      <c r="C1448" s="3">
        <f>HYPERLINK("https://platform.v2.vetology.net/report/v/final/"&amp;2723950, 2723950)</f>
        <v>2723950</v>
      </c>
      <c r="D1448" s="3" t="s">
        <v>5208</v>
      </c>
      <c r="E1448" s="3" t="s">
        <v>5209</v>
      </c>
      <c r="F1448" s="3" t="s">
        <v>5210</v>
      </c>
      <c r="G1448" s="3" t="s">
        <v>186</v>
      </c>
      <c r="H1448" s="3" t="s">
        <v>350</v>
      </c>
      <c r="I1448" s="3" t="s">
        <v>351</v>
      </c>
      <c r="J1448" s="3" t="s">
        <v>352</v>
      </c>
      <c r="K1448" s="3" t="s">
        <v>28</v>
      </c>
      <c r="L1448" s="3" t="s">
        <v>28</v>
      </c>
      <c r="M1448" s="3" t="s">
        <v>28</v>
      </c>
      <c r="N1448" s="3" t="s">
        <v>28</v>
      </c>
      <c r="O1448" s="3" t="s">
        <v>28</v>
      </c>
      <c r="P1448" s="3" t="s">
        <v>28</v>
      </c>
      <c r="Q1448" s="3" t="s">
        <v>28</v>
      </c>
      <c r="R1448" s="3" t="s">
        <v>28</v>
      </c>
      <c r="S1448" s="3" t="s">
        <v>28</v>
      </c>
      <c r="T1448" s="3" t="s">
        <v>27</v>
      </c>
    </row>
    <row r="1449" spans="1:20" ht="409.6">
      <c r="A1449" s="3">
        <v>2723936</v>
      </c>
      <c r="B1449" s="3">
        <f>HYPERLINK("https://platform.v2.vetology.net/cases/2723936/screening-report/6?type=pdf&amp;v=v6&amp;scorecard=1&amp;secret_key=BX%25IJ%24%2F65ieZ%29f6", 2723936)</f>
        <v>2723936</v>
      </c>
      <c r="C1449" s="3">
        <f>HYPERLINK("https://platform.v2.vetology.net/report/v/final/"&amp;2723936, 2723936)</f>
        <v>2723936</v>
      </c>
      <c r="D1449" s="3" t="s">
        <v>5211</v>
      </c>
      <c r="E1449" s="3" t="s">
        <v>531</v>
      </c>
      <c r="F1449" s="3" t="s">
        <v>5212</v>
      </c>
      <c r="G1449" s="3" t="s">
        <v>211</v>
      </c>
      <c r="H1449" s="3" t="s">
        <v>5213</v>
      </c>
      <c r="I1449" s="3" t="s">
        <v>5214</v>
      </c>
      <c r="J1449" s="3" t="s">
        <v>5215</v>
      </c>
      <c r="K1449" s="3" t="s">
        <v>27</v>
      </c>
      <c r="L1449" s="3" t="s">
        <v>27</v>
      </c>
      <c r="M1449" s="3" t="s">
        <v>27</v>
      </c>
      <c r="N1449" s="3" t="s">
        <v>28</v>
      </c>
      <c r="O1449" s="3" t="s">
        <v>27</v>
      </c>
      <c r="P1449" s="3" t="s">
        <v>27</v>
      </c>
      <c r="Q1449" s="3" t="s">
        <v>27</v>
      </c>
      <c r="R1449" s="3" t="s">
        <v>28</v>
      </c>
      <c r="S1449" s="3" t="s">
        <v>27</v>
      </c>
      <c r="T1449" s="3" t="s">
        <v>27</v>
      </c>
    </row>
    <row r="1450" spans="1:20" ht="409.6">
      <c r="A1450" s="3">
        <v>2723894</v>
      </c>
      <c r="B1450" s="3">
        <f>HYPERLINK("https://platform.v2.vetology.net/cases/2723894/screening-report/6?type=pdf&amp;v=v6&amp;scorecard=1&amp;secret_key=BX%25IJ%24%2F65ieZ%29f6", 2723894)</f>
        <v>2723894</v>
      </c>
      <c r="C1450" s="3">
        <f>HYPERLINK("https://platform.v2.vetology.net/report/v/final/"&amp;2723894, 2723894)</f>
        <v>2723894</v>
      </c>
      <c r="D1450" s="3" t="s">
        <v>5216</v>
      </c>
      <c r="E1450" s="3" t="s">
        <v>5217</v>
      </c>
      <c r="F1450" s="3" t="s">
        <v>5218</v>
      </c>
      <c r="G1450" s="3" t="s">
        <v>64</v>
      </c>
      <c r="H1450" s="3" t="s">
        <v>1143</v>
      </c>
      <c r="I1450" s="3" t="s">
        <v>718</v>
      </c>
      <c r="J1450" s="3" t="s">
        <v>719</v>
      </c>
      <c r="K1450" s="3" t="s">
        <v>28</v>
      </c>
      <c r="L1450" s="3" t="s">
        <v>28</v>
      </c>
      <c r="M1450" s="3" t="s">
        <v>28</v>
      </c>
      <c r="N1450" s="3" t="s">
        <v>28</v>
      </c>
      <c r="O1450" s="3" t="s">
        <v>27</v>
      </c>
      <c r="P1450" s="3" t="s">
        <v>28</v>
      </c>
      <c r="Q1450" s="3" t="s">
        <v>28</v>
      </c>
      <c r="R1450" s="3" t="s">
        <v>28</v>
      </c>
      <c r="S1450" s="3" t="s">
        <v>28</v>
      </c>
      <c r="T1450" s="3" t="s">
        <v>28</v>
      </c>
    </row>
    <row r="1451" spans="1:20" ht="409.6">
      <c r="A1451" s="3">
        <v>2723815</v>
      </c>
      <c r="B1451" s="3">
        <f>HYPERLINK("https://platform.v2.vetology.net/cases/2723815/screening-report/6?type=pdf&amp;v=v6&amp;scorecard=1&amp;secret_key=BX%25IJ%24%2F65ieZ%29f6", 2723815)</f>
        <v>2723815</v>
      </c>
      <c r="C1451" s="3">
        <f>HYPERLINK("https://platform.v2.vetology.net/report/v/final/"&amp;2723815, 2723815)</f>
        <v>2723815</v>
      </c>
      <c r="D1451" s="3" t="s">
        <v>5219</v>
      </c>
      <c r="E1451" s="3" t="s">
        <v>5220</v>
      </c>
      <c r="F1451" s="3" t="s">
        <v>5221</v>
      </c>
      <c r="G1451" s="3" t="s">
        <v>64</v>
      </c>
      <c r="H1451" s="3" t="s">
        <v>717</v>
      </c>
      <c r="I1451" s="3" t="s">
        <v>718</v>
      </c>
      <c r="J1451" s="3" t="s">
        <v>719</v>
      </c>
      <c r="K1451" s="3" t="s">
        <v>28</v>
      </c>
      <c r="L1451" s="3" t="s">
        <v>28</v>
      </c>
      <c r="M1451" s="3" t="s">
        <v>28</v>
      </c>
      <c r="N1451" s="3" t="s">
        <v>28</v>
      </c>
      <c r="O1451" s="3" t="s">
        <v>27</v>
      </c>
      <c r="P1451" s="3" t="s">
        <v>28</v>
      </c>
      <c r="Q1451" s="3" t="s">
        <v>28</v>
      </c>
      <c r="R1451" s="3" t="s">
        <v>28</v>
      </c>
      <c r="S1451" s="3" t="s">
        <v>28</v>
      </c>
      <c r="T1451" s="3" t="s">
        <v>28</v>
      </c>
    </row>
    <row r="1452" spans="1:20" ht="409.6">
      <c r="A1452" s="3">
        <v>2723792</v>
      </c>
      <c r="B1452" s="3">
        <f>HYPERLINK("https://platform.v2.vetology.net/cases/2723792/screening-report/6?type=pdf&amp;v=v6&amp;scorecard=1&amp;secret_key=BX%25IJ%24%2F65ieZ%29f6", 2723792)</f>
        <v>2723792</v>
      </c>
      <c r="C1452" s="3">
        <f>HYPERLINK("https://platform.v2.vetology.net/report/v/final/"&amp;2723792, 2723792)</f>
        <v>2723792</v>
      </c>
      <c r="D1452" s="3" t="s">
        <v>5222</v>
      </c>
      <c r="E1452" s="3" t="s">
        <v>5223</v>
      </c>
      <c r="F1452" s="3" t="s">
        <v>22</v>
      </c>
      <c r="G1452" s="3" t="s">
        <v>23</v>
      </c>
      <c r="H1452" s="3" t="s">
        <v>1508</v>
      </c>
      <c r="I1452" s="3" t="s">
        <v>351</v>
      </c>
      <c r="J1452" s="3" t="s">
        <v>352</v>
      </c>
      <c r="K1452" s="3" t="s">
        <v>28</v>
      </c>
      <c r="L1452" s="3" t="s">
        <v>28</v>
      </c>
      <c r="M1452" s="3" t="s">
        <v>28</v>
      </c>
      <c r="N1452" s="3" t="s">
        <v>28</v>
      </c>
      <c r="O1452" s="3" t="s">
        <v>28</v>
      </c>
      <c r="P1452" s="3" t="s">
        <v>28</v>
      </c>
      <c r="Q1452" s="3" t="s">
        <v>28</v>
      </c>
      <c r="R1452" s="3" t="s">
        <v>28</v>
      </c>
      <c r="S1452" s="3" t="s">
        <v>28</v>
      </c>
      <c r="T1452" s="3" t="s">
        <v>27</v>
      </c>
    </row>
    <row r="1453" spans="1:20" ht="409.6">
      <c r="A1453" s="3">
        <v>2723765</v>
      </c>
      <c r="B1453" s="3">
        <f>HYPERLINK("https://platform.v2.vetology.net/cases/2723765/screening-report/6?type=pdf&amp;v=v6&amp;scorecard=1&amp;secret_key=BX%25IJ%24%2F65ieZ%29f6", 2723765)</f>
        <v>2723765</v>
      </c>
      <c r="C1453" s="3">
        <f>HYPERLINK("https://platform.v2.vetology.net/report/v/final/"&amp;2723765, 2723765)</f>
        <v>2723765</v>
      </c>
      <c r="D1453" s="3" t="s">
        <v>5224</v>
      </c>
      <c r="E1453" s="3" t="s">
        <v>5225</v>
      </c>
      <c r="F1453" s="3"/>
      <c r="G1453" s="3" t="s">
        <v>372</v>
      </c>
      <c r="H1453" s="3" t="s">
        <v>5226</v>
      </c>
      <c r="I1453" s="3" t="s">
        <v>72</v>
      </c>
      <c r="J1453" s="3" t="s">
        <v>207</v>
      </c>
      <c r="K1453" s="3" t="s">
        <v>28</v>
      </c>
      <c r="L1453" s="3" t="s">
        <v>28</v>
      </c>
      <c r="M1453" s="3" t="s">
        <v>27</v>
      </c>
      <c r="N1453" s="3" t="s">
        <v>28</v>
      </c>
      <c r="O1453" s="3" t="s">
        <v>27</v>
      </c>
      <c r="P1453" s="3" t="s">
        <v>28</v>
      </c>
      <c r="Q1453" s="3" t="s">
        <v>28</v>
      </c>
      <c r="R1453" s="3" t="s">
        <v>28</v>
      </c>
      <c r="S1453" s="3" t="s">
        <v>27</v>
      </c>
      <c r="T1453" s="3" t="s">
        <v>27</v>
      </c>
    </row>
    <row r="1454" spans="1:20" ht="409.6">
      <c r="A1454" s="3">
        <v>2723740</v>
      </c>
      <c r="B1454" s="3">
        <f>HYPERLINK("https://platform.v2.vetology.net/cases/2723740/screening-report/6?type=pdf&amp;v=v6&amp;scorecard=1&amp;secret_key=BX%25IJ%24%2F65ieZ%29f6", 2723740)</f>
        <v>2723740</v>
      </c>
      <c r="C1454" s="3">
        <f>HYPERLINK("https://platform.v2.vetology.net/report/v/final/"&amp;2723740, 2723740)</f>
        <v>2723740</v>
      </c>
      <c r="D1454" s="3" t="s">
        <v>5227</v>
      </c>
      <c r="E1454" s="3" t="s">
        <v>5228</v>
      </c>
      <c r="F1454" s="3"/>
      <c r="G1454" s="3" t="s">
        <v>372</v>
      </c>
      <c r="H1454" s="3" t="s">
        <v>112</v>
      </c>
      <c r="I1454" s="3" t="s">
        <v>1417</v>
      </c>
      <c r="J1454" s="3" t="s">
        <v>1418</v>
      </c>
      <c r="K1454" s="3" t="s">
        <v>27</v>
      </c>
      <c r="L1454" s="3" t="s">
        <v>28</v>
      </c>
      <c r="M1454" s="3" t="s">
        <v>27</v>
      </c>
      <c r="N1454" s="3" t="s">
        <v>28</v>
      </c>
      <c r="O1454" s="3" t="s">
        <v>27</v>
      </c>
      <c r="P1454" s="3" t="s">
        <v>27</v>
      </c>
      <c r="Q1454" s="3" t="s">
        <v>27</v>
      </c>
      <c r="R1454" s="3" t="s">
        <v>28</v>
      </c>
      <c r="S1454" s="3" t="s">
        <v>28</v>
      </c>
      <c r="T1454" s="3" t="s">
        <v>28</v>
      </c>
    </row>
    <row r="1455" spans="1:20" ht="409.6">
      <c r="A1455" s="3">
        <v>2723728</v>
      </c>
      <c r="B1455" s="3">
        <f>HYPERLINK("https://platform.v2.vetology.net/cases/2723728/screening-report/6?type=pdf&amp;v=v6&amp;scorecard=1&amp;secret_key=BX%25IJ%24%2F65ieZ%29f6", 2723728)</f>
        <v>2723728</v>
      </c>
      <c r="C1455" s="3">
        <f>HYPERLINK("https://platform.v2.vetology.net/report/v/final/"&amp;2723728, 2723728)</f>
        <v>2723728</v>
      </c>
      <c r="D1455" s="3" t="s">
        <v>5229</v>
      </c>
      <c r="E1455" s="3" t="s">
        <v>5230</v>
      </c>
      <c r="F1455" s="3"/>
      <c r="G1455" s="3" t="s">
        <v>122</v>
      </c>
      <c r="H1455" s="3" t="s">
        <v>5231</v>
      </c>
      <c r="I1455" s="3" t="s">
        <v>1516</v>
      </c>
      <c r="J1455" s="3" t="s">
        <v>1517</v>
      </c>
      <c r="K1455" s="3" t="s">
        <v>28</v>
      </c>
      <c r="L1455" s="3" t="s">
        <v>27</v>
      </c>
      <c r="M1455" s="3" t="s">
        <v>27</v>
      </c>
      <c r="N1455" s="3" t="s">
        <v>27</v>
      </c>
      <c r="O1455" s="3" t="s">
        <v>27</v>
      </c>
      <c r="P1455" s="3" t="s">
        <v>28</v>
      </c>
      <c r="Q1455" s="3" t="s">
        <v>28</v>
      </c>
      <c r="R1455" s="3" t="s">
        <v>27</v>
      </c>
      <c r="S1455" s="3" t="s">
        <v>27</v>
      </c>
      <c r="T1455" s="3" t="s">
        <v>27</v>
      </c>
    </row>
    <row r="1456" spans="1:20" ht="409.6">
      <c r="A1456" s="3">
        <v>2723710</v>
      </c>
      <c r="B1456" s="3">
        <f>HYPERLINK("https://platform.v2.vetology.net/cases/2723710/screening-report/6?type=pdf&amp;v=v6&amp;scorecard=1&amp;secret_key=BX%25IJ%24%2F65ieZ%29f6", 2723710)</f>
        <v>2723710</v>
      </c>
      <c r="C1456" s="3">
        <f>HYPERLINK("https://platform.v2.vetology.net/report/v/final/"&amp;2723710, 2723710)</f>
        <v>2723710</v>
      </c>
      <c r="D1456" s="3" t="s">
        <v>5232</v>
      </c>
      <c r="E1456" s="3" t="s">
        <v>5233</v>
      </c>
      <c r="F1456" s="3" t="s">
        <v>22</v>
      </c>
      <c r="G1456" s="3" t="s">
        <v>23</v>
      </c>
      <c r="H1456" s="3" t="s">
        <v>5234</v>
      </c>
      <c r="I1456" s="3" t="s">
        <v>5235</v>
      </c>
      <c r="J1456" s="3" t="s">
        <v>2626</v>
      </c>
      <c r="K1456" s="3" t="s">
        <v>28</v>
      </c>
      <c r="L1456" s="3" t="s">
        <v>28</v>
      </c>
      <c r="M1456" s="3" t="s">
        <v>28</v>
      </c>
      <c r="N1456" s="3" t="s">
        <v>27</v>
      </c>
      <c r="O1456" s="3" t="s">
        <v>27</v>
      </c>
      <c r="P1456" s="3" t="s">
        <v>28</v>
      </c>
      <c r="Q1456" s="3" t="s">
        <v>28</v>
      </c>
      <c r="R1456" s="3" t="s">
        <v>27</v>
      </c>
      <c r="S1456" s="3" t="s">
        <v>27</v>
      </c>
      <c r="T1456" s="3" t="s">
        <v>27</v>
      </c>
    </row>
    <row r="1457" spans="1:20" ht="409.6">
      <c r="A1457" s="3">
        <v>2723709</v>
      </c>
      <c r="B1457" s="3">
        <f>HYPERLINK("https://platform.v2.vetology.net/cases/2723709/screening-report/6?type=pdf&amp;v=v6&amp;scorecard=1&amp;secret_key=BX%25IJ%24%2F65ieZ%29f6", 2723709)</f>
        <v>2723709</v>
      </c>
      <c r="C1457" s="3">
        <f>HYPERLINK("https://platform.v2.vetology.net/report/v/final/"&amp;2723709, 2723709)</f>
        <v>2723709</v>
      </c>
      <c r="D1457" s="3" t="s">
        <v>5236</v>
      </c>
      <c r="E1457" s="3" t="s">
        <v>5237</v>
      </c>
      <c r="F1457" s="3" t="s">
        <v>5238</v>
      </c>
      <c r="G1457" s="3" t="s">
        <v>64</v>
      </c>
      <c r="H1457" s="3" t="s">
        <v>419</v>
      </c>
      <c r="I1457" s="3" t="s">
        <v>316</v>
      </c>
      <c r="J1457" s="3" t="s">
        <v>317</v>
      </c>
      <c r="K1457" s="3" t="s">
        <v>27</v>
      </c>
      <c r="L1457" s="3" t="s">
        <v>28</v>
      </c>
      <c r="M1457" s="3" t="s">
        <v>28</v>
      </c>
      <c r="N1457" s="3" t="s">
        <v>28</v>
      </c>
      <c r="O1457" s="3" t="s">
        <v>27</v>
      </c>
      <c r="P1457" s="3" t="s">
        <v>28</v>
      </c>
      <c r="Q1457" s="3" t="s">
        <v>28</v>
      </c>
      <c r="R1457" s="3" t="s">
        <v>28</v>
      </c>
      <c r="S1457" s="3" t="s">
        <v>28</v>
      </c>
      <c r="T1457" s="3" t="s">
        <v>28</v>
      </c>
    </row>
    <row r="1458" spans="1:20" ht="409.6">
      <c r="A1458" s="3">
        <v>2723655</v>
      </c>
      <c r="B1458" s="3">
        <f>HYPERLINK("https://platform.v2.vetology.net/cases/2723655/screening-report/6?type=pdf&amp;v=v6&amp;scorecard=1&amp;secret_key=BX%25IJ%24%2F65ieZ%29f6", 2723655)</f>
        <v>2723655</v>
      </c>
      <c r="C1458" s="3">
        <f>HYPERLINK("https://platform.v2.vetology.net/report/v/final/"&amp;2723655, 2723655)</f>
        <v>2723655</v>
      </c>
      <c r="D1458" s="3" t="s">
        <v>5239</v>
      </c>
      <c r="E1458" s="3" t="s">
        <v>5240</v>
      </c>
      <c r="F1458" s="3"/>
      <c r="G1458" s="3" t="s">
        <v>122</v>
      </c>
      <c r="H1458" s="3" t="s">
        <v>2475</v>
      </c>
      <c r="I1458" s="3" t="s">
        <v>1497</v>
      </c>
      <c r="J1458" s="3" t="s">
        <v>1340</v>
      </c>
      <c r="K1458" s="3" t="s">
        <v>28</v>
      </c>
      <c r="L1458" s="3" t="s">
        <v>28</v>
      </c>
      <c r="M1458" s="3" t="s">
        <v>28</v>
      </c>
      <c r="N1458" s="3" t="s">
        <v>28</v>
      </c>
      <c r="O1458" s="3" t="s">
        <v>27</v>
      </c>
      <c r="P1458" s="3" t="s">
        <v>28</v>
      </c>
      <c r="Q1458" s="3" t="s">
        <v>28</v>
      </c>
      <c r="R1458" s="3" t="s">
        <v>28</v>
      </c>
      <c r="S1458" s="3" t="s">
        <v>28</v>
      </c>
      <c r="T1458" s="3" t="s">
        <v>28</v>
      </c>
    </row>
    <row r="1459" spans="1:20" ht="305.25">
      <c r="A1459" s="3">
        <v>2723612</v>
      </c>
      <c r="B1459" s="3">
        <f>HYPERLINK("https://platform.v2.vetology.net/cases/2723612/screening-report/6?type=pdf&amp;v=v6&amp;scorecard=1&amp;secret_key=BX%25IJ%24%2F65ieZ%29f6", 2723612)</f>
        <v>2723612</v>
      </c>
      <c r="C1459" s="3">
        <f>HYPERLINK("https://platform.v2.vetology.net/report/v/final/"&amp;2723612, 2723612)</f>
        <v>2723612</v>
      </c>
      <c r="D1459" s="3" t="s">
        <v>5241</v>
      </c>
      <c r="E1459" s="3" t="s">
        <v>5242</v>
      </c>
      <c r="F1459" s="3" t="s">
        <v>5243</v>
      </c>
      <c r="G1459" s="3" t="s">
        <v>186</v>
      </c>
      <c r="H1459" s="3" t="s">
        <v>5244</v>
      </c>
      <c r="I1459" s="3" t="s">
        <v>5245</v>
      </c>
      <c r="J1459" s="3" t="s">
        <v>5246</v>
      </c>
      <c r="K1459" s="3" t="s">
        <v>28</v>
      </c>
      <c r="L1459" s="3" t="s">
        <v>28</v>
      </c>
      <c r="M1459" s="3" t="s">
        <v>27</v>
      </c>
      <c r="N1459" s="3" t="s">
        <v>28</v>
      </c>
      <c r="O1459" s="3" t="s">
        <v>27</v>
      </c>
      <c r="P1459" s="3" t="s">
        <v>27</v>
      </c>
      <c r="Q1459" s="3" t="s">
        <v>27</v>
      </c>
      <c r="R1459" s="3" t="s">
        <v>28</v>
      </c>
      <c r="S1459" s="3" t="s">
        <v>27</v>
      </c>
      <c r="T1459" s="3" t="s">
        <v>28</v>
      </c>
    </row>
    <row r="1460" spans="1:20" ht="409.6">
      <c r="A1460" s="3">
        <v>2723604</v>
      </c>
      <c r="B1460" s="3">
        <f>HYPERLINK("https://platform.v2.vetology.net/cases/2723604/screening-report/6?type=pdf&amp;v=v6&amp;scorecard=1&amp;secret_key=BX%25IJ%24%2F65ieZ%29f6", 2723604)</f>
        <v>2723604</v>
      </c>
      <c r="C1460" s="3">
        <f>HYPERLINK("https://platform.v2.vetology.net/report/v/final/"&amp;2723604, 2723604)</f>
        <v>2723604</v>
      </c>
      <c r="D1460" s="3" t="s">
        <v>5247</v>
      </c>
      <c r="E1460" s="3" t="s">
        <v>5248</v>
      </c>
      <c r="F1460" s="3" t="s">
        <v>5249</v>
      </c>
      <c r="G1460" s="3" t="s">
        <v>64</v>
      </c>
      <c r="H1460" s="3" t="s">
        <v>1046</v>
      </c>
      <c r="I1460" s="3" t="s">
        <v>59</v>
      </c>
      <c r="J1460" s="3" t="s">
        <v>60</v>
      </c>
      <c r="K1460" s="3" t="s">
        <v>28</v>
      </c>
      <c r="L1460" s="3" t="s">
        <v>28</v>
      </c>
      <c r="M1460" s="3" t="s">
        <v>28</v>
      </c>
      <c r="N1460" s="3" t="s">
        <v>28</v>
      </c>
      <c r="O1460" s="3" t="s">
        <v>27</v>
      </c>
      <c r="P1460" s="3" t="s">
        <v>28</v>
      </c>
      <c r="Q1460" s="3" t="s">
        <v>28</v>
      </c>
      <c r="R1460" s="3" t="s">
        <v>28</v>
      </c>
      <c r="S1460" s="3" t="s">
        <v>28</v>
      </c>
      <c r="T1460" s="3" t="s">
        <v>27</v>
      </c>
    </row>
    <row r="1461" spans="1:20" ht="409.6">
      <c r="A1461" s="3">
        <v>2723553</v>
      </c>
      <c r="B1461" s="3">
        <f>HYPERLINK("https://platform.v2.vetology.net/cases/2723553/screening-report/6?type=pdf&amp;v=v6&amp;scorecard=1&amp;secret_key=BX%25IJ%24%2F65ieZ%29f6", 2723553)</f>
        <v>2723553</v>
      </c>
      <c r="C1461" s="3">
        <f>HYPERLINK("https://platform.v2.vetology.net/report/v/final/"&amp;2723553, 2723553)</f>
        <v>2723553</v>
      </c>
      <c r="D1461" s="3" t="s">
        <v>5250</v>
      </c>
      <c r="E1461" s="3" t="s">
        <v>5251</v>
      </c>
      <c r="F1461" s="3" t="s">
        <v>5252</v>
      </c>
      <c r="G1461" s="3" t="s">
        <v>186</v>
      </c>
      <c r="H1461" s="3" t="s">
        <v>1591</v>
      </c>
      <c r="I1461" s="3" t="s">
        <v>1592</v>
      </c>
      <c r="J1461" s="3" t="s">
        <v>1593</v>
      </c>
      <c r="K1461" s="3" t="s">
        <v>28</v>
      </c>
      <c r="L1461" s="3" t="s">
        <v>28</v>
      </c>
      <c r="M1461" s="3" t="s">
        <v>27</v>
      </c>
      <c r="N1461" s="3" t="s">
        <v>28</v>
      </c>
      <c r="O1461" s="3" t="s">
        <v>27</v>
      </c>
      <c r="P1461" s="3" t="s">
        <v>28</v>
      </c>
      <c r="Q1461" s="3" t="s">
        <v>27</v>
      </c>
      <c r="R1461" s="3" t="s">
        <v>28</v>
      </c>
      <c r="S1461" s="3" t="s">
        <v>27</v>
      </c>
      <c r="T1461" s="3" t="s">
        <v>28</v>
      </c>
    </row>
    <row r="1462" spans="1:20" ht="305.25">
      <c r="A1462" s="3">
        <v>2723529</v>
      </c>
      <c r="B1462" s="3">
        <f>HYPERLINK("https://platform.v2.vetology.net/cases/2723529/screening-report/6?type=pdf&amp;v=v6&amp;scorecard=1&amp;secret_key=BX%25IJ%24%2F65ieZ%29f6", 2723529)</f>
        <v>2723529</v>
      </c>
      <c r="C1462" s="3">
        <f>HYPERLINK("https://platform.v2.vetology.net/report/v/final/"&amp;2723529, 2723529)</f>
        <v>2723529</v>
      </c>
      <c r="D1462" s="3" t="s">
        <v>5253</v>
      </c>
      <c r="E1462" s="3" t="s">
        <v>5254</v>
      </c>
      <c r="F1462" s="3" t="s">
        <v>5255</v>
      </c>
      <c r="G1462" s="3" t="s">
        <v>23</v>
      </c>
      <c r="H1462" s="3" t="s">
        <v>445</v>
      </c>
      <c r="I1462" s="3" t="s">
        <v>446</v>
      </c>
      <c r="J1462" s="3" t="s">
        <v>447</v>
      </c>
      <c r="K1462" s="3" t="s">
        <v>27</v>
      </c>
      <c r="L1462" s="3" t="s">
        <v>27</v>
      </c>
      <c r="M1462" s="3" t="s">
        <v>28</v>
      </c>
      <c r="N1462" s="3" t="s">
        <v>28</v>
      </c>
      <c r="O1462" s="3" t="s">
        <v>27</v>
      </c>
      <c r="P1462" s="3" t="s">
        <v>27</v>
      </c>
      <c r="Q1462" s="3" t="s">
        <v>28</v>
      </c>
      <c r="R1462" s="3" t="s">
        <v>28</v>
      </c>
      <c r="S1462" s="3" t="s">
        <v>28</v>
      </c>
      <c r="T1462" s="3" t="s">
        <v>28</v>
      </c>
    </row>
    <row r="1463" spans="1:20" ht="409.6">
      <c r="A1463" s="3">
        <v>2723505</v>
      </c>
      <c r="B1463" s="3">
        <f>HYPERLINK("https://platform.v2.vetology.net/cases/2723505/screening-report/6?type=pdf&amp;v=v6&amp;scorecard=1&amp;secret_key=BX%25IJ%24%2F65ieZ%29f6", 2723505)</f>
        <v>2723505</v>
      </c>
      <c r="C1463" s="3">
        <f>HYPERLINK("https://platform.v2.vetology.net/report/v/final/"&amp;2723505, 2723505)</f>
        <v>2723505</v>
      </c>
      <c r="D1463" s="3" t="s">
        <v>5256</v>
      </c>
      <c r="E1463" s="3" t="s">
        <v>5257</v>
      </c>
      <c r="F1463" s="3" t="s">
        <v>5258</v>
      </c>
      <c r="G1463" s="3" t="s">
        <v>64</v>
      </c>
      <c r="H1463" s="3" t="s">
        <v>855</v>
      </c>
      <c r="I1463" s="3" t="s">
        <v>856</v>
      </c>
      <c r="J1463" s="3" t="s">
        <v>857</v>
      </c>
      <c r="K1463" s="3" t="s">
        <v>27</v>
      </c>
      <c r="L1463" s="3" t="s">
        <v>28</v>
      </c>
      <c r="M1463" s="3" t="s">
        <v>28</v>
      </c>
      <c r="N1463" s="3" t="s">
        <v>28</v>
      </c>
      <c r="O1463" s="3" t="s">
        <v>27</v>
      </c>
      <c r="P1463" s="3" t="s">
        <v>28</v>
      </c>
      <c r="Q1463" s="3" t="s">
        <v>28</v>
      </c>
      <c r="R1463" s="3" t="s">
        <v>28</v>
      </c>
      <c r="S1463" s="3" t="s">
        <v>28</v>
      </c>
      <c r="T1463" s="3" t="s">
        <v>28</v>
      </c>
    </row>
    <row r="1464" spans="1:20" ht="409.6">
      <c r="A1464" s="3">
        <v>2723491</v>
      </c>
      <c r="B1464" s="3">
        <f>HYPERLINK("https://platform.v2.vetology.net/cases/2723491/screening-report/6?type=pdf&amp;v=v6&amp;scorecard=1&amp;secret_key=BX%25IJ%24%2F65ieZ%29f6", 2723491)</f>
        <v>2723491</v>
      </c>
      <c r="C1464" s="3">
        <f>HYPERLINK("https://platform.v2.vetology.net/report/v/final/"&amp;2723491, 2723491)</f>
        <v>2723491</v>
      </c>
      <c r="D1464" s="3" t="s">
        <v>5259</v>
      </c>
      <c r="E1464" s="3" t="s">
        <v>5260</v>
      </c>
      <c r="F1464" s="3"/>
      <c r="G1464" s="3" t="s">
        <v>372</v>
      </c>
      <c r="H1464" s="3" t="s">
        <v>5261</v>
      </c>
      <c r="I1464" s="3" t="s">
        <v>305</v>
      </c>
      <c r="J1464" s="3" t="s">
        <v>799</v>
      </c>
      <c r="K1464" s="3" t="s">
        <v>28</v>
      </c>
      <c r="L1464" s="3" t="s">
        <v>28</v>
      </c>
      <c r="M1464" s="3" t="s">
        <v>28</v>
      </c>
      <c r="N1464" s="3" t="s">
        <v>28</v>
      </c>
      <c r="O1464" s="3" t="s">
        <v>27</v>
      </c>
      <c r="P1464" s="3" t="s">
        <v>28</v>
      </c>
      <c r="Q1464" s="3" t="s">
        <v>28</v>
      </c>
      <c r="R1464" s="3" t="s">
        <v>28</v>
      </c>
      <c r="S1464" s="3" t="s">
        <v>28</v>
      </c>
      <c r="T1464" s="3" t="s">
        <v>28</v>
      </c>
    </row>
    <row r="1465" spans="1:20" ht="409.6">
      <c r="A1465" s="3">
        <v>2723421</v>
      </c>
      <c r="B1465" s="3">
        <f>HYPERLINK("https://platform.v2.vetology.net/cases/2723421/screening-report/6?type=pdf&amp;v=v6&amp;scorecard=1&amp;secret_key=BX%25IJ%24%2F65ieZ%29f6", 2723421)</f>
        <v>2723421</v>
      </c>
      <c r="C1465" s="3">
        <f>HYPERLINK("https://platform.v2.vetology.net/report/v/final/"&amp;2723421, 2723421)</f>
        <v>2723421</v>
      </c>
      <c r="D1465" s="3" t="s">
        <v>5262</v>
      </c>
      <c r="E1465" s="3" t="s">
        <v>5263</v>
      </c>
      <c r="F1465" s="3" t="s">
        <v>5264</v>
      </c>
      <c r="G1465" s="3" t="s">
        <v>57</v>
      </c>
      <c r="H1465" s="3" t="s">
        <v>1222</v>
      </c>
      <c r="I1465" s="3" t="s">
        <v>632</v>
      </c>
      <c r="J1465" s="3" t="s">
        <v>1223</v>
      </c>
      <c r="K1465" s="3" t="s">
        <v>28</v>
      </c>
      <c r="L1465" s="3" t="s">
        <v>28</v>
      </c>
      <c r="M1465" s="3" t="s">
        <v>28</v>
      </c>
      <c r="N1465" s="3" t="s">
        <v>27</v>
      </c>
      <c r="O1465" s="3" t="s">
        <v>27</v>
      </c>
      <c r="P1465" s="3" t="s">
        <v>28</v>
      </c>
      <c r="Q1465" s="3" t="s">
        <v>28</v>
      </c>
      <c r="R1465" s="3" t="s">
        <v>27</v>
      </c>
      <c r="S1465" s="3" t="s">
        <v>27</v>
      </c>
      <c r="T1465" s="3" t="s">
        <v>28</v>
      </c>
    </row>
    <row r="1466" spans="1:20" ht="275.25">
      <c r="A1466" s="3">
        <v>2723404</v>
      </c>
      <c r="B1466" s="3">
        <f>HYPERLINK("https://platform.v2.vetology.net/cases/2723404/screening-report/6?type=pdf&amp;v=v6&amp;scorecard=1&amp;secret_key=BX%25IJ%24%2F65ieZ%29f6", 2723404)</f>
        <v>2723404</v>
      </c>
      <c r="C1466" s="3">
        <f>HYPERLINK("https://platform.v2.vetology.net/report/v/final/"&amp;2723404, 2723404)</f>
        <v>2723404</v>
      </c>
      <c r="D1466" s="3" t="s">
        <v>5265</v>
      </c>
      <c r="E1466" s="3" t="s">
        <v>5266</v>
      </c>
      <c r="F1466" s="3" t="s">
        <v>22</v>
      </c>
      <c r="G1466" s="3" t="s">
        <v>100</v>
      </c>
      <c r="H1466" s="3" t="s">
        <v>1372</v>
      </c>
      <c r="I1466" s="3" t="s">
        <v>1373</v>
      </c>
      <c r="J1466" s="3" t="s">
        <v>207</v>
      </c>
      <c r="K1466" s="3" t="s">
        <v>28</v>
      </c>
      <c r="L1466" s="3" t="s">
        <v>27</v>
      </c>
      <c r="M1466" s="3" t="s">
        <v>27</v>
      </c>
      <c r="N1466" s="3" t="s">
        <v>27</v>
      </c>
      <c r="O1466" s="3" t="s">
        <v>27</v>
      </c>
      <c r="P1466" s="3" t="s">
        <v>28</v>
      </c>
      <c r="Q1466" s="3" t="s">
        <v>27</v>
      </c>
      <c r="R1466" s="3" t="s">
        <v>27</v>
      </c>
      <c r="S1466" s="3" t="s">
        <v>28</v>
      </c>
      <c r="T1466" s="3" t="s">
        <v>27</v>
      </c>
    </row>
    <row r="1467" spans="1:20" ht="381.75">
      <c r="A1467" s="3">
        <v>2723402</v>
      </c>
      <c r="B1467" s="3">
        <f>HYPERLINK("https://platform.v2.vetology.net/cases/2723402/screening-report/6?type=pdf&amp;v=v6&amp;scorecard=1&amp;secret_key=BX%25IJ%24%2F65ieZ%29f6", 2723402)</f>
        <v>2723402</v>
      </c>
      <c r="C1467" s="3">
        <f>HYPERLINK("https://platform.v2.vetology.net/report/v/final/"&amp;2723402, 2723402)</f>
        <v>2723402</v>
      </c>
      <c r="D1467" s="3" t="s">
        <v>5267</v>
      </c>
      <c r="E1467" s="3" t="s">
        <v>5268</v>
      </c>
      <c r="F1467" s="3" t="s">
        <v>5269</v>
      </c>
      <c r="G1467" s="3" t="s">
        <v>186</v>
      </c>
      <c r="H1467" s="3" t="s">
        <v>5270</v>
      </c>
      <c r="I1467" s="3" t="s">
        <v>706</v>
      </c>
      <c r="J1467" s="3" t="s">
        <v>707</v>
      </c>
      <c r="K1467" s="3" t="s">
        <v>28</v>
      </c>
      <c r="L1467" s="3" t="s">
        <v>28</v>
      </c>
      <c r="M1467" s="3" t="s">
        <v>28</v>
      </c>
      <c r="N1467" s="3" t="s">
        <v>28</v>
      </c>
      <c r="O1467" s="3" t="s">
        <v>27</v>
      </c>
      <c r="P1467" s="3" t="s">
        <v>28</v>
      </c>
      <c r="Q1467" s="3" t="s">
        <v>27</v>
      </c>
      <c r="R1467" s="3" t="s">
        <v>28</v>
      </c>
      <c r="S1467" s="3" t="s">
        <v>28</v>
      </c>
      <c r="T1467" s="3" t="s">
        <v>27</v>
      </c>
    </row>
    <row r="1468" spans="1:20" ht="409.6">
      <c r="A1468" s="3">
        <v>2723368</v>
      </c>
      <c r="B1468" s="3">
        <f>HYPERLINK("https://platform.v2.vetology.net/cases/2723368/screening-report/6?type=pdf&amp;v=v6&amp;scorecard=1&amp;secret_key=BX%25IJ%24%2F65ieZ%29f6", 2723368)</f>
        <v>2723368</v>
      </c>
      <c r="C1468" s="3">
        <f>HYPERLINK("https://platform.v2.vetology.net/report/v/final/"&amp;2723368, 2723368)</f>
        <v>2723368</v>
      </c>
      <c r="D1468" s="3" t="s">
        <v>5271</v>
      </c>
      <c r="E1468" s="3" t="s">
        <v>5272</v>
      </c>
      <c r="F1468" s="3" t="s">
        <v>5273</v>
      </c>
      <c r="G1468" s="3" t="s">
        <v>64</v>
      </c>
      <c r="H1468" s="3" t="s">
        <v>31</v>
      </c>
      <c r="I1468" s="3" t="s">
        <v>32</v>
      </c>
      <c r="J1468" s="3" t="s">
        <v>119</v>
      </c>
      <c r="K1468" s="3" t="s">
        <v>28</v>
      </c>
      <c r="L1468" s="3" t="s">
        <v>28</v>
      </c>
      <c r="M1468" s="3" t="s">
        <v>28</v>
      </c>
      <c r="N1468" s="3" t="s">
        <v>28</v>
      </c>
      <c r="O1468" s="3" t="s">
        <v>27</v>
      </c>
      <c r="P1468" s="3" t="s">
        <v>28</v>
      </c>
      <c r="Q1468" s="3" t="s">
        <v>28</v>
      </c>
      <c r="R1468" s="3" t="s">
        <v>28</v>
      </c>
      <c r="S1468" s="3" t="s">
        <v>28</v>
      </c>
      <c r="T1468" s="3" t="s">
        <v>28</v>
      </c>
    </row>
    <row r="1469" spans="1:20" ht="381.75">
      <c r="A1469" s="3">
        <v>2723355</v>
      </c>
      <c r="B1469" s="3">
        <f>HYPERLINK("https://platform.v2.vetology.net/cases/2723355/screening-report/6?type=pdf&amp;v=v6&amp;scorecard=1&amp;secret_key=BX%25IJ%24%2F65ieZ%29f6", 2723355)</f>
        <v>2723355</v>
      </c>
      <c r="C1469" s="3">
        <f>HYPERLINK("https://platform.v2.vetology.net/report/v/final/"&amp;2723355, 2723355)</f>
        <v>2723355</v>
      </c>
      <c r="D1469" s="3" t="s">
        <v>5274</v>
      </c>
      <c r="E1469" s="3" t="s">
        <v>5275</v>
      </c>
      <c r="F1469" s="3" t="s">
        <v>22</v>
      </c>
      <c r="G1469" s="3" t="s">
        <v>100</v>
      </c>
      <c r="H1469" s="3" t="s">
        <v>5276</v>
      </c>
      <c r="I1469" s="3" t="s">
        <v>5277</v>
      </c>
      <c r="J1469" s="3" t="s">
        <v>325</v>
      </c>
      <c r="K1469" s="3" t="s">
        <v>28</v>
      </c>
      <c r="L1469" s="3" t="s">
        <v>28</v>
      </c>
      <c r="M1469" s="3" t="s">
        <v>28</v>
      </c>
      <c r="N1469" s="3" t="s">
        <v>28</v>
      </c>
      <c r="O1469" s="3" t="s">
        <v>28</v>
      </c>
      <c r="P1469" s="3" t="s">
        <v>28</v>
      </c>
      <c r="Q1469" s="3" t="s">
        <v>27</v>
      </c>
      <c r="R1469" s="3" t="s">
        <v>28</v>
      </c>
      <c r="S1469" s="3" t="s">
        <v>27</v>
      </c>
      <c r="T1469" s="3" t="s">
        <v>28</v>
      </c>
    </row>
    <row r="1470" spans="1:20" ht="305.25">
      <c r="A1470" s="3">
        <v>2723277</v>
      </c>
      <c r="B1470" s="3">
        <f>HYPERLINK("https://platform.v2.vetology.net/cases/2723277/screening-report/6?type=pdf&amp;v=v6&amp;scorecard=1&amp;secret_key=BX%25IJ%24%2F65ieZ%29f6", 2723277)</f>
        <v>2723277</v>
      </c>
      <c r="C1470" s="3">
        <f>HYPERLINK("https://platform.v2.vetology.net/report/v/final/"&amp;2723277, 2723277)</f>
        <v>2723277</v>
      </c>
      <c r="D1470" s="3" t="s">
        <v>5278</v>
      </c>
      <c r="E1470" s="3" t="s">
        <v>3363</v>
      </c>
      <c r="F1470" s="3" t="s">
        <v>1762</v>
      </c>
      <c r="G1470" s="3" t="s">
        <v>100</v>
      </c>
      <c r="H1470" s="3" t="s">
        <v>2629</v>
      </c>
      <c r="I1470" s="3" t="s">
        <v>32</v>
      </c>
      <c r="J1470" s="3" t="s">
        <v>33</v>
      </c>
      <c r="K1470" s="3" t="s">
        <v>28</v>
      </c>
      <c r="L1470" s="3" t="s">
        <v>28</v>
      </c>
      <c r="M1470" s="3" t="s">
        <v>28</v>
      </c>
      <c r="N1470" s="3" t="s">
        <v>28</v>
      </c>
      <c r="O1470" s="3" t="s">
        <v>28</v>
      </c>
      <c r="P1470" s="3" t="s">
        <v>27</v>
      </c>
      <c r="Q1470" s="3" t="s">
        <v>28</v>
      </c>
      <c r="R1470" s="3" t="s">
        <v>28</v>
      </c>
      <c r="S1470" s="3" t="s">
        <v>28</v>
      </c>
      <c r="T1470" s="3" t="s">
        <v>28</v>
      </c>
    </row>
    <row r="1471" spans="1:20" ht="409.6">
      <c r="A1471" s="3">
        <v>2723263</v>
      </c>
      <c r="B1471" s="3">
        <f>HYPERLINK("https://platform.v2.vetology.net/cases/2723263/screening-report/6?type=pdf&amp;v=v6&amp;scorecard=1&amp;secret_key=BX%25IJ%24%2F65ieZ%29f6", 2723263)</f>
        <v>2723263</v>
      </c>
      <c r="C1471" s="3">
        <f>HYPERLINK("https://platform.v2.vetology.net/report/v/final/"&amp;2723263, 2723263)</f>
        <v>2723263</v>
      </c>
      <c r="D1471" s="3" t="s">
        <v>5279</v>
      </c>
      <c r="E1471" s="3" t="s">
        <v>5280</v>
      </c>
      <c r="F1471" s="3" t="s">
        <v>5281</v>
      </c>
      <c r="G1471" s="3" t="s">
        <v>179</v>
      </c>
      <c r="H1471" s="3" t="s">
        <v>5282</v>
      </c>
      <c r="I1471" s="3" t="s">
        <v>310</v>
      </c>
      <c r="J1471" s="3" t="s">
        <v>5283</v>
      </c>
      <c r="K1471" s="3" t="s">
        <v>28</v>
      </c>
      <c r="L1471" s="3" t="s">
        <v>27</v>
      </c>
      <c r="M1471" s="3" t="s">
        <v>28</v>
      </c>
      <c r="N1471" s="3" t="s">
        <v>27</v>
      </c>
      <c r="O1471" s="3" t="s">
        <v>27</v>
      </c>
      <c r="P1471" s="3" t="s">
        <v>28</v>
      </c>
      <c r="Q1471" s="3" t="s">
        <v>27</v>
      </c>
      <c r="R1471" s="3" t="s">
        <v>27</v>
      </c>
      <c r="S1471" s="3" t="s">
        <v>27</v>
      </c>
      <c r="T1471" s="3" t="s">
        <v>27</v>
      </c>
    </row>
    <row r="1472" spans="1:20" ht="409.6">
      <c r="A1472" s="3">
        <v>2723255</v>
      </c>
      <c r="B1472" s="3">
        <f>HYPERLINK("https://platform.v2.vetology.net/cases/2723255/screening-report/6?type=pdf&amp;v=v6&amp;scorecard=1&amp;secret_key=BX%25IJ%24%2F65ieZ%29f6", 2723255)</f>
        <v>2723255</v>
      </c>
      <c r="C1472" s="3">
        <f>HYPERLINK("https://platform.v2.vetology.net/report/v/final/"&amp;2723255, 2723255)</f>
        <v>2723255</v>
      </c>
      <c r="D1472" s="3" t="s">
        <v>5284</v>
      </c>
      <c r="E1472" s="3" t="s">
        <v>5285</v>
      </c>
      <c r="F1472" s="3" t="s">
        <v>5286</v>
      </c>
      <c r="G1472" s="3" t="s">
        <v>179</v>
      </c>
      <c r="H1472" s="3" t="s">
        <v>5287</v>
      </c>
      <c r="I1472" s="3" t="s">
        <v>224</v>
      </c>
      <c r="J1472" s="3" t="s">
        <v>225</v>
      </c>
      <c r="K1472" s="3" t="s">
        <v>27</v>
      </c>
      <c r="L1472" s="3" t="s">
        <v>28</v>
      </c>
      <c r="M1472" s="3" t="s">
        <v>28</v>
      </c>
      <c r="N1472" s="3" t="s">
        <v>28</v>
      </c>
      <c r="O1472" s="3" t="s">
        <v>28</v>
      </c>
      <c r="P1472" s="3" t="s">
        <v>28</v>
      </c>
      <c r="Q1472" s="3" t="s">
        <v>28</v>
      </c>
      <c r="R1472" s="3" t="s">
        <v>28</v>
      </c>
      <c r="S1472" s="3" t="s">
        <v>27</v>
      </c>
      <c r="T1472" s="3" t="s">
        <v>27</v>
      </c>
    </row>
    <row r="1473" spans="1:20" ht="229.5">
      <c r="A1473" s="3">
        <v>2723245</v>
      </c>
      <c r="B1473" s="3">
        <f>HYPERLINK("https://platform.v2.vetology.net/cases/2723245/screening-report/6?type=pdf&amp;v=v6&amp;scorecard=1&amp;secret_key=BX%25IJ%24%2F65ieZ%29f6", 2723245)</f>
        <v>2723245</v>
      </c>
      <c r="C1473" s="3">
        <f>HYPERLINK("https://platform.v2.vetology.net/report/v/final/"&amp;2723245, 2723245)</f>
        <v>2723245</v>
      </c>
      <c r="D1473" s="3" t="s">
        <v>5288</v>
      </c>
      <c r="E1473" s="3" t="s">
        <v>5289</v>
      </c>
      <c r="F1473" s="3" t="s">
        <v>5290</v>
      </c>
      <c r="G1473" s="3" t="s">
        <v>496</v>
      </c>
      <c r="H1473" s="3" t="s">
        <v>31</v>
      </c>
      <c r="I1473" s="3" t="s">
        <v>1497</v>
      </c>
      <c r="J1473" s="3" t="s">
        <v>847</v>
      </c>
      <c r="K1473" s="3" t="s">
        <v>28</v>
      </c>
      <c r="L1473" s="3" t="s">
        <v>28</v>
      </c>
      <c r="M1473" s="3" t="s">
        <v>28</v>
      </c>
      <c r="N1473" s="3" t="s">
        <v>28</v>
      </c>
      <c r="O1473" s="3" t="s">
        <v>27</v>
      </c>
      <c r="P1473" s="3" t="s">
        <v>28</v>
      </c>
      <c r="Q1473" s="3" t="s">
        <v>28</v>
      </c>
      <c r="R1473" s="3" t="s">
        <v>28</v>
      </c>
      <c r="S1473" s="3" t="s">
        <v>28</v>
      </c>
      <c r="T1473" s="3" t="s">
        <v>28</v>
      </c>
    </row>
    <row r="1474" spans="1:20" ht="396.75">
      <c r="A1474" s="3">
        <v>2723240</v>
      </c>
      <c r="B1474" s="3">
        <f>HYPERLINK("https://platform.v2.vetology.net/cases/2723240/screening-report/6?type=pdf&amp;v=v6&amp;scorecard=1&amp;secret_key=BX%25IJ%24%2F65ieZ%29f6", 2723240)</f>
        <v>2723240</v>
      </c>
      <c r="C1474" s="3">
        <f>HYPERLINK("https://platform.v2.vetology.net/report/v/final/"&amp;2723240, 2723240)</f>
        <v>2723240</v>
      </c>
      <c r="D1474" s="3" t="s">
        <v>5291</v>
      </c>
      <c r="E1474" s="3" t="s">
        <v>5292</v>
      </c>
      <c r="F1474" s="3" t="s">
        <v>56</v>
      </c>
      <c r="G1474" s="3" t="s">
        <v>57</v>
      </c>
      <c r="H1474" s="3" t="s">
        <v>5293</v>
      </c>
      <c r="I1474" s="3" t="s">
        <v>469</v>
      </c>
      <c r="J1474" s="3" t="s">
        <v>470</v>
      </c>
      <c r="K1474" s="3" t="s">
        <v>28</v>
      </c>
      <c r="L1474" s="3" t="s">
        <v>28</v>
      </c>
      <c r="M1474" s="3" t="s">
        <v>28</v>
      </c>
      <c r="N1474" s="3" t="s">
        <v>28</v>
      </c>
      <c r="O1474" s="3" t="s">
        <v>27</v>
      </c>
      <c r="P1474" s="3" t="s">
        <v>28</v>
      </c>
      <c r="Q1474" s="3" t="s">
        <v>28</v>
      </c>
      <c r="R1474" s="3" t="s">
        <v>28</v>
      </c>
      <c r="S1474" s="3" t="s">
        <v>28</v>
      </c>
      <c r="T1474" s="3" t="s">
        <v>28</v>
      </c>
    </row>
    <row r="1475" spans="1:20" ht="409.6">
      <c r="A1475" s="3">
        <v>2723238</v>
      </c>
      <c r="B1475" s="3">
        <f>HYPERLINK("https://platform.v2.vetology.net/cases/2723238/screening-report/6?type=pdf&amp;v=v6&amp;scorecard=1&amp;secret_key=BX%25IJ%24%2F65ieZ%29f6", 2723238)</f>
        <v>2723238</v>
      </c>
      <c r="C1475" s="3">
        <f>HYPERLINK("https://platform.v2.vetology.net/report/v/final/"&amp;2723238, 2723238)</f>
        <v>2723238</v>
      </c>
      <c r="D1475" s="3" t="s">
        <v>5294</v>
      </c>
      <c r="E1475" s="3" t="s">
        <v>5295</v>
      </c>
      <c r="F1475" s="3" t="s">
        <v>5296</v>
      </c>
      <c r="G1475" s="3" t="s">
        <v>179</v>
      </c>
      <c r="H1475" s="3" t="s">
        <v>5297</v>
      </c>
      <c r="I1475" s="3" t="s">
        <v>2011</v>
      </c>
      <c r="J1475" s="3" t="s">
        <v>225</v>
      </c>
      <c r="K1475" s="3" t="s">
        <v>28</v>
      </c>
      <c r="L1475" s="3" t="s">
        <v>27</v>
      </c>
      <c r="M1475" s="3" t="s">
        <v>28</v>
      </c>
      <c r="N1475" s="3" t="s">
        <v>27</v>
      </c>
      <c r="O1475" s="3" t="s">
        <v>27</v>
      </c>
      <c r="P1475" s="3" t="s">
        <v>28</v>
      </c>
      <c r="Q1475" s="3" t="s">
        <v>27</v>
      </c>
      <c r="R1475" s="3" t="s">
        <v>27</v>
      </c>
      <c r="S1475" s="3" t="s">
        <v>27</v>
      </c>
      <c r="T1475" s="3" t="s">
        <v>27</v>
      </c>
    </row>
    <row r="1476" spans="1:20" ht="409.6">
      <c r="A1476" s="3">
        <v>2723219</v>
      </c>
      <c r="B1476" s="3">
        <f>HYPERLINK("https://platform.v2.vetology.net/cases/2723219/screening-report/6?type=pdf&amp;v=v6&amp;scorecard=1&amp;secret_key=BX%25IJ%24%2F65ieZ%29f6", 2723219)</f>
        <v>2723219</v>
      </c>
      <c r="C1476" s="3">
        <f>HYPERLINK("https://platform.v2.vetology.net/report/v/final/"&amp;2723219, 2723219)</f>
        <v>2723219</v>
      </c>
      <c r="D1476" s="3" t="s">
        <v>5298</v>
      </c>
      <c r="E1476" s="3" t="s">
        <v>5299</v>
      </c>
      <c r="F1476" s="3" t="s">
        <v>5300</v>
      </c>
      <c r="G1476" s="3" t="s">
        <v>64</v>
      </c>
      <c r="H1476" s="3" t="s">
        <v>5301</v>
      </c>
      <c r="I1476" s="3" t="s">
        <v>5302</v>
      </c>
      <c r="J1476" s="3" t="s">
        <v>5303</v>
      </c>
      <c r="K1476" s="3" t="s">
        <v>28</v>
      </c>
      <c r="L1476" s="3" t="s">
        <v>27</v>
      </c>
      <c r="M1476" s="3" t="s">
        <v>27</v>
      </c>
      <c r="N1476" s="3" t="s">
        <v>28</v>
      </c>
      <c r="O1476" s="3" t="s">
        <v>27</v>
      </c>
      <c r="P1476" s="3" t="s">
        <v>27</v>
      </c>
      <c r="Q1476" s="3" t="s">
        <v>27</v>
      </c>
      <c r="R1476" s="3" t="s">
        <v>28</v>
      </c>
      <c r="S1476" s="3" t="s">
        <v>27</v>
      </c>
      <c r="T1476" s="3" t="s">
        <v>27</v>
      </c>
    </row>
    <row r="1477" spans="1:20" ht="409.6">
      <c r="A1477" s="3">
        <v>2723190</v>
      </c>
      <c r="B1477" s="3">
        <f>HYPERLINK("https://platform.v2.vetology.net/cases/2723190/screening-report/6?type=pdf&amp;v=v6&amp;scorecard=1&amp;secret_key=BX%25IJ%24%2F65ieZ%29f6", 2723190)</f>
        <v>2723190</v>
      </c>
      <c r="C1477" s="3">
        <f>HYPERLINK("https://platform.v2.vetology.net/report/v/final/"&amp;2723190, 2723190)</f>
        <v>2723190</v>
      </c>
      <c r="D1477" s="3" t="s">
        <v>5304</v>
      </c>
      <c r="E1477" s="3" t="s">
        <v>5305</v>
      </c>
      <c r="F1477" s="3" t="s">
        <v>5306</v>
      </c>
      <c r="G1477" s="3" t="s">
        <v>64</v>
      </c>
      <c r="H1477" s="3" t="s">
        <v>5307</v>
      </c>
      <c r="I1477" s="3"/>
      <c r="J1477" s="3" t="s">
        <v>207</v>
      </c>
      <c r="K1477" s="3" t="s">
        <v>27</v>
      </c>
      <c r="L1477" s="3" t="s">
        <v>28</v>
      </c>
      <c r="M1477" s="3" t="s">
        <v>27</v>
      </c>
      <c r="N1477" s="3" t="s">
        <v>28</v>
      </c>
      <c r="O1477" s="3" t="s">
        <v>27</v>
      </c>
      <c r="P1477" s="3" t="s">
        <v>28</v>
      </c>
      <c r="Q1477" s="3" t="s">
        <v>28</v>
      </c>
      <c r="R1477" s="3" t="s">
        <v>28</v>
      </c>
      <c r="S1477" s="3" t="s">
        <v>28</v>
      </c>
      <c r="T1477" s="3" t="s">
        <v>28</v>
      </c>
    </row>
    <row r="1478" spans="1:20" ht="321">
      <c r="A1478" s="3">
        <v>2723170</v>
      </c>
      <c r="B1478" s="3">
        <f>HYPERLINK("https://platform.v2.vetology.net/cases/2723170/screening-report/6?type=pdf&amp;v=v6&amp;scorecard=1&amp;secret_key=BX%25IJ%24%2F65ieZ%29f6", 2723170)</f>
        <v>2723170</v>
      </c>
      <c r="C1478" s="3">
        <f>HYPERLINK("https://platform.v2.vetology.net/report/v/final/"&amp;2723170, 2723170)</f>
        <v>2723170</v>
      </c>
      <c r="D1478" s="3" t="s">
        <v>5308</v>
      </c>
      <c r="E1478" s="3" t="s">
        <v>5309</v>
      </c>
      <c r="F1478" s="3"/>
      <c r="G1478" s="3" t="s">
        <v>122</v>
      </c>
      <c r="H1478" s="3" t="s">
        <v>5310</v>
      </c>
      <c r="I1478" s="3" t="s">
        <v>1227</v>
      </c>
      <c r="J1478" s="3" t="s">
        <v>1228</v>
      </c>
      <c r="K1478" s="3" t="s">
        <v>28</v>
      </c>
      <c r="L1478" s="3" t="s">
        <v>27</v>
      </c>
      <c r="M1478" s="3" t="s">
        <v>28</v>
      </c>
      <c r="N1478" s="3" t="s">
        <v>27</v>
      </c>
      <c r="O1478" s="3" t="s">
        <v>27</v>
      </c>
      <c r="P1478" s="3" t="s">
        <v>28</v>
      </c>
      <c r="Q1478" s="3" t="s">
        <v>28</v>
      </c>
      <c r="R1478" s="3" t="s">
        <v>28</v>
      </c>
      <c r="S1478" s="3" t="s">
        <v>28</v>
      </c>
      <c r="T1478" s="3" t="s">
        <v>27</v>
      </c>
    </row>
    <row r="1479" spans="1:20" ht="290.25">
      <c r="A1479" s="3">
        <v>2723136</v>
      </c>
      <c r="B1479" s="3">
        <f>HYPERLINK("https://platform.v2.vetology.net/cases/2723136/screening-report/6?type=pdf&amp;v=v6&amp;scorecard=1&amp;secret_key=BX%25IJ%24%2F65ieZ%29f6", 2723136)</f>
        <v>2723136</v>
      </c>
      <c r="C1479" s="3">
        <f>HYPERLINK("https://platform.v2.vetology.net/report/v/final/"&amp;2723136, 2723136)</f>
        <v>2723136</v>
      </c>
      <c r="D1479" s="3" t="s">
        <v>5311</v>
      </c>
      <c r="E1479" s="3" t="s">
        <v>5312</v>
      </c>
      <c r="F1479" s="3" t="s">
        <v>5313</v>
      </c>
      <c r="G1479" s="3" t="s">
        <v>179</v>
      </c>
      <c r="H1479" s="3" t="s">
        <v>5314</v>
      </c>
      <c r="I1479" s="3" t="s">
        <v>72</v>
      </c>
      <c r="J1479" s="3" t="s">
        <v>5315</v>
      </c>
      <c r="K1479" s="3" t="s">
        <v>28</v>
      </c>
      <c r="L1479" s="3" t="s">
        <v>28</v>
      </c>
      <c r="M1479" s="3" t="s">
        <v>28</v>
      </c>
      <c r="N1479" s="3" t="s">
        <v>28</v>
      </c>
      <c r="O1479" s="3" t="s">
        <v>28</v>
      </c>
      <c r="P1479" s="3" t="s">
        <v>28</v>
      </c>
      <c r="Q1479" s="3" t="s">
        <v>28</v>
      </c>
      <c r="R1479" s="3" t="s">
        <v>28</v>
      </c>
      <c r="S1479" s="3" t="s">
        <v>28</v>
      </c>
      <c r="T1479" s="3" t="s">
        <v>27</v>
      </c>
    </row>
    <row r="1480" spans="1:20" ht="381.75">
      <c r="A1480" s="3">
        <v>2723123</v>
      </c>
      <c r="B1480" s="3">
        <f>HYPERLINK("https://platform.v2.vetology.net/cases/2723123/screening-report/6?type=pdf&amp;v=v6&amp;scorecard=1&amp;secret_key=BX%25IJ%24%2F65ieZ%29f6", 2723123)</f>
        <v>2723123</v>
      </c>
      <c r="C1480" s="3">
        <f>HYPERLINK("https://platform.v2.vetology.net/report/v/final/"&amp;2723123, 2723123)</f>
        <v>2723123</v>
      </c>
      <c r="D1480" s="3" t="s">
        <v>5316</v>
      </c>
      <c r="E1480" s="3" t="s">
        <v>5317</v>
      </c>
      <c r="F1480" s="3" t="s">
        <v>5318</v>
      </c>
      <c r="G1480" s="3" t="s">
        <v>186</v>
      </c>
      <c r="H1480" s="3" t="s">
        <v>5319</v>
      </c>
      <c r="I1480" s="3" t="s">
        <v>981</v>
      </c>
      <c r="J1480" s="3" t="s">
        <v>982</v>
      </c>
      <c r="K1480" s="3" t="s">
        <v>28</v>
      </c>
      <c r="L1480" s="3" t="s">
        <v>28</v>
      </c>
      <c r="M1480" s="3" t="s">
        <v>27</v>
      </c>
      <c r="N1480" s="3" t="s">
        <v>28</v>
      </c>
      <c r="O1480" s="3" t="s">
        <v>27</v>
      </c>
      <c r="P1480" s="3" t="s">
        <v>28</v>
      </c>
      <c r="Q1480" s="3" t="s">
        <v>27</v>
      </c>
      <c r="R1480" s="3" t="s">
        <v>28</v>
      </c>
      <c r="S1480" s="3" t="s">
        <v>27</v>
      </c>
      <c r="T1480" s="3" t="s">
        <v>28</v>
      </c>
    </row>
    <row r="1481" spans="1:20" ht="409.6">
      <c r="A1481" s="3">
        <v>2723056</v>
      </c>
      <c r="B1481" s="3">
        <f>HYPERLINK("https://platform.v2.vetology.net/cases/2723056/screening-report/6?type=pdf&amp;v=v6&amp;scorecard=1&amp;secret_key=BX%25IJ%24%2F65ieZ%29f6", 2723056)</f>
        <v>2723056</v>
      </c>
      <c r="C1481" s="3">
        <f>HYPERLINK("https://platform.v2.vetology.net/report/v/final/"&amp;2723056, 2723056)</f>
        <v>2723056</v>
      </c>
      <c r="D1481" s="3" t="s">
        <v>5320</v>
      </c>
      <c r="E1481" s="3" t="s">
        <v>5321</v>
      </c>
      <c r="F1481" s="3"/>
      <c r="G1481" s="3" t="s">
        <v>372</v>
      </c>
      <c r="H1481" s="3" t="s">
        <v>5322</v>
      </c>
      <c r="I1481" s="3" t="s">
        <v>678</v>
      </c>
      <c r="J1481" s="3" t="s">
        <v>1264</v>
      </c>
      <c r="K1481" s="3" t="s">
        <v>28</v>
      </c>
      <c r="L1481" s="3" t="s">
        <v>27</v>
      </c>
      <c r="M1481" s="3" t="s">
        <v>28</v>
      </c>
      <c r="N1481" s="3" t="s">
        <v>27</v>
      </c>
      <c r="O1481" s="3" t="s">
        <v>27</v>
      </c>
      <c r="P1481" s="3" t="s">
        <v>28</v>
      </c>
      <c r="Q1481" s="3" t="s">
        <v>28</v>
      </c>
      <c r="R1481" s="3" t="s">
        <v>27</v>
      </c>
      <c r="S1481" s="3" t="s">
        <v>27</v>
      </c>
      <c r="T1481" s="3" t="s">
        <v>27</v>
      </c>
    </row>
    <row r="1482" spans="1:20" ht="336">
      <c r="A1482" s="3">
        <v>2723052</v>
      </c>
      <c r="B1482" s="3">
        <f>HYPERLINK("https://platform.v2.vetology.net/cases/2723052/screening-report/6?type=pdf&amp;v=v6&amp;scorecard=1&amp;secret_key=BX%25IJ%24%2F65ieZ%29f6", 2723052)</f>
        <v>2723052</v>
      </c>
      <c r="C1482" s="3">
        <f>HYPERLINK("https://platform.v2.vetology.net/report/v/final/"&amp;2723052, 2723052)</f>
        <v>2723052</v>
      </c>
      <c r="D1482" s="3" t="s">
        <v>5323</v>
      </c>
      <c r="E1482" s="3" t="s">
        <v>5324</v>
      </c>
      <c r="F1482" s="3" t="s">
        <v>22</v>
      </c>
      <c r="G1482" s="3" t="s">
        <v>23</v>
      </c>
      <c r="H1482" s="3" t="s">
        <v>843</v>
      </c>
      <c r="I1482" s="3" t="s">
        <v>124</v>
      </c>
      <c r="J1482" s="3" t="s">
        <v>125</v>
      </c>
      <c r="K1482" s="3" t="s">
        <v>28</v>
      </c>
      <c r="L1482" s="3" t="s">
        <v>28</v>
      </c>
      <c r="M1482" s="3" t="s">
        <v>27</v>
      </c>
      <c r="N1482" s="3" t="s">
        <v>28</v>
      </c>
      <c r="O1482" s="3" t="s">
        <v>27</v>
      </c>
      <c r="P1482" s="3" t="s">
        <v>28</v>
      </c>
      <c r="Q1482" s="3" t="s">
        <v>28</v>
      </c>
      <c r="R1482" s="3" t="s">
        <v>28</v>
      </c>
      <c r="S1482" s="3" t="s">
        <v>28</v>
      </c>
      <c r="T1482" s="3" t="s">
        <v>28</v>
      </c>
    </row>
    <row r="1483" spans="1:20" ht="409.6">
      <c r="A1483" s="3">
        <v>2723041</v>
      </c>
      <c r="B1483" s="3">
        <f>HYPERLINK("https://platform.v2.vetology.net/cases/2723041/screening-report/6?type=pdf&amp;v=v6&amp;scorecard=1&amp;secret_key=BX%25IJ%24%2F65ieZ%29f6", 2723041)</f>
        <v>2723041</v>
      </c>
      <c r="C1483" s="3">
        <f>HYPERLINK("https://platform.v2.vetology.net/report/v/final/"&amp;2723041, 2723041)</f>
        <v>2723041</v>
      </c>
      <c r="D1483" s="3" t="s">
        <v>5325</v>
      </c>
      <c r="E1483" s="3" t="s">
        <v>5326</v>
      </c>
      <c r="F1483" s="3" t="s">
        <v>5327</v>
      </c>
      <c r="G1483" s="3" t="s">
        <v>64</v>
      </c>
      <c r="H1483" s="3" t="s">
        <v>908</v>
      </c>
      <c r="I1483" s="3" t="s">
        <v>3086</v>
      </c>
      <c r="J1483" s="3" t="s">
        <v>119</v>
      </c>
      <c r="K1483" s="3" t="s">
        <v>28</v>
      </c>
      <c r="L1483" s="3" t="s">
        <v>28</v>
      </c>
      <c r="M1483" s="3" t="s">
        <v>27</v>
      </c>
      <c r="N1483" s="3" t="s">
        <v>28</v>
      </c>
      <c r="O1483" s="3" t="s">
        <v>28</v>
      </c>
      <c r="P1483" s="3" t="s">
        <v>28</v>
      </c>
      <c r="Q1483" s="3" t="s">
        <v>28</v>
      </c>
      <c r="R1483" s="3" t="s">
        <v>28</v>
      </c>
      <c r="S1483" s="3" t="s">
        <v>28</v>
      </c>
      <c r="T1483" s="3" t="s">
        <v>28</v>
      </c>
    </row>
    <row r="1484" spans="1:20" ht="409.6">
      <c r="A1484" s="3">
        <v>2723029</v>
      </c>
      <c r="B1484" s="3">
        <f>HYPERLINK("https://platform.v2.vetology.net/cases/2723029/screening-report/6?type=pdf&amp;v=v6&amp;scorecard=1&amp;secret_key=BX%25IJ%24%2F65ieZ%29f6", 2723029)</f>
        <v>2723029</v>
      </c>
      <c r="C1484" s="3">
        <f>HYPERLINK("https://platform.v2.vetology.net/report/v/final/"&amp;2723029, 2723029)</f>
        <v>2723029</v>
      </c>
      <c r="D1484" s="3" t="s">
        <v>5328</v>
      </c>
      <c r="E1484" s="3" t="s">
        <v>5329</v>
      </c>
      <c r="F1484" s="3" t="s">
        <v>5330</v>
      </c>
      <c r="G1484" s="3" t="s">
        <v>64</v>
      </c>
      <c r="H1484" s="3" t="s">
        <v>300</v>
      </c>
      <c r="I1484" s="3" t="s">
        <v>32</v>
      </c>
      <c r="J1484" s="3" t="s">
        <v>33</v>
      </c>
      <c r="K1484" s="3" t="s">
        <v>28</v>
      </c>
      <c r="L1484" s="3" t="s">
        <v>28</v>
      </c>
      <c r="M1484" s="3" t="s">
        <v>28</v>
      </c>
      <c r="N1484" s="3" t="s">
        <v>28</v>
      </c>
      <c r="O1484" s="3" t="s">
        <v>27</v>
      </c>
      <c r="P1484" s="3" t="s">
        <v>28</v>
      </c>
      <c r="Q1484" s="3" t="s">
        <v>28</v>
      </c>
      <c r="R1484" s="3" t="s">
        <v>28</v>
      </c>
      <c r="S1484" s="3" t="s">
        <v>28</v>
      </c>
      <c r="T1484" s="3" t="s">
        <v>28</v>
      </c>
    </row>
    <row r="1485" spans="1:20" ht="321">
      <c r="A1485" s="3">
        <v>2722893</v>
      </c>
      <c r="B1485" s="3">
        <f>HYPERLINK("https://platform.v2.vetology.net/cases/2722893/screening-report/6?type=pdf&amp;v=v6&amp;scorecard=1&amp;secret_key=BX%25IJ%24%2F65ieZ%29f6", 2722893)</f>
        <v>2722893</v>
      </c>
      <c r="C1485" s="3">
        <f>HYPERLINK("https://platform.v2.vetology.net/report/v/final/"&amp;2722893, 2722893)</f>
        <v>2722893</v>
      </c>
      <c r="D1485" s="3" t="s">
        <v>5331</v>
      </c>
      <c r="E1485" s="3" t="s">
        <v>5332</v>
      </c>
      <c r="F1485" s="3" t="s">
        <v>3245</v>
      </c>
      <c r="G1485" s="3" t="s">
        <v>57</v>
      </c>
      <c r="H1485" s="3" t="s">
        <v>2383</v>
      </c>
      <c r="I1485" s="3" t="s">
        <v>316</v>
      </c>
      <c r="J1485" s="3" t="s">
        <v>317</v>
      </c>
      <c r="K1485" s="3" t="s">
        <v>28</v>
      </c>
      <c r="L1485" s="3" t="s">
        <v>28</v>
      </c>
      <c r="M1485" s="3" t="s">
        <v>28</v>
      </c>
      <c r="N1485" s="3" t="s">
        <v>28</v>
      </c>
      <c r="O1485" s="3" t="s">
        <v>27</v>
      </c>
      <c r="P1485" s="3" t="s">
        <v>28</v>
      </c>
      <c r="Q1485" s="3" t="s">
        <v>28</v>
      </c>
      <c r="R1485" s="3" t="s">
        <v>28</v>
      </c>
      <c r="S1485" s="3" t="s">
        <v>28</v>
      </c>
      <c r="T1485" s="3" t="s">
        <v>28</v>
      </c>
    </row>
    <row r="1486" spans="1:20" ht="409.6">
      <c r="A1486" s="3">
        <v>2722872</v>
      </c>
      <c r="B1486" s="3">
        <f>HYPERLINK("https://platform.v2.vetology.net/cases/2722872/screening-report/6?type=pdf&amp;v=v6&amp;scorecard=1&amp;secret_key=BX%25IJ%24%2F65ieZ%29f6", 2722872)</f>
        <v>2722872</v>
      </c>
      <c r="C1486" s="3">
        <f>HYPERLINK("https://platform.v2.vetology.net/report/v/final/"&amp;2722872, 2722872)</f>
        <v>2722872</v>
      </c>
      <c r="D1486" s="3" t="s">
        <v>5333</v>
      </c>
      <c r="E1486" s="3" t="s">
        <v>5334</v>
      </c>
      <c r="F1486" s="3" t="s">
        <v>5335</v>
      </c>
      <c r="G1486" s="3" t="s">
        <v>186</v>
      </c>
      <c r="H1486" s="3" t="s">
        <v>5336</v>
      </c>
      <c r="I1486" s="3" t="s">
        <v>2136</v>
      </c>
      <c r="J1486" s="3" t="s">
        <v>2137</v>
      </c>
      <c r="K1486" s="3" t="s">
        <v>27</v>
      </c>
      <c r="L1486" s="3" t="s">
        <v>28</v>
      </c>
      <c r="M1486" s="3" t="s">
        <v>27</v>
      </c>
      <c r="N1486" s="3" t="s">
        <v>28</v>
      </c>
      <c r="O1486" s="3" t="s">
        <v>27</v>
      </c>
      <c r="P1486" s="3" t="s">
        <v>27</v>
      </c>
      <c r="Q1486" s="3" t="s">
        <v>27</v>
      </c>
      <c r="R1486" s="3" t="s">
        <v>28</v>
      </c>
      <c r="S1486" s="3" t="s">
        <v>28</v>
      </c>
      <c r="T1486" s="3" t="s">
        <v>28</v>
      </c>
    </row>
    <row r="1487" spans="1:20" ht="229.5">
      <c r="A1487" s="3">
        <v>2722840</v>
      </c>
      <c r="B1487" s="3">
        <f>HYPERLINK("https://platform.v2.vetology.net/cases/2722840/screening-report/6?type=pdf&amp;v=v6&amp;scorecard=1&amp;secret_key=BX%25IJ%24%2F65ieZ%29f6", 2722840)</f>
        <v>2722840</v>
      </c>
      <c r="C1487" s="3">
        <f>HYPERLINK("https://platform.v2.vetology.net/report/v/final/"&amp;2722840, 2722840)</f>
        <v>2722840</v>
      </c>
      <c r="D1487" s="3" t="s">
        <v>5337</v>
      </c>
      <c r="E1487" s="3" t="s">
        <v>5338</v>
      </c>
      <c r="F1487" s="3" t="s">
        <v>5339</v>
      </c>
      <c r="G1487" s="3" t="s">
        <v>186</v>
      </c>
      <c r="H1487" s="3" t="s">
        <v>2034</v>
      </c>
      <c r="I1487" s="3" t="s">
        <v>129</v>
      </c>
      <c r="J1487" s="3" t="s">
        <v>119</v>
      </c>
      <c r="K1487" s="3" t="s">
        <v>28</v>
      </c>
      <c r="L1487" s="3" t="s">
        <v>28</v>
      </c>
      <c r="M1487" s="3" t="s">
        <v>28</v>
      </c>
      <c r="N1487" s="3" t="s">
        <v>28</v>
      </c>
      <c r="O1487" s="3" t="s">
        <v>27</v>
      </c>
      <c r="P1487" s="3" t="s">
        <v>28</v>
      </c>
      <c r="Q1487" s="3" t="s">
        <v>28</v>
      </c>
      <c r="R1487" s="3" t="s">
        <v>28</v>
      </c>
      <c r="S1487" s="3" t="s">
        <v>28</v>
      </c>
      <c r="T1487" s="3" t="s">
        <v>28</v>
      </c>
    </row>
    <row r="1488" spans="1:20" ht="351">
      <c r="A1488" s="3">
        <v>2722839</v>
      </c>
      <c r="B1488" s="3">
        <f>HYPERLINK("https://platform.v2.vetology.net/cases/2722839/screening-report/6?type=pdf&amp;v=v6&amp;scorecard=1&amp;secret_key=BX%25IJ%24%2F65ieZ%29f6", 2722839)</f>
        <v>2722839</v>
      </c>
      <c r="C1488" s="3">
        <f>HYPERLINK("https://platform.v2.vetology.net/report/v/final/"&amp;2722839, 2722839)</f>
        <v>2722839</v>
      </c>
      <c r="D1488" s="3" t="s">
        <v>5340</v>
      </c>
      <c r="E1488" s="3" t="s">
        <v>5341</v>
      </c>
      <c r="F1488" s="3" t="s">
        <v>5342</v>
      </c>
      <c r="G1488" s="3" t="s">
        <v>186</v>
      </c>
      <c r="H1488" s="3" t="s">
        <v>5343</v>
      </c>
      <c r="I1488" s="3" t="s">
        <v>1472</v>
      </c>
      <c r="J1488" s="3" t="s">
        <v>1374</v>
      </c>
      <c r="K1488" s="3" t="s">
        <v>27</v>
      </c>
      <c r="L1488" s="3" t="s">
        <v>28</v>
      </c>
      <c r="M1488" s="3" t="s">
        <v>27</v>
      </c>
      <c r="N1488" s="3" t="s">
        <v>28</v>
      </c>
      <c r="O1488" s="3" t="s">
        <v>28</v>
      </c>
      <c r="P1488" s="3" t="s">
        <v>28</v>
      </c>
      <c r="Q1488" s="3" t="s">
        <v>28</v>
      </c>
      <c r="R1488" s="3" t="s">
        <v>28</v>
      </c>
      <c r="S1488" s="3" t="s">
        <v>28</v>
      </c>
      <c r="T1488" s="3" t="s">
        <v>28</v>
      </c>
    </row>
    <row r="1489" spans="1:20" ht="409.6">
      <c r="A1489" s="3">
        <v>2722796</v>
      </c>
      <c r="B1489" s="3">
        <f>HYPERLINK("https://platform.v2.vetology.net/cases/2722796/screening-report/6?type=pdf&amp;v=v6&amp;scorecard=1&amp;secret_key=BX%25IJ%24%2F65ieZ%29f6", 2722796)</f>
        <v>2722796</v>
      </c>
      <c r="C1489" s="3">
        <f>HYPERLINK("https://platform.v2.vetology.net/report/v/final/"&amp;2722796, 2722796)</f>
        <v>2722796</v>
      </c>
      <c r="D1489" s="3" t="s">
        <v>5344</v>
      </c>
      <c r="E1489" s="3" t="s">
        <v>5345</v>
      </c>
      <c r="F1489" s="3" t="s">
        <v>5346</v>
      </c>
      <c r="G1489" s="3" t="s">
        <v>64</v>
      </c>
      <c r="H1489" s="3" t="s">
        <v>5347</v>
      </c>
      <c r="I1489" s="3" t="s">
        <v>865</v>
      </c>
      <c r="J1489" s="3" t="s">
        <v>866</v>
      </c>
      <c r="K1489" s="3" t="s">
        <v>28</v>
      </c>
      <c r="L1489" s="3" t="s">
        <v>28</v>
      </c>
      <c r="M1489" s="3" t="s">
        <v>28</v>
      </c>
      <c r="N1489" s="3" t="s">
        <v>28</v>
      </c>
      <c r="O1489" s="3" t="s">
        <v>27</v>
      </c>
      <c r="P1489" s="3" t="s">
        <v>28</v>
      </c>
      <c r="Q1489" s="3" t="s">
        <v>28</v>
      </c>
      <c r="R1489" s="3" t="s">
        <v>28</v>
      </c>
      <c r="S1489" s="3" t="s">
        <v>28</v>
      </c>
      <c r="T1489" s="3" t="s">
        <v>28</v>
      </c>
    </row>
    <row r="1490" spans="1:20" ht="409.6">
      <c r="A1490" s="3">
        <v>2722761</v>
      </c>
      <c r="B1490" s="3">
        <f>HYPERLINK("https://platform.v2.vetology.net/cases/2722761/screening-report/6?type=pdf&amp;v=v6&amp;scorecard=1&amp;secret_key=BX%25IJ%24%2F65ieZ%29f6", 2722761)</f>
        <v>2722761</v>
      </c>
      <c r="C1490" s="3">
        <f>HYPERLINK("https://platform.v2.vetology.net/report/v/final/"&amp;2722761, 2722761)</f>
        <v>2722761</v>
      </c>
      <c r="D1490" s="3" t="s">
        <v>5348</v>
      </c>
      <c r="E1490" s="3" t="s">
        <v>5349</v>
      </c>
      <c r="F1490" s="3" t="s">
        <v>5350</v>
      </c>
      <c r="G1490" s="3" t="s">
        <v>23</v>
      </c>
      <c r="H1490" s="3" t="s">
        <v>5351</v>
      </c>
      <c r="I1490" s="3" t="s">
        <v>3160</v>
      </c>
      <c r="J1490" s="3" t="s">
        <v>335</v>
      </c>
      <c r="K1490" s="3" t="s">
        <v>27</v>
      </c>
      <c r="L1490" s="3" t="s">
        <v>28</v>
      </c>
      <c r="M1490" s="3" t="s">
        <v>28</v>
      </c>
      <c r="N1490" s="3" t="s">
        <v>28</v>
      </c>
      <c r="O1490" s="3" t="s">
        <v>28</v>
      </c>
      <c r="P1490" s="3" t="s">
        <v>28</v>
      </c>
      <c r="Q1490" s="3" t="s">
        <v>27</v>
      </c>
      <c r="R1490" s="3" t="s">
        <v>28</v>
      </c>
      <c r="S1490" s="3" t="s">
        <v>27</v>
      </c>
      <c r="T1490" s="3" t="s">
        <v>28</v>
      </c>
    </row>
    <row r="1491" spans="1:20" ht="409.6">
      <c r="A1491" s="3">
        <v>2722728</v>
      </c>
      <c r="B1491" s="3">
        <f>HYPERLINK("https://platform.v2.vetology.net/cases/2722728/screening-report/6?type=pdf&amp;v=v6&amp;scorecard=1&amp;secret_key=BX%25IJ%24%2F65ieZ%29f6", 2722728)</f>
        <v>2722728</v>
      </c>
      <c r="C1491" s="3">
        <f>HYPERLINK("https://platform.v2.vetology.net/report/v/final/"&amp;2722728, 2722728)</f>
        <v>2722728</v>
      </c>
      <c r="D1491" s="3" t="s">
        <v>5352</v>
      </c>
      <c r="E1491" s="3" t="s">
        <v>5353</v>
      </c>
      <c r="F1491" s="3" t="s">
        <v>56</v>
      </c>
      <c r="G1491" s="3" t="s">
        <v>57</v>
      </c>
      <c r="H1491" s="3" t="s">
        <v>5354</v>
      </c>
      <c r="I1491" s="3" t="s">
        <v>3131</v>
      </c>
      <c r="J1491" s="3" t="s">
        <v>3132</v>
      </c>
      <c r="K1491" s="3" t="s">
        <v>28</v>
      </c>
      <c r="L1491" s="3" t="s">
        <v>28</v>
      </c>
      <c r="M1491" s="3" t="s">
        <v>28</v>
      </c>
      <c r="N1491" s="3" t="s">
        <v>28</v>
      </c>
      <c r="O1491" s="3" t="s">
        <v>28</v>
      </c>
      <c r="P1491" s="3" t="s">
        <v>28</v>
      </c>
      <c r="Q1491" s="3" t="s">
        <v>28</v>
      </c>
      <c r="R1491" s="3" t="s">
        <v>27</v>
      </c>
      <c r="S1491" s="3" t="s">
        <v>28</v>
      </c>
      <c r="T1491" s="3" t="s">
        <v>28</v>
      </c>
    </row>
    <row r="1492" spans="1:20" ht="409.6">
      <c r="A1492" s="3">
        <v>2722725</v>
      </c>
      <c r="B1492" s="3">
        <f>HYPERLINK("https://platform.v2.vetology.net/cases/2722725/screening-report/6?type=pdf&amp;v=v6&amp;scorecard=1&amp;secret_key=BX%25IJ%24%2F65ieZ%29f6", 2722725)</f>
        <v>2722725</v>
      </c>
      <c r="C1492" s="3">
        <f>HYPERLINK("https://platform.v2.vetology.net/report/v/final/"&amp;2722725, 2722725)</f>
        <v>2722725</v>
      </c>
      <c r="D1492" s="3" t="s">
        <v>5355</v>
      </c>
      <c r="E1492" s="3" t="s">
        <v>5356</v>
      </c>
      <c r="F1492" s="3" t="s">
        <v>22</v>
      </c>
      <c r="G1492" s="3" t="s">
        <v>23</v>
      </c>
      <c r="H1492" s="3" t="s">
        <v>5357</v>
      </c>
      <c r="I1492" s="3" t="s">
        <v>2486</v>
      </c>
      <c r="J1492" s="3" t="s">
        <v>2487</v>
      </c>
      <c r="K1492" s="3" t="s">
        <v>28</v>
      </c>
      <c r="L1492" s="3" t="s">
        <v>28</v>
      </c>
      <c r="M1492" s="3" t="s">
        <v>28</v>
      </c>
      <c r="N1492" s="3" t="s">
        <v>28</v>
      </c>
      <c r="O1492" s="3" t="s">
        <v>27</v>
      </c>
      <c r="P1492" s="3" t="s">
        <v>28</v>
      </c>
      <c r="Q1492" s="3" t="s">
        <v>27</v>
      </c>
      <c r="R1492" s="3" t="s">
        <v>28</v>
      </c>
      <c r="S1492" s="3" t="s">
        <v>27</v>
      </c>
      <c r="T1492" s="3" t="s">
        <v>28</v>
      </c>
    </row>
    <row r="1493" spans="1:20" ht="290.25">
      <c r="A1493" s="3">
        <v>2722709</v>
      </c>
      <c r="B1493" s="3">
        <f>HYPERLINK("https://platform.v2.vetology.net/cases/2722709/screening-report/6?type=pdf&amp;v=v6&amp;scorecard=1&amp;secret_key=BX%25IJ%24%2F65ieZ%29f6", 2722709)</f>
        <v>2722709</v>
      </c>
      <c r="C1493" s="3">
        <f>HYPERLINK("https://platform.v2.vetology.net/report/v/final/"&amp;2722709, 2722709)</f>
        <v>2722709</v>
      </c>
      <c r="D1493" s="3" t="s">
        <v>5358</v>
      </c>
      <c r="E1493" s="3" t="s">
        <v>5359</v>
      </c>
      <c r="F1493" s="3" t="s">
        <v>5360</v>
      </c>
      <c r="G1493" s="3" t="s">
        <v>122</v>
      </c>
      <c r="H1493" s="3" t="s">
        <v>5361</v>
      </c>
      <c r="I1493" s="3" t="s">
        <v>5362</v>
      </c>
      <c r="J1493" s="3" t="s">
        <v>5363</v>
      </c>
      <c r="K1493" s="3" t="s">
        <v>28</v>
      </c>
      <c r="L1493" s="3" t="s">
        <v>27</v>
      </c>
      <c r="M1493" s="3" t="s">
        <v>28</v>
      </c>
      <c r="N1493" s="3" t="s">
        <v>27</v>
      </c>
      <c r="O1493" s="3" t="s">
        <v>27</v>
      </c>
      <c r="P1493" s="3" t="s">
        <v>28</v>
      </c>
      <c r="Q1493" s="3" t="s">
        <v>28</v>
      </c>
      <c r="R1493" s="3" t="s">
        <v>27</v>
      </c>
      <c r="S1493" s="3" t="s">
        <v>28</v>
      </c>
      <c r="T1493" s="3" t="s">
        <v>28</v>
      </c>
    </row>
    <row r="1494" spans="1:20" ht="409.6">
      <c r="A1494" s="3">
        <v>2722700</v>
      </c>
      <c r="B1494" s="3">
        <f>HYPERLINK("https://platform.v2.vetology.net/cases/2722700/screening-report/6?type=pdf&amp;v=v6&amp;scorecard=1&amp;secret_key=BX%25IJ%24%2F65ieZ%29f6", 2722700)</f>
        <v>2722700</v>
      </c>
      <c r="C1494" s="3">
        <f>HYPERLINK("https://platform.v2.vetology.net/report/v/final/"&amp;2722700, 2722700)</f>
        <v>2722700</v>
      </c>
      <c r="D1494" s="3" t="s">
        <v>5364</v>
      </c>
      <c r="E1494" s="3" t="s">
        <v>5365</v>
      </c>
      <c r="F1494" s="3" t="s">
        <v>22</v>
      </c>
      <c r="G1494" s="3" t="s">
        <v>372</v>
      </c>
      <c r="H1494" s="3" t="s">
        <v>5366</v>
      </c>
      <c r="I1494" s="3" t="s">
        <v>1082</v>
      </c>
      <c r="J1494" s="3" t="s">
        <v>1083</v>
      </c>
      <c r="K1494" s="3" t="s">
        <v>28</v>
      </c>
      <c r="L1494" s="3" t="s">
        <v>28</v>
      </c>
      <c r="M1494" s="3" t="s">
        <v>27</v>
      </c>
      <c r="N1494" s="3" t="s">
        <v>28</v>
      </c>
      <c r="O1494" s="3" t="s">
        <v>27</v>
      </c>
      <c r="P1494" s="3" t="s">
        <v>28</v>
      </c>
      <c r="Q1494" s="3" t="s">
        <v>28</v>
      </c>
      <c r="R1494" s="3" t="s">
        <v>28</v>
      </c>
      <c r="S1494" s="3" t="s">
        <v>27</v>
      </c>
      <c r="T1494" s="3" t="s">
        <v>27</v>
      </c>
    </row>
    <row r="1495" spans="1:20" ht="396.75">
      <c r="A1495" s="3">
        <v>2722671</v>
      </c>
      <c r="B1495" s="3">
        <f>HYPERLINK("https://platform.v2.vetology.net/cases/2722671/screening-report/6?type=pdf&amp;v=v6&amp;scorecard=1&amp;secret_key=BX%25IJ%24%2F65ieZ%29f6", 2722671)</f>
        <v>2722671</v>
      </c>
      <c r="C1495" s="3">
        <f>HYPERLINK("https://platform.v2.vetology.net/report/v/final/"&amp;2722671, 2722671)</f>
        <v>2722671</v>
      </c>
      <c r="D1495" s="3" t="s">
        <v>5367</v>
      </c>
      <c r="E1495" s="3" t="s">
        <v>5368</v>
      </c>
      <c r="F1495" s="3" t="s">
        <v>4448</v>
      </c>
      <c r="G1495" s="3" t="s">
        <v>57</v>
      </c>
      <c r="H1495" s="3" t="s">
        <v>1597</v>
      </c>
      <c r="I1495" s="3" t="s">
        <v>32</v>
      </c>
      <c r="J1495" s="3" t="s">
        <v>33</v>
      </c>
      <c r="K1495" s="3" t="s">
        <v>28</v>
      </c>
      <c r="L1495" s="3" t="s">
        <v>28</v>
      </c>
      <c r="M1495" s="3" t="s">
        <v>28</v>
      </c>
      <c r="N1495" s="3" t="s">
        <v>28</v>
      </c>
      <c r="O1495" s="3" t="s">
        <v>27</v>
      </c>
      <c r="P1495" s="3" t="s">
        <v>28</v>
      </c>
      <c r="Q1495" s="3" t="s">
        <v>28</v>
      </c>
      <c r="R1495" s="3" t="s">
        <v>28</v>
      </c>
      <c r="S1495" s="3" t="s">
        <v>28</v>
      </c>
      <c r="T1495" s="3" t="s">
        <v>28</v>
      </c>
    </row>
    <row r="1496" spans="1:20" ht="366">
      <c r="A1496" s="3">
        <v>2722638</v>
      </c>
      <c r="B1496" s="3">
        <f>HYPERLINK("https://platform.v2.vetology.net/cases/2722638/screening-report/6?type=pdf&amp;v=v6&amp;scorecard=1&amp;secret_key=BX%25IJ%24%2F65ieZ%29f6", 2722638)</f>
        <v>2722638</v>
      </c>
      <c r="C1496" s="3">
        <f>HYPERLINK("https://platform.v2.vetology.net/report/v/final/"&amp;2722638, 2722638)</f>
        <v>2722638</v>
      </c>
      <c r="D1496" s="3" t="s">
        <v>5369</v>
      </c>
      <c r="E1496" s="3" t="s">
        <v>5370</v>
      </c>
      <c r="F1496" s="3" t="s">
        <v>22</v>
      </c>
      <c r="G1496" s="3" t="s">
        <v>23</v>
      </c>
      <c r="H1496" s="3" t="s">
        <v>601</v>
      </c>
      <c r="I1496" s="3" t="s">
        <v>32</v>
      </c>
      <c r="J1496" s="3" t="s">
        <v>33</v>
      </c>
      <c r="K1496" s="3" t="s">
        <v>28</v>
      </c>
      <c r="L1496" s="3" t="s">
        <v>28</v>
      </c>
      <c r="M1496" s="3" t="s">
        <v>28</v>
      </c>
      <c r="N1496" s="3" t="s">
        <v>28</v>
      </c>
      <c r="O1496" s="3" t="s">
        <v>28</v>
      </c>
      <c r="P1496" s="3" t="s">
        <v>28</v>
      </c>
      <c r="Q1496" s="3" t="s">
        <v>28</v>
      </c>
      <c r="R1496" s="3" t="s">
        <v>28</v>
      </c>
      <c r="S1496" s="3" t="s">
        <v>28</v>
      </c>
      <c r="T1496" s="3" t="s">
        <v>28</v>
      </c>
    </row>
    <row r="1497" spans="1:20" ht="409.6">
      <c r="A1497" s="3">
        <v>2722561</v>
      </c>
      <c r="B1497" s="3">
        <f>HYPERLINK("https://platform.v2.vetology.net/cases/2722561/screening-report/6?type=pdf&amp;v=v6&amp;scorecard=1&amp;secret_key=BX%25IJ%24%2F65ieZ%29f6", 2722561)</f>
        <v>2722561</v>
      </c>
      <c r="C1497" s="3">
        <f>HYPERLINK("https://platform.v2.vetology.net/report/v/final/"&amp;2722561, 2722561)</f>
        <v>2722561</v>
      </c>
      <c r="D1497" s="3" t="s">
        <v>5371</v>
      </c>
      <c r="E1497" s="3" t="s">
        <v>5372</v>
      </c>
      <c r="F1497" s="3" t="s">
        <v>5373</v>
      </c>
      <c r="G1497" s="3" t="s">
        <v>57</v>
      </c>
      <c r="H1497" s="3" t="s">
        <v>31</v>
      </c>
      <c r="I1497" s="3" t="s">
        <v>32</v>
      </c>
      <c r="J1497" s="3" t="s">
        <v>119</v>
      </c>
      <c r="K1497" s="3" t="s">
        <v>28</v>
      </c>
      <c r="L1497" s="3" t="s">
        <v>28</v>
      </c>
      <c r="M1497" s="3" t="s">
        <v>28</v>
      </c>
      <c r="N1497" s="3" t="s">
        <v>28</v>
      </c>
      <c r="O1497" s="3" t="s">
        <v>28</v>
      </c>
      <c r="P1497" s="3" t="s">
        <v>28</v>
      </c>
      <c r="Q1497" s="3" t="s">
        <v>28</v>
      </c>
      <c r="R1497" s="3" t="s">
        <v>28</v>
      </c>
      <c r="S1497" s="3" t="s">
        <v>28</v>
      </c>
      <c r="T1497" s="3" t="s">
        <v>28</v>
      </c>
    </row>
    <row r="1498" spans="1:20" ht="396.75">
      <c r="A1498" s="3">
        <v>2722555</v>
      </c>
      <c r="B1498" s="3">
        <f>HYPERLINK("https://platform.v2.vetology.net/cases/2722555/screening-report/6?type=pdf&amp;v=v6&amp;scorecard=1&amp;secret_key=BX%25IJ%24%2F65ieZ%29f6", 2722555)</f>
        <v>2722555</v>
      </c>
      <c r="C1498" s="3">
        <f>HYPERLINK("https://platform.v2.vetology.net/report/v/final/"&amp;2722555, 2722555)</f>
        <v>2722555</v>
      </c>
      <c r="D1498" s="3" t="s">
        <v>1419</v>
      </c>
      <c r="E1498" s="3" t="s">
        <v>1089</v>
      </c>
      <c r="F1498" s="3" t="s">
        <v>5374</v>
      </c>
      <c r="G1498" s="3" t="s">
        <v>100</v>
      </c>
      <c r="H1498" s="3" t="s">
        <v>2038</v>
      </c>
      <c r="I1498" s="3" t="s">
        <v>351</v>
      </c>
      <c r="J1498" s="3" t="s">
        <v>352</v>
      </c>
      <c r="K1498" s="3" t="s">
        <v>28</v>
      </c>
      <c r="L1498" s="3" t="s">
        <v>28</v>
      </c>
      <c r="M1498" s="3" t="s">
        <v>28</v>
      </c>
      <c r="N1498" s="3" t="s">
        <v>28</v>
      </c>
      <c r="O1498" s="3" t="s">
        <v>28</v>
      </c>
      <c r="P1498" s="3" t="s">
        <v>28</v>
      </c>
      <c r="Q1498" s="3" t="s">
        <v>28</v>
      </c>
      <c r="R1498" s="3" t="s">
        <v>28</v>
      </c>
      <c r="S1498" s="3" t="s">
        <v>28</v>
      </c>
      <c r="T1498" s="3" t="s">
        <v>27</v>
      </c>
    </row>
    <row r="1499" spans="1:20" ht="381.75">
      <c r="A1499" s="3">
        <v>2722530</v>
      </c>
      <c r="B1499" s="3">
        <f>HYPERLINK("https://platform.v2.vetology.net/cases/2722530/screening-report/6?type=pdf&amp;v=v6&amp;scorecard=1&amp;secret_key=BX%25IJ%24%2F65ieZ%29f6", 2722530)</f>
        <v>2722530</v>
      </c>
      <c r="C1499" s="3">
        <f>HYPERLINK("https://platform.v2.vetology.net/report/v/final/"&amp;2722530, 2722530)</f>
        <v>2722530</v>
      </c>
      <c r="D1499" s="3" t="s">
        <v>5375</v>
      </c>
      <c r="E1499" s="3" t="s">
        <v>5376</v>
      </c>
      <c r="F1499" s="3" t="s">
        <v>56</v>
      </c>
      <c r="G1499" s="3" t="s">
        <v>57</v>
      </c>
      <c r="H1499" s="3" t="s">
        <v>2444</v>
      </c>
      <c r="I1499" s="3" t="s">
        <v>124</v>
      </c>
      <c r="J1499" s="3" t="s">
        <v>125</v>
      </c>
      <c r="K1499" s="3" t="s">
        <v>27</v>
      </c>
      <c r="L1499" s="3" t="s">
        <v>28</v>
      </c>
      <c r="M1499" s="3" t="s">
        <v>27</v>
      </c>
      <c r="N1499" s="3" t="s">
        <v>28</v>
      </c>
      <c r="O1499" s="3" t="s">
        <v>27</v>
      </c>
      <c r="P1499" s="3" t="s">
        <v>28</v>
      </c>
      <c r="Q1499" s="3" t="s">
        <v>27</v>
      </c>
      <c r="R1499" s="3" t="s">
        <v>28</v>
      </c>
      <c r="S1499" s="3" t="s">
        <v>28</v>
      </c>
      <c r="T1499" s="3" t="s">
        <v>28</v>
      </c>
    </row>
    <row r="1500" spans="1:20" ht="409.6">
      <c r="A1500" s="3">
        <v>2722509</v>
      </c>
      <c r="B1500" s="3">
        <f>HYPERLINK("https://platform.v2.vetology.net/cases/2722509/screening-report/6?type=pdf&amp;v=v6&amp;scorecard=1&amp;secret_key=BX%25IJ%24%2F65ieZ%29f6", 2722509)</f>
        <v>2722509</v>
      </c>
      <c r="C1500" s="3">
        <f>HYPERLINK("https://platform.v2.vetology.net/report/v/final/"&amp;2722509, 2722509)</f>
        <v>2722509</v>
      </c>
      <c r="D1500" s="3" t="s">
        <v>5377</v>
      </c>
      <c r="E1500" s="3" t="s">
        <v>5378</v>
      </c>
      <c r="F1500" s="3"/>
      <c r="G1500" s="3" t="s">
        <v>372</v>
      </c>
      <c r="H1500" s="3" t="s">
        <v>729</v>
      </c>
      <c r="I1500" s="3" t="s">
        <v>72</v>
      </c>
      <c r="J1500" s="3" t="s">
        <v>363</v>
      </c>
      <c r="K1500" s="3" t="s">
        <v>28</v>
      </c>
      <c r="L1500" s="3" t="s">
        <v>28</v>
      </c>
      <c r="M1500" s="3" t="s">
        <v>28</v>
      </c>
      <c r="N1500" s="3" t="s">
        <v>28</v>
      </c>
      <c r="O1500" s="3" t="s">
        <v>27</v>
      </c>
      <c r="P1500" s="3" t="s">
        <v>28</v>
      </c>
      <c r="Q1500" s="3" t="s">
        <v>28</v>
      </c>
      <c r="R1500" s="3" t="s">
        <v>28</v>
      </c>
      <c r="S1500" s="3" t="s">
        <v>28</v>
      </c>
      <c r="T1500" s="3" t="s">
        <v>27</v>
      </c>
    </row>
    <row r="1501" spans="1:20" ht="409.6">
      <c r="A1501" s="3">
        <v>2722490</v>
      </c>
      <c r="B1501" s="3">
        <f>HYPERLINK("https://platform.v2.vetology.net/cases/2722490/screening-report/6?type=pdf&amp;v=v6&amp;scorecard=1&amp;secret_key=BX%25IJ%24%2F65ieZ%29f6", 2722490)</f>
        <v>2722490</v>
      </c>
      <c r="C1501" s="3">
        <f>HYPERLINK("https://platform.v2.vetology.net/report/v/final/"&amp;2722490, 2722490)</f>
        <v>2722490</v>
      </c>
      <c r="D1501" s="3" t="s">
        <v>5379</v>
      </c>
      <c r="E1501" s="3" t="s">
        <v>5380</v>
      </c>
      <c r="F1501" s="3" t="s">
        <v>1762</v>
      </c>
      <c r="G1501" s="3" t="s">
        <v>100</v>
      </c>
      <c r="H1501" s="3" t="s">
        <v>5381</v>
      </c>
      <c r="I1501" s="3" t="s">
        <v>1444</v>
      </c>
      <c r="J1501" s="3" t="s">
        <v>1445</v>
      </c>
      <c r="K1501" s="3" t="s">
        <v>27</v>
      </c>
      <c r="L1501" s="3" t="s">
        <v>28</v>
      </c>
      <c r="M1501" s="3" t="s">
        <v>28</v>
      </c>
      <c r="N1501" s="3" t="s">
        <v>28</v>
      </c>
      <c r="O1501" s="3" t="s">
        <v>27</v>
      </c>
      <c r="P1501" s="3" t="s">
        <v>28</v>
      </c>
      <c r="Q1501" s="3" t="s">
        <v>28</v>
      </c>
      <c r="R1501" s="3" t="s">
        <v>28</v>
      </c>
      <c r="S1501" s="3" t="s">
        <v>28</v>
      </c>
      <c r="T1501" s="3" t="s">
        <v>28</v>
      </c>
    </row>
    <row r="1502" spans="1:20" ht="396.75">
      <c r="A1502" s="3">
        <v>2722484</v>
      </c>
      <c r="B1502" s="3">
        <f>HYPERLINK("https://platform.v2.vetology.net/cases/2722484/screening-report/6?type=pdf&amp;v=v6&amp;scorecard=1&amp;secret_key=BX%25IJ%24%2F65ieZ%29f6", 2722484)</f>
        <v>2722484</v>
      </c>
      <c r="C1502" s="3">
        <f>HYPERLINK("https://platform.v2.vetology.net/report/v/final/"&amp;2722484, 2722484)</f>
        <v>2722484</v>
      </c>
      <c r="D1502" s="3" t="s">
        <v>5382</v>
      </c>
      <c r="E1502" s="3" t="s">
        <v>5383</v>
      </c>
      <c r="F1502" s="3" t="s">
        <v>22</v>
      </c>
      <c r="G1502" s="3" t="s">
        <v>372</v>
      </c>
      <c r="H1502" s="3" t="s">
        <v>5384</v>
      </c>
      <c r="I1502" s="3" t="s">
        <v>724</v>
      </c>
      <c r="J1502" s="3" t="s">
        <v>725</v>
      </c>
      <c r="K1502" s="3" t="s">
        <v>27</v>
      </c>
      <c r="L1502" s="3" t="s">
        <v>28</v>
      </c>
      <c r="M1502" s="3" t="s">
        <v>28</v>
      </c>
      <c r="N1502" s="3" t="s">
        <v>28</v>
      </c>
      <c r="O1502" s="3" t="s">
        <v>27</v>
      </c>
      <c r="P1502" s="3" t="s">
        <v>27</v>
      </c>
      <c r="Q1502" s="3" t="s">
        <v>28</v>
      </c>
      <c r="R1502" s="3" t="s">
        <v>28</v>
      </c>
      <c r="S1502" s="3" t="s">
        <v>28</v>
      </c>
      <c r="T1502" s="3" t="s">
        <v>28</v>
      </c>
    </row>
    <row r="1503" spans="1:20" ht="396.75">
      <c r="A1503" s="3">
        <v>2722477</v>
      </c>
      <c r="B1503" s="3">
        <f>HYPERLINK("https://platform.v2.vetology.net/cases/2722477/screening-report/6?type=pdf&amp;v=v6&amp;scorecard=1&amp;secret_key=BX%25IJ%24%2F65ieZ%29f6", 2722477)</f>
        <v>2722477</v>
      </c>
      <c r="C1503" s="3">
        <f>HYPERLINK("https://platform.v2.vetology.net/report/v/final/"&amp;2722477, 2722477)</f>
        <v>2722477</v>
      </c>
      <c r="D1503" s="3" t="s">
        <v>5385</v>
      </c>
      <c r="E1503" s="3" t="s">
        <v>5386</v>
      </c>
      <c r="F1503" s="3" t="s">
        <v>5387</v>
      </c>
      <c r="G1503" s="3" t="s">
        <v>57</v>
      </c>
      <c r="H1503" s="3" t="s">
        <v>31</v>
      </c>
      <c r="I1503" s="3" t="s">
        <v>32</v>
      </c>
      <c r="J1503" s="3" t="s">
        <v>33</v>
      </c>
      <c r="K1503" s="3" t="s">
        <v>28</v>
      </c>
      <c r="L1503" s="3" t="s">
        <v>28</v>
      </c>
      <c r="M1503" s="3" t="s">
        <v>28</v>
      </c>
      <c r="N1503" s="3" t="s">
        <v>28</v>
      </c>
      <c r="O1503" s="3" t="s">
        <v>28</v>
      </c>
      <c r="P1503" s="3" t="s">
        <v>28</v>
      </c>
      <c r="Q1503" s="3" t="s">
        <v>28</v>
      </c>
      <c r="R1503" s="3" t="s">
        <v>28</v>
      </c>
      <c r="S1503" s="3" t="s">
        <v>28</v>
      </c>
      <c r="T1503" s="3" t="s">
        <v>28</v>
      </c>
    </row>
    <row r="1504" spans="1:20" ht="409.6">
      <c r="A1504" s="3">
        <v>2722338</v>
      </c>
      <c r="B1504" s="3">
        <f>HYPERLINK("https://platform.v2.vetology.net/cases/2722338/screening-report/6?type=pdf&amp;v=v6&amp;scorecard=1&amp;secret_key=BX%25IJ%24%2F65ieZ%29f6", 2722338)</f>
        <v>2722338</v>
      </c>
      <c r="C1504" s="3">
        <f>HYPERLINK("https://platform.v2.vetology.net/report/v/final/"&amp;2722338, 2722338)</f>
        <v>2722338</v>
      </c>
      <c r="D1504" s="3" t="s">
        <v>5388</v>
      </c>
      <c r="E1504" s="3" t="s">
        <v>5389</v>
      </c>
      <c r="F1504" s="3" t="s">
        <v>22</v>
      </c>
      <c r="G1504" s="3" t="s">
        <v>23</v>
      </c>
      <c r="H1504" s="3" t="s">
        <v>5390</v>
      </c>
      <c r="I1504" s="3" t="s">
        <v>555</v>
      </c>
      <c r="J1504" s="3" t="s">
        <v>556</v>
      </c>
      <c r="K1504" s="3" t="s">
        <v>28</v>
      </c>
      <c r="L1504" s="3" t="s">
        <v>28</v>
      </c>
      <c r="M1504" s="3" t="s">
        <v>28</v>
      </c>
      <c r="N1504" s="3" t="s">
        <v>28</v>
      </c>
      <c r="O1504" s="3" t="s">
        <v>28</v>
      </c>
      <c r="P1504" s="3" t="s">
        <v>28</v>
      </c>
      <c r="Q1504" s="3" t="s">
        <v>28</v>
      </c>
      <c r="R1504" s="3" t="s">
        <v>28</v>
      </c>
      <c r="S1504" s="3" t="s">
        <v>28</v>
      </c>
      <c r="T1504" s="3" t="s">
        <v>28</v>
      </c>
    </row>
    <row r="1505" spans="1:20" ht="409.6">
      <c r="A1505" s="3">
        <v>2722309</v>
      </c>
      <c r="B1505" s="3">
        <f>HYPERLINK("https://platform.v2.vetology.net/cases/2722309/screening-report/6?type=pdf&amp;v=v6&amp;scorecard=1&amp;secret_key=BX%25IJ%24%2F65ieZ%29f6", 2722309)</f>
        <v>2722309</v>
      </c>
      <c r="C1505" s="3">
        <f>HYPERLINK("https://platform.v2.vetology.net/report/v/final/"&amp;2722309, 2722309)</f>
        <v>2722309</v>
      </c>
      <c r="D1505" s="3" t="s">
        <v>5391</v>
      </c>
      <c r="E1505" s="3" t="s">
        <v>5392</v>
      </c>
      <c r="F1505" s="3" t="s">
        <v>22</v>
      </c>
      <c r="G1505" s="3" t="s">
        <v>23</v>
      </c>
      <c r="H1505" s="3" t="s">
        <v>1905</v>
      </c>
      <c r="I1505" s="3" t="s">
        <v>37</v>
      </c>
      <c r="J1505" s="3" t="s">
        <v>38</v>
      </c>
      <c r="K1505" s="3" t="s">
        <v>28</v>
      </c>
      <c r="L1505" s="3" t="s">
        <v>28</v>
      </c>
      <c r="M1505" s="3" t="s">
        <v>28</v>
      </c>
      <c r="N1505" s="3" t="s">
        <v>28</v>
      </c>
      <c r="O1505" s="3" t="s">
        <v>27</v>
      </c>
      <c r="P1505" s="3" t="s">
        <v>28</v>
      </c>
      <c r="Q1505" s="3" t="s">
        <v>28</v>
      </c>
      <c r="R1505" s="3" t="s">
        <v>28</v>
      </c>
      <c r="S1505" s="3" t="s">
        <v>28</v>
      </c>
      <c r="T1505" s="3" t="s">
        <v>28</v>
      </c>
    </row>
    <row r="1506" spans="1:20" ht="409.6">
      <c r="A1506" s="3">
        <v>2722258</v>
      </c>
      <c r="B1506" s="3">
        <f>HYPERLINK("https://platform.v2.vetology.net/cases/2722258/screening-report/6?type=pdf&amp;v=v6&amp;scorecard=1&amp;secret_key=BX%25IJ%24%2F65ieZ%29f6", 2722258)</f>
        <v>2722258</v>
      </c>
      <c r="C1506" s="3">
        <f>HYPERLINK("https://platform.v2.vetology.net/report/v/final/"&amp;2722258, 2722258)</f>
        <v>2722258</v>
      </c>
      <c r="D1506" s="3" t="s">
        <v>5393</v>
      </c>
      <c r="E1506" s="3" t="s">
        <v>5394</v>
      </c>
      <c r="F1506" s="3" t="s">
        <v>22</v>
      </c>
      <c r="G1506" s="3" t="s">
        <v>23</v>
      </c>
      <c r="H1506" s="3" t="s">
        <v>5395</v>
      </c>
      <c r="I1506" s="3" t="s">
        <v>807</v>
      </c>
      <c r="J1506" s="3" t="s">
        <v>808</v>
      </c>
      <c r="K1506" s="3" t="s">
        <v>28</v>
      </c>
      <c r="L1506" s="3" t="s">
        <v>28</v>
      </c>
      <c r="M1506" s="3" t="s">
        <v>27</v>
      </c>
      <c r="N1506" s="3" t="s">
        <v>28</v>
      </c>
      <c r="O1506" s="3" t="s">
        <v>27</v>
      </c>
      <c r="P1506" s="3" t="s">
        <v>28</v>
      </c>
      <c r="Q1506" s="3" t="s">
        <v>27</v>
      </c>
      <c r="R1506" s="3" t="s">
        <v>28</v>
      </c>
      <c r="S1506" s="3" t="s">
        <v>27</v>
      </c>
      <c r="T1506" s="3" t="s">
        <v>27</v>
      </c>
    </row>
    <row r="1507" spans="1:20" ht="409.6">
      <c r="A1507" s="3">
        <v>2722223</v>
      </c>
      <c r="B1507" s="3">
        <f>HYPERLINK("https://platform.v2.vetology.net/cases/2722223/screening-report/6?type=pdf&amp;v=v6&amp;scorecard=1&amp;secret_key=BX%25IJ%24%2F65ieZ%29f6", 2722223)</f>
        <v>2722223</v>
      </c>
      <c r="C1507" s="3">
        <f>HYPERLINK("https://platform.v2.vetology.net/report/v/final/"&amp;2722223, 2722223)</f>
        <v>2722223</v>
      </c>
      <c r="D1507" s="3" t="s">
        <v>5396</v>
      </c>
      <c r="E1507" s="3" t="s">
        <v>5397</v>
      </c>
      <c r="F1507" s="3" t="s">
        <v>5398</v>
      </c>
      <c r="G1507" s="3" t="s">
        <v>179</v>
      </c>
      <c r="H1507" s="3" t="s">
        <v>112</v>
      </c>
      <c r="I1507" s="3" t="s">
        <v>113</v>
      </c>
      <c r="J1507" s="3" t="s">
        <v>114</v>
      </c>
      <c r="K1507" s="3" t="s">
        <v>27</v>
      </c>
      <c r="L1507" s="3" t="s">
        <v>28</v>
      </c>
      <c r="M1507" s="3" t="s">
        <v>27</v>
      </c>
      <c r="N1507" s="3" t="s">
        <v>28</v>
      </c>
      <c r="O1507" s="3" t="s">
        <v>27</v>
      </c>
      <c r="P1507" s="3" t="s">
        <v>27</v>
      </c>
      <c r="Q1507" s="3" t="s">
        <v>27</v>
      </c>
      <c r="R1507" s="3" t="s">
        <v>28</v>
      </c>
      <c r="S1507" s="3" t="s">
        <v>28</v>
      </c>
      <c r="T1507" s="3" t="s">
        <v>28</v>
      </c>
    </row>
    <row r="1508" spans="1:20" ht="409.6">
      <c r="A1508" s="3">
        <v>2722221</v>
      </c>
      <c r="B1508" s="3">
        <f>HYPERLINK("https://platform.v2.vetology.net/cases/2722221/screening-report/6?type=pdf&amp;v=v6&amp;scorecard=1&amp;secret_key=BX%25IJ%24%2F65ieZ%29f6", 2722221)</f>
        <v>2722221</v>
      </c>
      <c r="C1508" s="3">
        <f>HYPERLINK("https://platform.v2.vetology.net/report/v/final/"&amp;2722221, 2722221)</f>
        <v>2722221</v>
      </c>
      <c r="D1508" s="3" t="s">
        <v>5399</v>
      </c>
      <c r="E1508" s="3" t="s">
        <v>5400</v>
      </c>
      <c r="F1508" s="3" t="s">
        <v>22</v>
      </c>
      <c r="G1508" s="3" t="s">
        <v>23</v>
      </c>
      <c r="H1508" s="3" t="s">
        <v>2267</v>
      </c>
      <c r="I1508" s="3" t="s">
        <v>305</v>
      </c>
      <c r="J1508" s="3" t="s">
        <v>119</v>
      </c>
      <c r="K1508" s="3" t="s">
        <v>28</v>
      </c>
      <c r="L1508" s="3" t="s">
        <v>28</v>
      </c>
      <c r="M1508" s="3" t="s">
        <v>28</v>
      </c>
      <c r="N1508" s="3" t="s">
        <v>28</v>
      </c>
      <c r="O1508" s="3" t="s">
        <v>28</v>
      </c>
      <c r="P1508" s="3" t="s">
        <v>28</v>
      </c>
      <c r="Q1508" s="3" t="s">
        <v>28</v>
      </c>
      <c r="R1508" s="3" t="s">
        <v>28</v>
      </c>
      <c r="S1508" s="3" t="s">
        <v>28</v>
      </c>
      <c r="T1508" s="3" t="s">
        <v>28</v>
      </c>
    </row>
    <row r="1509" spans="1:20" ht="409.6">
      <c r="A1509" s="3">
        <v>2722212</v>
      </c>
      <c r="B1509" s="3">
        <f>HYPERLINK("https://platform.v2.vetology.net/cases/2722212/screening-report/6?type=pdf&amp;v=v6&amp;scorecard=1&amp;secret_key=BX%25IJ%24%2F65ieZ%29f6", 2722212)</f>
        <v>2722212</v>
      </c>
      <c r="C1509" s="3">
        <f>HYPERLINK("https://platform.v2.vetology.net/report/v/final/"&amp;2722212, 2722212)</f>
        <v>2722212</v>
      </c>
      <c r="D1509" s="3" t="s">
        <v>5401</v>
      </c>
      <c r="E1509" s="3" t="s">
        <v>5402</v>
      </c>
      <c r="F1509" s="3" t="s">
        <v>2708</v>
      </c>
      <c r="G1509" s="3" t="s">
        <v>372</v>
      </c>
      <c r="H1509" s="3" t="s">
        <v>3232</v>
      </c>
      <c r="I1509" s="3" t="s">
        <v>3233</v>
      </c>
      <c r="J1509" s="3" t="s">
        <v>3234</v>
      </c>
      <c r="K1509" s="3" t="s">
        <v>27</v>
      </c>
      <c r="L1509" s="3" t="s">
        <v>27</v>
      </c>
      <c r="M1509" s="3" t="s">
        <v>28</v>
      </c>
      <c r="N1509" s="3" t="s">
        <v>27</v>
      </c>
      <c r="O1509" s="3" t="s">
        <v>27</v>
      </c>
      <c r="P1509" s="3" t="s">
        <v>27</v>
      </c>
      <c r="Q1509" s="3" t="s">
        <v>27</v>
      </c>
      <c r="R1509" s="3" t="s">
        <v>27</v>
      </c>
      <c r="S1509" s="3" t="s">
        <v>27</v>
      </c>
      <c r="T1509" s="3" t="s">
        <v>27</v>
      </c>
    </row>
    <row r="1510" spans="1:20" ht="381.75">
      <c r="A1510" s="3">
        <v>2722084</v>
      </c>
      <c r="B1510" s="3">
        <f>HYPERLINK("https://platform.v2.vetology.net/cases/2722084/screening-report/6?type=pdf&amp;v=v6&amp;scorecard=1&amp;secret_key=BX%25IJ%24%2F65ieZ%29f6", 2722084)</f>
        <v>2722084</v>
      </c>
      <c r="C1510" s="3">
        <f>HYPERLINK("https://platform.v2.vetology.net/report/v/final/"&amp;2722084, 2722084)</f>
        <v>2722084</v>
      </c>
      <c r="D1510" s="3" t="s">
        <v>5403</v>
      </c>
      <c r="E1510" s="3" t="s">
        <v>2247</v>
      </c>
      <c r="F1510" s="3" t="s">
        <v>1061</v>
      </c>
      <c r="G1510" s="3" t="s">
        <v>100</v>
      </c>
      <c r="H1510" s="3" t="s">
        <v>5404</v>
      </c>
      <c r="I1510" s="3" t="s">
        <v>561</v>
      </c>
      <c r="J1510" s="3" t="s">
        <v>562</v>
      </c>
      <c r="K1510" s="3" t="s">
        <v>28</v>
      </c>
      <c r="L1510" s="3" t="s">
        <v>28</v>
      </c>
      <c r="M1510" s="3" t="s">
        <v>28</v>
      </c>
      <c r="N1510" s="3" t="s">
        <v>28</v>
      </c>
      <c r="O1510" s="3" t="s">
        <v>27</v>
      </c>
      <c r="P1510" s="3" t="s">
        <v>27</v>
      </c>
      <c r="Q1510" s="3" t="s">
        <v>27</v>
      </c>
      <c r="R1510" s="3" t="s">
        <v>28</v>
      </c>
      <c r="S1510" s="3" t="s">
        <v>28</v>
      </c>
      <c r="T1510" s="3" t="s">
        <v>27</v>
      </c>
    </row>
    <row r="1511" spans="1:20" ht="229.5">
      <c r="A1511" s="3">
        <v>2721994</v>
      </c>
      <c r="B1511" s="3">
        <f>HYPERLINK("https://platform.v2.vetology.net/cases/2721994/screening-report/6?type=pdf&amp;v=v6&amp;scorecard=1&amp;secret_key=BX%25IJ%24%2F65ieZ%29f6", 2721994)</f>
        <v>2721994</v>
      </c>
      <c r="C1511" s="3">
        <f>HYPERLINK("https://platform.v2.vetology.net/report/v/final/"&amp;2721994, 2721994)</f>
        <v>2721994</v>
      </c>
      <c r="D1511" s="3" t="s">
        <v>5405</v>
      </c>
      <c r="E1511" s="3" t="s">
        <v>5406</v>
      </c>
      <c r="F1511" s="3" t="s">
        <v>5407</v>
      </c>
      <c r="G1511" s="3" t="s">
        <v>186</v>
      </c>
      <c r="H1511" s="3" t="s">
        <v>1180</v>
      </c>
      <c r="I1511" s="3" t="s">
        <v>305</v>
      </c>
      <c r="J1511" s="3" t="s">
        <v>119</v>
      </c>
      <c r="K1511" s="3" t="s">
        <v>28</v>
      </c>
      <c r="L1511" s="3" t="s">
        <v>28</v>
      </c>
      <c r="M1511" s="3" t="s">
        <v>28</v>
      </c>
      <c r="N1511" s="3" t="s">
        <v>28</v>
      </c>
      <c r="O1511" s="3" t="s">
        <v>27</v>
      </c>
      <c r="P1511" s="3" t="s">
        <v>28</v>
      </c>
      <c r="Q1511" s="3" t="s">
        <v>28</v>
      </c>
      <c r="R1511" s="3" t="s">
        <v>28</v>
      </c>
      <c r="S1511" s="3" t="s">
        <v>28</v>
      </c>
      <c r="T1511" s="3" t="s">
        <v>28</v>
      </c>
    </row>
    <row r="1512" spans="1:20" ht="409.6">
      <c r="A1512" s="3">
        <v>2721944</v>
      </c>
      <c r="B1512" s="3">
        <f>HYPERLINK("https://platform.v2.vetology.net/cases/2721944/screening-report/6?type=pdf&amp;v=v6&amp;scorecard=1&amp;secret_key=BX%25IJ%24%2F65ieZ%29f6", 2721944)</f>
        <v>2721944</v>
      </c>
      <c r="C1512" s="3">
        <f>HYPERLINK("https://platform.v2.vetology.net/report/v/final/"&amp;2721944, 2721944)</f>
        <v>2721944</v>
      </c>
      <c r="D1512" s="3" t="s">
        <v>5408</v>
      </c>
      <c r="E1512" s="3" t="s">
        <v>5409</v>
      </c>
      <c r="F1512" s="3" t="s">
        <v>5410</v>
      </c>
      <c r="G1512" s="3" t="s">
        <v>64</v>
      </c>
      <c r="H1512" s="3" t="s">
        <v>5411</v>
      </c>
      <c r="I1512" s="3" t="s">
        <v>4790</v>
      </c>
      <c r="J1512" s="3" t="s">
        <v>5412</v>
      </c>
      <c r="K1512" s="3" t="s">
        <v>27</v>
      </c>
      <c r="L1512" s="3" t="s">
        <v>28</v>
      </c>
      <c r="M1512" s="3" t="s">
        <v>28</v>
      </c>
      <c r="N1512" s="3" t="s">
        <v>28</v>
      </c>
      <c r="O1512" s="3" t="s">
        <v>27</v>
      </c>
      <c r="P1512" s="3" t="s">
        <v>28</v>
      </c>
      <c r="Q1512" s="3" t="s">
        <v>28</v>
      </c>
      <c r="R1512" s="3" t="s">
        <v>28</v>
      </c>
      <c r="S1512" s="3" t="s">
        <v>28</v>
      </c>
      <c r="T1512" s="3" t="s">
        <v>27</v>
      </c>
    </row>
    <row r="1513" spans="1:20" ht="229.5">
      <c r="A1513" s="3">
        <v>2721904</v>
      </c>
      <c r="B1513" s="3">
        <f>HYPERLINK("https://platform.v2.vetology.net/cases/2721904/screening-report/6?type=pdf&amp;v=v6&amp;scorecard=1&amp;secret_key=BX%25IJ%24%2F65ieZ%29f6", 2721904)</f>
        <v>2721904</v>
      </c>
      <c r="C1513" s="3">
        <f>HYPERLINK("https://platform.v2.vetology.net/report/v/final/"&amp;2721904, 2721904)</f>
        <v>2721904</v>
      </c>
      <c r="D1513" s="3" t="s">
        <v>5413</v>
      </c>
      <c r="E1513" s="3" t="s">
        <v>5414</v>
      </c>
      <c r="F1513" s="3" t="s">
        <v>5415</v>
      </c>
      <c r="G1513" s="3" t="s">
        <v>100</v>
      </c>
      <c r="H1513" s="3" t="s">
        <v>1597</v>
      </c>
      <c r="I1513" s="3" t="s">
        <v>32</v>
      </c>
      <c r="J1513" s="3" t="s">
        <v>119</v>
      </c>
      <c r="K1513" s="3" t="s">
        <v>28</v>
      </c>
      <c r="L1513" s="3" t="s">
        <v>28</v>
      </c>
      <c r="M1513" s="3" t="s">
        <v>28</v>
      </c>
      <c r="N1513" s="3" t="s">
        <v>28</v>
      </c>
      <c r="O1513" s="3" t="s">
        <v>27</v>
      </c>
      <c r="P1513" s="3" t="s">
        <v>28</v>
      </c>
      <c r="Q1513" s="3" t="s">
        <v>28</v>
      </c>
      <c r="R1513" s="3" t="s">
        <v>28</v>
      </c>
      <c r="S1513" s="3" t="s">
        <v>28</v>
      </c>
      <c r="T1513" s="3" t="s">
        <v>28</v>
      </c>
    </row>
    <row r="1514" spans="1:20" ht="381.75">
      <c r="A1514" s="3">
        <v>2721844</v>
      </c>
      <c r="B1514" s="3">
        <f>HYPERLINK("https://platform.v2.vetology.net/cases/2721844/screening-report/6?type=pdf&amp;v=v6&amp;scorecard=1&amp;secret_key=BX%25IJ%24%2F65ieZ%29f6", 2721844)</f>
        <v>2721844</v>
      </c>
      <c r="C1514" s="3">
        <f>HYPERLINK("https://platform.v2.vetology.net/report/v/final/"&amp;2721844, 2721844)</f>
        <v>2721844</v>
      </c>
      <c r="D1514" s="3" t="s">
        <v>5416</v>
      </c>
      <c r="E1514" s="3" t="s">
        <v>5417</v>
      </c>
      <c r="F1514" s="3" t="s">
        <v>5418</v>
      </c>
      <c r="G1514" s="3" t="s">
        <v>186</v>
      </c>
      <c r="H1514" s="3" t="s">
        <v>5163</v>
      </c>
      <c r="I1514" s="3" t="s">
        <v>1248</v>
      </c>
      <c r="J1514" s="3" t="s">
        <v>325</v>
      </c>
      <c r="K1514" s="3" t="s">
        <v>28</v>
      </c>
      <c r="L1514" s="3" t="s">
        <v>28</v>
      </c>
      <c r="M1514" s="3" t="s">
        <v>27</v>
      </c>
      <c r="N1514" s="3" t="s">
        <v>28</v>
      </c>
      <c r="O1514" s="3" t="s">
        <v>27</v>
      </c>
      <c r="P1514" s="3" t="s">
        <v>28</v>
      </c>
      <c r="Q1514" s="3" t="s">
        <v>27</v>
      </c>
      <c r="R1514" s="3" t="s">
        <v>28</v>
      </c>
      <c r="S1514" s="3" t="s">
        <v>28</v>
      </c>
      <c r="T1514" s="3" t="s">
        <v>28</v>
      </c>
    </row>
    <row r="1515" spans="1:20" ht="366">
      <c r="A1515" s="3">
        <v>2721805</v>
      </c>
      <c r="B1515" s="3">
        <f>HYPERLINK("https://platform.v2.vetology.net/cases/2721805/screening-report/6?type=pdf&amp;v=v6&amp;scorecard=1&amp;secret_key=BX%25IJ%24%2F65ieZ%29f6", 2721805)</f>
        <v>2721805</v>
      </c>
      <c r="C1515" s="3">
        <f>HYPERLINK("https://platform.v2.vetology.net/report/v/final/"&amp;2721805, 2721805)</f>
        <v>2721805</v>
      </c>
      <c r="D1515" s="3" t="s">
        <v>5419</v>
      </c>
      <c r="E1515" s="3" t="s">
        <v>5420</v>
      </c>
      <c r="F1515" s="3" t="s">
        <v>5421</v>
      </c>
      <c r="G1515" s="3" t="s">
        <v>186</v>
      </c>
      <c r="H1515" s="3" t="s">
        <v>3956</v>
      </c>
      <c r="I1515" s="3" t="s">
        <v>793</v>
      </c>
      <c r="J1515" s="3" t="s">
        <v>794</v>
      </c>
      <c r="K1515" s="3" t="s">
        <v>28</v>
      </c>
      <c r="L1515" s="3" t="s">
        <v>28</v>
      </c>
      <c r="M1515" s="3" t="s">
        <v>28</v>
      </c>
      <c r="N1515" s="3" t="s">
        <v>28</v>
      </c>
      <c r="O1515" s="3" t="s">
        <v>28</v>
      </c>
      <c r="P1515" s="3" t="s">
        <v>28</v>
      </c>
      <c r="Q1515" s="3" t="s">
        <v>28</v>
      </c>
      <c r="R1515" s="3" t="s">
        <v>28</v>
      </c>
      <c r="S1515" s="3" t="s">
        <v>28</v>
      </c>
      <c r="T1515" s="3" t="s">
        <v>28</v>
      </c>
    </row>
    <row r="1516" spans="1:20" ht="409.6">
      <c r="A1516" s="3">
        <v>2721787</v>
      </c>
      <c r="B1516" s="3">
        <f>HYPERLINK("https://platform.v2.vetology.net/cases/2721787/screening-report/6?type=pdf&amp;v=v6&amp;scorecard=1&amp;secret_key=BX%25IJ%24%2F65ieZ%29f6", 2721787)</f>
        <v>2721787</v>
      </c>
      <c r="C1516" s="3">
        <f>HYPERLINK("https://platform.v2.vetology.net/report/v/final/"&amp;2721787, 2721787)</f>
        <v>2721787</v>
      </c>
      <c r="D1516" s="3" t="s">
        <v>5422</v>
      </c>
      <c r="E1516" s="3" t="s">
        <v>5423</v>
      </c>
      <c r="F1516" s="3" t="s">
        <v>99</v>
      </c>
      <c r="G1516" s="3" t="s">
        <v>100</v>
      </c>
      <c r="H1516" s="3" t="s">
        <v>284</v>
      </c>
      <c r="I1516" s="3" t="s">
        <v>285</v>
      </c>
      <c r="J1516" s="3" t="s">
        <v>286</v>
      </c>
      <c r="K1516" s="3" t="s">
        <v>27</v>
      </c>
      <c r="L1516" s="3" t="s">
        <v>28</v>
      </c>
      <c r="M1516" s="3" t="s">
        <v>28</v>
      </c>
      <c r="N1516" s="3" t="s">
        <v>28</v>
      </c>
      <c r="O1516" s="3" t="s">
        <v>27</v>
      </c>
      <c r="P1516" s="3" t="s">
        <v>28</v>
      </c>
      <c r="Q1516" s="3" t="s">
        <v>27</v>
      </c>
      <c r="R1516" s="3" t="s">
        <v>28</v>
      </c>
      <c r="S1516" s="3" t="s">
        <v>27</v>
      </c>
      <c r="T1516" s="3" t="s">
        <v>28</v>
      </c>
    </row>
    <row r="1517" spans="1:20" ht="290.25">
      <c r="A1517" s="3">
        <v>2721785</v>
      </c>
      <c r="B1517" s="3">
        <f>HYPERLINK("https://platform.v2.vetology.net/cases/2721785/screening-report/6?type=pdf&amp;v=v6&amp;scorecard=1&amp;secret_key=BX%25IJ%24%2F65ieZ%29f6", 2721785)</f>
        <v>2721785</v>
      </c>
      <c r="C1517" s="3">
        <f>HYPERLINK("https://platform.v2.vetology.net/report/v/final/"&amp;2721785, 2721785)</f>
        <v>2721785</v>
      </c>
      <c r="D1517" s="3" t="s">
        <v>5424</v>
      </c>
      <c r="E1517" s="3" t="s">
        <v>5425</v>
      </c>
      <c r="F1517" s="3" t="s">
        <v>5426</v>
      </c>
      <c r="G1517" s="3" t="s">
        <v>186</v>
      </c>
      <c r="H1517" s="3" t="s">
        <v>403</v>
      </c>
      <c r="I1517" s="3" t="s">
        <v>1964</v>
      </c>
      <c r="J1517" s="3" t="s">
        <v>1965</v>
      </c>
      <c r="K1517" s="3" t="s">
        <v>28</v>
      </c>
      <c r="L1517" s="3" t="s">
        <v>28</v>
      </c>
      <c r="M1517" s="3" t="s">
        <v>28</v>
      </c>
      <c r="N1517" s="3" t="s">
        <v>27</v>
      </c>
      <c r="O1517" s="3" t="s">
        <v>28</v>
      </c>
      <c r="P1517" s="3" t="s">
        <v>28</v>
      </c>
      <c r="Q1517" s="3" t="s">
        <v>28</v>
      </c>
      <c r="R1517" s="3" t="s">
        <v>28</v>
      </c>
      <c r="S1517" s="3" t="s">
        <v>28</v>
      </c>
      <c r="T1517" s="3" t="s">
        <v>27</v>
      </c>
    </row>
    <row r="1518" spans="1:20" ht="409.6">
      <c r="A1518" s="3">
        <v>2721657</v>
      </c>
      <c r="B1518" s="3">
        <f>HYPERLINK("https://platform.v2.vetology.net/cases/2721657/screening-report/6?type=pdf&amp;v=v6&amp;scorecard=1&amp;secret_key=BX%25IJ%24%2F65ieZ%29f6", 2721657)</f>
        <v>2721657</v>
      </c>
      <c r="C1518" s="3">
        <f>HYPERLINK("https://platform.v2.vetology.net/report/v/final/"&amp;2721657, 2721657)</f>
        <v>2721657</v>
      </c>
      <c r="D1518" s="3" t="s">
        <v>5427</v>
      </c>
      <c r="E1518" s="3" t="s">
        <v>5428</v>
      </c>
      <c r="F1518" s="3" t="s">
        <v>5429</v>
      </c>
      <c r="G1518" s="3" t="s">
        <v>57</v>
      </c>
      <c r="H1518" s="3" t="s">
        <v>5430</v>
      </c>
      <c r="I1518" s="3" t="s">
        <v>5431</v>
      </c>
      <c r="J1518" s="3" t="s">
        <v>5432</v>
      </c>
      <c r="K1518" s="3" t="s">
        <v>28</v>
      </c>
      <c r="L1518" s="3" t="s">
        <v>27</v>
      </c>
      <c r="M1518" s="3" t="s">
        <v>28</v>
      </c>
      <c r="N1518" s="3" t="s">
        <v>27</v>
      </c>
      <c r="O1518" s="3" t="s">
        <v>27</v>
      </c>
      <c r="P1518" s="3" t="s">
        <v>28</v>
      </c>
      <c r="Q1518" s="3" t="s">
        <v>28</v>
      </c>
      <c r="R1518" s="3" t="s">
        <v>27</v>
      </c>
      <c r="S1518" s="3" t="s">
        <v>27</v>
      </c>
      <c r="T1518" s="3" t="s">
        <v>27</v>
      </c>
    </row>
    <row r="1519" spans="1:20" ht="381.75">
      <c r="A1519" s="3">
        <v>2721534</v>
      </c>
      <c r="B1519" s="3">
        <f>HYPERLINK("https://platform.v2.vetology.net/cases/2721534/screening-report/6?type=pdf&amp;v=v6&amp;scorecard=1&amp;secret_key=BX%25IJ%24%2F65ieZ%29f6", 2721534)</f>
        <v>2721534</v>
      </c>
      <c r="C1519" s="3">
        <f>HYPERLINK("https://platform.v2.vetology.net/report/v/final/"&amp;2721534, 2721534)</f>
        <v>2721534</v>
      </c>
      <c r="D1519" s="3" t="s">
        <v>5433</v>
      </c>
      <c r="E1519" s="3" t="s">
        <v>5434</v>
      </c>
      <c r="F1519" s="3" t="s">
        <v>22</v>
      </c>
      <c r="G1519" s="3" t="s">
        <v>23</v>
      </c>
      <c r="H1519" s="3" t="s">
        <v>5435</v>
      </c>
      <c r="I1519" s="3" t="s">
        <v>37</v>
      </c>
      <c r="J1519" s="3" t="s">
        <v>38</v>
      </c>
      <c r="K1519" s="3" t="s">
        <v>28</v>
      </c>
      <c r="L1519" s="3" t="s">
        <v>28</v>
      </c>
      <c r="M1519" s="3" t="s">
        <v>28</v>
      </c>
      <c r="N1519" s="3" t="s">
        <v>28</v>
      </c>
      <c r="O1519" s="3" t="s">
        <v>27</v>
      </c>
      <c r="P1519" s="3" t="s">
        <v>28</v>
      </c>
      <c r="Q1519" s="3" t="s">
        <v>28</v>
      </c>
      <c r="R1519" s="3" t="s">
        <v>28</v>
      </c>
      <c r="S1519" s="3" t="s">
        <v>28</v>
      </c>
      <c r="T1519" s="3" t="s">
        <v>28</v>
      </c>
    </row>
    <row r="1520" spans="1:20" ht="244.5">
      <c r="A1520" s="3">
        <v>2721465</v>
      </c>
      <c r="B1520" s="3">
        <f>HYPERLINK("https://platform.v2.vetology.net/cases/2721465/screening-report/6?type=pdf&amp;v=v6&amp;scorecard=1&amp;secret_key=BX%25IJ%24%2F65ieZ%29f6", 2721465)</f>
        <v>2721465</v>
      </c>
      <c r="C1520" s="3">
        <f>HYPERLINK("https://platform.v2.vetology.net/report/v/final/"&amp;2721465, 2721465)</f>
        <v>2721465</v>
      </c>
      <c r="D1520" s="3" t="s">
        <v>5436</v>
      </c>
      <c r="E1520" s="3" t="s">
        <v>5437</v>
      </c>
      <c r="F1520" s="3" t="s">
        <v>5438</v>
      </c>
      <c r="G1520" s="3" t="s">
        <v>211</v>
      </c>
      <c r="H1520" s="3" t="s">
        <v>5439</v>
      </c>
      <c r="I1520" s="3" t="s">
        <v>3369</v>
      </c>
      <c r="J1520" s="3" t="s">
        <v>207</v>
      </c>
      <c r="K1520" s="3" t="s">
        <v>28</v>
      </c>
      <c r="L1520" s="3" t="s">
        <v>28</v>
      </c>
      <c r="M1520" s="3" t="s">
        <v>28</v>
      </c>
      <c r="N1520" s="3" t="s">
        <v>28</v>
      </c>
      <c r="O1520" s="3" t="s">
        <v>28</v>
      </c>
      <c r="P1520" s="3" t="s">
        <v>28</v>
      </c>
      <c r="Q1520" s="3" t="s">
        <v>28</v>
      </c>
      <c r="R1520" s="3" t="s">
        <v>28</v>
      </c>
      <c r="S1520" s="3" t="s">
        <v>28</v>
      </c>
      <c r="T1520" s="3" t="s">
        <v>28</v>
      </c>
    </row>
    <row r="1521" spans="1:20" ht="409.6">
      <c r="A1521" s="3">
        <v>2721405</v>
      </c>
      <c r="B1521" s="3">
        <f>HYPERLINK("https://platform.v2.vetology.net/cases/2721405/screening-report/6?type=pdf&amp;v=v6&amp;scorecard=1&amp;secret_key=BX%25IJ%24%2F65ieZ%29f6", 2721405)</f>
        <v>2721405</v>
      </c>
      <c r="C1521" s="3">
        <f>HYPERLINK("https://platform.v2.vetology.net/report/v/final/"&amp;2721405, 2721405)</f>
        <v>2721405</v>
      </c>
      <c r="D1521" s="3" t="s">
        <v>5440</v>
      </c>
      <c r="E1521" s="3" t="s">
        <v>5441</v>
      </c>
      <c r="F1521" s="3" t="s">
        <v>5442</v>
      </c>
      <c r="G1521" s="3" t="s">
        <v>64</v>
      </c>
      <c r="H1521" s="3" t="s">
        <v>5443</v>
      </c>
      <c r="I1521" s="3" t="s">
        <v>484</v>
      </c>
      <c r="J1521" s="3" t="s">
        <v>53</v>
      </c>
      <c r="K1521" s="3" t="s">
        <v>28</v>
      </c>
      <c r="L1521" s="3" t="s">
        <v>28</v>
      </c>
      <c r="M1521" s="3" t="s">
        <v>28</v>
      </c>
      <c r="N1521" s="3" t="s">
        <v>28</v>
      </c>
      <c r="O1521" s="3" t="s">
        <v>27</v>
      </c>
      <c r="P1521" s="3" t="s">
        <v>28</v>
      </c>
      <c r="Q1521" s="3" t="s">
        <v>28</v>
      </c>
      <c r="R1521" s="3" t="s">
        <v>28</v>
      </c>
      <c r="S1521" s="3" t="s">
        <v>28</v>
      </c>
      <c r="T1521" s="3" t="s">
        <v>28</v>
      </c>
    </row>
    <row r="1522" spans="1:20" ht="396.75">
      <c r="A1522" s="3">
        <v>2721291</v>
      </c>
      <c r="B1522" s="3">
        <f>HYPERLINK("https://platform.v2.vetology.net/cases/2721291/screening-report/6?type=pdf&amp;v=v6&amp;scorecard=1&amp;secret_key=BX%25IJ%24%2F65ieZ%29f6", 2721291)</f>
        <v>2721291</v>
      </c>
      <c r="C1522" s="3">
        <f>HYPERLINK("https://platform.v2.vetology.net/report/v/final/"&amp;2721291, 2721291)</f>
        <v>2721291</v>
      </c>
      <c r="D1522" s="3" t="s">
        <v>5444</v>
      </c>
      <c r="E1522" s="3" t="s">
        <v>5445</v>
      </c>
      <c r="F1522" s="3" t="s">
        <v>22</v>
      </c>
      <c r="G1522" s="3" t="s">
        <v>23</v>
      </c>
      <c r="H1522" s="3" t="s">
        <v>5446</v>
      </c>
      <c r="I1522" s="3" t="s">
        <v>2506</v>
      </c>
      <c r="J1522" s="3" t="s">
        <v>2507</v>
      </c>
      <c r="K1522" s="3" t="s">
        <v>27</v>
      </c>
      <c r="L1522" s="3" t="s">
        <v>28</v>
      </c>
      <c r="M1522" s="3" t="s">
        <v>27</v>
      </c>
      <c r="N1522" s="3" t="s">
        <v>28</v>
      </c>
      <c r="O1522" s="3" t="s">
        <v>27</v>
      </c>
      <c r="P1522" s="3" t="s">
        <v>27</v>
      </c>
      <c r="Q1522" s="3" t="s">
        <v>27</v>
      </c>
      <c r="R1522" s="3" t="s">
        <v>28</v>
      </c>
      <c r="S1522" s="3" t="s">
        <v>28</v>
      </c>
      <c r="T1522" s="3" t="s">
        <v>28</v>
      </c>
    </row>
    <row r="1523" spans="1:20" ht="409.6">
      <c r="A1523" s="3">
        <v>2721257</v>
      </c>
      <c r="B1523" s="3">
        <f>HYPERLINK("https://platform.v2.vetology.net/cases/2721257/screening-report/6?type=pdf&amp;v=v6&amp;scorecard=1&amp;secret_key=BX%25IJ%24%2F65ieZ%29f6", 2721257)</f>
        <v>2721257</v>
      </c>
      <c r="C1523" s="3">
        <f>HYPERLINK("https://platform.v2.vetology.net/report/v/final/"&amp;2721257, 2721257)</f>
        <v>2721257</v>
      </c>
      <c r="D1523" s="3" t="s">
        <v>5447</v>
      </c>
      <c r="E1523" s="3" t="s">
        <v>5448</v>
      </c>
      <c r="F1523" s="3" t="s">
        <v>5449</v>
      </c>
      <c r="G1523" s="3" t="s">
        <v>64</v>
      </c>
      <c r="H1523" s="3" t="s">
        <v>5450</v>
      </c>
      <c r="I1523" s="3" t="s">
        <v>1660</v>
      </c>
      <c r="J1523" s="3" t="s">
        <v>207</v>
      </c>
      <c r="K1523" s="3" t="s">
        <v>27</v>
      </c>
      <c r="L1523" s="3" t="s">
        <v>28</v>
      </c>
      <c r="M1523" s="3" t="s">
        <v>28</v>
      </c>
      <c r="N1523" s="3" t="s">
        <v>28</v>
      </c>
      <c r="O1523" s="3" t="s">
        <v>27</v>
      </c>
      <c r="P1523" s="3" t="s">
        <v>28</v>
      </c>
      <c r="Q1523" s="3" t="s">
        <v>28</v>
      </c>
      <c r="R1523" s="3" t="s">
        <v>28</v>
      </c>
      <c r="S1523" s="3" t="s">
        <v>28</v>
      </c>
      <c r="T1523" s="3" t="s">
        <v>28</v>
      </c>
    </row>
    <row r="1524" spans="1:20" ht="351">
      <c r="A1524" s="3">
        <v>2721244</v>
      </c>
      <c r="B1524" s="3">
        <f>HYPERLINK("https://platform.v2.vetology.net/cases/2721244/screening-report/6?type=pdf&amp;v=v6&amp;scorecard=1&amp;secret_key=BX%25IJ%24%2F65ieZ%29f6", 2721244)</f>
        <v>2721244</v>
      </c>
      <c r="C1524" s="3">
        <f>HYPERLINK("https://platform.v2.vetology.net/report/v/final/"&amp;2721244, 2721244)</f>
        <v>2721244</v>
      </c>
      <c r="D1524" s="3" t="s">
        <v>5451</v>
      </c>
      <c r="E1524" s="3" t="s">
        <v>5452</v>
      </c>
      <c r="F1524" s="3" t="s">
        <v>5453</v>
      </c>
      <c r="G1524" s="3" t="s">
        <v>64</v>
      </c>
      <c r="H1524" s="3" t="s">
        <v>702</v>
      </c>
      <c r="I1524" s="3" t="s">
        <v>32</v>
      </c>
      <c r="J1524" s="3" t="s">
        <v>119</v>
      </c>
      <c r="K1524" s="3" t="s">
        <v>28</v>
      </c>
      <c r="L1524" s="3" t="s">
        <v>28</v>
      </c>
      <c r="M1524" s="3" t="s">
        <v>28</v>
      </c>
      <c r="N1524" s="3" t="s">
        <v>28</v>
      </c>
      <c r="O1524" s="3" t="s">
        <v>28</v>
      </c>
      <c r="P1524" s="3" t="s">
        <v>28</v>
      </c>
      <c r="Q1524" s="3" t="s">
        <v>28</v>
      </c>
      <c r="R1524" s="3" t="s">
        <v>28</v>
      </c>
      <c r="S1524" s="3" t="s">
        <v>28</v>
      </c>
      <c r="T1524" s="3" t="s">
        <v>27</v>
      </c>
    </row>
    <row r="1525" spans="1:20" ht="409.6">
      <c r="A1525" s="3">
        <v>2721213</v>
      </c>
      <c r="B1525" s="3">
        <f>HYPERLINK("https://platform.v2.vetology.net/cases/2721213/screening-report/6?type=pdf&amp;v=v6&amp;scorecard=1&amp;secret_key=BX%25IJ%24%2F65ieZ%29f6", 2721213)</f>
        <v>2721213</v>
      </c>
      <c r="C1525" s="3">
        <f>HYPERLINK("https://platform.v2.vetology.net/report/v/final/"&amp;2721213, 2721213)</f>
        <v>2721213</v>
      </c>
      <c r="D1525" s="3" t="s">
        <v>5454</v>
      </c>
      <c r="E1525" s="3" t="s">
        <v>5455</v>
      </c>
      <c r="F1525" s="3" t="s">
        <v>5456</v>
      </c>
      <c r="G1525" s="3" t="s">
        <v>64</v>
      </c>
      <c r="H1525" s="3" t="s">
        <v>5457</v>
      </c>
      <c r="I1525" s="3" t="s">
        <v>285</v>
      </c>
      <c r="J1525" s="3" t="s">
        <v>286</v>
      </c>
      <c r="K1525" s="3" t="s">
        <v>28</v>
      </c>
      <c r="L1525" s="3" t="s">
        <v>28</v>
      </c>
      <c r="M1525" s="3" t="s">
        <v>27</v>
      </c>
      <c r="N1525" s="3" t="s">
        <v>28</v>
      </c>
      <c r="O1525" s="3" t="s">
        <v>27</v>
      </c>
      <c r="P1525" s="3" t="s">
        <v>28</v>
      </c>
      <c r="Q1525" s="3" t="s">
        <v>28</v>
      </c>
      <c r="R1525" s="3" t="s">
        <v>28</v>
      </c>
      <c r="S1525" s="3" t="s">
        <v>27</v>
      </c>
      <c r="T1525" s="3" t="s">
        <v>28</v>
      </c>
    </row>
    <row r="1526" spans="1:20" ht="336">
      <c r="A1526" s="3">
        <v>2721210</v>
      </c>
      <c r="B1526" s="3">
        <f>HYPERLINK("https://platform.v2.vetology.net/cases/2721210/screening-report/6?type=pdf&amp;v=v6&amp;scorecard=1&amp;secret_key=BX%25IJ%24%2F65ieZ%29f6", 2721210)</f>
        <v>2721210</v>
      </c>
      <c r="C1526" s="3">
        <f>HYPERLINK("https://platform.v2.vetology.net/report/v/final/"&amp;2721210, 2721210)</f>
        <v>2721210</v>
      </c>
      <c r="D1526" s="3" t="s">
        <v>5458</v>
      </c>
      <c r="E1526" s="3" t="s">
        <v>5459</v>
      </c>
      <c r="F1526" s="3" t="s">
        <v>22</v>
      </c>
      <c r="G1526" s="3" t="s">
        <v>100</v>
      </c>
      <c r="H1526" s="3" t="s">
        <v>123</v>
      </c>
      <c r="I1526" s="3" t="s">
        <v>124</v>
      </c>
      <c r="J1526" s="3" t="s">
        <v>125</v>
      </c>
      <c r="K1526" s="3" t="s">
        <v>27</v>
      </c>
      <c r="L1526" s="3" t="s">
        <v>28</v>
      </c>
      <c r="M1526" s="3" t="s">
        <v>27</v>
      </c>
      <c r="N1526" s="3" t="s">
        <v>28</v>
      </c>
      <c r="O1526" s="3" t="s">
        <v>27</v>
      </c>
      <c r="P1526" s="3" t="s">
        <v>28</v>
      </c>
      <c r="Q1526" s="3" t="s">
        <v>28</v>
      </c>
      <c r="R1526" s="3" t="s">
        <v>28</v>
      </c>
      <c r="S1526" s="3" t="s">
        <v>28</v>
      </c>
      <c r="T1526" s="3" t="s">
        <v>28</v>
      </c>
    </row>
    <row r="1527" spans="1:20" ht="305.25">
      <c r="A1527" s="3">
        <v>2721204</v>
      </c>
      <c r="B1527" s="3">
        <f>HYPERLINK("https://platform.v2.vetology.net/cases/2721204/screening-report/6?type=pdf&amp;v=v6&amp;scorecard=1&amp;secret_key=BX%25IJ%24%2F65ieZ%29f6", 2721204)</f>
        <v>2721204</v>
      </c>
      <c r="C1527" s="3">
        <f>HYPERLINK("https://platform.v2.vetology.net/report/v/final/"&amp;2721204, 2721204)</f>
        <v>2721204</v>
      </c>
      <c r="D1527" s="3" t="s">
        <v>5460</v>
      </c>
      <c r="E1527" s="3" t="s">
        <v>5461</v>
      </c>
      <c r="F1527" s="3" t="s">
        <v>5462</v>
      </c>
      <c r="G1527" s="3" t="s">
        <v>211</v>
      </c>
      <c r="H1527" s="3" t="s">
        <v>5463</v>
      </c>
      <c r="I1527" s="3" t="s">
        <v>3465</v>
      </c>
      <c r="J1527" s="3" t="s">
        <v>207</v>
      </c>
      <c r="K1527" s="3" t="s">
        <v>28</v>
      </c>
      <c r="L1527" s="3" t="s">
        <v>28</v>
      </c>
      <c r="M1527" s="3" t="s">
        <v>28</v>
      </c>
      <c r="N1527" s="3" t="s">
        <v>27</v>
      </c>
      <c r="O1527" s="3" t="s">
        <v>27</v>
      </c>
      <c r="P1527" s="3" t="s">
        <v>28</v>
      </c>
      <c r="Q1527" s="3" t="s">
        <v>28</v>
      </c>
      <c r="R1527" s="3" t="s">
        <v>28</v>
      </c>
      <c r="S1527" s="3" t="s">
        <v>28</v>
      </c>
      <c r="T1527" s="3" t="s">
        <v>27</v>
      </c>
    </row>
    <row r="1528" spans="1:20" ht="381.75">
      <c r="A1528" s="3">
        <v>2721175</v>
      </c>
      <c r="B1528" s="3">
        <f>HYPERLINK("https://platform.v2.vetology.net/cases/2721175/screening-report/6?type=pdf&amp;v=v6&amp;scorecard=1&amp;secret_key=BX%25IJ%24%2F65ieZ%29f6", 2721175)</f>
        <v>2721175</v>
      </c>
      <c r="C1528" s="3">
        <f>HYPERLINK("https://platform.v2.vetology.net/report/v/final/"&amp;2721175, 2721175)</f>
        <v>2721175</v>
      </c>
      <c r="D1528" s="3" t="s">
        <v>5464</v>
      </c>
      <c r="E1528" s="3" t="s">
        <v>5465</v>
      </c>
      <c r="F1528" s="3" t="s">
        <v>22</v>
      </c>
      <c r="G1528" s="3" t="s">
        <v>23</v>
      </c>
      <c r="H1528" s="3" t="s">
        <v>5466</v>
      </c>
      <c r="I1528" s="3" t="s">
        <v>1426</v>
      </c>
      <c r="J1528" s="3" t="s">
        <v>207</v>
      </c>
      <c r="K1528" s="3" t="s">
        <v>27</v>
      </c>
      <c r="L1528" s="3" t="s">
        <v>27</v>
      </c>
      <c r="M1528" s="3" t="s">
        <v>28</v>
      </c>
      <c r="N1528" s="3" t="s">
        <v>27</v>
      </c>
      <c r="O1528" s="3" t="s">
        <v>27</v>
      </c>
      <c r="P1528" s="3" t="s">
        <v>28</v>
      </c>
      <c r="Q1528" s="3" t="s">
        <v>27</v>
      </c>
      <c r="R1528" s="3" t="s">
        <v>27</v>
      </c>
      <c r="S1528" s="3" t="s">
        <v>27</v>
      </c>
      <c r="T1528" s="3" t="s">
        <v>27</v>
      </c>
    </row>
    <row r="1529" spans="1:20" ht="409.6">
      <c r="A1529" s="3">
        <v>2721138</v>
      </c>
      <c r="B1529" s="3">
        <f>HYPERLINK("https://platform.v2.vetology.net/cases/2721138/screening-report/6?type=pdf&amp;v=v6&amp;scorecard=1&amp;secret_key=BX%25IJ%24%2F65ieZ%29f6", 2721138)</f>
        <v>2721138</v>
      </c>
      <c r="C1529" s="3">
        <f>HYPERLINK("https://platform.v2.vetology.net/report/v/final/"&amp;2721138, 2721138)</f>
        <v>2721138</v>
      </c>
      <c r="D1529" s="3" t="s">
        <v>5467</v>
      </c>
      <c r="E1529" s="3" t="s">
        <v>5468</v>
      </c>
      <c r="F1529" s="3" t="s">
        <v>5469</v>
      </c>
      <c r="G1529" s="3" t="s">
        <v>64</v>
      </c>
      <c r="H1529" s="3" t="s">
        <v>5470</v>
      </c>
      <c r="I1529" s="3" t="s">
        <v>520</v>
      </c>
      <c r="J1529" s="3" t="s">
        <v>335</v>
      </c>
      <c r="K1529" s="3" t="s">
        <v>27</v>
      </c>
      <c r="L1529" s="3" t="s">
        <v>28</v>
      </c>
      <c r="M1529" s="3" t="s">
        <v>28</v>
      </c>
      <c r="N1529" s="3" t="s">
        <v>28</v>
      </c>
      <c r="O1529" s="3" t="s">
        <v>27</v>
      </c>
      <c r="P1529" s="3" t="s">
        <v>28</v>
      </c>
      <c r="Q1529" s="3" t="s">
        <v>28</v>
      </c>
      <c r="R1529" s="3" t="s">
        <v>28</v>
      </c>
      <c r="S1529" s="3" t="s">
        <v>28</v>
      </c>
      <c r="T1529" s="3" t="s">
        <v>28</v>
      </c>
    </row>
    <row r="1530" spans="1:20" ht="229.5">
      <c r="A1530" s="3">
        <v>2721063</v>
      </c>
      <c r="B1530" s="3">
        <f>HYPERLINK("https://platform.v2.vetology.net/cases/2721063/screening-report/6?type=pdf&amp;v=v6&amp;scorecard=1&amp;secret_key=BX%25IJ%24%2F65ieZ%29f6", 2721063)</f>
        <v>2721063</v>
      </c>
      <c r="C1530" s="3">
        <f>HYPERLINK("https://platform.v2.vetology.net/report/v/final/"&amp;2721063, 2721063)</f>
        <v>2721063</v>
      </c>
      <c r="D1530" s="3" t="s">
        <v>5471</v>
      </c>
      <c r="E1530" s="3" t="s">
        <v>2036</v>
      </c>
      <c r="F1530" s="3" t="s">
        <v>5472</v>
      </c>
      <c r="G1530" s="3" t="s">
        <v>186</v>
      </c>
      <c r="H1530" s="3" t="s">
        <v>5473</v>
      </c>
      <c r="I1530" s="3" t="s">
        <v>305</v>
      </c>
      <c r="J1530" s="3" t="s">
        <v>119</v>
      </c>
      <c r="K1530" s="3" t="s">
        <v>28</v>
      </c>
      <c r="L1530" s="3" t="s">
        <v>28</v>
      </c>
      <c r="M1530" s="3" t="s">
        <v>28</v>
      </c>
      <c r="N1530" s="3" t="s">
        <v>28</v>
      </c>
      <c r="O1530" s="3" t="s">
        <v>28</v>
      </c>
      <c r="P1530" s="3" t="s">
        <v>28</v>
      </c>
      <c r="Q1530" s="3" t="s">
        <v>28</v>
      </c>
      <c r="R1530" s="3" t="s">
        <v>28</v>
      </c>
      <c r="S1530" s="3" t="s">
        <v>28</v>
      </c>
      <c r="T1530" s="3" t="s">
        <v>28</v>
      </c>
    </row>
    <row r="1531" spans="1:20" ht="229.5">
      <c r="A1531" s="3">
        <v>2720985</v>
      </c>
      <c r="B1531" s="3">
        <f>HYPERLINK("https://platform.v2.vetology.net/cases/2720985/screening-report/6?type=pdf&amp;v=v6&amp;scorecard=1&amp;secret_key=BX%25IJ%24%2F65ieZ%29f6", 2720985)</f>
        <v>2720985</v>
      </c>
      <c r="C1531" s="3">
        <f>HYPERLINK("https://platform.v2.vetology.net/report/v/final/"&amp;2720985, 2720985)</f>
        <v>2720985</v>
      </c>
      <c r="D1531" s="3" t="s">
        <v>1419</v>
      </c>
      <c r="E1531" s="3" t="s">
        <v>1089</v>
      </c>
      <c r="F1531" s="3" t="s">
        <v>1090</v>
      </c>
      <c r="G1531" s="3" t="s">
        <v>100</v>
      </c>
      <c r="H1531" s="3" t="s">
        <v>4291</v>
      </c>
      <c r="I1531" s="3" t="s">
        <v>305</v>
      </c>
      <c r="J1531" s="3" t="s">
        <v>119</v>
      </c>
      <c r="K1531" s="3" t="s">
        <v>28</v>
      </c>
      <c r="L1531" s="3" t="s">
        <v>28</v>
      </c>
      <c r="M1531" s="3" t="s">
        <v>28</v>
      </c>
      <c r="N1531" s="3" t="s">
        <v>28</v>
      </c>
      <c r="O1531" s="3" t="s">
        <v>28</v>
      </c>
      <c r="P1531" s="3" t="s">
        <v>28</v>
      </c>
      <c r="Q1531" s="3" t="s">
        <v>28</v>
      </c>
      <c r="R1531" s="3" t="s">
        <v>28</v>
      </c>
      <c r="S1531" s="3" t="s">
        <v>28</v>
      </c>
      <c r="T1531" s="3" t="s">
        <v>28</v>
      </c>
    </row>
    <row r="1532" spans="1:20" ht="305.25">
      <c r="A1532" s="3">
        <v>2720977</v>
      </c>
      <c r="B1532" s="3">
        <f>HYPERLINK("https://platform.v2.vetology.net/cases/2720977/screening-report/6?type=pdf&amp;v=v6&amp;scorecard=1&amp;secret_key=BX%25IJ%24%2F65ieZ%29f6", 2720977)</f>
        <v>2720977</v>
      </c>
      <c r="C1532" s="3">
        <f>HYPERLINK("https://platform.v2.vetology.net/report/v/final/"&amp;2720977, 2720977)</f>
        <v>2720977</v>
      </c>
      <c r="D1532" s="3" t="s">
        <v>5474</v>
      </c>
      <c r="E1532" s="3" t="s">
        <v>5475</v>
      </c>
      <c r="F1532" s="3" t="s">
        <v>5476</v>
      </c>
      <c r="G1532" s="3" t="s">
        <v>23</v>
      </c>
      <c r="H1532" s="3" t="s">
        <v>1372</v>
      </c>
      <c r="I1532" s="3" t="s">
        <v>1373</v>
      </c>
      <c r="J1532" s="3" t="s">
        <v>1374</v>
      </c>
      <c r="K1532" s="3" t="s">
        <v>27</v>
      </c>
      <c r="L1532" s="3" t="s">
        <v>28</v>
      </c>
      <c r="M1532" s="3" t="s">
        <v>27</v>
      </c>
      <c r="N1532" s="3" t="s">
        <v>28</v>
      </c>
      <c r="O1532" s="3" t="s">
        <v>27</v>
      </c>
      <c r="P1532" s="3" t="s">
        <v>28</v>
      </c>
      <c r="Q1532" s="3" t="s">
        <v>28</v>
      </c>
      <c r="R1532" s="3" t="s">
        <v>27</v>
      </c>
      <c r="S1532" s="3" t="s">
        <v>28</v>
      </c>
      <c r="T1532" s="3" t="s">
        <v>27</v>
      </c>
    </row>
    <row r="1533" spans="1:20" ht="229.5">
      <c r="A1533" s="3">
        <v>2720960</v>
      </c>
      <c r="B1533" s="3">
        <f>HYPERLINK("https://platform.v2.vetology.net/cases/2720960/screening-report/6?type=pdf&amp;v=v6&amp;scorecard=1&amp;secret_key=BX%25IJ%24%2F65ieZ%29f6", 2720960)</f>
        <v>2720960</v>
      </c>
      <c r="C1533" s="3">
        <f>HYPERLINK("https://platform.v2.vetology.net/report/v/final/"&amp;2720960, 2720960)</f>
        <v>2720960</v>
      </c>
      <c r="D1533" s="3" t="s">
        <v>5477</v>
      </c>
      <c r="E1533" s="3" t="s">
        <v>5478</v>
      </c>
      <c r="F1533" s="3" t="s">
        <v>1049</v>
      </c>
      <c r="G1533" s="3" t="s">
        <v>100</v>
      </c>
      <c r="H1533" s="3" t="s">
        <v>31</v>
      </c>
      <c r="I1533" s="3" t="s">
        <v>32</v>
      </c>
      <c r="J1533" s="3" t="s">
        <v>119</v>
      </c>
      <c r="K1533" s="3" t="s">
        <v>28</v>
      </c>
      <c r="L1533" s="3" t="s">
        <v>28</v>
      </c>
      <c r="M1533" s="3" t="s">
        <v>28</v>
      </c>
      <c r="N1533" s="3" t="s">
        <v>28</v>
      </c>
      <c r="O1533" s="3" t="s">
        <v>28</v>
      </c>
      <c r="P1533" s="3" t="s">
        <v>28</v>
      </c>
      <c r="Q1533" s="3" t="s">
        <v>28</v>
      </c>
      <c r="R1533" s="3" t="s">
        <v>28</v>
      </c>
      <c r="S1533" s="3" t="s">
        <v>28</v>
      </c>
      <c r="T1533" s="3" t="s">
        <v>28</v>
      </c>
    </row>
    <row r="1534" spans="1:20" ht="351">
      <c r="A1534" s="3">
        <v>2720851</v>
      </c>
      <c r="B1534" s="3">
        <f>HYPERLINK("https://platform.v2.vetology.net/cases/2720851/screening-report/6?type=pdf&amp;v=v6&amp;scorecard=1&amp;secret_key=BX%25IJ%24%2F65ieZ%29f6", 2720851)</f>
        <v>2720851</v>
      </c>
      <c r="C1534" s="3">
        <f>HYPERLINK("https://platform.v2.vetology.net/report/v/final/"&amp;2720851, 2720851)</f>
        <v>2720851</v>
      </c>
      <c r="D1534" s="3" t="s">
        <v>5479</v>
      </c>
      <c r="E1534" s="3" t="s">
        <v>5480</v>
      </c>
      <c r="F1534" s="3" t="s">
        <v>22</v>
      </c>
      <c r="G1534" s="3" t="s">
        <v>23</v>
      </c>
      <c r="H1534" s="3" t="s">
        <v>5481</v>
      </c>
      <c r="I1534" s="3" t="s">
        <v>2226</v>
      </c>
      <c r="J1534" s="3" t="s">
        <v>2227</v>
      </c>
      <c r="K1534" s="3" t="s">
        <v>27</v>
      </c>
      <c r="L1534" s="3" t="s">
        <v>28</v>
      </c>
      <c r="M1534" s="3" t="s">
        <v>27</v>
      </c>
      <c r="N1534" s="3" t="s">
        <v>28</v>
      </c>
      <c r="O1534" s="3" t="s">
        <v>27</v>
      </c>
      <c r="P1534" s="3" t="s">
        <v>28</v>
      </c>
      <c r="Q1534" s="3" t="s">
        <v>27</v>
      </c>
      <c r="R1534" s="3" t="s">
        <v>28</v>
      </c>
      <c r="S1534" s="3" t="s">
        <v>28</v>
      </c>
      <c r="T1534" s="3" t="s">
        <v>27</v>
      </c>
    </row>
    <row r="1535" spans="1:20" ht="381.75">
      <c r="A1535" s="3">
        <v>2720761</v>
      </c>
      <c r="B1535" s="3">
        <f>HYPERLINK("https://platform.v2.vetology.net/cases/2720761/screening-report/6?type=pdf&amp;v=v6&amp;scorecard=1&amp;secret_key=BX%25IJ%24%2F65ieZ%29f6", 2720761)</f>
        <v>2720761</v>
      </c>
      <c r="C1535" s="3">
        <f>HYPERLINK("https://platform.v2.vetology.net/report/v/final/"&amp;2720761, 2720761)</f>
        <v>2720761</v>
      </c>
      <c r="D1535" s="3" t="s">
        <v>5482</v>
      </c>
      <c r="E1535" s="3" t="s">
        <v>5483</v>
      </c>
      <c r="F1535" s="3" t="s">
        <v>5484</v>
      </c>
      <c r="G1535" s="3" t="s">
        <v>64</v>
      </c>
      <c r="H1535" s="3" t="s">
        <v>5485</v>
      </c>
      <c r="I1535" s="3" t="s">
        <v>1426</v>
      </c>
      <c r="J1535" s="3" t="s">
        <v>207</v>
      </c>
      <c r="K1535" s="3" t="s">
        <v>28</v>
      </c>
      <c r="L1535" s="3" t="s">
        <v>27</v>
      </c>
      <c r="M1535" s="3" t="s">
        <v>27</v>
      </c>
      <c r="N1535" s="3" t="s">
        <v>27</v>
      </c>
      <c r="O1535" s="3" t="s">
        <v>27</v>
      </c>
      <c r="P1535" s="3" t="s">
        <v>28</v>
      </c>
      <c r="Q1535" s="3" t="s">
        <v>28</v>
      </c>
      <c r="R1535" s="3" t="s">
        <v>27</v>
      </c>
      <c r="S1535" s="3" t="s">
        <v>27</v>
      </c>
      <c r="T1535" s="3" t="s">
        <v>27</v>
      </c>
    </row>
    <row r="1536" spans="1:20" ht="336">
      <c r="A1536" s="3">
        <v>2720734</v>
      </c>
      <c r="B1536" s="3">
        <f>HYPERLINK("https://platform.v2.vetology.net/cases/2720734/screening-report/6?type=pdf&amp;v=v6&amp;scorecard=1&amp;secret_key=BX%25IJ%24%2F65ieZ%29f6", 2720734)</f>
        <v>2720734</v>
      </c>
      <c r="C1536" s="3">
        <f>HYPERLINK("https://platform.v2.vetology.net/report/v/final/"&amp;2720734, 2720734)</f>
        <v>2720734</v>
      </c>
      <c r="D1536" s="3" t="s">
        <v>5486</v>
      </c>
      <c r="E1536" s="3" t="s">
        <v>5487</v>
      </c>
      <c r="F1536" s="3" t="s">
        <v>5488</v>
      </c>
      <c r="G1536" s="3" t="s">
        <v>186</v>
      </c>
      <c r="H1536" s="3" t="s">
        <v>1490</v>
      </c>
      <c r="I1536" s="3" t="s">
        <v>1491</v>
      </c>
      <c r="J1536" s="3" t="s">
        <v>1492</v>
      </c>
      <c r="K1536" s="3" t="s">
        <v>28</v>
      </c>
      <c r="L1536" s="3" t="s">
        <v>27</v>
      </c>
      <c r="M1536" s="3" t="s">
        <v>28</v>
      </c>
      <c r="N1536" s="3" t="s">
        <v>27</v>
      </c>
      <c r="O1536" s="3" t="s">
        <v>28</v>
      </c>
      <c r="P1536" s="3" t="s">
        <v>28</v>
      </c>
      <c r="Q1536" s="3" t="s">
        <v>28</v>
      </c>
      <c r="R1536" s="3" t="s">
        <v>28</v>
      </c>
      <c r="S1536" s="3" t="s">
        <v>28</v>
      </c>
      <c r="T1536" s="3" t="s">
        <v>27</v>
      </c>
    </row>
    <row r="1537" spans="1:20" ht="409.6">
      <c r="A1537" s="3">
        <v>2720658</v>
      </c>
      <c r="B1537" s="3">
        <f>HYPERLINK("https://platform.v2.vetology.net/cases/2720658/screening-report/6?type=pdf&amp;v=v6&amp;scorecard=1&amp;secret_key=BX%25IJ%24%2F65ieZ%29f6", 2720658)</f>
        <v>2720658</v>
      </c>
      <c r="C1537" s="3">
        <f>HYPERLINK("https://platform.v2.vetology.net/report/v/final/"&amp;2720658, 2720658)</f>
        <v>2720658</v>
      </c>
      <c r="D1537" s="3" t="s">
        <v>5489</v>
      </c>
      <c r="E1537" s="3" t="s">
        <v>5490</v>
      </c>
      <c r="F1537" s="3" t="s">
        <v>5491</v>
      </c>
      <c r="G1537" s="3" t="s">
        <v>566</v>
      </c>
      <c r="H1537" s="3" t="s">
        <v>118</v>
      </c>
      <c r="I1537" s="3" t="s">
        <v>32</v>
      </c>
      <c r="J1537" s="3" t="s">
        <v>119</v>
      </c>
      <c r="K1537" s="3" t="s">
        <v>28</v>
      </c>
      <c r="L1537" s="3" t="s">
        <v>28</v>
      </c>
      <c r="M1537" s="3" t="s">
        <v>28</v>
      </c>
      <c r="N1537" s="3" t="s">
        <v>28</v>
      </c>
      <c r="O1537" s="3" t="s">
        <v>27</v>
      </c>
      <c r="P1537" s="3" t="s">
        <v>28</v>
      </c>
      <c r="Q1537" s="3" t="s">
        <v>28</v>
      </c>
      <c r="R1537" s="3" t="s">
        <v>28</v>
      </c>
      <c r="S1537" s="3" t="s">
        <v>28</v>
      </c>
      <c r="T1537" s="3" t="s">
        <v>28</v>
      </c>
    </row>
    <row r="1538" spans="1:20" ht="409.6">
      <c r="A1538" s="3">
        <v>2720596</v>
      </c>
      <c r="B1538" s="3">
        <f>HYPERLINK("https://platform.v2.vetology.net/cases/2720596/screening-report/6?type=pdf&amp;v=v6&amp;scorecard=1&amp;secret_key=BX%25IJ%24%2F65ieZ%29f6", 2720596)</f>
        <v>2720596</v>
      </c>
      <c r="C1538" s="3">
        <f>HYPERLINK("https://platform.v2.vetology.net/report/v/final/"&amp;2720596, 2720596)</f>
        <v>2720596</v>
      </c>
      <c r="D1538" s="3" t="s">
        <v>5492</v>
      </c>
      <c r="E1538" s="3" t="s">
        <v>5493</v>
      </c>
      <c r="F1538" s="3" t="s">
        <v>5494</v>
      </c>
      <c r="G1538" s="3" t="s">
        <v>566</v>
      </c>
      <c r="H1538" s="3" t="s">
        <v>5495</v>
      </c>
      <c r="I1538" s="3" t="s">
        <v>351</v>
      </c>
      <c r="J1538" s="3" t="s">
        <v>352</v>
      </c>
      <c r="K1538" s="3" t="s">
        <v>28</v>
      </c>
      <c r="L1538" s="3" t="s">
        <v>28</v>
      </c>
      <c r="M1538" s="3" t="s">
        <v>28</v>
      </c>
      <c r="N1538" s="3" t="s">
        <v>28</v>
      </c>
      <c r="O1538" s="3" t="s">
        <v>28</v>
      </c>
      <c r="P1538" s="3" t="s">
        <v>28</v>
      </c>
      <c r="Q1538" s="3" t="s">
        <v>28</v>
      </c>
      <c r="R1538" s="3" t="s">
        <v>28</v>
      </c>
      <c r="S1538" s="3" t="s">
        <v>28</v>
      </c>
      <c r="T1538" s="3" t="s">
        <v>27</v>
      </c>
    </row>
    <row r="1539" spans="1:20" ht="396.75">
      <c r="A1539" s="3">
        <v>2720589</v>
      </c>
      <c r="B1539" s="3">
        <f>HYPERLINK("https://platform.v2.vetology.net/cases/2720589/screening-report/6?type=pdf&amp;v=v6&amp;scorecard=1&amp;secret_key=BX%25IJ%24%2F65ieZ%29f6", 2720589)</f>
        <v>2720589</v>
      </c>
      <c r="C1539" s="3">
        <f>HYPERLINK("https://platform.v2.vetology.net/report/v/final/"&amp;2720589, 2720589)</f>
        <v>2720589</v>
      </c>
      <c r="D1539" s="3" t="s">
        <v>5496</v>
      </c>
      <c r="E1539" s="3" t="s">
        <v>5497</v>
      </c>
      <c r="F1539" s="3" t="s">
        <v>5498</v>
      </c>
      <c r="G1539" s="3" t="s">
        <v>179</v>
      </c>
      <c r="H1539" s="3" t="s">
        <v>158</v>
      </c>
      <c r="I1539" s="3" t="s">
        <v>32</v>
      </c>
      <c r="J1539" s="3" t="s">
        <v>119</v>
      </c>
      <c r="K1539" s="3" t="s">
        <v>28</v>
      </c>
      <c r="L1539" s="3" t="s">
        <v>28</v>
      </c>
      <c r="M1539" s="3" t="s">
        <v>28</v>
      </c>
      <c r="N1539" s="3" t="s">
        <v>28</v>
      </c>
      <c r="O1539" s="3" t="s">
        <v>27</v>
      </c>
      <c r="P1539" s="3" t="s">
        <v>28</v>
      </c>
      <c r="Q1539" s="3" t="s">
        <v>28</v>
      </c>
      <c r="R1539" s="3" t="s">
        <v>28</v>
      </c>
      <c r="S1539" s="3" t="s">
        <v>28</v>
      </c>
      <c r="T1539" s="3" t="s">
        <v>28</v>
      </c>
    </row>
    <row r="1540" spans="1:20" ht="409.6">
      <c r="A1540" s="3">
        <v>2720567</v>
      </c>
      <c r="B1540" s="3">
        <f>HYPERLINK("https://platform.v2.vetology.net/cases/2720567/screening-report/6?type=pdf&amp;v=v6&amp;scorecard=1&amp;secret_key=BX%25IJ%24%2F65ieZ%29f6", 2720567)</f>
        <v>2720567</v>
      </c>
      <c r="C1540" s="3">
        <f>HYPERLINK("https://platform.v2.vetology.net/report/v/final/"&amp;2720567, 2720567)</f>
        <v>2720567</v>
      </c>
      <c r="D1540" s="3" t="s">
        <v>5499</v>
      </c>
      <c r="E1540" s="3" t="s">
        <v>5500</v>
      </c>
      <c r="F1540" s="3" t="s">
        <v>5501</v>
      </c>
      <c r="G1540" s="3" t="s">
        <v>566</v>
      </c>
      <c r="H1540" s="3" t="s">
        <v>5502</v>
      </c>
      <c r="I1540" s="3" t="s">
        <v>279</v>
      </c>
      <c r="J1540" s="3" t="s">
        <v>280</v>
      </c>
      <c r="K1540" s="3" t="s">
        <v>28</v>
      </c>
      <c r="L1540" s="3" t="s">
        <v>28</v>
      </c>
      <c r="M1540" s="3" t="s">
        <v>28</v>
      </c>
      <c r="N1540" s="3" t="s">
        <v>28</v>
      </c>
      <c r="O1540" s="3" t="s">
        <v>28</v>
      </c>
      <c r="P1540" s="3" t="s">
        <v>28</v>
      </c>
      <c r="Q1540" s="3" t="s">
        <v>28</v>
      </c>
      <c r="R1540" s="3" t="s">
        <v>28</v>
      </c>
      <c r="S1540" s="3" t="s">
        <v>28</v>
      </c>
      <c r="T1540" s="3" t="s">
        <v>27</v>
      </c>
    </row>
    <row r="1541" spans="1:20" ht="409.6">
      <c r="A1541" s="3">
        <v>2720534</v>
      </c>
      <c r="B1541" s="3">
        <f>HYPERLINK("https://platform.v2.vetology.net/cases/2720534/screening-report/6?type=pdf&amp;v=v6&amp;scorecard=1&amp;secret_key=BX%25IJ%24%2F65ieZ%29f6", 2720534)</f>
        <v>2720534</v>
      </c>
      <c r="C1541" s="3">
        <f>HYPERLINK("https://platform.v2.vetology.net/report/v/final/"&amp;2720534, 2720534)</f>
        <v>2720534</v>
      </c>
      <c r="D1541" s="3" t="s">
        <v>5503</v>
      </c>
      <c r="E1541" s="3" t="s">
        <v>5504</v>
      </c>
      <c r="F1541" s="3" t="s">
        <v>5505</v>
      </c>
      <c r="G1541" s="3" t="s">
        <v>179</v>
      </c>
      <c r="H1541" s="3" t="s">
        <v>5506</v>
      </c>
      <c r="I1541" s="3" t="s">
        <v>429</v>
      </c>
      <c r="J1541" s="3" t="s">
        <v>430</v>
      </c>
      <c r="K1541" s="3" t="s">
        <v>27</v>
      </c>
      <c r="L1541" s="3" t="s">
        <v>27</v>
      </c>
      <c r="M1541" s="3" t="s">
        <v>27</v>
      </c>
      <c r="N1541" s="3" t="s">
        <v>27</v>
      </c>
      <c r="O1541" s="3" t="s">
        <v>27</v>
      </c>
      <c r="P1541" s="3" t="s">
        <v>28</v>
      </c>
      <c r="Q1541" s="3" t="s">
        <v>27</v>
      </c>
      <c r="R1541" s="3" t="s">
        <v>27</v>
      </c>
      <c r="S1541" s="3" t="s">
        <v>28</v>
      </c>
      <c r="T1541" s="3" t="s">
        <v>27</v>
      </c>
    </row>
    <row r="1542" spans="1:20" ht="409.6">
      <c r="A1542" s="3">
        <v>2720465</v>
      </c>
      <c r="B1542" s="3">
        <f>HYPERLINK("https://platform.v2.vetology.net/cases/2720465/screening-report/6?type=pdf&amp;v=v6&amp;scorecard=1&amp;secret_key=BX%25IJ%24%2F65ieZ%29f6", 2720465)</f>
        <v>2720465</v>
      </c>
      <c r="C1542" s="3">
        <f>HYPERLINK("https://platform.v2.vetology.net/report/v/final/"&amp;2720465, 2720465)</f>
        <v>2720465</v>
      </c>
      <c r="D1542" s="3" t="s">
        <v>5507</v>
      </c>
      <c r="E1542" s="3" t="s">
        <v>5508</v>
      </c>
      <c r="F1542" s="3" t="s">
        <v>5509</v>
      </c>
      <c r="G1542" s="3" t="s">
        <v>64</v>
      </c>
      <c r="H1542" s="3" t="s">
        <v>5510</v>
      </c>
      <c r="I1542" s="3" t="s">
        <v>5511</v>
      </c>
      <c r="J1542" s="3" t="s">
        <v>5512</v>
      </c>
      <c r="K1542" s="3" t="s">
        <v>28</v>
      </c>
      <c r="L1542" s="3" t="s">
        <v>27</v>
      </c>
      <c r="M1542" s="3" t="s">
        <v>27</v>
      </c>
      <c r="N1542" s="3" t="s">
        <v>27</v>
      </c>
      <c r="O1542" s="3" t="s">
        <v>27</v>
      </c>
      <c r="P1542" s="3" t="s">
        <v>28</v>
      </c>
      <c r="Q1542" s="3" t="s">
        <v>28</v>
      </c>
      <c r="R1542" s="3" t="s">
        <v>27</v>
      </c>
      <c r="S1542" s="3" t="s">
        <v>27</v>
      </c>
      <c r="T1542" s="3" t="s">
        <v>27</v>
      </c>
    </row>
    <row r="1543" spans="1:20" ht="409.6">
      <c r="A1543" s="3">
        <v>2720458</v>
      </c>
      <c r="B1543" s="3">
        <f>HYPERLINK("https://platform.v2.vetology.net/cases/2720458/screening-report/6?type=pdf&amp;v=v6&amp;scorecard=1&amp;secret_key=BX%25IJ%24%2F65ieZ%29f6", 2720458)</f>
        <v>2720458</v>
      </c>
      <c r="C1543" s="3">
        <f>HYPERLINK("https://platform.v2.vetology.net/report/v/final/"&amp;2720458, 2720458)</f>
        <v>2720458</v>
      </c>
      <c r="D1543" s="3" t="s">
        <v>5513</v>
      </c>
      <c r="E1543" s="3" t="s">
        <v>5514</v>
      </c>
      <c r="F1543" s="3" t="s">
        <v>5515</v>
      </c>
      <c r="G1543" s="3" t="s">
        <v>179</v>
      </c>
      <c r="H1543" s="3" t="s">
        <v>1997</v>
      </c>
      <c r="I1543" s="3" t="s">
        <v>1688</v>
      </c>
      <c r="J1543" s="3" t="s">
        <v>207</v>
      </c>
      <c r="K1543" s="3" t="s">
        <v>27</v>
      </c>
      <c r="L1543" s="3" t="s">
        <v>28</v>
      </c>
      <c r="M1543" s="3" t="s">
        <v>28</v>
      </c>
      <c r="N1543" s="3" t="s">
        <v>28</v>
      </c>
      <c r="O1543" s="3" t="s">
        <v>27</v>
      </c>
      <c r="P1543" s="3" t="s">
        <v>28</v>
      </c>
      <c r="Q1543" s="3" t="s">
        <v>27</v>
      </c>
      <c r="R1543" s="3" t="s">
        <v>28</v>
      </c>
      <c r="S1543" s="3" t="s">
        <v>28</v>
      </c>
      <c r="T1543" s="3" t="s">
        <v>27</v>
      </c>
    </row>
    <row r="1544" spans="1:20" ht="409.6">
      <c r="A1544" s="3">
        <v>2720450</v>
      </c>
      <c r="B1544" s="3">
        <f>HYPERLINK("https://platform.v2.vetology.net/cases/2720450/screening-report/6?type=pdf&amp;v=v6&amp;scorecard=1&amp;secret_key=BX%25IJ%24%2F65ieZ%29f6", 2720450)</f>
        <v>2720450</v>
      </c>
      <c r="C1544" s="3">
        <f>HYPERLINK("https://platform.v2.vetology.net/report/v/final/"&amp;2720450, 2720450)</f>
        <v>2720450</v>
      </c>
      <c r="D1544" s="3" t="s">
        <v>5516</v>
      </c>
      <c r="E1544" s="3" t="s">
        <v>5517</v>
      </c>
      <c r="F1544" s="3" t="s">
        <v>5518</v>
      </c>
      <c r="G1544" s="3" t="s">
        <v>64</v>
      </c>
      <c r="H1544" s="3" t="s">
        <v>5519</v>
      </c>
      <c r="I1544" s="3" t="s">
        <v>5511</v>
      </c>
      <c r="J1544" s="3" t="s">
        <v>5512</v>
      </c>
      <c r="K1544" s="3" t="s">
        <v>28</v>
      </c>
      <c r="L1544" s="3" t="s">
        <v>27</v>
      </c>
      <c r="M1544" s="3" t="s">
        <v>27</v>
      </c>
      <c r="N1544" s="3" t="s">
        <v>27</v>
      </c>
      <c r="O1544" s="3" t="s">
        <v>27</v>
      </c>
      <c r="P1544" s="3" t="s">
        <v>28</v>
      </c>
      <c r="Q1544" s="3" t="s">
        <v>27</v>
      </c>
      <c r="R1544" s="3" t="s">
        <v>27</v>
      </c>
      <c r="S1544" s="3" t="s">
        <v>27</v>
      </c>
      <c r="T1544" s="3" t="s">
        <v>27</v>
      </c>
    </row>
    <row r="1545" spans="1:20" ht="321">
      <c r="A1545" s="3">
        <v>2720441</v>
      </c>
      <c r="B1545" s="3">
        <f>HYPERLINK("https://platform.v2.vetology.net/cases/2720441/screening-report/6?type=pdf&amp;v=v6&amp;scorecard=1&amp;secret_key=BX%25IJ%24%2F65ieZ%29f6", 2720441)</f>
        <v>2720441</v>
      </c>
      <c r="C1545" s="3">
        <f>HYPERLINK("https://platform.v2.vetology.net/report/v/final/"&amp;2720441, 2720441)</f>
        <v>2720441</v>
      </c>
      <c r="D1545" s="3" t="s">
        <v>5520</v>
      </c>
      <c r="E1545" s="3" t="s">
        <v>5521</v>
      </c>
      <c r="F1545" s="3"/>
      <c r="G1545" s="3" t="s">
        <v>122</v>
      </c>
      <c r="H1545" s="3" t="s">
        <v>2523</v>
      </c>
      <c r="I1545" s="3" t="s">
        <v>2524</v>
      </c>
      <c r="J1545" s="3" t="s">
        <v>1374</v>
      </c>
      <c r="K1545" s="3" t="s">
        <v>27</v>
      </c>
      <c r="L1545" s="3" t="s">
        <v>27</v>
      </c>
      <c r="M1545" s="3" t="s">
        <v>27</v>
      </c>
      <c r="N1545" s="3" t="s">
        <v>27</v>
      </c>
      <c r="O1545" s="3" t="s">
        <v>27</v>
      </c>
      <c r="P1545" s="3" t="s">
        <v>28</v>
      </c>
      <c r="Q1545" s="3" t="s">
        <v>27</v>
      </c>
      <c r="R1545" s="3" t="s">
        <v>27</v>
      </c>
      <c r="S1545" s="3" t="s">
        <v>27</v>
      </c>
      <c r="T1545" s="3" t="s">
        <v>27</v>
      </c>
    </row>
    <row r="1546" spans="1:20" ht="396.75">
      <c r="A1546" s="3">
        <v>2720419</v>
      </c>
      <c r="B1546" s="3">
        <f>HYPERLINK("https://platform.v2.vetology.net/cases/2720419/screening-report/6?type=pdf&amp;v=v6&amp;scorecard=1&amp;secret_key=BX%25IJ%24%2F65ieZ%29f6", 2720419)</f>
        <v>2720419</v>
      </c>
      <c r="C1546" s="3">
        <f>HYPERLINK("https://platform.v2.vetology.net/report/v/final/"&amp;2720419, 2720419)</f>
        <v>2720419</v>
      </c>
      <c r="D1546" s="3" t="s">
        <v>5522</v>
      </c>
      <c r="E1546" s="3" t="s">
        <v>5523</v>
      </c>
      <c r="F1546" s="3" t="s">
        <v>5524</v>
      </c>
      <c r="G1546" s="3" t="s">
        <v>186</v>
      </c>
      <c r="H1546" s="3" t="s">
        <v>5525</v>
      </c>
      <c r="I1546" s="3" t="s">
        <v>469</v>
      </c>
      <c r="J1546" s="3" t="s">
        <v>470</v>
      </c>
      <c r="K1546" s="3" t="s">
        <v>28</v>
      </c>
      <c r="L1546" s="3" t="s">
        <v>28</v>
      </c>
      <c r="M1546" s="3" t="s">
        <v>28</v>
      </c>
      <c r="N1546" s="3" t="s">
        <v>28</v>
      </c>
      <c r="O1546" s="3" t="s">
        <v>27</v>
      </c>
      <c r="P1546" s="3" t="s">
        <v>28</v>
      </c>
      <c r="Q1546" s="3" t="s">
        <v>28</v>
      </c>
      <c r="R1546" s="3" t="s">
        <v>28</v>
      </c>
      <c r="S1546" s="3" t="s">
        <v>28</v>
      </c>
      <c r="T1546" s="3" t="s">
        <v>28</v>
      </c>
    </row>
    <row r="1547" spans="1:20" ht="409.6">
      <c r="A1547" s="3">
        <v>2720404</v>
      </c>
      <c r="B1547" s="3">
        <f>HYPERLINK("https://platform.v2.vetology.net/cases/2720404/screening-report/6?type=pdf&amp;v=v6&amp;scorecard=1&amp;secret_key=BX%25IJ%24%2F65ieZ%29f6", 2720404)</f>
        <v>2720404</v>
      </c>
      <c r="C1547" s="3">
        <f>HYPERLINK("https://platform.v2.vetology.net/report/v/final/"&amp;2720404, 2720404)</f>
        <v>2720404</v>
      </c>
      <c r="D1547" s="3" t="s">
        <v>5526</v>
      </c>
      <c r="E1547" s="3" t="s">
        <v>5527</v>
      </c>
      <c r="F1547" s="3" t="s">
        <v>5528</v>
      </c>
      <c r="G1547" s="3" t="s">
        <v>179</v>
      </c>
      <c r="H1547" s="3" t="s">
        <v>5529</v>
      </c>
      <c r="I1547" s="3" t="s">
        <v>1901</v>
      </c>
      <c r="J1547" s="3" t="s">
        <v>1902</v>
      </c>
      <c r="K1547" s="3" t="s">
        <v>27</v>
      </c>
      <c r="L1547" s="3" t="s">
        <v>28</v>
      </c>
      <c r="M1547" s="3" t="s">
        <v>27</v>
      </c>
      <c r="N1547" s="3" t="s">
        <v>28</v>
      </c>
      <c r="O1547" s="3" t="s">
        <v>27</v>
      </c>
      <c r="P1547" s="3" t="s">
        <v>27</v>
      </c>
      <c r="Q1547" s="3" t="s">
        <v>27</v>
      </c>
      <c r="R1547" s="3" t="s">
        <v>28</v>
      </c>
      <c r="S1547" s="3" t="s">
        <v>28</v>
      </c>
      <c r="T1547" s="3" t="s">
        <v>28</v>
      </c>
    </row>
    <row r="1548" spans="1:20" ht="409.6">
      <c r="A1548" s="3">
        <v>2720397</v>
      </c>
      <c r="B1548" s="3">
        <f>HYPERLINK("https://platform.v2.vetology.net/cases/2720397/screening-report/6?type=pdf&amp;v=v6&amp;scorecard=1&amp;secret_key=BX%25IJ%24%2F65ieZ%29f6", 2720397)</f>
        <v>2720397</v>
      </c>
      <c r="C1548" s="3">
        <f>HYPERLINK("https://platform.v2.vetology.net/report/v/final/"&amp;2720397, 2720397)</f>
        <v>2720397</v>
      </c>
      <c r="D1548" s="3" t="s">
        <v>5530</v>
      </c>
      <c r="E1548" s="3" t="s">
        <v>5531</v>
      </c>
      <c r="F1548" s="3" t="s">
        <v>5532</v>
      </c>
      <c r="G1548" s="3" t="s">
        <v>64</v>
      </c>
      <c r="H1548" s="3" t="s">
        <v>2193</v>
      </c>
      <c r="I1548" s="3" t="s">
        <v>78</v>
      </c>
      <c r="J1548" s="3" t="s">
        <v>79</v>
      </c>
      <c r="K1548" s="3" t="s">
        <v>28</v>
      </c>
      <c r="L1548" s="3" t="s">
        <v>28</v>
      </c>
      <c r="M1548" s="3" t="s">
        <v>28</v>
      </c>
      <c r="N1548" s="3" t="s">
        <v>28</v>
      </c>
      <c r="O1548" s="3" t="s">
        <v>27</v>
      </c>
      <c r="P1548" s="3" t="s">
        <v>27</v>
      </c>
      <c r="Q1548" s="3" t="s">
        <v>28</v>
      </c>
      <c r="R1548" s="3" t="s">
        <v>28</v>
      </c>
      <c r="S1548" s="3" t="s">
        <v>28</v>
      </c>
      <c r="T1548" s="3" t="s">
        <v>28</v>
      </c>
    </row>
    <row r="1549" spans="1:20" ht="305.25">
      <c r="A1549" s="3">
        <v>2720318</v>
      </c>
      <c r="B1549" s="3">
        <f>HYPERLINK("https://platform.v2.vetology.net/cases/2720318/screening-report/6?type=pdf&amp;v=v6&amp;scorecard=1&amp;secret_key=BX%25IJ%24%2F65ieZ%29f6", 2720318)</f>
        <v>2720318</v>
      </c>
      <c r="C1549" s="3">
        <f>HYPERLINK("https://platform.v2.vetology.net/report/v/final/"&amp;2720318, 2720318)</f>
        <v>2720318</v>
      </c>
      <c r="D1549" s="3" t="s">
        <v>5533</v>
      </c>
      <c r="E1549" s="3" t="s">
        <v>5534</v>
      </c>
      <c r="F1549" s="3"/>
      <c r="G1549" s="3" t="s">
        <v>100</v>
      </c>
      <c r="H1549" s="3" t="s">
        <v>31</v>
      </c>
      <c r="I1549" s="3" t="s">
        <v>32</v>
      </c>
      <c r="J1549" s="3" t="s">
        <v>33</v>
      </c>
      <c r="K1549" s="3" t="s">
        <v>28</v>
      </c>
      <c r="L1549" s="3" t="s">
        <v>28</v>
      </c>
      <c r="M1549" s="3" t="s">
        <v>28</v>
      </c>
      <c r="N1549" s="3" t="s">
        <v>28</v>
      </c>
      <c r="O1549" s="3" t="s">
        <v>27</v>
      </c>
      <c r="P1549" s="3" t="s">
        <v>27</v>
      </c>
      <c r="Q1549" s="3" t="s">
        <v>28</v>
      </c>
      <c r="R1549" s="3" t="s">
        <v>28</v>
      </c>
      <c r="S1549" s="3" t="s">
        <v>28</v>
      </c>
      <c r="T1549" s="3" t="s">
        <v>28</v>
      </c>
    </row>
    <row r="1550" spans="1:20" ht="409.6">
      <c r="A1550" s="3">
        <v>2720244</v>
      </c>
      <c r="B1550" s="3">
        <f>HYPERLINK("https://platform.v2.vetology.net/cases/2720244/screening-report/6?type=pdf&amp;v=v6&amp;scorecard=1&amp;secret_key=BX%25IJ%24%2F65ieZ%29f6", 2720244)</f>
        <v>2720244</v>
      </c>
      <c r="C1550" s="3">
        <f>HYPERLINK("https://platform.v2.vetology.net/report/v/final/"&amp;2720244, 2720244)</f>
        <v>2720244</v>
      </c>
      <c r="D1550" s="3" t="s">
        <v>5535</v>
      </c>
      <c r="E1550" s="3" t="s">
        <v>5536</v>
      </c>
      <c r="F1550" s="3" t="s">
        <v>5537</v>
      </c>
      <c r="G1550" s="3" t="s">
        <v>64</v>
      </c>
      <c r="H1550" s="3" t="s">
        <v>5538</v>
      </c>
      <c r="I1550" s="3" t="s">
        <v>3126</v>
      </c>
      <c r="J1550" s="3" t="s">
        <v>3127</v>
      </c>
      <c r="K1550" s="3" t="s">
        <v>28</v>
      </c>
      <c r="L1550" s="3" t="s">
        <v>27</v>
      </c>
      <c r="M1550" s="3" t="s">
        <v>28</v>
      </c>
      <c r="N1550" s="3" t="s">
        <v>28</v>
      </c>
      <c r="O1550" s="3" t="s">
        <v>28</v>
      </c>
      <c r="P1550" s="3" t="s">
        <v>27</v>
      </c>
      <c r="Q1550" s="3" t="s">
        <v>28</v>
      </c>
      <c r="R1550" s="3" t="s">
        <v>28</v>
      </c>
      <c r="S1550" s="3" t="s">
        <v>28</v>
      </c>
      <c r="T1550" s="3" t="s">
        <v>28</v>
      </c>
    </row>
    <row r="1551" spans="1:20" ht="409.6">
      <c r="A1551" s="3">
        <v>2720217</v>
      </c>
      <c r="B1551" s="3">
        <f>HYPERLINK("https://platform.v2.vetology.net/cases/2720217/screening-report/6?type=pdf&amp;v=v6&amp;scorecard=1&amp;secret_key=BX%25IJ%24%2F65ieZ%29f6", 2720217)</f>
        <v>2720217</v>
      </c>
      <c r="C1551" s="3">
        <f>HYPERLINK("https://platform.v2.vetology.net/report/v/final/"&amp;2720217, 2720217)</f>
        <v>2720217</v>
      </c>
      <c r="D1551" s="3" t="s">
        <v>5539</v>
      </c>
      <c r="E1551" s="3" t="s">
        <v>5540</v>
      </c>
      <c r="F1551" s="3" t="s">
        <v>5541</v>
      </c>
      <c r="G1551" s="3" t="s">
        <v>496</v>
      </c>
      <c r="H1551" s="3" t="s">
        <v>5542</v>
      </c>
      <c r="I1551" s="3" t="s">
        <v>113</v>
      </c>
      <c r="J1551" s="3" t="s">
        <v>114</v>
      </c>
      <c r="K1551" s="3" t="s">
        <v>27</v>
      </c>
      <c r="L1551" s="3" t="s">
        <v>28</v>
      </c>
      <c r="M1551" s="3" t="s">
        <v>28</v>
      </c>
      <c r="N1551" s="3" t="s">
        <v>28</v>
      </c>
      <c r="O1551" s="3" t="s">
        <v>27</v>
      </c>
      <c r="P1551" s="3" t="s">
        <v>27</v>
      </c>
      <c r="Q1551" s="3" t="s">
        <v>27</v>
      </c>
      <c r="R1551" s="3" t="s">
        <v>28</v>
      </c>
      <c r="S1551" s="3" t="s">
        <v>28</v>
      </c>
      <c r="T1551" s="3" t="s">
        <v>28</v>
      </c>
    </row>
    <row r="1552" spans="1:20" ht="366">
      <c r="A1552" s="3">
        <v>2719969</v>
      </c>
      <c r="B1552" s="3">
        <f>HYPERLINK("https://platform.v2.vetology.net/cases/2719969/screening-report/6?type=pdf&amp;v=v6&amp;scorecard=1&amp;secret_key=BX%25IJ%24%2F65ieZ%29f6", 2719969)</f>
        <v>2719969</v>
      </c>
      <c r="C1552" s="3">
        <f>HYPERLINK("https://platform.v2.vetology.net/report/v/final/"&amp;2719969, 2719969)</f>
        <v>2719969</v>
      </c>
      <c r="D1552" s="3" t="s">
        <v>5543</v>
      </c>
      <c r="E1552" s="3" t="s">
        <v>5544</v>
      </c>
      <c r="F1552" s="3" t="s">
        <v>22</v>
      </c>
      <c r="G1552" s="3" t="s">
        <v>23</v>
      </c>
      <c r="H1552" s="3" t="s">
        <v>864</v>
      </c>
      <c r="I1552" s="3" t="s">
        <v>865</v>
      </c>
      <c r="J1552" s="3" t="s">
        <v>866</v>
      </c>
      <c r="K1552" s="3" t="s">
        <v>28</v>
      </c>
      <c r="L1552" s="3" t="s">
        <v>28</v>
      </c>
      <c r="M1552" s="3" t="s">
        <v>28</v>
      </c>
      <c r="N1552" s="3" t="s">
        <v>27</v>
      </c>
      <c r="O1552" s="3" t="s">
        <v>28</v>
      </c>
      <c r="P1552" s="3" t="s">
        <v>28</v>
      </c>
      <c r="Q1552" s="3" t="s">
        <v>28</v>
      </c>
      <c r="R1552" s="3" t="s">
        <v>28</v>
      </c>
      <c r="S1552" s="3" t="s">
        <v>28</v>
      </c>
      <c r="T1552" s="3" t="s">
        <v>28</v>
      </c>
    </row>
    <row r="1553" spans="1:20" ht="409.6">
      <c r="A1553" s="3">
        <v>2719941</v>
      </c>
      <c r="B1553" s="3">
        <f>HYPERLINK("https://platform.v2.vetology.net/cases/2719941/screening-report/6?type=pdf&amp;v=v6&amp;scorecard=1&amp;secret_key=BX%25IJ%24%2F65ieZ%29f6", 2719941)</f>
        <v>2719941</v>
      </c>
      <c r="C1553" s="3">
        <f>HYPERLINK("https://platform.v2.vetology.net/report/v/final/"&amp;2719941, 2719941)</f>
        <v>2719941</v>
      </c>
      <c r="D1553" s="3" t="s">
        <v>5545</v>
      </c>
      <c r="E1553" s="3" t="s">
        <v>5546</v>
      </c>
      <c r="F1553" s="3" t="s">
        <v>5547</v>
      </c>
      <c r="G1553" s="3" t="s">
        <v>179</v>
      </c>
      <c r="H1553" s="3" t="s">
        <v>855</v>
      </c>
      <c r="I1553" s="3" t="s">
        <v>856</v>
      </c>
      <c r="J1553" s="3" t="s">
        <v>857</v>
      </c>
      <c r="K1553" s="3" t="s">
        <v>27</v>
      </c>
      <c r="L1553" s="3" t="s">
        <v>28</v>
      </c>
      <c r="M1553" s="3" t="s">
        <v>28</v>
      </c>
      <c r="N1553" s="3" t="s">
        <v>28</v>
      </c>
      <c r="O1553" s="3" t="s">
        <v>27</v>
      </c>
      <c r="P1553" s="3" t="s">
        <v>28</v>
      </c>
      <c r="Q1553" s="3" t="s">
        <v>28</v>
      </c>
      <c r="R1553" s="3" t="s">
        <v>28</v>
      </c>
      <c r="S1553" s="3" t="s">
        <v>28</v>
      </c>
      <c r="T1553" s="3" t="s">
        <v>28</v>
      </c>
    </row>
    <row r="1554" spans="1:20" ht="336">
      <c r="A1554" s="3">
        <v>2719934</v>
      </c>
      <c r="B1554" s="3">
        <f>HYPERLINK("https://platform.v2.vetology.net/cases/2719934/screening-report/6?type=pdf&amp;v=v6&amp;scorecard=1&amp;secret_key=BX%25IJ%24%2F65ieZ%29f6", 2719934)</f>
        <v>2719934</v>
      </c>
      <c r="C1554" s="3">
        <f>HYPERLINK("https://platform.v2.vetology.net/report/v/final/"&amp;2719934, 2719934)</f>
        <v>2719934</v>
      </c>
      <c r="D1554" s="3" t="s">
        <v>5548</v>
      </c>
      <c r="E1554" s="3" t="s">
        <v>5549</v>
      </c>
      <c r="F1554" s="3" t="s">
        <v>5550</v>
      </c>
      <c r="G1554" s="3" t="s">
        <v>23</v>
      </c>
      <c r="H1554" s="3" t="s">
        <v>1787</v>
      </c>
      <c r="I1554" s="3" t="s">
        <v>933</v>
      </c>
      <c r="J1554" s="3" t="s">
        <v>934</v>
      </c>
      <c r="K1554" s="3" t="s">
        <v>28</v>
      </c>
      <c r="L1554" s="3" t="s">
        <v>28</v>
      </c>
      <c r="M1554" s="3" t="s">
        <v>28</v>
      </c>
      <c r="N1554" s="3" t="s">
        <v>28</v>
      </c>
      <c r="O1554" s="3" t="s">
        <v>27</v>
      </c>
      <c r="P1554" s="3" t="s">
        <v>28</v>
      </c>
      <c r="Q1554" s="3" t="s">
        <v>28</v>
      </c>
      <c r="R1554" s="3" t="s">
        <v>28</v>
      </c>
      <c r="S1554" s="3" t="s">
        <v>28</v>
      </c>
      <c r="T1554" s="3" t="s">
        <v>28</v>
      </c>
    </row>
    <row r="1555" spans="1:20" ht="290.25">
      <c r="A1555" s="3">
        <v>2719896</v>
      </c>
      <c r="B1555" s="3">
        <f>HYPERLINK("https://platform.v2.vetology.net/cases/2719896/screening-report/6?type=pdf&amp;v=v6&amp;scorecard=1&amp;secret_key=BX%25IJ%24%2F65ieZ%29f6", 2719896)</f>
        <v>2719896</v>
      </c>
      <c r="C1555" s="3">
        <f>HYPERLINK("https://platform.v2.vetology.net/report/v/final/"&amp;2719896, 2719896)</f>
        <v>2719896</v>
      </c>
      <c r="D1555" s="3" t="s">
        <v>5551</v>
      </c>
      <c r="E1555" s="3" t="s">
        <v>5552</v>
      </c>
      <c r="F1555" s="3" t="s">
        <v>5553</v>
      </c>
      <c r="G1555" s="3" t="s">
        <v>186</v>
      </c>
      <c r="H1555" s="3" t="s">
        <v>419</v>
      </c>
      <c r="I1555" s="3" t="s">
        <v>316</v>
      </c>
      <c r="J1555" s="3" t="s">
        <v>317</v>
      </c>
      <c r="K1555" s="3" t="s">
        <v>28</v>
      </c>
      <c r="L1555" s="3" t="s">
        <v>28</v>
      </c>
      <c r="M1555" s="3" t="s">
        <v>28</v>
      </c>
      <c r="N1555" s="3" t="s">
        <v>28</v>
      </c>
      <c r="O1555" s="3" t="s">
        <v>27</v>
      </c>
      <c r="P1555" s="3" t="s">
        <v>28</v>
      </c>
      <c r="Q1555" s="3" t="s">
        <v>28</v>
      </c>
      <c r="R1555" s="3" t="s">
        <v>28</v>
      </c>
      <c r="S1555" s="3" t="s">
        <v>28</v>
      </c>
      <c r="T1555" s="3" t="s">
        <v>28</v>
      </c>
    </row>
    <row r="1556" spans="1:20" ht="409.6">
      <c r="A1556" s="3">
        <v>2719872</v>
      </c>
      <c r="B1556" s="3">
        <f>HYPERLINK("https://platform.v2.vetology.net/cases/2719872/screening-report/6?type=pdf&amp;v=v6&amp;scorecard=1&amp;secret_key=BX%25IJ%24%2F65ieZ%29f6", 2719872)</f>
        <v>2719872</v>
      </c>
      <c r="C1556" s="3">
        <f>HYPERLINK("https://platform.v2.vetology.net/report/v/final/"&amp;2719872, 2719872)</f>
        <v>2719872</v>
      </c>
      <c r="D1556" s="3" t="s">
        <v>5554</v>
      </c>
      <c r="E1556" s="3" t="s">
        <v>5555</v>
      </c>
      <c r="F1556" s="3" t="s">
        <v>22</v>
      </c>
      <c r="G1556" s="3" t="s">
        <v>23</v>
      </c>
      <c r="H1556" s="3" t="s">
        <v>158</v>
      </c>
      <c r="I1556" s="3" t="s">
        <v>32</v>
      </c>
      <c r="J1556" s="3" t="s">
        <v>387</v>
      </c>
      <c r="K1556" s="3" t="s">
        <v>28</v>
      </c>
      <c r="L1556" s="3" t="s">
        <v>28</v>
      </c>
      <c r="M1556" s="3" t="s">
        <v>28</v>
      </c>
      <c r="N1556" s="3" t="s">
        <v>28</v>
      </c>
      <c r="O1556" s="3" t="s">
        <v>27</v>
      </c>
      <c r="P1556" s="3" t="s">
        <v>28</v>
      </c>
      <c r="Q1556" s="3" t="s">
        <v>28</v>
      </c>
      <c r="R1556" s="3" t="s">
        <v>28</v>
      </c>
      <c r="S1556" s="3" t="s">
        <v>28</v>
      </c>
      <c r="T1556" s="3" t="s">
        <v>27</v>
      </c>
    </row>
    <row r="1557" spans="1:20" ht="244.5">
      <c r="A1557" s="3">
        <v>2719852</v>
      </c>
      <c r="B1557" s="3">
        <f>HYPERLINK("https://platform.v2.vetology.net/cases/2719852/screening-report/6?type=pdf&amp;v=v6&amp;scorecard=1&amp;secret_key=BX%25IJ%24%2F65ieZ%29f6", 2719852)</f>
        <v>2719852</v>
      </c>
      <c r="C1557" s="3">
        <f>HYPERLINK("https://platform.v2.vetology.net/report/v/final/"&amp;2719852, 2719852)</f>
        <v>2719852</v>
      </c>
      <c r="D1557" s="3" t="s">
        <v>5556</v>
      </c>
      <c r="E1557" s="3" t="s">
        <v>5557</v>
      </c>
      <c r="F1557" s="3" t="s">
        <v>22</v>
      </c>
      <c r="G1557" s="3" t="s">
        <v>100</v>
      </c>
      <c r="H1557" s="3" t="s">
        <v>5558</v>
      </c>
      <c r="I1557" s="3" t="s">
        <v>4827</v>
      </c>
      <c r="J1557" s="3" t="s">
        <v>4700</v>
      </c>
      <c r="K1557" s="3" t="s">
        <v>27</v>
      </c>
      <c r="L1557" s="3" t="s">
        <v>28</v>
      </c>
      <c r="M1557" s="3" t="s">
        <v>28</v>
      </c>
      <c r="N1557" s="3" t="s">
        <v>28</v>
      </c>
      <c r="O1557" s="3" t="s">
        <v>27</v>
      </c>
      <c r="P1557" s="3" t="s">
        <v>28</v>
      </c>
      <c r="Q1557" s="3" t="s">
        <v>27</v>
      </c>
      <c r="R1557" s="3" t="s">
        <v>28</v>
      </c>
      <c r="S1557" s="3" t="s">
        <v>28</v>
      </c>
      <c r="T1557" s="3" t="s">
        <v>28</v>
      </c>
    </row>
    <row r="1558" spans="1:20" ht="366">
      <c r="A1558" s="3">
        <v>2719846</v>
      </c>
      <c r="B1558" s="3">
        <f>HYPERLINK("https://platform.v2.vetology.net/cases/2719846/screening-report/6?type=pdf&amp;v=v6&amp;scorecard=1&amp;secret_key=BX%25IJ%24%2F65ieZ%29f6", 2719846)</f>
        <v>2719846</v>
      </c>
      <c r="C1558" s="3">
        <f>HYPERLINK("https://platform.v2.vetology.net/report/v/final/"&amp;2719846, 2719846)</f>
        <v>2719846</v>
      </c>
      <c r="D1558" s="3" t="s">
        <v>5559</v>
      </c>
      <c r="E1558" s="3" t="s">
        <v>5560</v>
      </c>
      <c r="F1558" s="3" t="s">
        <v>5561</v>
      </c>
      <c r="G1558" s="3" t="s">
        <v>211</v>
      </c>
      <c r="H1558" s="3" t="s">
        <v>5562</v>
      </c>
      <c r="I1558" s="3" t="s">
        <v>1430</v>
      </c>
      <c r="J1558" s="3" t="s">
        <v>1431</v>
      </c>
      <c r="K1558" s="3" t="s">
        <v>27</v>
      </c>
      <c r="L1558" s="3" t="s">
        <v>28</v>
      </c>
      <c r="M1558" s="3" t="s">
        <v>28</v>
      </c>
      <c r="N1558" s="3" t="s">
        <v>27</v>
      </c>
      <c r="O1558" s="3" t="s">
        <v>27</v>
      </c>
      <c r="P1558" s="3" t="s">
        <v>28</v>
      </c>
      <c r="Q1558" s="3" t="s">
        <v>28</v>
      </c>
      <c r="R1558" s="3" t="s">
        <v>27</v>
      </c>
      <c r="S1558" s="3" t="s">
        <v>27</v>
      </c>
      <c r="T1558" s="3" t="s">
        <v>27</v>
      </c>
    </row>
    <row r="1559" spans="1:20" ht="229.5">
      <c r="A1559" s="3">
        <v>2719827</v>
      </c>
      <c r="B1559" s="3">
        <f>HYPERLINK("https://platform.v2.vetology.net/cases/2719827/screening-report/6?type=pdf&amp;v=v6&amp;scorecard=1&amp;secret_key=BX%25IJ%24%2F65ieZ%29f6", 2719827)</f>
        <v>2719827</v>
      </c>
      <c r="C1559" s="3">
        <f>HYPERLINK("https://platform.v2.vetology.net/report/v/final/"&amp;2719827, 2719827)</f>
        <v>2719827</v>
      </c>
      <c r="D1559" s="3" t="s">
        <v>5563</v>
      </c>
      <c r="E1559" s="3" t="s">
        <v>3015</v>
      </c>
      <c r="F1559" s="3" t="s">
        <v>1090</v>
      </c>
      <c r="G1559" s="3" t="s">
        <v>100</v>
      </c>
      <c r="H1559" s="3" t="s">
        <v>31</v>
      </c>
      <c r="I1559" s="3" t="s">
        <v>1497</v>
      </c>
      <c r="J1559" s="3" t="s">
        <v>847</v>
      </c>
      <c r="K1559" s="3" t="s">
        <v>28</v>
      </c>
      <c r="L1559" s="3" t="s">
        <v>28</v>
      </c>
      <c r="M1559" s="3" t="s">
        <v>28</v>
      </c>
      <c r="N1559" s="3" t="s">
        <v>28</v>
      </c>
      <c r="O1559" s="3" t="s">
        <v>27</v>
      </c>
      <c r="P1559" s="3" t="s">
        <v>28</v>
      </c>
      <c r="Q1559" s="3" t="s">
        <v>28</v>
      </c>
      <c r="R1559" s="3" t="s">
        <v>28</v>
      </c>
      <c r="S1559" s="3" t="s">
        <v>28</v>
      </c>
      <c r="T1559" s="3" t="s">
        <v>28</v>
      </c>
    </row>
    <row r="1560" spans="1:20" ht="409.6">
      <c r="A1560" s="3">
        <v>2719779</v>
      </c>
      <c r="B1560" s="3">
        <f>HYPERLINK("https://platform.v2.vetology.net/cases/2719779/screening-report/6?type=pdf&amp;v=v6&amp;scorecard=1&amp;secret_key=BX%25IJ%24%2F65ieZ%29f6", 2719779)</f>
        <v>2719779</v>
      </c>
      <c r="C1560" s="3">
        <f>HYPERLINK("https://platform.v2.vetology.net/report/v/final/"&amp;2719779, 2719779)</f>
        <v>2719779</v>
      </c>
      <c r="D1560" s="3" t="s">
        <v>5564</v>
      </c>
      <c r="E1560" s="3" t="s">
        <v>5565</v>
      </c>
      <c r="F1560" s="3" t="s">
        <v>5566</v>
      </c>
      <c r="G1560" s="3" t="s">
        <v>64</v>
      </c>
      <c r="H1560" s="3" t="s">
        <v>2352</v>
      </c>
      <c r="I1560" s="3" t="s">
        <v>2353</v>
      </c>
      <c r="J1560" s="3" t="s">
        <v>207</v>
      </c>
      <c r="K1560" s="3" t="s">
        <v>27</v>
      </c>
      <c r="L1560" s="3" t="s">
        <v>27</v>
      </c>
      <c r="M1560" s="3" t="s">
        <v>27</v>
      </c>
      <c r="N1560" s="3" t="s">
        <v>27</v>
      </c>
      <c r="O1560" s="3" t="s">
        <v>27</v>
      </c>
      <c r="P1560" s="3" t="s">
        <v>28</v>
      </c>
      <c r="Q1560" s="3" t="s">
        <v>27</v>
      </c>
      <c r="R1560" s="3" t="s">
        <v>27</v>
      </c>
      <c r="S1560" s="3" t="s">
        <v>27</v>
      </c>
      <c r="T1560" s="3" t="s">
        <v>27</v>
      </c>
    </row>
    <row r="1561" spans="1:20" ht="351">
      <c r="A1561" s="3">
        <v>2719759</v>
      </c>
      <c r="B1561" s="3">
        <f>HYPERLINK("https://platform.v2.vetology.net/cases/2719759/screening-report/6?type=pdf&amp;v=v6&amp;scorecard=1&amp;secret_key=BX%25IJ%24%2F65ieZ%29f6", 2719759)</f>
        <v>2719759</v>
      </c>
      <c r="C1561" s="3">
        <f>HYPERLINK("https://platform.v2.vetology.net/report/v/final/"&amp;2719759, 2719759)</f>
        <v>2719759</v>
      </c>
      <c r="D1561" s="3" t="s">
        <v>5567</v>
      </c>
      <c r="E1561" s="3" t="s">
        <v>5568</v>
      </c>
      <c r="F1561" s="3" t="s">
        <v>5569</v>
      </c>
      <c r="G1561" s="3" t="s">
        <v>64</v>
      </c>
      <c r="H1561" s="3" t="s">
        <v>31</v>
      </c>
      <c r="I1561" s="3" t="s">
        <v>32</v>
      </c>
      <c r="J1561" s="3" t="s">
        <v>33</v>
      </c>
      <c r="K1561" s="3" t="s">
        <v>28</v>
      </c>
      <c r="L1561" s="3" t="s">
        <v>28</v>
      </c>
      <c r="M1561" s="3" t="s">
        <v>28</v>
      </c>
      <c r="N1561" s="3" t="s">
        <v>28</v>
      </c>
      <c r="O1561" s="3" t="s">
        <v>27</v>
      </c>
      <c r="P1561" s="3" t="s">
        <v>28</v>
      </c>
      <c r="Q1561" s="3" t="s">
        <v>28</v>
      </c>
      <c r="R1561" s="3" t="s">
        <v>28</v>
      </c>
      <c r="S1561" s="3" t="s">
        <v>28</v>
      </c>
      <c r="T1561" s="3" t="s">
        <v>28</v>
      </c>
    </row>
    <row r="1562" spans="1:20" ht="229.5">
      <c r="A1562" s="3">
        <v>2719744</v>
      </c>
      <c r="B1562" s="3">
        <f>HYPERLINK("https://platform.v2.vetology.net/cases/2719744/screening-report/6?type=pdf&amp;v=v6&amp;scorecard=1&amp;secret_key=BX%25IJ%24%2F65ieZ%29f6", 2719744)</f>
        <v>2719744</v>
      </c>
      <c r="C1562" s="3">
        <f>HYPERLINK("https://platform.v2.vetology.net/report/v/final/"&amp;2719744, 2719744)</f>
        <v>2719744</v>
      </c>
      <c r="D1562" s="3" t="s">
        <v>5570</v>
      </c>
      <c r="E1562" s="3" t="s">
        <v>5571</v>
      </c>
      <c r="F1562" s="3" t="s">
        <v>22</v>
      </c>
      <c r="G1562" s="3" t="s">
        <v>100</v>
      </c>
      <c r="H1562" s="3" t="s">
        <v>1932</v>
      </c>
      <c r="I1562" s="3" t="s">
        <v>136</v>
      </c>
      <c r="J1562" s="3" t="s">
        <v>137</v>
      </c>
      <c r="K1562" s="3" t="s">
        <v>28</v>
      </c>
      <c r="L1562" s="3" t="s">
        <v>28</v>
      </c>
      <c r="M1562" s="3" t="s">
        <v>28</v>
      </c>
      <c r="N1562" s="3" t="s">
        <v>27</v>
      </c>
      <c r="O1562" s="3" t="s">
        <v>27</v>
      </c>
      <c r="P1562" s="3" t="s">
        <v>28</v>
      </c>
      <c r="Q1562" s="3" t="s">
        <v>27</v>
      </c>
      <c r="R1562" s="3" t="s">
        <v>28</v>
      </c>
      <c r="S1562" s="3" t="s">
        <v>27</v>
      </c>
      <c r="T1562" s="3" t="s">
        <v>27</v>
      </c>
    </row>
    <row r="1563" spans="1:20" ht="409.6">
      <c r="A1563" s="3">
        <v>2719719</v>
      </c>
      <c r="B1563" s="3">
        <f>HYPERLINK("https://platform.v2.vetology.net/cases/2719719/screening-report/6?type=pdf&amp;v=v6&amp;scorecard=1&amp;secret_key=BX%25IJ%24%2F65ieZ%29f6", 2719719)</f>
        <v>2719719</v>
      </c>
      <c r="C1563" s="3">
        <f>HYPERLINK("https://platform.v2.vetology.net/report/v/final/"&amp;2719719, 2719719)</f>
        <v>2719719</v>
      </c>
      <c r="D1563" s="3" t="s">
        <v>5572</v>
      </c>
      <c r="E1563" s="3" t="s">
        <v>5573</v>
      </c>
      <c r="F1563" s="3" t="s">
        <v>5574</v>
      </c>
      <c r="G1563" s="3" t="s">
        <v>64</v>
      </c>
      <c r="H1563" s="3" t="s">
        <v>5575</v>
      </c>
      <c r="I1563" s="3" t="s">
        <v>1109</v>
      </c>
      <c r="J1563" s="3" t="s">
        <v>1110</v>
      </c>
      <c r="K1563" s="3" t="s">
        <v>28</v>
      </c>
      <c r="L1563" s="3" t="s">
        <v>28</v>
      </c>
      <c r="M1563" s="3" t="s">
        <v>28</v>
      </c>
      <c r="N1563" s="3" t="s">
        <v>28</v>
      </c>
      <c r="O1563" s="3" t="s">
        <v>27</v>
      </c>
      <c r="P1563" s="3" t="s">
        <v>28</v>
      </c>
      <c r="Q1563" s="3" t="s">
        <v>27</v>
      </c>
      <c r="R1563" s="3" t="s">
        <v>28</v>
      </c>
      <c r="S1563" s="3" t="s">
        <v>28</v>
      </c>
      <c r="T1563" s="3" t="s">
        <v>27</v>
      </c>
    </row>
    <row r="1564" spans="1:20" ht="290.25">
      <c r="A1564" s="3">
        <v>2719694</v>
      </c>
      <c r="B1564" s="3">
        <f>HYPERLINK("https://platform.v2.vetology.net/cases/2719694/screening-report/6?type=pdf&amp;v=v6&amp;scorecard=1&amp;secret_key=BX%25IJ%24%2F65ieZ%29f6", 2719694)</f>
        <v>2719694</v>
      </c>
      <c r="C1564" s="3">
        <f>HYPERLINK("https://platform.v2.vetology.net/report/v/final/"&amp;2719694, 2719694)</f>
        <v>2719694</v>
      </c>
      <c r="D1564" s="3" t="s">
        <v>5576</v>
      </c>
      <c r="E1564" s="3" t="s">
        <v>5577</v>
      </c>
      <c r="F1564" s="3" t="s">
        <v>5578</v>
      </c>
      <c r="G1564" s="3" t="s">
        <v>23</v>
      </c>
      <c r="H1564" s="3" t="s">
        <v>419</v>
      </c>
      <c r="I1564" s="3" t="s">
        <v>316</v>
      </c>
      <c r="J1564" s="3" t="s">
        <v>317</v>
      </c>
      <c r="K1564" s="3" t="s">
        <v>28</v>
      </c>
      <c r="L1564" s="3" t="s">
        <v>28</v>
      </c>
      <c r="M1564" s="3" t="s">
        <v>28</v>
      </c>
      <c r="N1564" s="3" t="s">
        <v>28</v>
      </c>
      <c r="O1564" s="3" t="s">
        <v>27</v>
      </c>
      <c r="P1564" s="3" t="s">
        <v>28</v>
      </c>
      <c r="Q1564" s="3" t="s">
        <v>28</v>
      </c>
      <c r="R1564" s="3" t="s">
        <v>28</v>
      </c>
      <c r="S1564" s="3" t="s">
        <v>28</v>
      </c>
      <c r="T1564" s="3" t="s">
        <v>28</v>
      </c>
    </row>
    <row r="1565" spans="1:20" ht="409.6">
      <c r="A1565" s="3">
        <v>2719641</v>
      </c>
      <c r="B1565" s="3">
        <f>HYPERLINK("https://platform.v2.vetology.net/cases/2719641/screening-report/6?type=pdf&amp;v=v6&amp;scorecard=1&amp;secret_key=BX%25IJ%24%2F65ieZ%29f6", 2719641)</f>
        <v>2719641</v>
      </c>
      <c r="C1565" s="3">
        <f>HYPERLINK("https://platform.v2.vetology.net/report/v/final/"&amp;2719641, 2719641)</f>
        <v>2719641</v>
      </c>
      <c r="D1565" s="3" t="s">
        <v>5579</v>
      </c>
      <c r="E1565" s="3" t="s">
        <v>5580</v>
      </c>
      <c r="F1565" s="3" t="s">
        <v>5581</v>
      </c>
      <c r="G1565" s="3" t="s">
        <v>64</v>
      </c>
      <c r="H1565" s="3" t="s">
        <v>5582</v>
      </c>
      <c r="I1565" s="3" t="s">
        <v>188</v>
      </c>
      <c r="J1565" s="3" t="s">
        <v>189</v>
      </c>
      <c r="K1565" s="3" t="s">
        <v>28</v>
      </c>
      <c r="L1565" s="3" t="s">
        <v>28</v>
      </c>
      <c r="M1565" s="3" t="s">
        <v>28</v>
      </c>
      <c r="N1565" s="3" t="s">
        <v>28</v>
      </c>
      <c r="O1565" s="3" t="s">
        <v>27</v>
      </c>
      <c r="P1565" s="3" t="s">
        <v>28</v>
      </c>
      <c r="Q1565" s="3" t="s">
        <v>28</v>
      </c>
      <c r="R1565" s="3" t="s">
        <v>28</v>
      </c>
      <c r="S1565" s="3" t="s">
        <v>28</v>
      </c>
      <c r="T1565" s="3" t="s">
        <v>28</v>
      </c>
    </row>
    <row r="1566" spans="1:20" ht="409.6">
      <c r="A1566" s="3">
        <v>2719526</v>
      </c>
      <c r="B1566" s="3">
        <f>HYPERLINK("https://platform.v2.vetology.net/cases/2719526/screening-report/6?type=pdf&amp;v=v6&amp;scorecard=1&amp;secret_key=BX%25IJ%24%2F65ieZ%29f6", 2719526)</f>
        <v>2719526</v>
      </c>
      <c r="C1566" s="3">
        <f>HYPERLINK("https://platform.v2.vetology.net/report/v/final/"&amp;2719526, 2719526)</f>
        <v>2719526</v>
      </c>
      <c r="D1566" s="3" t="s">
        <v>5583</v>
      </c>
      <c r="E1566" s="3" t="s">
        <v>5584</v>
      </c>
      <c r="F1566" s="3" t="s">
        <v>5585</v>
      </c>
      <c r="G1566" s="3" t="s">
        <v>372</v>
      </c>
      <c r="H1566" s="3" t="s">
        <v>1797</v>
      </c>
      <c r="I1566" s="3" t="s">
        <v>1798</v>
      </c>
      <c r="J1566" s="3" t="s">
        <v>1799</v>
      </c>
      <c r="K1566" s="3" t="s">
        <v>27</v>
      </c>
      <c r="L1566" s="3" t="s">
        <v>28</v>
      </c>
      <c r="M1566" s="3" t="s">
        <v>27</v>
      </c>
      <c r="N1566" s="3" t="s">
        <v>28</v>
      </c>
      <c r="O1566" s="3" t="s">
        <v>27</v>
      </c>
      <c r="P1566" s="3" t="s">
        <v>27</v>
      </c>
      <c r="Q1566" s="3" t="s">
        <v>27</v>
      </c>
      <c r="R1566" s="3" t="s">
        <v>28</v>
      </c>
      <c r="S1566" s="3" t="s">
        <v>28</v>
      </c>
      <c r="T1566" s="3" t="s">
        <v>27</v>
      </c>
    </row>
    <row r="1567" spans="1:20" ht="409.6">
      <c r="A1567" s="3">
        <v>2719522</v>
      </c>
      <c r="B1567" s="3">
        <f>HYPERLINK("https://platform.v2.vetology.net/cases/2719522/screening-report/6?type=pdf&amp;v=v6&amp;scorecard=1&amp;secret_key=BX%25IJ%24%2F65ieZ%29f6", 2719522)</f>
        <v>2719522</v>
      </c>
      <c r="C1567" s="3">
        <f>HYPERLINK("https://platform.v2.vetology.net/report/v/final/"&amp;2719522, 2719522)</f>
        <v>2719522</v>
      </c>
      <c r="D1567" s="3" t="s">
        <v>5586</v>
      </c>
      <c r="E1567" s="3" t="s">
        <v>5587</v>
      </c>
      <c r="F1567" s="3"/>
      <c r="G1567" s="3" t="s">
        <v>372</v>
      </c>
      <c r="H1567" s="3" t="s">
        <v>135</v>
      </c>
      <c r="I1567" s="3" t="s">
        <v>136</v>
      </c>
      <c r="J1567" s="3" t="s">
        <v>137</v>
      </c>
      <c r="K1567" s="3" t="s">
        <v>28</v>
      </c>
      <c r="L1567" s="3" t="s">
        <v>27</v>
      </c>
      <c r="M1567" s="3" t="s">
        <v>28</v>
      </c>
      <c r="N1567" s="3" t="s">
        <v>28</v>
      </c>
      <c r="O1567" s="3" t="s">
        <v>27</v>
      </c>
      <c r="P1567" s="3" t="s">
        <v>28</v>
      </c>
      <c r="Q1567" s="3" t="s">
        <v>27</v>
      </c>
      <c r="R1567" s="3" t="s">
        <v>28</v>
      </c>
      <c r="S1567" s="3" t="s">
        <v>28</v>
      </c>
      <c r="T1567" s="3" t="s">
        <v>27</v>
      </c>
    </row>
    <row r="1568" spans="1:20" ht="409.6">
      <c r="A1568" s="3">
        <v>2719500</v>
      </c>
      <c r="B1568" s="3">
        <f>HYPERLINK("https://platform.v2.vetology.net/cases/2719500/screening-report/6?type=pdf&amp;v=v6&amp;scorecard=1&amp;secret_key=BX%25IJ%24%2F65ieZ%29f6", 2719500)</f>
        <v>2719500</v>
      </c>
      <c r="C1568" s="3">
        <f>HYPERLINK("https://platform.v2.vetology.net/report/v/final/"&amp;2719500, 2719500)</f>
        <v>2719500</v>
      </c>
      <c r="D1568" s="3" t="s">
        <v>5588</v>
      </c>
      <c r="E1568" s="3" t="s">
        <v>5589</v>
      </c>
      <c r="F1568" s="3" t="s">
        <v>5590</v>
      </c>
      <c r="G1568" s="3" t="s">
        <v>64</v>
      </c>
      <c r="H1568" s="3" t="s">
        <v>5591</v>
      </c>
      <c r="I1568" s="3" t="s">
        <v>596</v>
      </c>
      <c r="J1568" s="3" t="s">
        <v>597</v>
      </c>
      <c r="K1568" s="3" t="s">
        <v>28</v>
      </c>
      <c r="L1568" s="3" t="s">
        <v>27</v>
      </c>
      <c r="M1568" s="3" t="s">
        <v>28</v>
      </c>
      <c r="N1568" s="3" t="s">
        <v>27</v>
      </c>
      <c r="O1568" s="3" t="s">
        <v>28</v>
      </c>
      <c r="P1568" s="3" t="s">
        <v>28</v>
      </c>
      <c r="Q1568" s="3" t="s">
        <v>28</v>
      </c>
      <c r="R1568" s="3" t="s">
        <v>27</v>
      </c>
      <c r="S1568" s="3" t="s">
        <v>28</v>
      </c>
      <c r="T1568" s="3" t="s">
        <v>27</v>
      </c>
    </row>
    <row r="1569" spans="1:20" ht="409.6">
      <c r="A1569" s="3">
        <v>2719474</v>
      </c>
      <c r="B1569" s="3">
        <f>HYPERLINK("https://platform.v2.vetology.net/cases/2719474/screening-report/6?type=pdf&amp;v=v6&amp;scorecard=1&amp;secret_key=BX%25IJ%24%2F65ieZ%29f6", 2719474)</f>
        <v>2719474</v>
      </c>
      <c r="C1569" s="3">
        <f>HYPERLINK("https://platform.v2.vetology.net/report/v/final/"&amp;2719474, 2719474)</f>
        <v>2719474</v>
      </c>
      <c r="D1569" s="3" t="s">
        <v>5592</v>
      </c>
      <c r="E1569" s="3" t="s">
        <v>5593</v>
      </c>
      <c r="F1569" s="3" t="s">
        <v>5594</v>
      </c>
      <c r="G1569" s="3" t="s">
        <v>179</v>
      </c>
      <c r="H1569" s="3" t="s">
        <v>4430</v>
      </c>
      <c r="I1569" s="3" t="s">
        <v>4431</v>
      </c>
      <c r="J1569" s="3" t="s">
        <v>4432</v>
      </c>
      <c r="K1569" s="3" t="s">
        <v>28</v>
      </c>
      <c r="L1569" s="3" t="s">
        <v>28</v>
      </c>
      <c r="M1569" s="3" t="s">
        <v>28</v>
      </c>
      <c r="N1569" s="3" t="s">
        <v>28</v>
      </c>
      <c r="O1569" s="3" t="s">
        <v>27</v>
      </c>
      <c r="P1569" s="3" t="s">
        <v>27</v>
      </c>
      <c r="Q1569" s="3" t="s">
        <v>27</v>
      </c>
      <c r="R1569" s="3" t="s">
        <v>28</v>
      </c>
      <c r="S1569" s="3" t="s">
        <v>28</v>
      </c>
      <c r="T1569" s="3" t="s">
        <v>27</v>
      </c>
    </row>
    <row r="1570" spans="1:20" ht="305.25">
      <c r="A1570" s="3">
        <v>2719444</v>
      </c>
      <c r="B1570" s="3">
        <f>HYPERLINK("https://platform.v2.vetology.net/cases/2719444/screening-report/6?type=pdf&amp;v=v6&amp;scorecard=1&amp;secret_key=BX%25IJ%24%2F65ieZ%29f6", 2719444)</f>
        <v>2719444</v>
      </c>
      <c r="C1570" s="3">
        <f>HYPERLINK("https://platform.v2.vetology.net/report/v/final/"&amp;2719444, 2719444)</f>
        <v>2719444</v>
      </c>
      <c r="D1570" s="3" t="s">
        <v>5595</v>
      </c>
      <c r="E1570" s="3" t="s">
        <v>5596</v>
      </c>
      <c r="F1570" s="3" t="s">
        <v>5597</v>
      </c>
      <c r="G1570" s="3" t="s">
        <v>496</v>
      </c>
      <c r="H1570" s="3" t="s">
        <v>851</v>
      </c>
      <c r="I1570" s="3" t="s">
        <v>32</v>
      </c>
      <c r="J1570" s="3" t="s">
        <v>33</v>
      </c>
      <c r="K1570" s="3" t="s">
        <v>28</v>
      </c>
      <c r="L1570" s="3" t="s">
        <v>28</v>
      </c>
      <c r="M1570" s="3" t="s">
        <v>28</v>
      </c>
      <c r="N1570" s="3" t="s">
        <v>28</v>
      </c>
      <c r="O1570" s="3" t="s">
        <v>28</v>
      </c>
      <c r="P1570" s="3" t="s">
        <v>28</v>
      </c>
      <c r="Q1570" s="3" t="s">
        <v>28</v>
      </c>
      <c r="R1570" s="3" t="s">
        <v>28</v>
      </c>
      <c r="S1570" s="3" t="s">
        <v>28</v>
      </c>
      <c r="T1570" s="3" t="s">
        <v>28</v>
      </c>
    </row>
    <row r="1571" spans="1:20" ht="396.75">
      <c r="A1571" s="3">
        <v>2719434</v>
      </c>
      <c r="B1571" s="3">
        <f>HYPERLINK("https://platform.v2.vetology.net/cases/2719434/screening-report/6?type=pdf&amp;v=v6&amp;scorecard=1&amp;secret_key=BX%25IJ%24%2F65ieZ%29f6", 2719434)</f>
        <v>2719434</v>
      </c>
      <c r="C1571" s="3">
        <f>HYPERLINK("https://platform.v2.vetology.net/report/v/final/"&amp;2719434, 2719434)</f>
        <v>2719434</v>
      </c>
      <c r="D1571" s="3" t="s">
        <v>5598</v>
      </c>
      <c r="E1571" s="3" t="s">
        <v>5599</v>
      </c>
      <c r="F1571" s="3" t="s">
        <v>22</v>
      </c>
      <c r="G1571" s="3" t="s">
        <v>23</v>
      </c>
      <c r="H1571" s="3" t="s">
        <v>2038</v>
      </c>
      <c r="I1571" s="3" t="s">
        <v>351</v>
      </c>
      <c r="J1571" s="3" t="s">
        <v>352</v>
      </c>
      <c r="K1571" s="3" t="s">
        <v>28</v>
      </c>
      <c r="L1571" s="3" t="s">
        <v>28</v>
      </c>
      <c r="M1571" s="3" t="s">
        <v>28</v>
      </c>
      <c r="N1571" s="3" t="s">
        <v>28</v>
      </c>
      <c r="O1571" s="3" t="s">
        <v>28</v>
      </c>
      <c r="P1571" s="3" t="s">
        <v>28</v>
      </c>
      <c r="Q1571" s="3" t="s">
        <v>28</v>
      </c>
      <c r="R1571" s="3" t="s">
        <v>28</v>
      </c>
      <c r="S1571" s="3" t="s">
        <v>28</v>
      </c>
      <c r="T1571" s="3" t="s">
        <v>27</v>
      </c>
    </row>
    <row r="1572" spans="1:20" ht="409.6">
      <c r="A1572" s="3">
        <v>2719379</v>
      </c>
      <c r="B1572" s="3">
        <f>HYPERLINK("https://platform.v2.vetology.net/cases/2719379/screening-report/6?type=pdf&amp;v=v6&amp;scorecard=1&amp;secret_key=BX%25IJ%24%2F65ieZ%29f6", 2719379)</f>
        <v>2719379</v>
      </c>
      <c r="C1572" s="3">
        <f>HYPERLINK("https://platform.v2.vetology.net/report/v/final/"&amp;2719379, 2719379)</f>
        <v>2719379</v>
      </c>
      <c r="D1572" s="3" t="s">
        <v>5600</v>
      </c>
      <c r="E1572" s="3" t="s">
        <v>5601</v>
      </c>
      <c r="F1572" s="3" t="s">
        <v>5602</v>
      </c>
      <c r="G1572" s="3" t="s">
        <v>736</v>
      </c>
      <c r="H1572" s="3" t="s">
        <v>5603</v>
      </c>
      <c r="I1572" s="3" t="s">
        <v>1404</v>
      </c>
      <c r="J1572" s="3" t="s">
        <v>1405</v>
      </c>
      <c r="K1572" s="3" t="s">
        <v>27</v>
      </c>
      <c r="L1572" s="3" t="s">
        <v>28</v>
      </c>
      <c r="M1572" s="3" t="s">
        <v>27</v>
      </c>
      <c r="N1572" s="3" t="s">
        <v>28</v>
      </c>
      <c r="O1572" s="3" t="s">
        <v>27</v>
      </c>
      <c r="P1572" s="3" t="s">
        <v>28</v>
      </c>
      <c r="Q1572" s="3" t="s">
        <v>27</v>
      </c>
      <c r="R1572" s="3" t="s">
        <v>28</v>
      </c>
      <c r="S1572" s="3" t="s">
        <v>28</v>
      </c>
      <c r="T1572" s="3" t="s">
        <v>28</v>
      </c>
    </row>
    <row r="1573" spans="1:20" ht="366">
      <c r="A1573" s="3">
        <v>2719331</v>
      </c>
      <c r="B1573" s="3">
        <f>HYPERLINK("https://platform.v2.vetology.net/cases/2719331/screening-report/6?type=pdf&amp;v=v6&amp;scorecard=1&amp;secret_key=BX%25IJ%24%2F65ieZ%29f6", 2719331)</f>
        <v>2719331</v>
      </c>
      <c r="C1573" s="3">
        <f>HYPERLINK("https://platform.v2.vetology.net/report/v/final/"&amp;2719331, 2719331)</f>
        <v>2719331</v>
      </c>
      <c r="D1573" s="3" t="s">
        <v>5604</v>
      </c>
      <c r="E1573" s="3" t="s">
        <v>5605</v>
      </c>
      <c r="F1573" s="3" t="s">
        <v>5606</v>
      </c>
      <c r="G1573" s="3" t="s">
        <v>23</v>
      </c>
      <c r="H1573" s="3" t="s">
        <v>944</v>
      </c>
      <c r="I1573" s="3" t="s">
        <v>32</v>
      </c>
      <c r="J1573" s="3" t="s">
        <v>119</v>
      </c>
      <c r="K1573" s="3" t="s">
        <v>28</v>
      </c>
      <c r="L1573" s="3" t="s">
        <v>28</v>
      </c>
      <c r="M1573" s="3" t="s">
        <v>28</v>
      </c>
      <c r="N1573" s="3" t="s">
        <v>28</v>
      </c>
      <c r="O1573" s="3" t="s">
        <v>28</v>
      </c>
      <c r="P1573" s="3" t="s">
        <v>28</v>
      </c>
      <c r="Q1573" s="3" t="s">
        <v>28</v>
      </c>
      <c r="R1573" s="3" t="s">
        <v>28</v>
      </c>
      <c r="S1573" s="3" t="s">
        <v>28</v>
      </c>
      <c r="T1573" s="3" t="s">
        <v>28</v>
      </c>
    </row>
    <row r="1574" spans="1:20" ht="409.6">
      <c r="A1574" s="3">
        <v>2719313</v>
      </c>
      <c r="B1574" s="3">
        <f>HYPERLINK("https://platform.v2.vetology.net/cases/2719313/screening-report/6?type=pdf&amp;v=v6&amp;scorecard=1&amp;secret_key=BX%25IJ%24%2F65ieZ%29f6", 2719313)</f>
        <v>2719313</v>
      </c>
      <c r="C1574" s="3">
        <f>HYPERLINK("https://platform.v2.vetology.net/report/v/final/"&amp;2719313, 2719313)</f>
        <v>2719313</v>
      </c>
      <c r="D1574" s="3" t="s">
        <v>5607</v>
      </c>
      <c r="E1574" s="3" t="s">
        <v>5608</v>
      </c>
      <c r="F1574" s="3" t="s">
        <v>5609</v>
      </c>
      <c r="G1574" s="3" t="s">
        <v>179</v>
      </c>
      <c r="H1574" s="3" t="s">
        <v>4211</v>
      </c>
      <c r="I1574" s="3" t="s">
        <v>3369</v>
      </c>
      <c r="J1574" s="3" t="s">
        <v>207</v>
      </c>
      <c r="K1574" s="3" t="s">
        <v>28</v>
      </c>
      <c r="L1574" s="3" t="s">
        <v>28</v>
      </c>
      <c r="M1574" s="3" t="s">
        <v>28</v>
      </c>
      <c r="N1574" s="3" t="s">
        <v>28</v>
      </c>
      <c r="O1574" s="3" t="s">
        <v>27</v>
      </c>
      <c r="P1574" s="3" t="s">
        <v>28</v>
      </c>
      <c r="Q1574" s="3" t="s">
        <v>28</v>
      </c>
      <c r="R1574" s="3" t="s">
        <v>28</v>
      </c>
      <c r="S1574" s="3" t="s">
        <v>28</v>
      </c>
      <c r="T1574" s="3" t="s">
        <v>27</v>
      </c>
    </row>
    <row r="1575" spans="1:20" ht="259.5">
      <c r="A1575" s="3">
        <v>2719287</v>
      </c>
      <c r="B1575" s="3">
        <f>HYPERLINK("https://platform.v2.vetology.net/cases/2719287/screening-report/6?type=pdf&amp;v=v6&amp;scorecard=1&amp;secret_key=BX%25IJ%24%2F65ieZ%29f6", 2719287)</f>
        <v>2719287</v>
      </c>
      <c r="C1575" s="3">
        <f>HYPERLINK("https://platform.v2.vetology.net/report/v/final/"&amp;2719287, 2719287)</f>
        <v>2719287</v>
      </c>
      <c r="D1575" s="3" t="s">
        <v>5610</v>
      </c>
      <c r="E1575" s="3" t="s">
        <v>5611</v>
      </c>
      <c r="F1575" s="3" t="s">
        <v>5612</v>
      </c>
      <c r="G1575" s="3" t="s">
        <v>186</v>
      </c>
      <c r="H1575" s="3" t="s">
        <v>864</v>
      </c>
      <c r="I1575" s="3" t="s">
        <v>865</v>
      </c>
      <c r="J1575" s="3" t="s">
        <v>866</v>
      </c>
      <c r="K1575" s="3" t="s">
        <v>28</v>
      </c>
      <c r="L1575" s="3" t="s">
        <v>28</v>
      </c>
      <c r="M1575" s="3" t="s">
        <v>28</v>
      </c>
      <c r="N1575" s="3" t="s">
        <v>28</v>
      </c>
      <c r="O1575" s="3" t="s">
        <v>27</v>
      </c>
      <c r="P1575" s="3" t="s">
        <v>28</v>
      </c>
      <c r="Q1575" s="3" t="s">
        <v>28</v>
      </c>
      <c r="R1575" s="3" t="s">
        <v>28</v>
      </c>
      <c r="S1575" s="3" t="s">
        <v>28</v>
      </c>
      <c r="T1575" s="3" t="s">
        <v>28</v>
      </c>
    </row>
    <row r="1576" spans="1:20" ht="396.75">
      <c r="A1576" s="3">
        <v>2719263</v>
      </c>
      <c r="B1576" s="3">
        <f>HYPERLINK("https://platform.v2.vetology.net/cases/2719263/screening-report/6?type=pdf&amp;v=v6&amp;scorecard=1&amp;secret_key=BX%25IJ%24%2F65ieZ%29f6", 2719263)</f>
        <v>2719263</v>
      </c>
      <c r="C1576" s="3">
        <f>HYPERLINK("https://platform.v2.vetology.net/report/v/final/"&amp;2719263, 2719263)</f>
        <v>2719263</v>
      </c>
      <c r="D1576" s="3" t="s">
        <v>5613</v>
      </c>
      <c r="E1576" s="3" t="s">
        <v>5614</v>
      </c>
      <c r="F1576" s="3" t="s">
        <v>3097</v>
      </c>
      <c r="G1576" s="3" t="s">
        <v>186</v>
      </c>
      <c r="H1576" s="3" t="s">
        <v>1259</v>
      </c>
      <c r="I1576" s="3"/>
      <c r="J1576" s="3" t="s">
        <v>207</v>
      </c>
      <c r="K1576" s="3" t="s">
        <v>28</v>
      </c>
      <c r="L1576" s="3" t="s">
        <v>28</v>
      </c>
      <c r="M1576" s="3" t="s">
        <v>28</v>
      </c>
      <c r="N1576" s="3" t="s">
        <v>28</v>
      </c>
      <c r="O1576" s="3" t="s">
        <v>27</v>
      </c>
      <c r="P1576" s="3" t="s">
        <v>28</v>
      </c>
      <c r="Q1576" s="3" t="s">
        <v>28</v>
      </c>
      <c r="R1576" s="3" t="s">
        <v>28</v>
      </c>
      <c r="S1576" s="3" t="s">
        <v>28</v>
      </c>
      <c r="T1576" s="3" t="s">
        <v>27</v>
      </c>
    </row>
    <row r="1577" spans="1:20" ht="409.6">
      <c r="A1577" s="3">
        <v>2719113</v>
      </c>
      <c r="B1577" s="3">
        <f>HYPERLINK("https://platform.v2.vetology.net/cases/2719113/screening-report/6?type=pdf&amp;v=v6&amp;scorecard=1&amp;secret_key=BX%25IJ%24%2F65ieZ%29f6", 2719113)</f>
        <v>2719113</v>
      </c>
      <c r="C1577" s="3">
        <f>HYPERLINK("https://platform.v2.vetology.net/report/v/final/"&amp;2719113, 2719113)</f>
        <v>2719113</v>
      </c>
      <c r="D1577" s="3" t="s">
        <v>5615</v>
      </c>
      <c r="E1577" s="3" t="s">
        <v>5616</v>
      </c>
      <c r="F1577" s="3"/>
      <c r="G1577" s="3" t="s">
        <v>122</v>
      </c>
      <c r="H1577" s="3" t="s">
        <v>5617</v>
      </c>
      <c r="I1577" s="3" t="s">
        <v>1243</v>
      </c>
      <c r="J1577" s="3" t="s">
        <v>154</v>
      </c>
      <c r="K1577" s="3" t="s">
        <v>28</v>
      </c>
      <c r="L1577" s="3" t="s">
        <v>27</v>
      </c>
      <c r="M1577" s="3" t="s">
        <v>27</v>
      </c>
      <c r="N1577" s="3" t="s">
        <v>28</v>
      </c>
      <c r="O1577" s="3" t="s">
        <v>27</v>
      </c>
      <c r="P1577" s="3" t="s">
        <v>28</v>
      </c>
      <c r="Q1577" s="3" t="s">
        <v>27</v>
      </c>
      <c r="R1577" s="3" t="s">
        <v>28</v>
      </c>
      <c r="S1577" s="3" t="s">
        <v>27</v>
      </c>
      <c r="T1577" s="3" t="s">
        <v>28</v>
      </c>
    </row>
    <row r="1578" spans="1:20" ht="381.75">
      <c r="A1578" s="3">
        <v>2719089</v>
      </c>
      <c r="B1578" s="3">
        <f>HYPERLINK("https://platform.v2.vetology.net/cases/2719089/screening-report/6?type=pdf&amp;v=v6&amp;scorecard=1&amp;secret_key=BX%25IJ%24%2F65ieZ%29f6", 2719089)</f>
        <v>2719089</v>
      </c>
      <c r="C1578" s="3">
        <f>HYPERLINK("https://platform.v2.vetology.net/report/v/final/"&amp;2719089, 2719089)</f>
        <v>2719089</v>
      </c>
      <c r="D1578" s="3" t="s">
        <v>5618</v>
      </c>
      <c r="E1578" s="3" t="s">
        <v>5619</v>
      </c>
      <c r="F1578" s="3" t="s">
        <v>22</v>
      </c>
      <c r="G1578" s="3" t="s">
        <v>372</v>
      </c>
      <c r="H1578" s="3" t="s">
        <v>5620</v>
      </c>
      <c r="I1578" s="3" t="s">
        <v>856</v>
      </c>
      <c r="J1578" s="3" t="s">
        <v>857</v>
      </c>
      <c r="K1578" s="3" t="s">
        <v>28</v>
      </c>
      <c r="L1578" s="3" t="s">
        <v>28</v>
      </c>
      <c r="M1578" s="3" t="s">
        <v>28</v>
      </c>
      <c r="N1578" s="3" t="s">
        <v>28</v>
      </c>
      <c r="O1578" s="3" t="s">
        <v>27</v>
      </c>
      <c r="P1578" s="3" t="s">
        <v>28</v>
      </c>
      <c r="Q1578" s="3" t="s">
        <v>28</v>
      </c>
      <c r="R1578" s="3" t="s">
        <v>28</v>
      </c>
      <c r="S1578" s="3" t="s">
        <v>28</v>
      </c>
      <c r="T1578" s="3" t="s">
        <v>28</v>
      </c>
    </row>
    <row r="1579" spans="1:20" ht="381.75">
      <c r="A1579" s="3">
        <v>2719037</v>
      </c>
      <c r="B1579" s="3">
        <f>HYPERLINK("https://platform.v2.vetology.net/cases/2719037/screening-report/6?type=pdf&amp;v=v6&amp;scorecard=1&amp;secret_key=BX%25IJ%24%2F65ieZ%29f6", 2719037)</f>
        <v>2719037</v>
      </c>
      <c r="C1579" s="3">
        <f>HYPERLINK("https://platform.v2.vetology.net/report/v/final/"&amp;2719037, 2719037)</f>
        <v>2719037</v>
      </c>
      <c r="D1579" s="3" t="s">
        <v>5621</v>
      </c>
      <c r="E1579" s="3" t="s">
        <v>5622</v>
      </c>
      <c r="F1579" s="3" t="s">
        <v>22</v>
      </c>
      <c r="G1579" s="3" t="s">
        <v>23</v>
      </c>
      <c r="H1579" s="3" t="s">
        <v>2760</v>
      </c>
      <c r="I1579" s="3" t="s">
        <v>37</v>
      </c>
      <c r="J1579" s="3" t="s">
        <v>38</v>
      </c>
      <c r="K1579" s="3" t="s">
        <v>27</v>
      </c>
      <c r="L1579" s="3" t="s">
        <v>28</v>
      </c>
      <c r="M1579" s="3" t="s">
        <v>27</v>
      </c>
      <c r="N1579" s="3" t="s">
        <v>28</v>
      </c>
      <c r="O1579" s="3" t="s">
        <v>27</v>
      </c>
      <c r="P1579" s="3" t="s">
        <v>28</v>
      </c>
      <c r="Q1579" s="3" t="s">
        <v>28</v>
      </c>
      <c r="R1579" s="3" t="s">
        <v>28</v>
      </c>
      <c r="S1579" s="3" t="s">
        <v>28</v>
      </c>
      <c r="T1579" s="3" t="s">
        <v>28</v>
      </c>
    </row>
    <row r="1580" spans="1:20" ht="305.25">
      <c r="A1580" s="3">
        <v>2718952</v>
      </c>
      <c r="B1580" s="3">
        <f>HYPERLINK("https://platform.v2.vetology.net/cases/2718952/screening-report/6?type=pdf&amp;v=v6&amp;scorecard=1&amp;secret_key=BX%25IJ%24%2F65ieZ%29f6", 2718952)</f>
        <v>2718952</v>
      </c>
      <c r="C1580" s="3">
        <f>HYPERLINK("https://platform.v2.vetology.net/report/v/final/"&amp;2718952, 2718952)</f>
        <v>2718952</v>
      </c>
      <c r="D1580" s="3" t="s">
        <v>5623</v>
      </c>
      <c r="E1580" s="3" t="s">
        <v>5624</v>
      </c>
      <c r="F1580" s="3" t="s">
        <v>5625</v>
      </c>
      <c r="G1580" s="3" t="s">
        <v>100</v>
      </c>
      <c r="H1580" s="3" t="s">
        <v>5626</v>
      </c>
      <c r="I1580" s="3" t="s">
        <v>1070</v>
      </c>
      <c r="J1580" s="3" t="s">
        <v>207</v>
      </c>
      <c r="K1580" s="3" t="s">
        <v>28</v>
      </c>
      <c r="L1580" s="3" t="s">
        <v>28</v>
      </c>
      <c r="M1580" s="3" t="s">
        <v>28</v>
      </c>
      <c r="N1580" s="3" t="s">
        <v>28</v>
      </c>
      <c r="O1580" s="3" t="s">
        <v>27</v>
      </c>
      <c r="P1580" s="3" t="s">
        <v>28</v>
      </c>
      <c r="Q1580" s="3" t="s">
        <v>28</v>
      </c>
      <c r="R1580" s="3" t="s">
        <v>28</v>
      </c>
      <c r="S1580" s="3" t="s">
        <v>28</v>
      </c>
      <c r="T1580" s="3" t="s">
        <v>28</v>
      </c>
    </row>
    <row r="1581" spans="1:20" ht="336">
      <c r="A1581" s="3">
        <v>2718893</v>
      </c>
      <c r="B1581" s="3">
        <f>HYPERLINK("https://platform.v2.vetology.net/cases/2718893/screening-report/6?type=pdf&amp;v=v6&amp;scorecard=1&amp;secret_key=BX%25IJ%24%2F65ieZ%29f6", 2718893)</f>
        <v>2718893</v>
      </c>
      <c r="C1581" s="3">
        <f>HYPERLINK("https://platform.v2.vetology.net/report/v/final/"&amp;2718893, 2718893)</f>
        <v>2718893</v>
      </c>
      <c r="D1581" s="3" t="s">
        <v>5627</v>
      </c>
      <c r="E1581" s="3" t="s">
        <v>5628</v>
      </c>
      <c r="F1581" s="3" t="s">
        <v>22</v>
      </c>
      <c r="G1581" s="3" t="s">
        <v>23</v>
      </c>
      <c r="H1581" s="3" t="s">
        <v>1421</v>
      </c>
      <c r="I1581" s="3" t="s">
        <v>32</v>
      </c>
      <c r="J1581" s="3" t="s">
        <v>33</v>
      </c>
      <c r="K1581" s="3" t="s">
        <v>28</v>
      </c>
      <c r="L1581" s="3" t="s">
        <v>27</v>
      </c>
      <c r="M1581" s="3" t="s">
        <v>28</v>
      </c>
      <c r="N1581" s="3" t="s">
        <v>28</v>
      </c>
      <c r="O1581" s="3" t="s">
        <v>27</v>
      </c>
      <c r="P1581" s="3" t="s">
        <v>28</v>
      </c>
      <c r="Q1581" s="3" t="s">
        <v>28</v>
      </c>
      <c r="R1581" s="3" t="s">
        <v>28</v>
      </c>
      <c r="S1581" s="3" t="s">
        <v>28</v>
      </c>
      <c r="T1581" s="3" t="s">
        <v>28</v>
      </c>
    </row>
    <row r="1582" spans="1:20" ht="381.75">
      <c r="A1582" s="3">
        <v>2718891</v>
      </c>
      <c r="B1582" s="3">
        <f>HYPERLINK("https://platform.v2.vetology.net/cases/2718891/screening-report/6?type=pdf&amp;v=v6&amp;scorecard=1&amp;secret_key=BX%25IJ%24%2F65ieZ%29f6", 2718891)</f>
        <v>2718891</v>
      </c>
      <c r="C1582" s="3">
        <f>HYPERLINK("https://platform.v2.vetology.net/report/v/final/"&amp;2718891, 2718891)</f>
        <v>2718891</v>
      </c>
      <c r="D1582" s="3" t="s">
        <v>5629</v>
      </c>
      <c r="E1582" s="3" t="s">
        <v>5630</v>
      </c>
      <c r="F1582" s="3" t="s">
        <v>22</v>
      </c>
      <c r="G1582" s="3" t="s">
        <v>23</v>
      </c>
      <c r="H1582" s="3" t="s">
        <v>855</v>
      </c>
      <c r="I1582" s="3" t="s">
        <v>856</v>
      </c>
      <c r="J1582" s="3" t="s">
        <v>857</v>
      </c>
      <c r="K1582" s="3" t="s">
        <v>28</v>
      </c>
      <c r="L1582" s="3" t="s">
        <v>28</v>
      </c>
      <c r="M1582" s="3" t="s">
        <v>28</v>
      </c>
      <c r="N1582" s="3" t="s">
        <v>28</v>
      </c>
      <c r="O1582" s="3" t="s">
        <v>27</v>
      </c>
      <c r="P1582" s="3" t="s">
        <v>28</v>
      </c>
      <c r="Q1582" s="3" t="s">
        <v>28</v>
      </c>
      <c r="R1582" s="3" t="s">
        <v>28</v>
      </c>
      <c r="S1582" s="3" t="s">
        <v>28</v>
      </c>
      <c r="T1582" s="3" t="s">
        <v>28</v>
      </c>
    </row>
    <row r="1583" spans="1:20" ht="275.25">
      <c r="A1583" s="3">
        <v>2718822</v>
      </c>
      <c r="B1583" s="3">
        <f>HYPERLINK("https://platform.v2.vetology.net/cases/2718822/screening-report/6?type=pdf&amp;v=v6&amp;scorecard=1&amp;secret_key=BX%25IJ%24%2F65ieZ%29f6", 2718822)</f>
        <v>2718822</v>
      </c>
      <c r="C1583" s="3">
        <f>HYPERLINK("https://platform.v2.vetology.net/report/v/final/"&amp;2718822, 2718822)</f>
        <v>2718822</v>
      </c>
      <c r="D1583" s="3" t="s">
        <v>5631</v>
      </c>
      <c r="E1583" s="3" t="s">
        <v>5632</v>
      </c>
      <c r="F1583" s="3"/>
      <c r="G1583" s="3" t="s">
        <v>122</v>
      </c>
      <c r="H1583" s="3" t="s">
        <v>5633</v>
      </c>
      <c r="I1583" s="3" t="s">
        <v>291</v>
      </c>
      <c r="J1583" s="3" t="s">
        <v>225</v>
      </c>
      <c r="K1583" s="3" t="s">
        <v>28</v>
      </c>
      <c r="L1583" s="3" t="s">
        <v>28</v>
      </c>
      <c r="M1583" s="3" t="s">
        <v>28</v>
      </c>
      <c r="N1583" s="3" t="s">
        <v>27</v>
      </c>
      <c r="O1583" s="3" t="s">
        <v>27</v>
      </c>
      <c r="P1583" s="3" t="s">
        <v>28</v>
      </c>
      <c r="Q1583" s="3" t="s">
        <v>28</v>
      </c>
      <c r="R1583" s="3" t="s">
        <v>27</v>
      </c>
      <c r="S1583" s="3" t="s">
        <v>27</v>
      </c>
      <c r="T1583" s="3" t="s">
        <v>27</v>
      </c>
    </row>
    <row r="1584" spans="1:20" ht="290.25">
      <c r="A1584" s="3">
        <v>2718782</v>
      </c>
      <c r="B1584" s="3">
        <f>HYPERLINK("https://platform.v2.vetology.net/cases/2718782/screening-report/6?type=pdf&amp;v=v6&amp;scorecard=1&amp;secret_key=BX%25IJ%24%2F65ieZ%29f6", 2718782)</f>
        <v>2718782</v>
      </c>
      <c r="C1584" s="3">
        <f>HYPERLINK("https://platform.v2.vetology.net/report/v/final/"&amp;2718782, 2718782)</f>
        <v>2718782</v>
      </c>
      <c r="D1584" s="3" t="s">
        <v>5634</v>
      </c>
      <c r="E1584" s="3" t="s">
        <v>5635</v>
      </c>
      <c r="F1584" s="3" t="s">
        <v>5636</v>
      </c>
      <c r="G1584" s="3" t="s">
        <v>186</v>
      </c>
      <c r="H1584" s="3" t="s">
        <v>864</v>
      </c>
      <c r="I1584" s="3" t="s">
        <v>865</v>
      </c>
      <c r="J1584" s="3" t="s">
        <v>866</v>
      </c>
      <c r="K1584" s="3" t="s">
        <v>28</v>
      </c>
      <c r="L1584" s="3" t="s">
        <v>28</v>
      </c>
      <c r="M1584" s="3" t="s">
        <v>28</v>
      </c>
      <c r="N1584" s="3" t="s">
        <v>28</v>
      </c>
      <c r="O1584" s="3" t="s">
        <v>27</v>
      </c>
      <c r="P1584" s="3" t="s">
        <v>28</v>
      </c>
      <c r="Q1584" s="3" t="s">
        <v>28</v>
      </c>
      <c r="R1584" s="3" t="s">
        <v>28</v>
      </c>
      <c r="S1584" s="3" t="s">
        <v>28</v>
      </c>
      <c r="T1584" s="3" t="s">
        <v>28</v>
      </c>
    </row>
    <row r="1585" spans="1:20" ht="321">
      <c r="A1585" s="3">
        <v>2718749</v>
      </c>
      <c r="B1585" s="3">
        <f>HYPERLINK("https://platform.v2.vetology.net/cases/2718749/screening-report/6?type=pdf&amp;v=v6&amp;scorecard=1&amp;secret_key=BX%25IJ%24%2F65ieZ%29f6", 2718749)</f>
        <v>2718749</v>
      </c>
      <c r="C1585" s="3">
        <f>HYPERLINK("https://platform.v2.vetology.net/report/v/final/"&amp;2718749, 2718749)</f>
        <v>2718749</v>
      </c>
      <c r="D1585" s="3" t="s">
        <v>5637</v>
      </c>
      <c r="E1585" s="3" t="s">
        <v>5638</v>
      </c>
      <c r="F1585" s="3" t="s">
        <v>5639</v>
      </c>
      <c r="G1585" s="3" t="s">
        <v>186</v>
      </c>
      <c r="H1585" s="3" t="s">
        <v>158</v>
      </c>
      <c r="I1585" s="3" t="s">
        <v>1497</v>
      </c>
      <c r="J1585" s="3" t="s">
        <v>847</v>
      </c>
      <c r="K1585" s="3" t="s">
        <v>28</v>
      </c>
      <c r="L1585" s="3" t="s">
        <v>28</v>
      </c>
      <c r="M1585" s="3" t="s">
        <v>28</v>
      </c>
      <c r="N1585" s="3" t="s">
        <v>28</v>
      </c>
      <c r="O1585" s="3" t="s">
        <v>27</v>
      </c>
      <c r="P1585" s="3" t="s">
        <v>28</v>
      </c>
      <c r="Q1585" s="3" t="s">
        <v>28</v>
      </c>
      <c r="R1585" s="3" t="s">
        <v>28</v>
      </c>
      <c r="S1585" s="3" t="s">
        <v>28</v>
      </c>
      <c r="T1585" s="3" t="s">
        <v>28</v>
      </c>
    </row>
    <row r="1586" spans="1:20" ht="409.6">
      <c r="A1586" s="3">
        <v>2718729</v>
      </c>
      <c r="B1586" s="3">
        <f>HYPERLINK("https://platform.v2.vetology.net/cases/2718729/screening-report/6?type=pdf&amp;v=v6&amp;scorecard=1&amp;secret_key=BX%25IJ%24%2F65ieZ%29f6", 2718729)</f>
        <v>2718729</v>
      </c>
      <c r="C1586" s="3">
        <f>HYPERLINK("https://platform.v2.vetology.net/report/v/final/"&amp;2718729, 2718729)</f>
        <v>2718729</v>
      </c>
      <c r="D1586" s="3" t="s">
        <v>5640</v>
      </c>
      <c r="E1586" s="3" t="s">
        <v>5641</v>
      </c>
      <c r="F1586" s="3" t="s">
        <v>5642</v>
      </c>
      <c r="G1586" s="3" t="s">
        <v>186</v>
      </c>
      <c r="H1586" s="3" t="s">
        <v>5643</v>
      </c>
      <c r="I1586" s="3" t="s">
        <v>357</v>
      </c>
      <c r="J1586" s="3" t="s">
        <v>358</v>
      </c>
      <c r="K1586" s="3" t="s">
        <v>28</v>
      </c>
      <c r="L1586" s="3" t="s">
        <v>28</v>
      </c>
      <c r="M1586" s="3" t="s">
        <v>28</v>
      </c>
      <c r="N1586" s="3" t="s">
        <v>28</v>
      </c>
      <c r="O1586" s="3" t="s">
        <v>28</v>
      </c>
      <c r="P1586" s="3" t="s">
        <v>28</v>
      </c>
      <c r="Q1586" s="3" t="s">
        <v>28</v>
      </c>
      <c r="R1586" s="3" t="s">
        <v>28</v>
      </c>
      <c r="S1586" s="3" t="s">
        <v>28</v>
      </c>
      <c r="T1586" s="3" t="s">
        <v>27</v>
      </c>
    </row>
    <row r="1587" spans="1:20" ht="336">
      <c r="A1587" s="3">
        <v>2718715</v>
      </c>
      <c r="B1587" s="3">
        <f>HYPERLINK("https://platform.v2.vetology.net/cases/2718715/screening-report/6?type=pdf&amp;v=v6&amp;scorecard=1&amp;secret_key=BX%25IJ%24%2F65ieZ%29f6", 2718715)</f>
        <v>2718715</v>
      </c>
      <c r="C1587" s="3">
        <f>HYPERLINK("https://platform.v2.vetology.net/report/v/final/"&amp;2718715, 2718715)</f>
        <v>2718715</v>
      </c>
      <c r="D1587" s="3" t="s">
        <v>5644</v>
      </c>
      <c r="E1587" s="3" t="s">
        <v>5645</v>
      </c>
      <c r="F1587" s="3" t="s">
        <v>5646</v>
      </c>
      <c r="G1587" s="3" t="s">
        <v>186</v>
      </c>
      <c r="H1587" s="3" t="s">
        <v>31</v>
      </c>
      <c r="I1587" s="3" t="s">
        <v>32</v>
      </c>
      <c r="J1587" s="3" t="s">
        <v>33</v>
      </c>
      <c r="K1587" s="3" t="s">
        <v>28</v>
      </c>
      <c r="L1587" s="3" t="s">
        <v>28</v>
      </c>
      <c r="M1587" s="3" t="s">
        <v>28</v>
      </c>
      <c r="N1587" s="3" t="s">
        <v>28</v>
      </c>
      <c r="O1587" s="3" t="s">
        <v>27</v>
      </c>
      <c r="P1587" s="3" t="s">
        <v>28</v>
      </c>
      <c r="Q1587" s="3" t="s">
        <v>28</v>
      </c>
      <c r="R1587" s="3" t="s">
        <v>28</v>
      </c>
      <c r="S1587" s="3" t="s">
        <v>28</v>
      </c>
      <c r="T1587" s="3" t="s">
        <v>28</v>
      </c>
    </row>
    <row r="1588" spans="1:20" ht="409.6">
      <c r="A1588" s="3">
        <v>2718665</v>
      </c>
      <c r="B1588" s="3">
        <f>HYPERLINK("https://platform.v2.vetology.net/cases/2718665/screening-report/6?type=pdf&amp;v=v6&amp;scorecard=1&amp;secret_key=BX%25IJ%24%2F65ieZ%29f6", 2718665)</f>
        <v>2718665</v>
      </c>
      <c r="C1588" s="3">
        <f>HYPERLINK("https://platform.v2.vetology.net/report/v/final/"&amp;2718665, 2718665)</f>
        <v>2718665</v>
      </c>
      <c r="D1588" s="3" t="s">
        <v>5647</v>
      </c>
      <c r="E1588" s="3" t="s">
        <v>5648</v>
      </c>
      <c r="F1588" s="3" t="s">
        <v>5649</v>
      </c>
      <c r="G1588" s="3" t="s">
        <v>179</v>
      </c>
      <c r="H1588" s="3" t="s">
        <v>31</v>
      </c>
      <c r="I1588" s="3" t="s">
        <v>32</v>
      </c>
      <c r="J1588" s="3" t="s">
        <v>119</v>
      </c>
      <c r="K1588" s="3" t="s">
        <v>28</v>
      </c>
      <c r="L1588" s="3" t="s">
        <v>28</v>
      </c>
      <c r="M1588" s="3" t="s">
        <v>28</v>
      </c>
      <c r="N1588" s="3" t="s">
        <v>28</v>
      </c>
      <c r="O1588" s="3" t="s">
        <v>27</v>
      </c>
      <c r="P1588" s="3" t="s">
        <v>28</v>
      </c>
      <c r="Q1588" s="3" t="s">
        <v>28</v>
      </c>
      <c r="R1588" s="3" t="s">
        <v>28</v>
      </c>
      <c r="S1588" s="3" t="s">
        <v>28</v>
      </c>
      <c r="T1588" s="3" t="s">
        <v>28</v>
      </c>
    </row>
    <row r="1589" spans="1:20" ht="381.75">
      <c r="A1589" s="3">
        <v>2718638</v>
      </c>
      <c r="B1589" s="3">
        <f>HYPERLINK("https://platform.v2.vetology.net/cases/2718638/screening-report/6?type=pdf&amp;v=v6&amp;scorecard=1&amp;secret_key=BX%25IJ%24%2F65ieZ%29f6", 2718638)</f>
        <v>2718638</v>
      </c>
      <c r="C1589" s="3">
        <f>HYPERLINK("https://platform.v2.vetology.net/report/v/final/"&amp;2718638, 2718638)</f>
        <v>2718638</v>
      </c>
      <c r="D1589" s="3" t="s">
        <v>5650</v>
      </c>
      <c r="E1589" s="3" t="s">
        <v>5651</v>
      </c>
      <c r="F1589" s="3" t="s">
        <v>5652</v>
      </c>
      <c r="G1589" s="3" t="s">
        <v>179</v>
      </c>
      <c r="H1589" s="3" t="s">
        <v>5653</v>
      </c>
      <c r="I1589" s="3" t="s">
        <v>5654</v>
      </c>
      <c r="J1589" s="3" t="s">
        <v>5655</v>
      </c>
      <c r="K1589" s="3" t="s">
        <v>28</v>
      </c>
      <c r="L1589" s="3" t="s">
        <v>28</v>
      </c>
      <c r="M1589" s="3" t="s">
        <v>28</v>
      </c>
      <c r="N1589" s="3" t="s">
        <v>28</v>
      </c>
      <c r="O1589" s="3" t="s">
        <v>27</v>
      </c>
      <c r="P1589" s="3" t="s">
        <v>28</v>
      </c>
      <c r="Q1589" s="3" t="s">
        <v>28</v>
      </c>
      <c r="R1589" s="3" t="s">
        <v>27</v>
      </c>
      <c r="S1589" s="3" t="s">
        <v>27</v>
      </c>
      <c r="T1589" s="3" t="s">
        <v>27</v>
      </c>
    </row>
    <row r="1590" spans="1:20" ht="409.6">
      <c r="A1590" s="3">
        <v>2718634</v>
      </c>
      <c r="B1590" s="3">
        <f>HYPERLINK("https://platform.v2.vetology.net/cases/2718634/screening-report/6?type=pdf&amp;v=v6&amp;scorecard=1&amp;secret_key=BX%25IJ%24%2F65ieZ%29f6", 2718634)</f>
        <v>2718634</v>
      </c>
      <c r="C1590" s="3">
        <f>HYPERLINK("https://platform.v2.vetology.net/report/v/final/"&amp;2718634, 2718634)</f>
        <v>2718634</v>
      </c>
      <c r="D1590" s="3" t="s">
        <v>5656</v>
      </c>
      <c r="E1590" s="3" t="s">
        <v>5657</v>
      </c>
      <c r="F1590" s="3" t="s">
        <v>5658</v>
      </c>
      <c r="G1590" s="3" t="s">
        <v>186</v>
      </c>
      <c r="H1590" s="3" t="s">
        <v>4663</v>
      </c>
      <c r="I1590" s="3" t="s">
        <v>368</v>
      </c>
      <c r="J1590" s="3" t="s">
        <v>369</v>
      </c>
      <c r="K1590" s="3" t="s">
        <v>27</v>
      </c>
      <c r="L1590" s="3" t="s">
        <v>28</v>
      </c>
      <c r="M1590" s="3" t="s">
        <v>27</v>
      </c>
      <c r="N1590" s="3" t="s">
        <v>28</v>
      </c>
      <c r="O1590" s="3" t="s">
        <v>27</v>
      </c>
      <c r="P1590" s="3" t="s">
        <v>28</v>
      </c>
      <c r="Q1590" s="3" t="s">
        <v>27</v>
      </c>
      <c r="R1590" s="3" t="s">
        <v>28</v>
      </c>
      <c r="S1590" s="3" t="s">
        <v>28</v>
      </c>
      <c r="T1590" s="3" t="s">
        <v>28</v>
      </c>
    </row>
    <row r="1591" spans="1:20" ht="259.5">
      <c r="A1591" s="3">
        <v>2718522</v>
      </c>
      <c r="B1591" s="3">
        <f>HYPERLINK("https://platform.v2.vetology.net/cases/2718522/screening-report/6?type=pdf&amp;v=v6&amp;scorecard=1&amp;secret_key=BX%25IJ%24%2F65ieZ%29f6", 2718522)</f>
        <v>2718522</v>
      </c>
      <c r="C1591" s="3">
        <f>HYPERLINK("https://platform.v2.vetology.net/report/v/final/"&amp;2718522, 2718522)</f>
        <v>2718522</v>
      </c>
      <c r="D1591" s="3" t="s">
        <v>5659</v>
      </c>
      <c r="E1591" s="3" t="s">
        <v>5660</v>
      </c>
      <c r="F1591" s="3" t="s">
        <v>22</v>
      </c>
      <c r="G1591" s="3" t="s">
        <v>23</v>
      </c>
      <c r="H1591" s="3" t="s">
        <v>212</v>
      </c>
      <c r="I1591" s="3" t="s">
        <v>261</v>
      </c>
      <c r="J1591" s="3" t="s">
        <v>262</v>
      </c>
      <c r="K1591" s="3" t="s">
        <v>27</v>
      </c>
      <c r="L1591" s="3" t="s">
        <v>28</v>
      </c>
      <c r="M1591" s="3" t="s">
        <v>27</v>
      </c>
      <c r="N1591" s="3" t="s">
        <v>28</v>
      </c>
      <c r="O1591" s="3" t="s">
        <v>27</v>
      </c>
      <c r="P1591" s="3" t="s">
        <v>28</v>
      </c>
      <c r="Q1591" s="3" t="s">
        <v>27</v>
      </c>
      <c r="R1591" s="3" t="s">
        <v>28</v>
      </c>
      <c r="S1591" s="3" t="s">
        <v>28</v>
      </c>
      <c r="T1591" s="3" t="s">
        <v>28</v>
      </c>
    </row>
    <row r="1592" spans="1:20" ht="396.75">
      <c r="A1592" s="3">
        <v>2718516</v>
      </c>
      <c r="B1592" s="3">
        <f>HYPERLINK("https://platform.v2.vetology.net/cases/2718516/screening-report/6?type=pdf&amp;v=v6&amp;scorecard=1&amp;secret_key=BX%25IJ%24%2F65ieZ%29f6", 2718516)</f>
        <v>2718516</v>
      </c>
      <c r="C1592" s="3">
        <f>HYPERLINK("https://platform.v2.vetology.net/report/v/final/"&amp;2718516, 2718516)</f>
        <v>2718516</v>
      </c>
      <c r="D1592" s="3" t="s">
        <v>5661</v>
      </c>
      <c r="E1592" s="3" t="s">
        <v>5662</v>
      </c>
      <c r="F1592" s="3" t="s">
        <v>5663</v>
      </c>
      <c r="G1592" s="3" t="s">
        <v>186</v>
      </c>
      <c r="H1592" s="3" t="s">
        <v>571</v>
      </c>
      <c r="I1592" s="3" t="s">
        <v>572</v>
      </c>
      <c r="J1592" s="3" t="s">
        <v>2392</v>
      </c>
      <c r="K1592" s="3" t="s">
        <v>27</v>
      </c>
      <c r="L1592" s="3" t="s">
        <v>27</v>
      </c>
      <c r="M1592" s="3" t="s">
        <v>27</v>
      </c>
      <c r="N1592" s="3" t="s">
        <v>28</v>
      </c>
      <c r="O1592" s="3" t="s">
        <v>27</v>
      </c>
      <c r="P1592" s="3" t="s">
        <v>28</v>
      </c>
      <c r="Q1592" s="3" t="s">
        <v>27</v>
      </c>
      <c r="R1592" s="3" t="s">
        <v>28</v>
      </c>
      <c r="S1592" s="3" t="s">
        <v>27</v>
      </c>
      <c r="T1592" s="3" t="s">
        <v>28</v>
      </c>
    </row>
    <row r="1593" spans="1:20" ht="409.6">
      <c r="A1593" s="3">
        <v>2718503</v>
      </c>
      <c r="B1593" s="3">
        <f>HYPERLINK("https://platform.v2.vetology.net/cases/2718503/screening-report/6?type=pdf&amp;v=v6&amp;scorecard=1&amp;secret_key=BX%25IJ%24%2F65ieZ%29f6", 2718503)</f>
        <v>2718503</v>
      </c>
      <c r="C1593" s="3">
        <f>HYPERLINK("https://platform.v2.vetology.net/report/v/final/"&amp;2718503, 2718503)</f>
        <v>2718503</v>
      </c>
      <c r="D1593" s="3" t="s">
        <v>5664</v>
      </c>
      <c r="E1593" s="3" t="s">
        <v>5665</v>
      </c>
      <c r="F1593" s="3" t="s">
        <v>5666</v>
      </c>
      <c r="G1593" s="3" t="s">
        <v>179</v>
      </c>
      <c r="H1593" s="3" t="s">
        <v>5667</v>
      </c>
      <c r="I1593" s="3" t="s">
        <v>1417</v>
      </c>
      <c r="J1593" s="3" t="s">
        <v>1418</v>
      </c>
      <c r="K1593" s="3" t="s">
        <v>27</v>
      </c>
      <c r="L1593" s="3" t="s">
        <v>28</v>
      </c>
      <c r="M1593" s="3" t="s">
        <v>27</v>
      </c>
      <c r="N1593" s="3" t="s">
        <v>28</v>
      </c>
      <c r="O1593" s="3" t="s">
        <v>27</v>
      </c>
      <c r="P1593" s="3" t="s">
        <v>27</v>
      </c>
      <c r="Q1593" s="3" t="s">
        <v>27</v>
      </c>
      <c r="R1593" s="3" t="s">
        <v>28</v>
      </c>
      <c r="S1593" s="3" t="s">
        <v>28</v>
      </c>
      <c r="T1593" s="3" t="s">
        <v>28</v>
      </c>
    </row>
    <row r="1594" spans="1:20" ht="305.25">
      <c r="A1594" s="3">
        <v>2718399</v>
      </c>
      <c r="B1594" s="3">
        <f>HYPERLINK("https://platform.v2.vetology.net/cases/2718399/screening-report/6?type=pdf&amp;v=v6&amp;scorecard=1&amp;secret_key=BX%25IJ%24%2F65ieZ%29f6", 2718399)</f>
        <v>2718399</v>
      </c>
      <c r="C1594" s="3">
        <f>HYPERLINK("https://platform.v2.vetology.net/report/v/final/"&amp;2718399, 2718399)</f>
        <v>2718399</v>
      </c>
      <c r="D1594" s="3" t="s">
        <v>5668</v>
      </c>
      <c r="E1594" s="3" t="s">
        <v>5669</v>
      </c>
      <c r="F1594" s="3" t="s">
        <v>5670</v>
      </c>
      <c r="G1594" s="3" t="s">
        <v>186</v>
      </c>
      <c r="H1594" s="3" t="s">
        <v>300</v>
      </c>
      <c r="I1594" s="3" t="s">
        <v>32</v>
      </c>
      <c r="J1594" s="3" t="s">
        <v>33</v>
      </c>
      <c r="K1594" s="3" t="s">
        <v>27</v>
      </c>
      <c r="L1594" s="3" t="s">
        <v>28</v>
      </c>
      <c r="M1594" s="3" t="s">
        <v>28</v>
      </c>
      <c r="N1594" s="3" t="s">
        <v>28</v>
      </c>
      <c r="O1594" s="3" t="s">
        <v>27</v>
      </c>
      <c r="P1594" s="3" t="s">
        <v>28</v>
      </c>
      <c r="Q1594" s="3" t="s">
        <v>27</v>
      </c>
      <c r="R1594" s="3" t="s">
        <v>28</v>
      </c>
      <c r="S1594" s="3" t="s">
        <v>28</v>
      </c>
      <c r="T1594" s="3" t="s">
        <v>27</v>
      </c>
    </row>
    <row r="1595" spans="1:20" ht="409.6">
      <c r="A1595" s="3">
        <v>2718381</v>
      </c>
      <c r="B1595" s="3">
        <f>HYPERLINK("https://platform.v2.vetology.net/cases/2718381/screening-report/6?type=pdf&amp;v=v6&amp;scorecard=1&amp;secret_key=BX%25IJ%24%2F65ieZ%29f6", 2718381)</f>
        <v>2718381</v>
      </c>
      <c r="C1595" s="3">
        <f>HYPERLINK("https://platform.v2.vetology.net/report/v/final/"&amp;2718381, 2718381)</f>
        <v>2718381</v>
      </c>
      <c r="D1595" s="3" t="s">
        <v>5671</v>
      </c>
      <c r="E1595" s="3" t="s">
        <v>1230</v>
      </c>
      <c r="F1595" s="3" t="s">
        <v>2159</v>
      </c>
      <c r="G1595" s="3" t="s">
        <v>100</v>
      </c>
      <c r="H1595" s="3" t="s">
        <v>5672</v>
      </c>
      <c r="I1595" s="3" t="s">
        <v>1529</v>
      </c>
      <c r="J1595" s="3" t="s">
        <v>1530</v>
      </c>
      <c r="K1595" s="3" t="s">
        <v>27</v>
      </c>
      <c r="L1595" s="3" t="s">
        <v>27</v>
      </c>
      <c r="M1595" s="3" t="s">
        <v>28</v>
      </c>
      <c r="N1595" s="3" t="s">
        <v>28</v>
      </c>
      <c r="O1595" s="3" t="s">
        <v>28</v>
      </c>
      <c r="P1595" s="3" t="s">
        <v>28</v>
      </c>
      <c r="Q1595" s="3" t="s">
        <v>27</v>
      </c>
      <c r="R1595" s="3" t="s">
        <v>28</v>
      </c>
      <c r="S1595" s="3" t="s">
        <v>28</v>
      </c>
      <c r="T1595" s="3" t="s">
        <v>28</v>
      </c>
    </row>
    <row r="1596" spans="1:20" ht="290.25">
      <c r="A1596" s="3">
        <v>2718362</v>
      </c>
      <c r="B1596" s="3">
        <f>HYPERLINK("https://platform.v2.vetology.net/cases/2718362/screening-report/6?type=pdf&amp;v=v6&amp;scorecard=1&amp;secret_key=BX%25IJ%24%2F65ieZ%29f6", 2718362)</f>
        <v>2718362</v>
      </c>
      <c r="C1596" s="3">
        <f>HYPERLINK("https://platform.v2.vetology.net/report/v/final/"&amp;2718362, 2718362)</f>
        <v>2718362</v>
      </c>
      <c r="D1596" s="3" t="s">
        <v>5673</v>
      </c>
      <c r="E1596" s="3" t="s">
        <v>5674</v>
      </c>
      <c r="F1596" s="3" t="s">
        <v>5675</v>
      </c>
      <c r="G1596" s="3" t="s">
        <v>186</v>
      </c>
      <c r="H1596" s="3" t="s">
        <v>5676</v>
      </c>
      <c r="I1596" s="3" t="s">
        <v>316</v>
      </c>
      <c r="J1596" s="3" t="s">
        <v>317</v>
      </c>
      <c r="K1596" s="3" t="s">
        <v>28</v>
      </c>
      <c r="L1596" s="3" t="s">
        <v>28</v>
      </c>
      <c r="M1596" s="3" t="s">
        <v>28</v>
      </c>
      <c r="N1596" s="3" t="s">
        <v>28</v>
      </c>
      <c r="O1596" s="3" t="s">
        <v>27</v>
      </c>
      <c r="P1596" s="3" t="s">
        <v>28</v>
      </c>
      <c r="Q1596" s="3" t="s">
        <v>28</v>
      </c>
      <c r="R1596" s="3" t="s">
        <v>28</v>
      </c>
      <c r="S1596" s="3" t="s">
        <v>28</v>
      </c>
      <c r="T1596" s="3" t="s">
        <v>28</v>
      </c>
    </row>
    <row r="1597" spans="1:20" ht="213">
      <c r="A1597" s="3">
        <v>2718302</v>
      </c>
      <c r="B1597" s="3">
        <f>HYPERLINK("https://platform.v2.vetology.net/cases/2718302/screening-report/6?type=pdf&amp;v=v6&amp;scorecard=1&amp;secret_key=BX%25IJ%24%2F65ieZ%29f6", 2718302)</f>
        <v>2718302</v>
      </c>
      <c r="C1597" s="3">
        <f>HYPERLINK("https://platform.v2.vetology.net/report/v/final/"&amp;2718302, 2718302)</f>
        <v>2718302</v>
      </c>
      <c r="D1597" s="3" t="s">
        <v>5677</v>
      </c>
      <c r="E1597" s="3" t="s">
        <v>5678</v>
      </c>
      <c r="F1597" s="3" t="s">
        <v>5679</v>
      </c>
      <c r="G1597" s="3" t="s">
        <v>186</v>
      </c>
      <c r="H1597" s="3" t="s">
        <v>5680</v>
      </c>
      <c r="I1597" s="3" t="s">
        <v>72</v>
      </c>
      <c r="J1597" s="3" t="s">
        <v>363</v>
      </c>
      <c r="K1597" s="3" t="s">
        <v>28</v>
      </c>
      <c r="L1597" s="3" t="s">
        <v>28</v>
      </c>
      <c r="M1597" s="3" t="s">
        <v>28</v>
      </c>
      <c r="N1597" s="3" t="s">
        <v>28</v>
      </c>
      <c r="O1597" s="3" t="s">
        <v>28</v>
      </c>
      <c r="P1597" s="3" t="s">
        <v>28</v>
      </c>
      <c r="Q1597" s="3" t="s">
        <v>28</v>
      </c>
      <c r="R1597" s="3" t="s">
        <v>28</v>
      </c>
      <c r="S1597" s="3" t="s">
        <v>28</v>
      </c>
      <c r="T1597" s="3" t="s">
        <v>27</v>
      </c>
    </row>
    <row r="1598" spans="1:20" ht="409.6">
      <c r="A1598" s="3">
        <v>2718295</v>
      </c>
      <c r="B1598" s="3">
        <f>HYPERLINK("https://platform.v2.vetology.net/cases/2718295/screening-report/6?type=pdf&amp;v=v6&amp;scorecard=1&amp;secret_key=BX%25IJ%24%2F65ieZ%29f6", 2718295)</f>
        <v>2718295</v>
      </c>
      <c r="C1598" s="3">
        <f>HYPERLINK("https://platform.v2.vetology.net/report/v/final/"&amp;2718295, 2718295)</f>
        <v>2718295</v>
      </c>
      <c r="D1598" s="3" t="s">
        <v>5681</v>
      </c>
      <c r="E1598" s="3" t="s">
        <v>5682</v>
      </c>
      <c r="F1598" s="3" t="s">
        <v>5683</v>
      </c>
      <c r="G1598" s="3" t="s">
        <v>64</v>
      </c>
      <c r="H1598" s="3" t="s">
        <v>5684</v>
      </c>
      <c r="I1598" s="3" t="s">
        <v>1916</v>
      </c>
      <c r="J1598" s="3" t="s">
        <v>1917</v>
      </c>
      <c r="K1598" s="3" t="s">
        <v>28</v>
      </c>
      <c r="L1598" s="3" t="s">
        <v>28</v>
      </c>
      <c r="M1598" s="3" t="s">
        <v>28</v>
      </c>
      <c r="N1598" s="3" t="s">
        <v>28</v>
      </c>
      <c r="O1598" s="3" t="s">
        <v>27</v>
      </c>
      <c r="P1598" s="3" t="s">
        <v>28</v>
      </c>
      <c r="Q1598" s="3" t="s">
        <v>28</v>
      </c>
      <c r="R1598" s="3" t="s">
        <v>28</v>
      </c>
      <c r="S1598" s="3" t="s">
        <v>27</v>
      </c>
      <c r="T1598" s="3" t="s">
        <v>27</v>
      </c>
    </row>
    <row r="1599" spans="1:20" ht="409.6">
      <c r="A1599" s="3">
        <v>2718282</v>
      </c>
      <c r="B1599" s="3">
        <f>HYPERLINK("https://platform.v2.vetology.net/cases/2718282/screening-report/6?type=pdf&amp;v=v6&amp;scorecard=1&amp;secret_key=BX%25IJ%24%2F65ieZ%29f6", 2718282)</f>
        <v>2718282</v>
      </c>
      <c r="C1599" s="3">
        <f>HYPERLINK("https://platform.v2.vetology.net/report/v/final/"&amp;2718282, 2718282)</f>
        <v>2718282</v>
      </c>
      <c r="D1599" s="3" t="s">
        <v>5685</v>
      </c>
      <c r="E1599" s="3" t="s">
        <v>5686</v>
      </c>
      <c r="F1599" s="3" t="s">
        <v>5687</v>
      </c>
      <c r="G1599" s="3" t="s">
        <v>186</v>
      </c>
      <c r="H1599" s="3" t="s">
        <v>658</v>
      </c>
      <c r="I1599" s="3" t="s">
        <v>659</v>
      </c>
      <c r="J1599" s="3" t="s">
        <v>660</v>
      </c>
      <c r="K1599" s="3" t="s">
        <v>27</v>
      </c>
      <c r="L1599" s="3" t="s">
        <v>28</v>
      </c>
      <c r="M1599" s="3" t="s">
        <v>28</v>
      </c>
      <c r="N1599" s="3" t="s">
        <v>28</v>
      </c>
      <c r="O1599" s="3" t="s">
        <v>27</v>
      </c>
      <c r="P1599" s="3" t="s">
        <v>28</v>
      </c>
      <c r="Q1599" s="3" t="s">
        <v>27</v>
      </c>
      <c r="R1599" s="3" t="s">
        <v>28</v>
      </c>
      <c r="S1599" s="3" t="s">
        <v>28</v>
      </c>
      <c r="T1599" s="3" t="s">
        <v>27</v>
      </c>
    </row>
    <row r="1600" spans="1:20" ht="409.6">
      <c r="A1600" s="3">
        <v>2718249</v>
      </c>
      <c r="B1600" s="3">
        <f>HYPERLINK("https://platform.v2.vetology.net/cases/2718249/screening-report/6?type=pdf&amp;v=v6&amp;scorecard=1&amp;secret_key=BX%25IJ%24%2F65ieZ%29f6", 2718249)</f>
        <v>2718249</v>
      </c>
      <c r="C1600" s="3">
        <f>HYPERLINK("https://platform.v2.vetology.net/report/v/final/"&amp;2718249, 2718249)</f>
        <v>2718249</v>
      </c>
      <c r="D1600" s="3" t="s">
        <v>5688</v>
      </c>
      <c r="E1600" s="3" t="s">
        <v>5689</v>
      </c>
      <c r="F1600" s="3" t="s">
        <v>5690</v>
      </c>
      <c r="G1600" s="3" t="s">
        <v>179</v>
      </c>
      <c r="H1600" s="3" t="s">
        <v>350</v>
      </c>
      <c r="I1600" s="3" t="s">
        <v>351</v>
      </c>
      <c r="J1600" s="3" t="s">
        <v>352</v>
      </c>
      <c r="K1600" s="3" t="s">
        <v>28</v>
      </c>
      <c r="L1600" s="3" t="s">
        <v>28</v>
      </c>
      <c r="M1600" s="3" t="s">
        <v>28</v>
      </c>
      <c r="N1600" s="3" t="s">
        <v>28</v>
      </c>
      <c r="O1600" s="3" t="s">
        <v>27</v>
      </c>
      <c r="P1600" s="3" t="s">
        <v>28</v>
      </c>
      <c r="Q1600" s="3" t="s">
        <v>28</v>
      </c>
      <c r="R1600" s="3" t="s">
        <v>28</v>
      </c>
      <c r="S1600" s="3" t="s">
        <v>28</v>
      </c>
      <c r="T1600" s="3" t="s">
        <v>27</v>
      </c>
    </row>
    <row r="1601" spans="1:20" ht="244.5">
      <c r="A1601" s="3">
        <v>2718121</v>
      </c>
      <c r="B1601" s="3">
        <f>HYPERLINK("https://platform.v2.vetology.net/cases/2718121/screening-report/6?type=pdf&amp;v=v6&amp;scorecard=1&amp;secret_key=BX%25IJ%24%2F65ieZ%29f6", 2718121)</f>
        <v>2718121</v>
      </c>
      <c r="C1601" s="3">
        <f>HYPERLINK("https://platform.v2.vetology.net/report/v/final/"&amp;2718121, 2718121)</f>
        <v>2718121</v>
      </c>
      <c r="D1601" s="3" t="s">
        <v>5691</v>
      </c>
      <c r="E1601" s="3" t="s">
        <v>5692</v>
      </c>
      <c r="F1601" s="3" t="s">
        <v>1668</v>
      </c>
      <c r="G1601" s="3" t="s">
        <v>122</v>
      </c>
      <c r="H1601" s="3" t="s">
        <v>5693</v>
      </c>
      <c r="I1601" s="3" t="s">
        <v>4699</v>
      </c>
      <c r="J1601" s="3" t="s">
        <v>4700</v>
      </c>
      <c r="K1601" s="3" t="s">
        <v>27</v>
      </c>
      <c r="L1601" s="3" t="s">
        <v>27</v>
      </c>
      <c r="M1601" s="3" t="s">
        <v>27</v>
      </c>
      <c r="N1601" s="3" t="s">
        <v>27</v>
      </c>
      <c r="O1601" s="3" t="s">
        <v>27</v>
      </c>
      <c r="P1601" s="3" t="s">
        <v>27</v>
      </c>
      <c r="Q1601" s="3" t="s">
        <v>27</v>
      </c>
      <c r="R1601" s="3" t="s">
        <v>28</v>
      </c>
      <c r="S1601" s="3" t="s">
        <v>27</v>
      </c>
      <c r="T1601" s="3" t="s">
        <v>28</v>
      </c>
    </row>
    <row r="1602" spans="1:20" ht="409.6">
      <c r="A1602" s="3">
        <v>2718112</v>
      </c>
      <c r="B1602" s="3">
        <f>HYPERLINK("https://platform.v2.vetology.net/cases/2718112/screening-report/6?type=pdf&amp;v=v6&amp;scorecard=1&amp;secret_key=BX%25IJ%24%2F65ieZ%29f6", 2718112)</f>
        <v>2718112</v>
      </c>
      <c r="C1602" s="3">
        <f>HYPERLINK("https://platform.v2.vetology.net/report/v/final/"&amp;2718112, 2718112)</f>
        <v>2718112</v>
      </c>
      <c r="D1602" s="3" t="s">
        <v>5694</v>
      </c>
      <c r="E1602" s="3" t="s">
        <v>5695</v>
      </c>
      <c r="F1602" s="3" t="s">
        <v>22</v>
      </c>
      <c r="G1602" s="3" t="s">
        <v>23</v>
      </c>
      <c r="H1602" s="3" t="s">
        <v>519</v>
      </c>
      <c r="I1602" s="3" t="s">
        <v>520</v>
      </c>
      <c r="J1602" s="3" t="s">
        <v>335</v>
      </c>
      <c r="K1602" s="3" t="s">
        <v>28</v>
      </c>
      <c r="L1602" s="3" t="s">
        <v>28</v>
      </c>
      <c r="M1602" s="3" t="s">
        <v>28</v>
      </c>
      <c r="N1602" s="3" t="s">
        <v>28</v>
      </c>
      <c r="O1602" s="3" t="s">
        <v>27</v>
      </c>
      <c r="P1602" s="3" t="s">
        <v>28</v>
      </c>
      <c r="Q1602" s="3" t="s">
        <v>28</v>
      </c>
      <c r="R1602" s="3" t="s">
        <v>28</v>
      </c>
      <c r="S1602" s="3" t="s">
        <v>28</v>
      </c>
      <c r="T1602" s="3" t="s">
        <v>28</v>
      </c>
    </row>
    <row r="1603" spans="1:20" ht="409.6">
      <c r="A1603" s="3">
        <v>2718097</v>
      </c>
      <c r="B1603" s="3">
        <f>HYPERLINK("https://platform.v2.vetology.net/cases/2718097/screening-report/6?type=pdf&amp;v=v6&amp;scorecard=1&amp;secret_key=BX%25IJ%24%2F65ieZ%29f6", 2718097)</f>
        <v>2718097</v>
      </c>
      <c r="C1603" s="3">
        <f>HYPERLINK("https://platform.v2.vetology.net/report/v/final/"&amp;2718097, 2718097)</f>
        <v>2718097</v>
      </c>
      <c r="D1603" s="3" t="s">
        <v>5696</v>
      </c>
      <c r="E1603" s="3" t="s">
        <v>5697</v>
      </c>
      <c r="F1603" s="3" t="s">
        <v>5698</v>
      </c>
      <c r="G1603" s="3" t="s">
        <v>64</v>
      </c>
      <c r="H1603" s="3" t="s">
        <v>5699</v>
      </c>
      <c r="I1603" s="3" t="s">
        <v>1491</v>
      </c>
      <c r="J1603" s="3" t="s">
        <v>1492</v>
      </c>
      <c r="K1603" s="3" t="s">
        <v>28</v>
      </c>
      <c r="L1603" s="3" t="s">
        <v>28</v>
      </c>
      <c r="M1603" s="3" t="s">
        <v>28</v>
      </c>
      <c r="N1603" s="3" t="s">
        <v>27</v>
      </c>
      <c r="O1603" s="3" t="s">
        <v>27</v>
      </c>
      <c r="P1603" s="3" t="s">
        <v>28</v>
      </c>
      <c r="Q1603" s="3" t="s">
        <v>28</v>
      </c>
      <c r="R1603" s="3" t="s">
        <v>28</v>
      </c>
      <c r="S1603" s="3" t="s">
        <v>27</v>
      </c>
      <c r="T1603" s="3" t="s">
        <v>28</v>
      </c>
    </row>
    <row r="1604" spans="1:20" ht="409.6">
      <c r="A1604" s="3">
        <v>2718089</v>
      </c>
      <c r="B1604" s="3">
        <f>HYPERLINK("https://platform.v2.vetology.net/cases/2718089/screening-report/6?type=pdf&amp;v=v6&amp;scorecard=1&amp;secret_key=BX%25IJ%24%2F65ieZ%29f6", 2718089)</f>
        <v>2718089</v>
      </c>
      <c r="C1604" s="3">
        <f>HYPERLINK("https://platform.v2.vetology.net/report/v/final/"&amp;2718089, 2718089)</f>
        <v>2718089</v>
      </c>
      <c r="D1604" s="3" t="s">
        <v>5700</v>
      </c>
      <c r="E1604" s="3" t="s">
        <v>635</v>
      </c>
      <c r="F1604" s="3" t="s">
        <v>22</v>
      </c>
      <c r="G1604" s="3" t="s">
        <v>23</v>
      </c>
      <c r="H1604" s="3" t="s">
        <v>658</v>
      </c>
      <c r="I1604" s="3" t="s">
        <v>659</v>
      </c>
      <c r="J1604" s="3" t="s">
        <v>660</v>
      </c>
      <c r="K1604" s="3" t="s">
        <v>28</v>
      </c>
      <c r="L1604" s="3" t="s">
        <v>28</v>
      </c>
      <c r="M1604" s="3" t="s">
        <v>28</v>
      </c>
      <c r="N1604" s="3" t="s">
        <v>28</v>
      </c>
      <c r="O1604" s="3" t="s">
        <v>27</v>
      </c>
      <c r="P1604" s="3" t="s">
        <v>28</v>
      </c>
      <c r="Q1604" s="3" t="s">
        <v>28</v>
      </c>
      <c r="R1604" s="3" t="s">
        <v>28</v>
      </c>
      <c r="S1604" s="3" t="s">
        <v>28</v>
      </c>
      <c r="T1604" s="3" t="s">
        <v>28</v>
      </c>
    </row>
    <row r="1605" spans="1:20" ht="396.75">
      <c r="A1605" s="3">
        <v>2718065</v>
      </c>
      <c r="B1605" s="3">
        <f>HYPERLINK("https://platform.v2.vetology.net/cases/2718065/screening-report/6?type=pdf&amp;v=v6&amp;scorecard=1&amp;secret_key=BX%25IJ%24%2F65ieZ%29f6", 2718065)</f>
        <v>2718065</v>
      </c>
      <c r="C1605" s="3">
        <f>HYPERLINK("https://platform.v2.vetology.net/report/v/final/"&amp;2718065, 2718065)</f>
        <v>2718065</v>
      </c>
      <c r="D1605" s="3" t="s">
        <v>5701</v>
      </c>
      <c r="E1605" s="3" t="s">
        <v>3119</v>
      </c>
      <c r="F1605" s="3"/>
      <c r="G1605" s="3" t="s">
        <v>372</v>
      </c>
      <c r="H1605" s="3" t="s">
        <v>1097</v>
      </c>
      <c r="I1605" s="3" t="s">
        <v>469</v>
      </c>
      <c r="J1605" s="3" t="s">
        <v>470</v>
      </c>
      <c r="K1605" s="3" t="s">
        <v>28</v>
      </c>
      <c r="L1605" s="3" t="s">
        <v>28</v>
      </c>
      <c r="M1605" s="3" t="s">
        <v>28</v>
      </c>
      <c r="N1605" s="3" t="s">
        <v>28</v>
      </c>
      <c r="O1605" s="3" t="s">
        <v>27</v>
      </c>
      <c r="P1605" s="3" t="s">
        <v>27</v>
      </c>
      <c r="Q1605" s="3" t="s">
        <v>28</v>
      </c>
      <c r="R1605" s="3" t="s">
        <v>28</v>
      </c>
      <c r="S1605" s="3" t="s">
        <v>28</v>
      </c>
      <c r="T1605" s="3" t="s">
        <v>28</v>
      </c>
    </row>
    <row r="1606" spans="1:20" ht="409.6">
      <c r="A1606" s="3">
        <v>2718062</v>
      </c>
      <c r="B1606" s="3">
        <f>HYPERLINK("https://platform.v2.vetology.net/cases/2718062/screening-report/6?type=pdf&amp;v=v6&amp;scorecard=1&amp;secret_key=BX%25IJ%24%2F65ieZ%29f6", 2718062)</f>
        <v>2718062</v>
      </c>
      <c r="C1606" s="3">
        <f>HYPERLINK("https://platform.v2.vetology.net/report/v/final/"&amp;2718062, 2718062)</f>
        <v>2718062</v>
      </c>
      <c r="D1606" s="3" t="s">
        <v>5702</v>
      </c>
      <c r="E1606" s="3" t="s">
        <v>5703</v>
      </c>
      <c r="F1606" s="3" t="s">
        <v>5704</v>
      </c>
      <c r="G1606" s="3" t="s">
        <v>64</v>
      </c>
      <c r="H1606" s="3" t="s">
        <v>5705</v>
      </c>
      <c r="I1606" s="3" t="s">
        <v>856</v>
      </c>
      <c r="J1606" s="3" t="s">
        <v>857</v>
      </c>
      <c r="K1606" s="3" t="s">
        <v>28</v>
      </c>
      <c r="L1606" s="3" t="s">
        <v>28</v>
      </c>
      <c r="M1606" s="3" t="s">
        <v>28</v>
      </c>
      <c r="N1606" s="3" t="s">
        <v>28</v>
      </c>
      <c r="O1606" s="3" t="s">
        <v>27</v>
      </c>
      <c r="P1606" s="3" t="s">
        <v>28</v>
      </c>
      <c r="Q1606" s="3" t="s">
        <v>28</v>
      </c>
      <c r="R1606" s="3" t="s">
        <v>28</v>
      </c>
      <c r="S1606" s="3" t="s">
        <v>28</v>
      </c>
      <c r="T1606" s="3" t="s">
        <v>28</v>
      </c>
    </row>
    <row r="1607" spans="1:20" ht="409.6">
      <c r="A1607" s="3">
        <v>2718036</v>
      </c>
      <c r="B1607" s="3">
        <f>HYPERLINK("https://platform.v2.vetology.net/cases/2718036/screening-report/6?type=pdf&amp;v=v6&amp;scorecard=1&amp;secret_key=BX%25IJ%24%2F65ieZ%29f6", 2718036)</f>
        <v>2718036</v>
      </c>
      <c r="C1607" s="3">
        <f>HYPERLINK("https://platform.v2.vetology.net/report/v/final/"&amp;2718036, 2718036)</f>
        <v>2718036</v>
      </c>
      <c r="D1607" s="3" t="s">
        <v>5706</v>
      </c>
      <c r="E1607" s="3" t="s">
        <v>5707</v>
      </c>
      <c r="F1607" s="3" t="s">
        <v>5708</v>
      </c>
      <c r="G1607" s="3" t="s">
        <v>64</v>
      </c>
      <c r="H1607" s="3" t="s">
        <v>5709</v>
      </c>
      <c r="I1607" s="3" t="s">
        <v>5710</v>
      </c>
      <c r="J1607" s="3" t="s">
        <v>5711</v>
      </c>
      <c r="K1607" s="3" t="s">
        <v>27</v>
      </c>
      <c r="L1607" s="3" t="s">
        <v>27</v>
      </c>
      <c r="M1607" s="3" t="s">
        <v>27</v>
      </c>
      <c r="N1607" s="3" t="s">
        <v>28</v>
      </c>
      <c r="O1607" s="3" t="s">
        <v>27</v>
      </c>
      <c r="P1607" s="3" t="s">
        <v>27</v>
      </c>
      <c r="Q1607" s="3" t="s">
        <v>27</v>
      </c>
      <c r="R1607" s="3" t="s">
        <v>27</v>
      </c>
      <c r="S1607" s="3" t="s">
        <v>27</v>
      </c>
      <c r="T1607" s="3" t="s">
        <v>28</v>
      </c>
    </row>
    <row r="1608" spans="1:20" ht="409.6">
      <c r="A1608" s="3">
        <v>2717998</v>
      </c>
      <c r="B1608" s="3">
        <f>HYPERLINK("https://platform.v2.vetology.net/cases/2717998/screening-report/6?type=pdf&amp;v=v6&amp;scorecard=1&amp;secret_key=BX%25IJ%24%2F65ieZ%29f6", 2717998)</f>
        <v>2717998</v>
      </c>
      <c r="C1608" s="3">
        <f>HYPERLINK("https://platform.v2.vetology.net/report/v/final/"&amp;2717998, 2717998)</f>
        <v>2717998</v>
      </c>
      <c r="D1608" s="3" t="s">
        <v>5712</v>
      </c>
      <c r="E1608" s="3" t="s">
        <v>5713</v>
      </c>
      <c r="F1608" s="3" t="s">
        <v>5714</v>
      </c>
      <c r="G1608" s="3" t="s">
        <v>566</v>
      </c>
      <c r="H1608" s="3" t="s">
        <v>1564</v>
      </c>
      <c r="I1608" s="3" t="s">
        <v>1565</v>
      </c>
      <c r="J1608" s="3" t="s">
        <v>1566</v>
      </c>
      <c r="K1608" s="3" t="s">
        <v>28</v>
      </c>
      <c r="L1608" s="3" t="s">
        <v>28</v>
      </c>
      <c r="M1608" s="3" t="s">
        <v>28</v>
      </c>
      <c r="N1608" s="3" t="s">
        <v>28</v>
      </c>
      <c r="O1608" s="3" t="s">
        <v>27</v>
      </c>
      <c r="P1608" s="3" t="s">
        <v>28</v>
      </c>
      <c r="Q1608" s="3" t="s">
        <v>28</v>
      </c>
      <c r="R1608" s="3" t="s">
        <v>28</v>
      </c>
      <c r="S1608" s="3" t="s">
        <v>28</v>
      </c>
      <c r="T1608" s="3" t="s">
        <v>28</v>
      </c>
    </row>
    <row r="1609" spans="1:20" ht="381.75">
      <c r="A1609" s="3">
        <v>2717971</v>
      </c>
      <c r="B1609" s="3">
        <f>HYPERLINK("https://platform.v2.vetology.net/cases/2717971/screening-report/6?type=pdf&amp;v=v6&amp;scorecard=1&amp;secret_key=BX%25IJ%24%2F65ieZ%29f6", 2717971)</f>
        <v>2717971</v>
      </c>
      <c r="C1609" s="3">
        <f>HYPERLINK("https://platform.v2.vetology.net/report/v/final/"&amp;2717971, 2717971)</f>
        <v>2717971</v>
      </c>
      <c r="D1609" s="3" t="s">
        <v>5715</v>
      </c>
      <c r="E1609" s="3" t="s">
        <v>5716</v>
      </c>
      <c r="F1609" s="3"/>
      <c r="G1609" s="3" t="s">
        <v>372</v>
      </c>
      <c r="H1609" s="3" t="s">
        <v>5717</v>
      </c>
      <c r="I1609" s="3" t="s">
        <v>1070</v>
      </c>
      <c r="J1609" s="3" t="s">
        <v>207</v>
      </c>
      <c r="K1609" s="3" t="s">
        <v>28</v>
      </c>
      <c r="L1609" s="3" t="s">
        <v>28</v>
      </c>
      <c r="M1609" s="3" t="s">
        <v>28</v>
      </c>
      <c r="N1609" s="3" t="s">
        <v>28</v>
      </c>
      <c r="O1609" s="3" t="s">
        <v>27</v>
      </c>
      <c r="P1609" s="3" t="s">
        <v>27</v>
      </c>
      <c r="Q1609" s="3" t="s">
        <v>28</v>
      </c>
      <c r="R1609" s="3" t="s">
        <v>28</v>
      </c>
      <c r="S1609" s="3" t="s">
        <v>28</v>
      </c>
      <c r="T1609" s="3" t="s">
        <v>28</v>
      </c>
    </row>
    <row r="1610" spans="1:20" ht="366">
      <c r="A1610" s="3">
        <v>2717962</v>
      </c>
      <c r="B1610" s="3">
        <f>HYPERLINK("https://platform.v2.vetology.net/cases/2717962/screening-report/6?type=pdf&amp;v=v6&amp;scorecard=1&amp;secret_key=BX%25IJ%24%2F65ieZ%29f6", 2717962)</f>
        <v>2717962</v>
      </c>
      <c r="C1610" s="3">
        <f>HYPERLINK("https://platform.v2.vetology.net/report/v/final/"&amp;2717962, 2717962)</f>
        <v>2717962</v>
      </c>
      <c r="D1610" s="3" t="s">
        <v>5718</v>
      </c>
      <c r="E1610" s="3" t="s">
        <v>5719</v>
      </c>
      <c r="F1610" s="3" t="s">
        <v>5720</v>
      </c>
      <c r="G1610" s="3" t="s">
        <v>100</v>
      </c>
      <c r="H1610" s="3" t="s">
        <v>5721</v>
      </c>
      <c r="I1610" s="3" t="s">
        <v>2963</v>
      </c>
      <c r="J1610" s="3" t="s">
        <v>2964</v>
      </c>
      <c r="K1610" s="3" t="s">
        <v>27</v>
      </c>
      <c r="L1610" s="3" t="s">
        <v>28</v>
      </c>
      <c r="M1610" s="3" t="s">
        <v>27</v>
      </c>
      <c r="N1610" s="3" t="s">
        <v>28</v>
      </c>
      <c r="O1610" s="3" t="s">
        <v>27</v>
      </c>
      <c r="P1610" s="3" t="s">
        <v>28</v>
      </c>
      <c r="Q1610" s="3" t="s">
        <v>27</v>
      </c>
      <c r="R1610" s="3" t="s">
        <v>28</v>
      </c>
      <c r="S1610" s="3" t="s">
        <v>28</v>
      </c>
      <c r="T1610" s="3" t="s">
        <v>28</v>
      </c>
    </row>
    <row r="1611" spans="1:20" ht="259.5">
      <c r="A1611" s="3">
        <v>2717896</v>
      </c>
      <c r="B1611" s="3">
        <f>HYPERLINK("https://platform.v2.vetology.net/cases/2717896/screening-report/6?type=pdf&amp;v=v6&amp;scorecard=1&amp;secret_key=BX%25IJ%24%2F65ieZ%29f6", 2717896)</f>
        <v>2717896</v>
      </c>
      <c r="C1611" s="3">
        <f>HYPERLINK("https://platform.v2.vetology.net/report/v/final/"&amp;2717896, 2717896)</f>
        <v>2717896</v>
      </c>
      <c r="D1611" s="3" t="s">
        <v>5722</v>
      </c>
      <c r="E1611" s="3" t="s">
        <v>5723</v>
      </c>
      <c r="F1611" s="3" t="s">
        <v>5724</v>
      </c>
      <c r="G1611" s="3" t="s">
        <v>186</v>
      </c>
      <c r="H1611" s="3" t="s">
        <v>3546</v>
      </c>
      <c r="I1611" s="3" t="s">
        <v>305</v>
      </c>
      <c r="J1611" s="3" t="s">
        <v>2419</v>
      </c>
      <c r="K1611" s="3" t="s">
        <v>27</v>
      </c>
      <c r="L1611" s="3" t="s">
        <v>27</v>
      </c>
      <c r="M1611" s="3" t="s">
        <v>27</v>
      </c>
      <c r="N1611" s="3" t="s">
        <v>28</v>
      </c>
      <c r="O1611" s="3" t="s">
        <v>27</v>
      </c>
      <c r="P1611" s="3" t="s">
        <v>28</v>
      </c>
      <c r="Q1611" s="3" t="s">
        <v>27</v>
      </c>
      <c r="R1611" s="3" t="s">
        <v>27</v>
      </c>
      <c r="S1611" s="3" t="s">
        <v>28</v>
      </c>
      <c r="T1611" s="3" t="s">
        <v>27</v>
      </c>
    </row>
    <row r="1612" spans="1:20" ht="366">
      <c r="A1612" s="3">
        <v>2717838</v>
      </c>
      <c r="B1612" s="3">
        <f>HYPERLINK("https://platform.v2.vetology.net/cases/2717838/screening-report/6?type=pdf&amp;v=v6&amp;scorecard=1&amp;secret_key=BX%25IJ%24%2F65ieZ%29f6", 2717838)</f>
        <v>2717838</v>
      </c>
      <c r="C1612" s="3">
        <f>HYPERLINK("https://platform.v2.vetology.net/report/v/final/"&amp;2717838, 2717838)</f>
        <v>2717838</v>
      </c>
      <c r="D1612" s="3" t="s">
        <v>5725</v>
      </c>
      <c r="E1612" s="3" t="s">
        <v>5726</v>
      </c>
      <c r="F1612" s="3" t="s">
        <v>22</v>
      </c>
      <c r="G1612" s="3" t="s">
        <v>372</v>
      </c>
      <c r="H1612" s="3" t="s">
        <v>5727</v>
      </c>
      <c r="I1612" s="3" t="s">
        <v>993</v>
      </c>
      <c r="J1612" s="3" t="s">
        <v>994</v>
      </c>
      <c r="K1612" s="3" t="s">
        <v>28</v>
      </c>
      <c r="L1612" s="3" t="s">
        <v>28</v>
      </c>
      <c r="M1612" s="3" t="s">
        <v>28</v>
      </c>
      <c r="N1612" s="3" t="s">
        <v>28</v>
      </c>
      <c r="O1612" s="3" t="s">
        <v>27</v>
      </c>
      <c r="P1612" s="3" t="s">
        <v>28</v>
      </c>
      <c r="Q1612" s="3" t="s">
        <v>28</v>
      </c>
      <c r="R1612" s="3" t="s">
        <v>28</v>
      </c>
      <c r="S1612" s="3" t="s">
        <v>28</v>
      </c>
      <c r="T1612" s="3" t="s">
        <v>28</v>
      </c>
    </row>
    <row r="1613" spans="1:20" ht="409.6">
      <c r="A1613" s="3">
        <v>2717834</v>
      </c>
      <c r="B1613" s="3">
        <f>HYPERLINK("https://platform.v2.vetology.net/cases/2717834/screening-report/6?type=pdf&amp;v=v6&amp;scorecard=1&amp;secret_key=BX%25IJ%24%2F65ieZ%29f6", 2717834)</f>
        <v>2717834</v>
      </c>
      <c r="C1613" s="3">
        <f>HYPERLINK("https://platform.v2.vetology.net/report/v/final/"&amp;2717834, 2717834)</f>
        <v>2717834</v>
      </c>
      <c r="D1613" s="3" t="s">
        <v>5728</v>
      </c>
      <c r="E1613" s="3" t="s">
        <v>5729</v>
      </c>
      <c r="F1613" s="3" t="s">
        <v>22</v>
      </c>
      <c r="G1613" s="3" t="s">
        <v>100</v>
      </c>
      <c r="H1613" s="3" t="s">
        <v>5730</v>
      </c>
      <c r="I1613" s="3" t="s">
        <v>3944</v>
      </c>
      <c r="J1613" s="3" t="s">
        <v>5731</v>
      </c>
      <c r="K1613" s="3" t="s">
        <v>28</v>
      </c>
      <c r="L1613" s="3" t="s">
        <v>28</v>
      </c>
      <c r="M1613" s="3" t="s">
        <v>27</v>
      </c>
      <c r="N1613" s="3" t="s">
        <v>28</v>
      </c>
      <c r="O1613" s="3" t="s">
        <v>27</v>
      </c>
      <c r="P1613" s="3" t="s">
        <v>28</v>
      </c>
      <c r="Q1613" s="3" t="s">
        <v>27</v>
      </c>
      <c r="R1613" s="3" t="s">
        <v>28</v>
      </c>
      <c r="S1613" s="3" t="s">
        <v>27</v>
      </c>
      <c r="T1613" s="3" t="s">
        <v>27</v>
      </c>
    </row>
    <row r="1614" spans="1:20" ht="351">
      <c r="A1614" s="3">
        <v>2717813</v>
      </c>
      <c r="B1614" s="3">
        <f>HYPERLINK("https://platform.v2.vetology.net/cases/2717813/screening-report/6?type=pdf&amp;v=v6&amp;scorecard=1&amp;secret_key=BX%25IJ%24%2F65ieZ%29f6", 2717813)</f>
        <v>2717813</v>
      </c>
      <c r="C1614" s="3">
        <f>HYPERLINK("https://platform.v2.vetology.net/report/v/final/"&amp;2717813, 2717813)</f>
        <v>2717813</v>
      </c>
      <c r="D1614" s="3" t="s">
        <v>5732</v>
      </c>
      <c r="E1614" s="3" t="s">
        <v>5733</v>
      </c>
      <c r="F1614" s="3" t="s">
        <v>5734</v>
      </c>
      <c r="G1614" s="3" t="s">
        <v>179</v>
      </c>
      <c r="H1614" s="3" t="s">
        <v>492</v>
      </c>
      <c r="I1614" s="3" t="s">
        <v>291</v>
      </c>
      <c r="J1614" s="3" t="s">
        <v>225</v>
      </c>
      <c r="K1614" s="3" t="s">
        <v>28</v>
      </c>
      <c r="L1614" s="3" t="s">
        <v>27</v>
      </c>
      <c r="M1614" s="3" t="s">
        <v>28</v>
      </c>
      <c r="N1614" s="3" t="s">
        <v>27</v>
      </c>
      <c r="O1614" s="3" t="s">
        <v>27</v>
      </c>
      <c r="P1614" s="3" t="s">
        <v>28</v>
      </c>
      <c r="Q1614" s="3" t="s">
        <v>28</v>
      </c>
      <c r="R1614" s="3" t="s">
        <v>27</v>
      </c>
      <c r="S1614" s="3" t="s">
        <v>27</v>
      </c>
      <c r="T1614" s="3" t="s">
        <v>27</v>
      </c>
    </row>
    <row r="1615" spans="1:20" ht="409.6">
      <c r="A1615" s="3">
        <v>2717809</v>
      </c>
      <c r="B1615" s="3">
        <f>HYPERLINK("https://platform.v2.vetology.net/cases/2717809/screening-report/6?type=pdf&amp;v=v6&amp;scorecard=1&amp;secret_key=BX%25IJ%24%2F65ieZ%29f6", 2717809)</f>
        <v>2717809</v>
      </c>
      <c r="C1615" s="3">
        <f>HYPERLINK("https://platform.v2.vetology.net/report/v/final/"&amp;2717809, 2717809)</f>
        <v>2717809</v>
      </c>
      <c r="D1615" s="3" t="s">
        <v>5735</v>
      </c>
      <c r="E1615" s="3" t="s">
        <v>5736</v>
      </c>
      <c r="F1615" s="3" t="s">
        <v>5737</v>
      </c>
      <c r="G1615" s="3" t="s">
        <v>179</v>
      </c>
      <c r="H1615" s="3" t="s">
        <v>5738</v>
      </c>
      <c r="I1615" s="3" t="s">
        <v>2771</v>
      </c>
      <c r="J1615" s="3" t="s">
        <v>2772</v>
      </c>
      <c r="K1615" s="3" t="s">
        <v>28</v>
      </c>
      <c r="L1615" s="3" t="s">
        <v>27</v>
      </c>
      <c r="M1615" s="3" t="s">
        <v>28</v>
      </c>
      <c r="N1615" s="3" t="s">
        <v>27</v>
      </c>
      <c r="O1615" s="3" t="s">
        <v>28</v>
      </c>
      <c r="P1615" s="3" t="s">
        <v>28</v>
      </c>
      <c r="Q1615" s="3" t="s">
        <v>28</v>
      </c>
      <c r="R1615" s="3" t="s">
        <v>27</v>
      </c>
      <c r="S1615" s="3" t="s">
        <v>27</v>
      </c>
      <c r="T1615" s="3" t="s">
        <v>27</v>
      </c>
    </row>
    <row r="1616" spans="1:20" ht="409.6">
      <c r="A1616" s="3">
        <v>2717808</v>
      </c>
      <c r="B1616" s="3">
        <f>HYPERLINK("https://platform.v2.vetology.net/cases/2717808/screening-report/6?type=pdf&amp;v=v6&amp;scorecard=1&amp;secret_key=BX%25IJ%24%2F65ieZ%29f6", 2717808)</f>
        <v>2717808</v>
      </c>
      <c r="C1616" s="3">
        <f>HYPERLINK("https://platform.v2.vetology.net/report/v/final/"&amp;2717808, 2717808)</f>
        <v>2717808</v>
      </c>
      <c r="D1616" s="3" t="s">
        <v>5739</v>
      </c>
      <c r="E1616" s="3" t="s">
        <v>5740</v>
      </c>
      <c r="F1616" s="3" t="s">
        <v>5741</v>
      </c>
      <c r="G1616" s="3" t="s">
        <v>64</v>
      </c>
      <c r="H1616" s="3" t="s">
        <v>350</v>
      </c>
      <c r="I1616" s="3" t="s">
        <v>351</v>
      </c>
      <c r="J1616" s="3" t="s">
        <v>352</v>
      </c>
      <c r="K1616" s="3" t="s">
        <v>28</v>
      </c>
      <c r="L1616" s="3" t="s">
        <v>28</v>
      </c>
      <c r="M1616" s="3" t="s">
        <v>28</v>
      </c>
      <c r="N1616" s="3" t="s">
        <v>28</v>
      </c>
      <c r="O1616" s="3" t="s">
        <v>28</v>
      </c>
      <c r="P1616" s="3" t="s">
        <v>28</v>
      </c>
      <c r="Q1616" s="3" t="s">
        <v>28</v>
      </c>
      <c r="R1616" s="3" t="s">
        <v>28</v>
      </c>
      <c r="S1616" s="3" t="s">
        <v>27</v>
      </c>
      <c r="T1616" s="3" t="s">
        <v>27</v>
      </c>
    </row>
    <row r="1617" spans="1:20" ht="351">
      <c r="A1617" s="3">
        <v>2717772</v>
      </c>
      <c r="B1617" s="3">
        <f>HYPERLINK("https://platform.v2.vetology.net/cases/2717772/screening-report/6?type=pdf&amp;v=v6&amp;scorecard=1&amp;secret_key=BX%25IJ%24%2F65ieZ%29f6", 2717772)</f>
        <v>2717772</v>
      </c>
      <c r="C1617" s="3">
        <f>HYPERLINK("https://platform.v2.vetology.net/report/v/final/"&amp;2717772, 2717772)</f>
        <v>2717772</v>
      </c>
      <c r="D1617" s="3" t="s">
        <v>5742</v>
      </c>
      <c r="E1617" s="3" t="s">
        <v>5743</v>
      </c>
      <c r="F1617" s="3" t="s">
        <v>22</v>
      </c>
      <c r="G1617" s="3" t="s">
        <v>100</v>
      </c>
      <c r="H1617" s="3" t="s">
        <v>2971</v>
      </c>
      <c r="I1617" s="3" t="s">
        <v>2972</v>
      </c>
      <c r="J1617" s="3" t="s">
        <v>387</v>
      </c>
      <c r="K1617" s="3" t="s">
        <v>28</v>
      </c>
      <c r="L1617" s="3" t="s">
        <v>28</v>
      </c>
      <c r="M1617" s="3" t="s">
        <v>28</v>
      </c>
      <c r="N1617" s="3" t="s">
        <v>28</v>
      </c>
      <c r="O1617" s="3" t="s">
        <v>28</v>
      </c>
      <c r="P1617" s="3" t="s">
        <v>28</v>
      </c>
      <c r="Q1617" s="3" t="s">
        <v>28</v>
      </c>
      <c r="R1617" s="3" t="s">
        <v>28</v>
      </c>
      <c r="S1617" s="3" t="s">
        <v>28</v>
      </c>
      <c r="T1617" s="3" t="s">
        <v>28</v>
      </c>
    </row>
    <row r="1618" spans="1:20" ht="409.6">
      <c r="A1618" s="3">
        <v>2717761</v>
      </c>
      <c r="B1618" s="3">
        <f>HYPERLINK("https://platform.v2.vetology.net/cases/2717761/screening-report/6?type=pdf&amp;v=v6&amp;scorecard=1&amp;secret_key=BX%25IJ%24%2F65ieZ%29f6", 2717761)</f>
        <v>2717761</v>
      </c>
      <c r="C1618" s="3">
        <f>HYPERLINK("https://platform.v2.vetology.net/report/v/final/"&amp;2717761, 2717761)</f>
        <v>2717761</v>
      </c>
      <c r="D1618" s="3" t="s">
        <v>5744</v>
      </c>
      <c r="E1618" s="3" t="s">
        <v>5745</v>
      </c>
      <c r="F1618" s="3" t="s">
        <v>1377</v>
      </c>
      <c r="G1618" s="3" t="s">
        <v>186</v>
      </c>
      <c r="H1618" s="3" t="s">
        <v>5746</v>
      </c>
      <c r="I1618" s="3" t="s">
        <v>2825</v>
      </c>
      <c r="J1618" s="3" t="s">
        <v>2826</v>
      </c>
      <c r="K1618" s="3" t="s">
        <v>28</v>
      </c>
      <c r="L1618" s="3" t="s">
        <v>28</v>
      </c>
      <c r="M1618" s="3" t="s">
        <v>27</v>
      </c>
      <c r="N1618" s="3" t="s">
        <v>28</v>
      </c>
      <c r="O1618" s="3" t="s">
        <v>27</v>
      </c>
      <c r="P1618" s="3" t="s">
        <v>28</v>
      </c>
      <c r="Q1618" s="3" t="s">
        <v>28</v>
      </c>
      <c r="R1618" s="3" t="s">
        <v>28</v>
      </c>
      <c r="S1618" s="3" t="s">
        <v>28</v>
      </c>
      <c r="T1618" s="3" t="s">
        <v>28</v>
      </c>
    </row>
    <row r="1619" spans="1:20" ht="229.5">
      <c r="A1619" s="3">
        <v>2717740</v>
      </c>
      <c r="B1619" s="3">
        <f>HYPERLINK("https://platform.v2.vetology.net/cases/2717740/screening-report/6?type=pdf&amp;v=v6&amp;scorecard=1&amp;secret_key=BX%25IJ%24%2F65ieZ%29f6", 2717740)</f>
        <v>2717740</v>
      </c>
      <c r="C1619" s="3">
        <f>HYPERLINK("https://platform.v2.vetology.net/report/v/final/"&amp;2717740, 2717740)</f>
        <v>2717740</v>
      </c>
      <c r="D1619" s="3" t="s">
        <v>5747</v>
      </c>
      <c r="E1619" s="3" t="s">
        <v>5748</v>
      </c>
      <c r="F1619" s="3" t="s">
        <v>5749</v>
      </c>
      <c r="G1619" s="3" t="s">
        <v>179</v>
      </c>
      <c r="H1619" s="3" t="s">
        <v>31</v>
      </c>
      <c r="I1619" s="3" t="s">
        <v>32</v>
      </c>
      <c r="J1619" s="3" t="s">
        <v>119</v>
      </c>
      <c r="K1619" s="3" t="s">
        <v>28</v>
      </c>
      <c r="L1619" s="3" t="s">
        <v>28</v>
      </c>
      <c r="M1619" s="3" t="s">
        <v>28</v>
      </c>
      <c r="N1619" s="3" t="s">
        <v>28</v>
      </c>
      <c r="O1619" s="3" t="s">
        <v>28</v>
      </c>
      <c r="P1619" s="3" t="s">
        <v>28</v>
      </c>
      <c r="Q1619" s="3" t="s">
        <v>28</v>
      </c>
      <c r="R1619" s="3" t="s">
        <v>28</v>
      </c>
      <c r="S1619" s="3" t="s">
        <v>28</v>
      </c>
      <c r="T1619" s="3" t="s">
        <v>28</v>
      </c>
    </row>
    <row r="1620" spans="1:20" ht="396.75">
      <c r="A1620" s="3">
        <v>2717733</v>
      </c>
      <c r="B1620" s="3">
        <f>HYPERLINK("https://platform.v2.vetology.net/cases/2717733/screening-report/6?type=pdf&amp;v=v6&amp;scorecard=1&amp;secret_key=BX%25IJ%24%2F65ieZ%29f6", 2717733)</f>
        <v>2717733</v>
      </c>
      <c r="C1620" s="3">
        <f>HYPERLINK("https://platform.v2.vetology.net/report/v/final/"&amp;2717733, 2717733)</f>
        <v>2717733</v>
      </c>
      <c r="D1620" s="3" t="s">
        <v>2191</v>
      </c>
      <c r="E1620" s="3" t="s">
        <v>4397</v>
      </c>
      <c r="F1620" s="3" t="s">
        <v>5750</v>
      </c>
      <c r="G1620" s="3" t="s">
        <v>100</v>
      </c>
      <c r="H1620" s="3" t="s">
        <v>5495</v>
      </c>
      <c r="I1620" s="3" t="s">
        <v>351</v>
      </c>
      <c r="J1620" s="3" t="s">
        <v>352</v>
      </c>
      <c r="K1620" s="3" t="s">
        <v>28</v>
      </c>
      <c r="L1620" s="3" t="s">
        <v>28</v>
      </c>
      <c r="M1620" s="3" t="s">
        <v>28</v>
      </c>
      <c r="N1620" s="3" t="s">
        <v>27</v>
      </c>
      <c r="O1620" s="3" t="s">
        <v>28</v>
      </c>
      <c r="P1620" s="3" t="s">
        <v>28</v>
      </c>
      <c r="Q1620" s="3" t="s">
        <v>28</v>
      </c>
      <c r="R1620" s="3" t="s">
        <v>28</v>
      </c>
      <c r="S1620" s="3" t="s">
        <v>28</v>
      </c>
      <c r="T1620" s="3" t="s">
        <v>27</v>
      </c>
    </row>
    <row r="1621" spans="1:20" ht="409.6">
      <c r="A1621" s="3">
        <v>2717697</v>
      </c>
      <c r="B1621" s="3">
        <f>HYPERLINK("https://platform.v2.vetology.net/cases/2717697/screening-report/6?type=pdf&amp;v=v6&amp;scorecard=1&amp;secret_key=BX%25IJ%24%2F65ieZ%29f6", 2717697)</f>
        <v>2717697</v>
      </c>
      <c r="C1621" s="3">
        <f>HYPERLINK("https://platform.v2.vetology.net/report/v/final/"&amp;2717697, 2717697)</f>
        <v>2717697</v>
      </c>
      <c r="D1621" s="3" t="s">
        <v>954</v>
      </c>
      <c r="E1621" s="3" t="s">
        <v>5751</v>
      </c>
      <c r="F1621" s="3" t="s">
        <v>1049</v>
      </c>
      <c r="G1621" s="3" t="s">
        <v>100</v>
      </c>
      <c r="H1621" s="3" t="s">
        <v>5752</v>
      </c>
      <c r="I1621" s="3" t="s">
        <v>1404</v>
      </c>
      <c r="J1621" s="3" t="s">
        <v>1405</v>
      </c>
      <c r="K1621" s="3" t="s">
        <v>27</v>
      </c>
      <c r="L1621" s="3" t="s">
        <v>28</v>
      </c>
      <c r="M1621" s="3" t="s">
        <v>27</v>
      </c>
      <c r="N1621" s="3" t="s">
        <v>28</v>
      </c>
      <c r="O1621" s="3" t="s">
        <v>27</v>
      </c>
      <c r="P1621" s="3" t="s">
        <v>28</v>
      </c>
      <c r="Q1621" s="3" t="s">
        <v>27</v>
      </c>
      <c r="R1621" s="3" t="s">
        <v>28</v>
      </c>
      <c r="S1621" s="3" t="s">
        <v>28</v>
      </c>
      <c r="T1621" s="3" t="s">
        <v>28</v>
      </c>
    </row>
    <row r="1622" spans="1:20" ht="305.25">
      <c r="A1622" s="3">
        <v>2717679</v>
      </c>
      <c r="B1622" s="3">
        <f>HYPERLINK("https://platform.v2.vetology.net/cases/2717679/screening-report/6?type=pdf&amp;v=v6&amp;scorecard=1&amp;secret_key=BX%25IJ%24%2F65ieZ%29f6", 2717679)</f>
        <v>2717679</v>
      </c>
      <c r="C1622" s="3">
        <f>HYPERLINK("https://platform.v2.vetology.net/report/v/final/"&amp;2717679, 2717679)</f>
        <v>2717679</v>
      </c>
      <c r="D1622" s="3" t="s">
        <v>5753</v>
      </c>
      <c r="E1622" s="3" t="s">
        <v>5754</v>
      </c>
      <c r="F1622" s="3" t="s">
        <v>5755</v>
      </c>
      <c r="G1622" s="3" t="s">
        <v>186</v>
      </c>
      <c r="H1622" s="3" t="s">
        <v>31</v>
      </c>
      <c r="I1622" s="3" t="s">
        <v>32</v>
      </c>
      <c r="J1622" s="3" t="s">
        <v>33</v>
      </c>
      <c r="K1622" s="3" t="s">
        <v>28</v>
      </c>
      <c r="L1622" s="3" t="s">
        <v>28</v>
      </c>
      <c r="M1622" s="3" t="s">
        <v>28</v>
      </c>
      <c r="N1622" s="3" t="s">
        <v>28</v>
      </c>
      <c r="O1622" s="3" t="s">
        <v>28</v>
      </c>
      <c r="P1622" s="3" t="s">
        <v>28</v>
      </c>
      <c r="Q1622" s="3" t="s">
        <v>28</v>
      </c>
      <c r="R1622" s="3" t="s">
        <v>28</v>
      </c>
      <c r="S1622" s="3" t="s">
        <v>28</v>
      </c>
      <c r="T1622" s="3" t="s">
        <v>28</v>
      </c>
    </row>
    <row r="1623" spans="1:20" ht="409.6">
      <c r="A1623" s="3">
        <v>2717675</v>
      </c>
      <c r="B1623" s="3">
        <f>HYPERLINK("https://platform.v2.vetology.net/cases/2717675/screening-report/6?type=pdf&amp;v=v6&amp;scorecard=1&amp;secret_key=BX%25IJ%24%2F65ieZ%29f6", 2717675)</f>
        <v>2717675</v>
      </c>
      <c r="C1623" s="3">
        <f>HYPERLINK("https://platform.v2.vetology.net/report/v/final/"&amp;2717675, 2717675)</f>
        <v>2717675</v>
      </c>
      <c r="D1623" s="3" t="s">
        <v>5756</v>
      </c>
      <c r="E1623" s="3" t="s">
        <v>5757</v>
      </c>
      <c r="F1623" s="3" t="s">
        <v>5758</v>
      </c>
      <c r="G1623" s="3" t="s">
        <v>64</v>
      </c>
      <c r="H1623" s="3" t="s">
        <v>31</v>
      </c>
      <c r="I1623" s="3" t="s">
        <v>32</v>
      </c>
      <c r="J1623" s="3" t="s">
        <v>33</v>
      </c>
      <c r="K1623" s="3" t="s">
        <v>28</v>
      </c>
      <c r="L1623" s="3" t="s">
        <v>28</v>
      </c>
      <c r="M1623" s="3" t="s">
        <v>28</v>
      </c>
      <c r="N1623" s="3" t="s">
        <v>28</v>
      </c>
      <c r="O1623" s="3" t="s">
        <v>28</v>
      </c>
      <c r="P1623" s="3" t="s">
        <v>28</v>
      </c>
      <c r="Q1623" s="3" t="s">
        <v>28</v>
      </c>
      <c r="R1623" s="3" t="s">
        <v>28</v>
      </c>
      <c r="S1623" s="3" t="s">
        <v>28</v>
      </c>
      <c r="T1623" s="3" t="s">
        <v>28</v>
      </c>
    </row>
    <row r="1624" spans="1:20" ht="381.75">
      <c r="A1624" s="3">
        <v>2717601</v>
      </c>
      <c r="B1624" s="3">
        <f>HYPERLINK("https://platform.v2.vetology.net/cases/2717601/screening-report/6?type=pdf&amp;v=v6&amp;scorecard=1&amp;secret_key=BX%25IJ%24%2F65ieZ%29f6", 2717601)</f>
        <v>2717601</v>
      </c>
      <c r="C1624" s="3">
        <f>HYPERLINK("https://platform.v2.vetology.net/report/v/final/"&amp;2717601, 2717601)</f>
        <v>2717601</v>
      </c>
      <c r="D1624" s="3" t="s">
        <v>5759</v>
      </c>
      <c r="E1624" s="3" t="s">
        <v>5760</v>
      </c>
      <c r="F1624" s="3" t="s">
        <v>5761</v>
      </c>
      <c r="G1624" s="3" t="s">
        <v>186</v>
      </c>
      <c r="H1624" s="3" t="s">
        <v>4069</v>
      </c>
      <c r="I1624" s="3" t="s">
        <v>37</v>
      </c>
      <c r="J1624" s="3" t="s">
        <v>38</v>
      </c>
      <c r="K1624" s="3" t="s">
        <v>28</v>
      </c>
      <c r="L1624" s="3" t="s">
        <v>28</v>
      </c>
      <c r="M1624" s="3" t="s">
        <v>28</v>
      </c>
      <c r="N1624" s="3" t="s">
        <v>28</v>
      </c>
      <c r="O1624" s="3" t="s">
        <v>27</v>
      </c>
      <c r="P1624" s="3" t="s">
        <v>28</v>
      </c>
      <c r="Q1624" s="3" t="s">
        <v>28</v>
      </c>
      <c r="R1624" s="3" t="s">
        <v>28</v>
      </c>
      <c r="S1624" s="3" t="s">
        <v>28</v>
      </c>
      <c r="T1624" s="3" t="s">
        <v>28</v>
      </c>
    </row>
    <row r="1625" spans="1:20" ht="213">
      <c r="A1625" s="3">
        <v>2717592</v>
      </c>
      <c r="B1625" s="3">
        <f>HYPERLINK("https://platform.v2.vetology.net/cases/2717592/screening-report/6?type=pdf&amp;v=v6&amp;scorecard=1&amp;secret_key=BX%25IJ%24%2F65ieZ%29f6", 2717592)</f>
        <v>2717592</v>
      </c>
      <c r="C1625" s="3">
        <f>HYPERLINK("https://platform.v2.vetology.net/report/v/final/"&amp;2717592, 2717592)</f>
        <v>2717592</v>
      </c>
      <c r="D1625" s="3" t="s">
        <v>5762</v>
      </c>
      <c r="E1625" s="3" t="s">
        <v>5763</v>
      </c>
      <c r="F1625" s="3" t="s">
        <v>5764</v>
      </c>
      <c r="G1625" s="3" t="s">
        <v>186</v>
      </c>
      <c r="H1625" s="3" t="s">
        <v>4725</v>
      </c>
      <c r="I1625" s="3" t="s">
        <v>291</v>
      </c>
      <c r="J1625" s="3" t="s">
        <v>363</v>
      </c>
      <c r="K1625" s="3" t="s">
        <v>27</v>
      </c>
      <c r="L1625" s="3" t="s">
        <v>27</v>
      </c>
      <c r="M1625" s="3" t="s">
        <v>28</v>
      </c>
      <c r="N1625" s="3" t="s">
        <v>27</v>
      </c>
      <c r="O1625" s="3" t="s">
        <v>27</v>
      </c>
      <c r="P1625" s="3" t="s">
        <v>28</v>
      </c>
      <c r="Q1625" s="3" t="s">
        <v>27</v>
      </c>
      <c r="R1625" s="3" t="s">
        <v>27</v>
      </c>
      <c r="S1625" s="3" t="s">
        <v>27</v>
      </c>
      <c r="T1625" s="3" t="s">
        <v>27</v>
      </c>
    </row>
    <row r="1626" spans="1:20" ht="336">
      <c r="A1626" s="3">
        <v>2717529</v>
      </c>
      <c r="B1626" s="3">
        <f>HYPERLINK("https://platform.v2.vetology.net/cases/2717529/screening-report/6?type=pdf&amp;v=v6&amp;scorecard=1&amp;secret_key=BX%25IJ%24%2F65ieZ%29f6", 2717529)</f>
        <v>2717529</v>
      </c>
      <c r="C1626" s="3">
        <f>HYPERLINK("https://platform.v2.vetology.net/report/v/final/"&amp;2717529, 2717529)</f>
        <v>2717529</v>
      </c>
      <c r="D1626" s="3" t="s">
        <v>5765</v>
      </c>
      <c r="E1626" s="3" t="s">
        <v>5766</v>
      </c>
      <c r="F1626" s="3" t="s">
        <v>5687</v>
      </c>
      <c r="G1626" s="3" t="s">
        <v>186</v>
      </c>
      <c r="H1626" s="3" t="s">
        <v>5767</v>
      </c>
      <c r="I1626" s="3" t="s">
        <v>2226</v>
      </c>
      <c r="J1626" s="3" t="s">
        <v>2227</v>
      </c>
      <c r="K1626" s="3" t="s">
        <v>28</v>
      </c>
      <c r="L1626" s="3" t="s">
        <v>28</v>
      </c>
      <c r="M1626" s="3" t="s">
        <v>27</v>
      </c>
      <c r="N1626" s="3" t="s">
        <v>28</v>
      </c>
      <c r="O1626" s="3" t="s">
        <v>27</v>
      </c>
      <c r="P1626" s="3" t="s">
        <v>28</v>
      </c>
      <c r="Q1626" s="3" t="s">
        <v>27</v>
      </c>
      <c r="R1626" s="3" t="s">
        <v>28</v>
      </c>
      <c r="S1626" s="3" t="s">
        <v>28</v>
      </c>
      <c r="T1626" s="3" t="s">
        <v>27</v>
      </c>
    </row>
    <row r="1627" spans="1:20" ht="366">
      <c r="A1627" s="3">
        <v>2717528</v>
      </c>
      <c r="B1627" s="3">
        <f>HYPERLINK("https://platform.v2.vetology.net/cases/2717528/screening-report/6?type=pdf&amp;v=v6&amp;scorecard=1&amp;secret_key=BX%25IJ%24%2F65ieZ%29f6", 2717528)</f>
        <v>2717528</v>
      </c>
      <c r="C1627" s="3">
        <f>HYPERLINK("https://platform.v2.vetology.net/report/v/final/"&amp;2717528, 2717528)</f>
        <v>2717528</v>
      </c>
      <c r="D1627" s="3" t="s">
        <v>3124</v>
      </c>
      <c r="E1627" s="3" t="s">
        <v>1230</v>
      </c>
      <c r="F1627" s="3" t="s">
        <v>1049</v>
      </c>
      <c r="G1627" s="3" t="s">
        <v>100</v>
      </c>
      <c r="H1627" s="3" t="s">
        <v>3772</v>
      </c>
      <c r="I1627" s="3" t="s">
        <v>883</v>
      </c>
      <c r="J1627" s="3" t="s">
        <v>884</v>
      </c>
      <c r="K1627" s="3" t="s">
        <v>28</v>
      </c>
      <c r="L1627" s="3" t="s">
        <v>28</v>
      </c>
      <c r="M1627" s="3" t="s">
        <v>28</v>
      </c>
      <c r="N1627" s="3" t="s">
        <v>28</v>
      </c>
      <c r="O1627" s="3" t="s">
        <v>28</v>
      </c>
      <c r="P1627" s="3" t="s">
        <v>28</v>
      </c>
      <c r="Q1627" s="3" t="s">
        <v>28</v>
      </c>
      <c r="R1627" s="3" t="s">
        <v>28</v>
      </c>
      <c r="S1627" s="3" t="s">
        <v>28</v>
      </c>
      <c r="T1627" s="3" t="s">
        <v>28</v>
      </c>
    </row>
    <row r="1628" spans="1:20" ht="305.25">
      <c r="A1628" s="3">
        <v>2717526</v>
      </c>
      <c r="B1628" s="3">
        <f>HYPERLINK("https://platform.v2.vetology.net/cases/2717526/screening-report/6?type=pdf&amp;v=v6&amp;scorecard=1&amp;secret_key=BX%25IJ%24%2F65ieZ%29f6", 2717526)</f>
        <v>2717526</v>
      </c>
      <c r="C1628" s="3">
        <f>HYPERLINK("https://platform.v2.vetology.net/report/v/final/"&amp;2717526, 2717526)</f>
        <v>2717526</v>
      </c>
      <c r="D1628" s="3" t="s">
        <v>5768</v>
      </c>
      <c r="E1628" s="3" t="s">
        <v>5769</v>
      </c>
      <c r="F1628" s="3" t="s">
        <v>1061</v>
      </c>
      <c r="G1628" s="3" t="s">
        <v>100</v>
      </c>
      <c r="H1628" s="3" t="s">
        <v>702</v>
      </c>
      <c r="I1628" s="3" t="s">
        <v>32</v>
      </c>
      <c r="J1628" s="3" t="s">
        <v>33</v>
      </c>
      <c r="K1628" s="3" t="s">
        <v>28</v>
      </c>
      <c r="L1628" s="3" t="s">
        <v>28</v>
      </c>
      <c r="M1628" s="3" t="s">
        <v>28</v>
      </c>
      <c r="N1628" s="3" t="s">
        <v>28</v>
      </c>
      <c r="O1628" s="3" t="s">
        <v>28</v>
      </c>
      <c r="P1628" s="3" t="s">
        <v>28</v>
      </c>
      <c r="Q1628" s="3" t="s">
        <v>28</v>
      </c>
      <c r="R1628" s="3" t="s">
        <v>28</v>
      </c>
      <c r="S1628" s="3" t="s">
        <v>28</v>
      </c>
      <c r="T1628" s="3" t="s">
        <v>28</v>
      </c>
    </row>
    <row r="1629" spans="1:20" ht="381.75">
      <c r="A1629" s="3">
        <v>2717523</v>
      </c>
      <c r="B1629" s="3">
        <f>HYPERLINK("https://platform.v2.vetology.net/cases/2717523/screening-report/6?type=pdf&amp;v=v6&amp;scorecard=1&amp;secret_key=BX%25IJ%24%2F65ieZ%29f6", 2717523)</f>
        <v>2717523</v>
      </c>
      <c r="C1629" s="3">
        <f>HYPERLINK("https://platform.v2.vetology.net/report/v/final/"&amp;2717523, 2717523)</f>
        <v>2717523</v>
      </c>
      <c r="D1629" s="3" t="s">
        <v>5770</v>
      </c>
      <c r="E1629" s="3" t="s">
        <v>5771</v>
      </c>
      <c r="F1629" s="3" t="s">
        <v>22</v>
      </c>
      <c r="G1629" s="3" t="s">
        <v>372</v>
      </c>
      <c r="H1629" s="3" t="s">
        <v>5772</v>
      </c>
      <c r="I1629" s="3" t="s">
        <v>172</v>
      </c>
      <c r="J1629" s="3" t="s">
        <v>109</v>
      </c>
      <c r="K1629" s="3" t="s">
        <v>27</v>
      </c>
      <c r="L1629" s="3" t="s">
        <v>27</v>
      </c>
      <c r="M1629" s="3" t="s">
        <v>28</v>
      </c>
      <c r="N1629" s="3" t="s">
        <v>27</v>
      </c>
      <c r="O1629" s="3" t="s">
        <v>27</v>
      </c>
      <c r="P1629" s="3" t="s">
        <v>28</v>
      </c>
      <c r="Q1629" s="3" t="s">
        <v>28</v>
      </c>
      <c r="R1629" s="3" t="s">
        <v>27</v>
      </c>
      <c r="S1629" s="3" t="s">
        <v>27</v>
      </c>
      <c r="T1629" s="3" t="s">
        <v>27</v>
      </c>
    </row>
    <row r="1630" spans="1:20" ht="305.25">
      <c r="A1630" s="3">
        <v>2717515</v>
      </c>
      <c r="B1630" s="3">
        <f>HYPERLINK("https://platform.v2.vetology.net/cases/2717515/screening-report/6?type=pdf&amp;v=v6&amp;scorecard=1&amp;secret_key=BX%25IJ%24%2F65ieZ%29f6", 2717515)</f>
        <v>2717515</v>
      </c>
      <c r="C1630" s="3">
        <f>HYPERLINK("https://platform.v2.vetology.net/report/v/final/"&amp;2717515, 2717515)</f>
        <v>2717515</v>
      </c>
      <c r="D1630" s="3" t="s">
        <v>5773</v>
      </c>
      <c r="E1630" s="3" t="s">
        <v>5774</v>
      </c>
      <c r="F1630" s="3" t="s">
        <v>5775</v>
      </c>
      <c r="G1630" s="3" t="s">
        <v>211</v>
      </c>
      <c r="H1630" s="3" t="s">
        <v>31</v>
      </c>
      <c r="I1630" s="3" t="s">
        <v>1497</v>
      </c>
      <c r="J1630" s="3" t="s">
        <v>847</v>
      </c>
      <c r="K1630" s="3" t="s">
        <v>28</v>
      </c>
      <c r="L1630" s="3" t="s">
        <v>28</v>
      </c>
      <c r="M1630" s="3" t="s">
        <v>28</v>
      </c>
      <c r="N1630" s="3" t="s">
        <v>28</v>
      </c>
      <c r="O1630" s="3" t="s">
        <v>28</v>
      </c>
      <c r="P1630" s="3" t="s">
        <v>28</v>
      </c>
      <c r="Q1630" s="3" t="s">
        <v>28</v>
      </c>
      <c r="R1630" s="3" t="s">
        <v>28</v>
      </c>
      <c r="S1630" s="3" t="s">
        <v>28</v>
      </c>
      <c r="T1630" s="3" t="s">
        <v>27</v>
      </c>
    </row>
    <row r="1631" spans="1:20" ht="366">
      <c r="A1631" s="3">
        <v>2717482</v>
      </c>
      <c r="B1631" s="3">
        <f>HYPERLINK("https://platform.v2.vetology.net/cases/2717482/screening-report/6?type=pdf&amp;v=v6&amp;scorecard=1&amp;secret_key=BX%25IJ%24%2F65ieZ%29f6", 2717482)</f>
        <v>2717482</v>
      </c>
      <c r="C1631" s="3">
        <f>HYPERLINK("https://platform.v2.vetology.net/report/v/final/"&amp;2717482, 2717482)</f>
        <v>2717482</v>
      </c>
      <c r="D1631" s="3" t="s">
        <v>5776</v>
      </c>
      <c r="E1631" s="3" t="s">
        <v>5777</v>
      </c>
      <c r="F1631" s="3" t="s">
        <v>3751</v>
      </c>
      <c r="G1631" s="3" t="s">
        <v>186</v>
      </c>
      <c r="H1631" s="3" t="s">
        <v>1482</v>
      </c>
      <c r="I1631" s="3" t="s">
        <v>1483</v>
      </c>
      <c r="J1631" s="3" t="s">
        <v>5778</v>
      </c>
      <c r="K1631" s="3" t="s">
        <v>28</v>
      </c>
      <c r="L1631" s="3" t="s">
        <v>28</v>
      </c>
      <c r="M1631" s="3" t="s">
        <v>28</v>
      </c>
      <c r="N1631" s="3" t="s">
        <v>28</v>
      </c>
      <c r="O1631" s="3" t="s">
        <v>27</v>
      </c>
      <c r="P1631" s="3" t="s">
        <v>28</v>
      </c>
      <c r="Q1631" s="3" t="s">
        <v>28</v>
      </c>
      <c r="R1631" s="3" t="s">
        <v>28</v>
      </c>
      <c r="S1631" s="3" t="s">
        <v>28</v>
      </c>
      <c r="T1631" s="3" t="s">
        <v>28</v>
      </c>
    </row>
    <row r="1632" spans="1:20" ht="409.6">
      <c r="A1632" s="3">
        <v>2717473</v>
      </c>
      <c r="B1632" s="3">
        <f>HYPERLINK("https://platform.v2.vetology.net/cases/2717473/screening-report/6?type=pdf&amp;v=v6&amp;scorecard=1&amp;secret_key=BX%25IJ%24%2F65ieZ%29f6", 2717473)</f>
        <v>2717473</v>
      </c>
      <c r="C1632" s="3">
        <f>HYPERLINK("https://platform.v2.vetology.net/report/v/final/"&amp;2717473, 2717473)</f>
        <v>2717473</v>
      </c>
      <c r="D1632" s="3" t="s">
        <v>5779</v>
      </c>
      <c r="E1632" s="3" t="s">
        <v>5780</v>
      </c>
      <c r="F1632" s="3" t="s">
        <v>5781</v>
      </c>
      <c r="G1632" s="3" t="s">
        <v>186</v>
      </c>
      <c r="H1632" s="3" t="s">
        <v>309</v>
      </c>
      <c r="I1632" s="3" t="s">
        <v>310</v>
      </c>
      <c r="J1632" s="3" t="s">
        <v>311</v>
      </c>
      <c r="K1632" s="3" t="s">
        <v>28</v>
      </c>
      <c r="L1632" s="3" t="s">
        <v>27</v>
      </c>
      <c r="M1632" s="3" t="s">
        <v>28</v>
      </c>
      <c r="N1632" s="3" t="s">
        <v>27</v>
      </c>
      <c r="O1632" s="3" t="s">
        <v>27</v>
      </c>
      <c r="P1632" s="3" t="s">
        <v>28</v>
      </c>
      <c r="Q1632" s="3" t="s">
        <v>27</v>
      </c>
      <c r="R1632" s="3" t="s">
        <v>27</v>
      </c>
      <c r="S1632" s="3" t="s">
        <v>27</v>
      </c>
      <c r="T1632" s="3" t="s">
        <v>27</v>
      </c>
    </row>
    <row r="1633" spans="1:20" ht="409.6">
      <c r="A1633" s="3">
        <v>2717388</v>
      </c>
      <c r="B1633" s="3">
        <f>HYPERLINK("https://platform.v2.vetology.net/cases/2717388/screening-report/6?type=pdf&amp;v=v6&amp;scorecard=1&amp;secret_key=BX%25IJ%24%2F65ieZ%29f6", 2717388)</f>
        <v>2717388</v>
      </c>
      <c r="C1633" s="3">
        <f>HYPERLINK("https://platform.v2.vetology.net/report/v/final/"&amp;2717388, 2717388)</f>
        <v>2717388</v>
      </c>
      <c r="D1633" s="3" t="s">
        <v>5782</v>
      </c>
      <c r="E1633" s="3" t="s">
        <v>5783</v>
      </c>
      <c r="F1633" s="3" t="s">
        <v>5784</v>
      </c>
      <c r="G1633" s="3" t="s">
        <v>211</v>
      </c>
      <c r="H1633" s="3" t="s">
        <v>5785</v>
      </c>
      <c r="I1633" s="3" t="s">
        <v>2825</v>
      </c>
      <c r="J1633" s="3" t="s">
        <v>2826</v>
      </c>
      <c r="K1633" s="3" t="s">
        <v>27</v>
      </c>
      <c r="L1633" s="3" t="s">
        <v>28</v>
      </c>
      <c r="M1633" s="3" t="s">
        <v>27</v>
      </c>
      <c r="N1633" s="3" t="s">
        <v>28</v>
      </c>
      <c r="O1633" s="3" t="s">
        <v>27</v>
      </c>
      <c r="P1633" s="3" t="s">
        <v>28</v>
      </c>
      <c r="Q1633" s="3" t="s">
        <v>27</v>
      </c>
      <c r="R1633" s="3" t="s">
        <v>28</v>
      </c>
      <c r="S1633" s="3" t="s">
        <v>28</v>
      </c>
      <c r="T1633" s="3" t="s">
        <v>28</v>
      </c>
    </row>
    <row r="1634" spans="1:20" ht="366">
      <c r="A1634" s="3">
        <v>2717371</v>
      </c>
      <c r="B1634" s="3">
        <f>HYPERLINK("https://platform.v2.vetology.net/cases/2717371/screening-report/6?type=pdf&amp;v=v6&amp;scorecard=1&amp;secret_key=BX%25IJ%24%2F65ieZ%29f6", 2717371)</f>
        <v>2717371</v>
      </c>
      <c r="C1634" s="3">
        <f>HYPERLINK("https://platform.v2.vetology.net/report/v/final/"&amp;2717371, 2717371)</f>
        <v>2717371</v>
      </c>
      <c r="D1634" s="3" t="s">
        <v>5786</v>
      </c>
      <c r="E1634" s="3" t="s">
        <v>5787</v>
      </c>
      <c r="F1634" s="3" t="s">
        <v>5788</v>
      </c>
      <c r="G1634" s="3" t="s">
        <v>186</v>
      </c>
      <c r="H1634" s="3" t="s">
        <v>5789</v>
      </c>
      <c r="I1634" s="3" t="s">
        <v>1034</v>
      </c>
      <c r="J1634" s="3" t="s">
        <v>1035</v>
      </c>
      <c r="K1634" s="3" t="s">
        <v>27</v>
      </c>
      <c r="L1634" s="3" t="s">
        <v>28</v>
      </c>
      <c r="M1634" s="3" t="s">
        <v>28</v>
      </c>
      <c r="N1634" s="3" t="s">
        <v>27</v>
      </c>
      <c r="O1634" s="3" t="s">
        <v>28</v>
      </c>
      <c r="P1634" s="3" t="s">
        <v>28</v>
      </c>
      <c r="Q1634" s="3" t="s">
        <v>28</v>
      </c>
      <c r="R1634" s="3" t="s">
        <v>28</v>
      </c>
      <c r="S1634" s="3" t="s">
        <v>28</v>
      </c>
      <c r="T1634" s="3" t="s">
        <v>27</v>
      </c>
    </row>
    <row r="1635" spans="1:20" ht="409.6">
      <c r="A1635" s="3">
        <v>2717362</v>
      </c>
      <c r="B1635" s="3">
        <f>HYPERLINK("https://platform.v2.vetology.net/cases/2717362/screening-report/6?type=pdf&amp;v=v6&amp;scorecard=1&amp;secret_key=BX%25IJ%24%2F65ieZ%29f6", 2717362)</f>
        <v>2717362</v>
      </c>
      <c r="C1635" s="3">
        <f>HYPERLINK("https://platform.v2.vetology.net/report/v/final/"&amp;2717362, 2717362)</f>
        <v>2717362</v>
      </c>
      <c r="D1635" s="3" t="s">
        <v>5790</v>
      </c>
      <c r="E1635" s="3" t="s">
        <v>5791</v>
      </c>
      <c r="F1635" s="3" t="s">
        <v>5792</v>
      </c>
      <c r="G1635" s="3" t="s">
        <v>186</v>
      </c>
      <c r="H1635" s="3" t="s">
        <v>4914</v>
      </c>
      <c r="I1635" s="3" t="s">
        <v>4915</v>
      </c>
      <c r="J1635" s="3" t="s">
        <v>4916</v>
      </c>
      <c r="K1635" s="3" t="s">
        <v>28</v>
      </c>
      <c r="L1635" s="3" t="s">
        <v>27</v>
      </c>
      <c r="M1635" s="3" t="s">
        <v>28</v>
      </c>
      <c r="N1635" s="3" t="s">
        <v>27</v>
      </c>
      <c r="O1635" s="3" t="s">
        <v>28</v>
      </c>
      <c r="P1635" s="3" t="s">
        <v>28</v>
      </c>
      <c r="Q1635" s="3" t="s">
        <v>28</v>
      </c>
      <c r="R1635" s="3" t="s">
        <v>27</v>
      </c>
      <c r="S1635" s="3" t="s">
        <v>27</v>
      </c>
      <c r="T1635" s="3" t="s">
        <v>27</v>
      </c>
    </row>
    <row r="1636" spans="1:20" ht="275.25">
      <c r="A1636" s="3">
        <v>2717132</v>
      </c>
      <c r="B1636" s="3">
        <f>HYPERLINK("https://platform.v2.vetology.net/cases/2717132/screening-report/6?type=pdf&amp;v=v6&amp;scorecard=1&amp;secret_key=BX%25IJ%24%2F65ieZ%29f6", 2717132)</f>
        <v>2717132</v>
      </c>
      <c r="C1636" s="3">
        <f>HYPERLINK("https://platform.v2.vetology.net/report/v/final/"&amp;2717132, 2717132)</f>
        <v>2717132</v>
      </c>
      <c r="D1636" s="3" t="s">
        <v>5793</v>
      </c>
      <c r="E1636" s="3" t="s">
        <v>5794</v>
      </c>
      <c r="F1636" s="3" t="s">
        <v>1668</v>
      </c>
      <c r="G1636" s="3" t="s">
        <v>122</v>
      </c>
      <c r="H1636" s="3" t="s">
        <v>5226</v>
      </c>
      <c r="I1636" s="3" t="s">
        <v>72</v>
      </c>
      <c r="J1636" s="3" t="s">
        <v>207</v>
      </c>
      <c r="K1636" s="3" t="s">
        <v>28</v>
      </c>
      <c r="L1636" s="3" t="s">
        <v>28</v>
      </c>
      <c r="M1636" s="3" t="s">
        <v>28</v>
      </c>
      <c r="N1636" s="3" t="s">
        <v>28</v>
      </c>
      <c r="O1636" s="3" t="s">
        <v>27</v>
      </c>
      <c r="P1636" s="3" t="s">
        <v>28</v>
      </c>
      <c r="Q1636" s="3" t="s">
        <v>27</v>
      </c>
      <c r="R1636" s="3" t="s">
        <v>28</v>
      </c>
      <c r="S1636" s="3" t="s">
        <v>28</v>
      </c>
      <c r="T1636" s="3" t="s">
        <v>28</v>
      </c>
    </row>
    <row r="1637" spans="1:20" ht="396.75">
      <c r="A1637" s="3">
        <v>2717131</v>
      </c>
      <c r="B1637" s="3">
        <f>HYPERLINK("https://platform.v2.vetology.net/cases/2717131/screening-report/6?type=pdf&amp;v=v6&amp;scorecard=1&amp;secret_key=BX%25IJ%24%2F65ieZ%29f6", 2717131)</f>
        <v>2717131</v>
      </c>
      <c r="C1637" s="3">
        <f>HYPERLINK("https://platform.v2.vetology.net/report/v/final/"&amp;2717131, 2717131)</f>
        <v>2717131</v>
      </c>
      <c r="D1637" s="3" t="s">
        <v>5795</v>
      </c>
      <c r="E1637" s="3" t="s">
        <v>5796</v>
      </c>
      <c r="F1637" s="3" t="s">
        <v>5797</v>
      </c>
      <c r="G1637" s="3" t="s">
        <v>211</v>
      </c>
      <c r="H1637" s="3" t="s">
        <v>5798</v>
      </c>
      <c r="I1637" s="3" t="s">
        <v>438</v>
      </c>
      <c r="J1637" s="3" t="s">
        <v>439</v>
      </c>
      <c r="K1637" s="3" t="s">
        <v>27</v>
      </c>
      <c r="L1637" s="3" t="s">
        <v>28</v>
      </c>
      <c r="M1637" s="3" t="s">
        <v>28</v>
      </c>
      <c r="N1637" s="3" t="s">
        <v>27</v>
      </c>
      <c r="O1637" s="3" t="s">
        <v>28</v>
      </c>
      <c r="P1637" s="3" t="s">
        <v>28</v>
      </c>
      <c r="Q1637" s="3" t="s">
        <v>28</v>
      </c>
      <c r="R1637" s="3" t="s">
        <v>27</v>
      </c>
      <c r="S1637" s="3" t="s">
        <v>27</v>
      </c>
      <c r="T1637" s="3" t="s">
        <v>28</v>
      </c>
    </row>
    <row r="1638" spans="1:20" ht="290.25">
      <c r="A1638" s="3">
        <v>2717028</v>
      </c>
      <c r="B1638" s="3">
        <f>HYPERLINK("https://platform.v2.vetology.net/cases/2717028/screening-report/6?type=pdf&amp;v=v6&amp;scorecard=1&amp;secret_key=BX%25IJ%24%2F65ieZ%29f6", 2717028)</f>
        <v>2717028</v>
      </c>
      <c r="C1638" s="3">
        <f>HYPERLINK("https://platform.v2.vetology.net/report/v/final/"&amp;2717028, 2717028)</f>
        <v>2717028</v>
      </c>
      <c r="D1638" s="3" t="s">
        <v>5799</v>
      </c>
      <c r="E1638" s="3" t="s">
        <v>5800</v>
      </c>
      <c r="F1638" s="3" t="s">
        <v>5801</v>
      </c>
      <c r="G1638" s="3" t="s">
        <v>211</v>
      </c>
      <c r="H1638" s="3" t="s">
        <v>5802</v>
      </c>
      <c r="I1638" s="3" t="s">
        <v>5803</v>
      </c>
      <c r="J1638" s="3" t="s">
        <v>207</v>
      </c>
      <c r="K1638" s="3" t="s">
        <v>28</v>
      </c>
      <c r="L1638" s="3" t="s">
        <v>28</v>
      </c>
      <c r="M1638" s="3" t="s">
        <v>27</v>
      </c>
      <c r="N1638" s="3" t="s">
        <v>27</v>
      </c>
      <c r="O1638" s="3" t="s">
        <v>27</v>
      </c>
      <c r="P1638" s="3" t="s">
        <v>28</v>
      </c>
      <c r="Q1638" s="3" t="s">
        <v>28</v>
      </c>
      <c r="R1638" s="3" t="s">
        <v>27</v>
      </c>
      <c r="S1638" s="3" t="s">
        <v>27</v>
      </c>
      <c r="T1638" s="3" t="s">
        <v>27</v>
      </c>
    </row>
    <row r="1639" spans="1:20" ht="409.6">
      <c r="A1639" s="3">
        <v>2716998</v>
      </c>
      <c r="B1639" s="3">
        <f>HYPERLINK("https://platform.v2.vetology.net/cases/2716998/screening-report/6?type=pdf&amp;v=v6&amp;scorecard=1&amp;secret_key=BX%25IJ%24%2F65ieZ%29f6", 2716998)</f>
        <v>2716998</v>
      </c>
      <c r="C1639" s="3">
        <f>HYPERLINK("https://platform.v2.vetology.net/report/v/final/"&amp;2716998, 2716998)</f>
        <v>2716998</v>
      </c>
      <c r="D1639" s="3" t="s">
        <v>5804</v>
      </c>
      <c r="E1639" s="3" t="s">
        <v>5805</v>
      </c>
      <c r="F1639" s="3" t="s">
        <v>5806</v>
      </c>
      <c r="G1639" s="3" t="s">
        <v>186</v>
      </c>
      <c r="H1639" s="3" t="s">
        <v>5807</v>
      </c>
      <c r="I1639" s="3" t="s">
        <v>279</v>
      </c>
      <c r="J1639" s="3" t="s">
        <v>280</v>
      </c>
      <c r="K1639" s="3" t="s">
        <v>28</v>
      </c>
      <c r="L1639" s="3" t="s">
        <v>28</v>
      </c>
      <c r="M1639" s="3" t="s">
        <v>28</v>
      </c>
      <c r="N1639" s="3" t="s">
        <v>28</v>
      </c>
      <c r="O1639" s="3" t="s">
        <v>27</v>
      </c>
      <c r="P1639" s="3" t="s">
        <v>28</v>
      </c>
      <c r="Q1639" s="3" t="s">
        <v>28</v>
      </c>
      <c r="R1639" s="3" t="s">
        <v>28</v>
      </c>
      <c r="S1639" s="3" t="s">
        <v>28</v>
      </c>
      <c r="T1639" s="3" t="s">
        <v>28</v>
      </c>
    </row>
    <row r="1640" spans="1:20" ht="321">
      <c r="A1640" s="3">
        <v>2716976</v>
      </c>
      <c r="B1640" s="3">
        <f>HYPERLINK("https://platform.v2.vetology.net/cases/2716976/screening-report/6?type=pdf&amp;v=v6&amp;scorecard=1&amp;secret_key=BX%25IJ%24%2F65ieZ%29f6", 2716976)</f>
        <v>2716976</v>
      </c>
      <c r="C1640" s="3">
        <f>HYPERLINK("https://platform.v2.vetology.net/report/v/final/"&amp;2716976, 2716976)</f>
        <v>2716976</v>
      </c>
      <c r="D1640" s="3" t="s">
        <v>5808</v>
      </c>
      <c r="E1640" s="3" t="s">
        <v>5809</v>
      </c>
      <c r="F1640" s="3" t="s">
        <v>5810</v>
      </c>
      <c r="G1640" s="3" t="s">
        <v>179</v>
      </c>
      <c r="H1640" s="3" t="s">
        <v>2523</v>
      </c>
      <c r="I1640" s="3" t="s">
        <v>2524</v>
      </c>
      <c r="J1640" s="3" t="s">
        <v>1374</v>
      </c>
      <c r="K1640" s="3" t="s">
        <v>27</v>
      </c>
      <c r="L1640" s="3" t="s">
        <v>27</v>
      </c>
      <c r="M1640" s="3" t="s">
        <v>27</v>
      </c>
      <c r="N1640" s="3" t="s">
        <v>27</v>
      </c>
      <c r="O1640" s="3" t="s">
        <v>27</v>
      </c>
      <c r="P1640" s="3" t="s">
        <v>28</v>
      </c>
      <c r="Q1640" s="3" t="s">
        <v>27</v>
      </c>
      <c r="R1640" s="3" t="s">
        <v>27</v>
      </c>
      <c r="S1640" s="3" t="s">
        <v>27</v>
      </c>
      <c r="T1640" s="3" t="s">
        <v>27</v>
      </c>
    </row>
    <row r="1641" spans="1:20" ht="409.6">
      <c r="A1641" s="3">
        <v>2716910</v>
      </c>
      <c r="B1641" s="3">
        <f>HYPERLINK("https://platform.v2.vetology.net/cases/2716910/screening-report/6?type=pdf&amp;v=v6&amp;scorecard=1&amp;secret_key=BX%25IJ%24%2F65ieZ%29f6", 2716910)</f>
        <v>2716910</v>
      </c>
      <c r="C1641" s="3">
        <f>HYPERLINK("https://platform.v2.vetology.net/report/v/final/"&amp;2716910, 2716910)</f>
        <v>2716910</v>
      </c>
      <c r="D1641" s="3" t="s">
        <v>5811</v>
      </c>
      <c r="E1641" s="3" t="s">
        <v>5812</v>
      </c>
      <c r="F1641" s="3" t="s">
        <v>5813</v>
      </c>
      <c r="G1641" s="3" t="s">
        <v>186</v>
      </c>
      <c r="H1641" s="3" t="s">
        <v>344</v>
      </c>
      <c r="I1641" s="3" t="s">
        <v>345</v>
      </c>
      <c r="J1641" s="3" t="s">
        <v>346</v>
      </c>
      <c r="K1641" s="3" t="s">
        <v>28</v>
      </c>
      <c r="L1641" s="3" t="s">
        <v>27</v>
      </c>
      <c r="M1641" s="3" t="s">
        <v>28</v>
      </c>
      <c r="N1641" s="3" t="s">
        <v>27</v>
      </c>
      <c r="O1641" s="3" t="s">
        <v>28</v>
      </c>
      <c r="P1641" s="3" t="s">
        <v>28</v>
      </c>
      <c r="Q1641" s="3" t="s">
        <v>28</v>
      </c>
      <c r="R1641" s="3" t="s">
        <v>28</v>
      </c>
      <c r="S1641" s="3" t="s">
        <v>27</v>
      </c>
      <c r="T1641" s="3" t="s">
        <v>27</v>
      </c>
    </row>
    <row r="1642" spans="1:20" ht="229.5">
      <c r="A1642" s="3">
        <v>2716892</v>
      </c>
      <c r="B1642" s="3">
        <f>HYPERLINK("https://platform.v2.vetology.net/cases/2716892/screening-report/6?type=pdf&amp;v=v6&amp;scorecard=1&amp;secret_key=BX%25IJ%24%2F65ieZ%29f6", 2716892)</f>
        <v>2716892</v>
      </c>
      <c r="C1642" s="3">
        <f>HYPERLINK("https://platform.v2.vetology.net/report/v/final/"&amp;2716892, 2716892)</f>
        <v>2716892</v>
      </c>
      <c r="D1642" s="3" t="s">
        <v>5814</v>
      </c>
      <c r="E1642" s="3" t="s">
        <v>5815</v>
      </c>
      <c r="F1642" s="3" t="s">
        <v>5816</v>
      </c>
      <c r="G1642" s="3" t="s">
        <v>186</v>
      </c>
      <c r="H1642" s="3" t="s">
        <v>31</v>
      </c>
      <c r="I1642" s="3" t="s">
        <v>129</v>
      </c>
      <c r="J1642" s="3" t="s">
        <v>119</v>
      </c>
      <c r="K1642" s="3" t="s">
        <v>28</v>
      </c>
      <c r="L1642" s="3" t="s">
        <v>28</v>
      </c>
      <c r="M1642" s="3" t="s">
        <v>28</v>
      </c>
      <c r="N1642" s="3" t="s">
        <v>28</v>
      </c>
      <c r="O1642" s="3" t="s">
        <v>27</v>
      </c>
      <c r="P1642" s="3" t="s">
        <v>28</v>
      </c>
      <c r="Q1642" s="3" t="s">
        <v>28</v>
      </c>
      <c r="R1642" s="3" t="s">
        <v>28</v>
      </c>
      <c r="S1642" s="3" t="s">
        <v>28</v>
      </c>
      <c r="T1642" s="3" t="s">
        <v>28</v>
      </c>
    </row>
    <row r="1643" spans="1:20" ht="396.75">
      <c r="A1643" s="3">
        <v>2716838</v>
      </c>
      <c r="B1643" s="3">
        <f>HYPERLINK("https://platform.v2.vetology.net/cases/2716838/screening-report/6?type=pdf&amp;v=v6&amp;scorecard=1&amp;secret_key=BX%25IJ%24%2F65ieZ%29f6", 2716838)</f>
        <v>2716838</v>
      </c>
      <c r="C1643" s="3">
        <f>HYPERLINK("https://platform.v2.vetology.net/report/v/final/"&amp;2716838, 2716838)</f>
        <v>2716838</v>
      </c>
      <c r="D1643" s="3" t="s">
        <v>5817</v>
      </c>
      <c r="E1643" s="3" t="s">
        <v>5818</v>
      </c>
      <c r="F1643" s="3" t="s">
        <v>5819</v>
      </c>
      <c r="G1643" s="3" t="s">
        <v>179</v>
      </c>
      <c r="H1643" s="3" t="s">
        <v>1482</v>
      </c>
      <c r="I1643" s="3" t="s">
        <v>1483</v>
      </c>
      <c r="J1643" s="3" t="s">
        <v>5778</v>
      </c>
      <c r="K1643" s="3" t="s">
        <v>28</v>
      </c>
      <c r="L1643" s="3" t="s">
        <v>28</v>
      </c>
      <c r="M1643" s="3" t="s">
        <v>27</v>
      </c>
      <c r="N1643" s="3" t="s">
        <v>28</v>
      </c>
      <c r="O1643" s="3" t="s">
        <v>27</v>
      </c>
      <c r="P1643" s="3" t="s">
        <v>28</v>
      </c>
      <c r="Q1643" s="3" t="s">
        <v>28</v>
      </c>
      <c r="R1643" s="3" t="s">
        <v>28</v>
      </c>
      <c r="S1643" s="3" t="s">
        <v>28</v>
      </c>
      <c r="T1643" s="3" t="s">
        <v>28</v>
      </c>
    </row>
    <row r="1644" spans="1:20" ht="409.6">
      <c r="A1644" s="3">
        <v>2716828</v>
      </c>
      <c r="B1644" s="3">
        <f>HYPERLINK("https://platform.v2.vetology.net/cases/2716828/screening-report/6?type=pdf&amp;v=v6&amp;scorecard=1&amp;secret_key=BX%25IJ%24%2F65ieZ%29f6", 2716828)</f>
        <v>2716828</v>
      </c>
      <c r="C1644" s="3">
        <f>HYPERLINK("https://platform.v2.vetology.net/report/v/final/"&amp;2716828, 2716828)</f>
        <v>2716828</v>
      </c>
      <c r="D1644" s="3" t="s">
        <v>5820</v>
      </c>
      <c r="E1644" s="3" t="s">
        <v>5821</v>
      </c>
      <c r="F1644" s="3" t="s">
        <v>5822</v>
      </c>
      <c r="G1644" s="3" t="s">
        <v>186</v>
      </c>
      <c r="H1644" s="3" t="s">
        <v>5823</v>
      </c>
      <c r="I1644" s="3" t="s">
        <v>78</v>
      </c>
      <c r="J1644" s="3" t="s">
        <v>79</v>
      </c>
      <c r="K1644" s="3" t="s">
        <v>27</v>
      </c>
      <c r="L1644" s="3" t="s">
        <v>28</v>
      </c>
      <c r="M1644" s="3" t="s">
        <v>28</v>
      </c>
      <c r="N1644" s="3" t="s">
        <v>28</v>
      </c>
      <c r="O1644" s="3" t="s">
        <v>27</v>
      </c>
      <c r="P1644" s="3" t="s">
        <v>27</v>
      </c>
      <c r="Q1644" s="3" t="s">
        <v>28</v>
      </c>
      <c r="R1644" s="3" t="s">
        <v>28</v>
      </c>
      <c r="S1644" s="3" t="s">
        <v>28</v>
      </c>
      <c r="T1644" s="3" t="s">
        <v>28</v>
      </c>
    </row>
    <row r="1645" spans="1:20" ht="198">
      <c r="A1645" s="3">
        <v>2716824</v>
      </c>
      <c r="B1645" s="3">
        <f>HYPERLINK("https://platform.v2.vetology.net/cases/2716824/screening-report/6?type=pdf&amp;v=v6&amp;scorecard=1&amp;secret_key=BX%25IJ%24%2F65ieZ%29f6", 2716824)</f>
        <v>2716824</v>
      </c>
      <c r="C1645" s="3">
        <f>HYPERLINK("https://platform.v2.vetology.net/report/v/final/"&amp;2716824, 2716824)</f>
        <v>2716824</v>
      </c>
      <c r="D1645" s="3" t="s">
        <v>5824</v>
      </c>
      <c r="E1645" s="3" t="s">
        <v>5825</v>
      </c>
      <c r="F1645" s="3"/>
      <c r="G1645" s="3" t="s">
        <v>122</v>
      </c>
      <c r="H1645" s="3" t="s">
        <v>1538</v>
      </c>
      <c r="I1645" s="3" t="s">
        <v>72</v>
      </c>
      <c r="J1645" s="3" t="s">
        <v>363</v>
      </c>
      <c r="K1645" s="3" t="s">
        <v>28</v>
      </c>
      <c r="L1645" s="3" t="s">
        <v>28</v>
      </c>
      <c r="M1645" s="3" t="s">
        <v>28</v>
      </c>
      <c r="N1645" s="3" t="s">
        <v>28</v>
      </c>
      <c r="O1645" s="3" t="s">
        <v>28</v>
      </c>
      <c r="P1645" s="3" t="s">
        <v>28</v>
      </c>
      <c r="Q1645" s="3" t="s">
        <v>28</v>
      </c>
      <c r="R1645" s="3" t="s">
        <v>28</v>
      </c>
      <c r="S1645" s="3" t="s">
        <v>28</v>
      </c>
      <c r="T1645" s="3" t="s">
        <v>27</v>
      </c>
    </row>
    <row r="1646" spans="1:20" ht="409.6">
      <c r="A1646" s="3">
        <v>2716800</v>
      </c>
      <c r="B1646" s="3">
        <f>HYPERLINK("https://platform.v2.vetology.net/cases/2716800/screening-report/6?type=pdf&amp;v=v6&amp;scorecard=1&amp;secret_key=BX%25IJ%24%2F65ieZ%29f6", 2716800)</f>
        <v>2716800</v>
      </c>
      <c r="C1646" s="3">
        <f>HYPERLINK("https://platform.v2.vetology.net/report/v/final/"&amp;2716800, 2716800)</f>
        <v>2716800</v>
      </c>
      <c r="D1646" s="3" t="s">
        <v>5826</v>
      </c>
      <c r="E1646" s="3" t="s">
        <v>5827</v>
      </c>
      <c r="F1646" s="3" t="s">
        <v>22</v>
      </c>
      <c r="G1646" s="3" t="s">
        <v>100</v>
      </c>
      <c r="H1646" s="3" t="s">
        <v>5828</v>
      </c>
      <c r="I1646" s="3" t="s">
        <v>1135</v>
      </c>
      <c r="J1646" s="3" t="s">
        <v>1136</v>
      </c>
      <c r="K1646" s="3" t="s">
        <v>28</v>
      </c>
      <c r="L1646" s="3" t="s">
        <v>27</v>
      </c>
      <c r="M1646" s="3" t="s">
        <v>28</v>
      </c>
      <c r="N1646" s="3" t="s">
        <v>27</v>
      </c>
      <c r="O1646" s="3" t="s">
        <v>28</v>
      </c>
      <c r="P1646" s="3" t="s">
        <v>28</v>
      </c>
      <c r="Q1646" s="3" t="s">
        <v>27</v>
      </c>
      <c r="R1646" s="3" t="s">
        <v>27</v>
      </c>
      <c r="S1646" s="3" t="s">
        <v>27</v>
      </c>
      <c r="T1646" s="3" t="s">
        <v>27</v>
      </c>
    </row>
    <row r="1647" spans="1:20" ht="409.6">
      <c r="A1647" s="3">
        <v>2716795</v>
      </c>
      <c r="B1647" s="3">
        <f>HYPERLINK("https://platform.v2.vetology.net/cases/2716795/screening-report/6?type=pdf&amp;v=v6&amp;scorecard=1&amp;secret_key=BX%25IJ%24%2F65ieZ%29f6", 2716795)</f>
        <v>2716795</v>
      </c>
      <c r="C1647" s="3">
        <f>HYPERLINK("https://platform.v2.vetology.net/report/v/final/"&amp;2716795, 2716795)</f>
        <v>2716795</v>
      </c>
      <c r="D1647" s="3" t="s">
        <v>5829</v>
      </c>
      <c r="E1647" s="3" t="s">
        <v>5830</v>
      </c>
      <c r="F1647" s="3" t="s">
        <v>22</v>
      </c>
      <c r="G1647" s="3" t="s">
        <v>372</v>
      </c>
      <c r="H1647" s="3" t="s">
        <v>5831</v>
      </c>
      <c r="I1647" s="3" t="s">
        <v>2498</v>
      </c>
      <c r="J1647" s="3" t="s">
        <v>2499</v>
      </c>
      <c r="K1647" s="3" t="s">
        <v>28</v>
      </c>
      <c r="L1647" s="3" t="s">
        <v>28</v>
      </c>
      <c r="M1647" s="3" t="s">
        <v>28</v>
      </c>
      <c r="N1647" s="3" t="s">
        <v>28</v>
      </c>
      <c r="O1647" s="3" t="s">
        <v>27</v>
      </c>
      <c r="P1647" s="3" t="s">
        <v>28</v>
      </c>
      <c r="Q1647" s="3" t="s">
        <v>27</v>
      </c>
      <c r="R1647" s="3" t="s">
        <v>28</v>
      </c>
      <c r="S1647" s="3" t="s">
        <v>28</v>
      </c>
      <c r="T1647" s="3" t="s">
        <v>27</v>
      </c>
    </row>
    <row r="1648" spans="1:20" ht="409.6">
      <c r="A1648" s="3">
        <v>2716788</v>
      </c>
      <c r="B1648" s="3">
        <f>HYPERLINK("https://platform.v2.vetology.net/cases/2716788/screening-report/6?type=pdf&amp;v=v6&amp;scorecard=1&amp;secret_key=BX%25IJ%24%2F65ieZ%29f6", 2716788)</f>
        <v>2716788</v>
      </c>
      <c r="C1648" s="3">
        <f>HYPERLINK("https://platform.v2.vetology.net/report/v/final/"&amp;2716788, 2716788)</f>
        <v>2716788</v>
      </c>
      <c r="D1648" s="3" t="s">
        <v>5832</v>
      </c>
      <c r="E1648" s="3" t="s">
        <v>5833</v>
      </c>
      <c r="F1648" s="3" t="s">
        <v>5834</v>
      </c>
      <c r="G1648" s="3" t="s">
        <v>186</v>
      </c>
      <c r="H1648" s="3" t="s">
        <v>5835</v>
      </c>
      <c r="I1648" s="3" t="s">
        <v>1352</v>
      </c>
      <c r="J1648" s="3" t="s">
        <v>1353</v>
      </c>
      <c r="K1648" s="3" t="s">
        <v>28</v>
      </c>
      <c r="L1648" s="3" t="s">
        <v>27</v>
      </c>
      <c r="M1648" s="3" t="s">
        <v>28</v>
      </c>
      <c r="N1648" s="3" t="s">
        <v>27</v>
      </c>
      <c r="O1648" s="3" t="s">
        <v>27</v>
      </c>
      <c r="P1648" s="3" t="s">
        <v>28</v>
      </c>
      <c r="Q1648" s="3" t="s">
        <v>28</v>
      </c>
      <c r="R1648" s="3" t="s">
        <v>27</v>
      </c>
      <c r="S1648" s="3" t="s">
        <v>27</v>
      </c>
      <c r="T1648" s="3" t="s">
        <v>27</v>
      </c>
    </row>
    <row r="1649" spans="1:20" ht="409.6">
      <c r="A1649" s="3">
        <v>2716745</v>
      </c>
      <c r="B1649" s="3">
        <f>HYPERLINK("https://platform.v2.vetology.net/cases/2716745/screening-report/6?type=pdf&amp;v=v6&amp;scorecard=1&amp;secret_key=BX%25IJ%24%2F65ieZ%29f6", 2716745)</f>
        <v>2716745</v>
      </c>
      <c r="C1649" s="3">
        <f>HYPERLINK("https://platform.v2.vetology.net/report/v/final/"&amp;2716745, 2716745)</f>
        <v>2716745</v>
      </c>
      <c r="D1649" s="3" t="s">
        <v>5836</v>
      </c>
      <c r="E1649" s="3" t="s">
        <v>5837</v>
      </c>
      <c r="F1649" s="3" t="s">
        <v>5838</v>
      </c>
      <c r="G1649" s="3" t="s">
        <v>64</v>
      </c>
      <c r="H1649" s="3" t="s">
        <v>2621</v>
      </c>
      <c r="I1649" s="3" t="s">
        <v>37</v>
      </c>
      <c r="J1649" s="3" t="s">
        <v>38</v>
      </c>
      <c r="K1649" s="3" t="s">
        <v>27</v>
      </c>
      <c r="L1649" s="3" t="s">
        <v>28</v>
      </c>
      <c r="M1649" s="3" t="s">
        <v>27</v>
      </c>
      <c r="N1649" s="3" t="s">
        <v>28</v>
      </c>
      <c r="O1649" s="3" t="s">
        <v>28</v>
      </c>
      <c r="P1649" s="3" t="s">
        <v>28</v>
      </c>
      <c r="Q1649" s="3" t="s">
        <v>27</v>
      </c>
      <c r="R1649" s="3" t="s">
        <v>28</v>
      </c>
      <c r="S1649" s="3" t="s">
        <v>28</v>
      </c>
      <c r="T1649" s="3" t="s">
        <v>28</v>
      </c>
    </row>
    <row r="1650" spans="1:20" ht="351">
      <c r="A1650" s="3">
        <v>2716629</v>
      </c>
      <c r="B1650" s="3">
        <f>HYPERLINK("https://platform.v2.vetology.net/cases/2716629/screening-report/6?type=pdf&amp;v=v6&amp;scorecard=1&amp;secret_key=BX%25IJ%24%2F65ieZ%29f6", 2716629)</f>
        <v>2716629</v>
      </c>
      <c r="C1650" s="3">
        <f>HYPERLINK("https://platform.v2.vetology.net/report/v/final/"&amp;2716629, 2716629)</f>
        <v>2716629</v>
      </c>
      <c r="D1650" s="3" t="s">
        <v>5839</v>
      </c>
      <c r="E1650" s="3" t="s">
        <v>5840</v>
      </c>
      <c r="F1650" s="3" t="s">
        <v>5841</v>
      </c>
      <c r="G1650" s="3" t="s">
        <v>186</v>
      </c>
      <c r="H1650" s="3" t="s">
        <v>5842</v>
      </c>
      <c r="I1650" s="3" t="s">
        <v>3835</v>
      </c>
      <c r="J1650" s="3" t="s">
        <v>3009</v>
      </c>
      <c r="K1650" s="3" t="s">
        <v>27</v>
      </c>
      <c r="L1650" s="3" t="s">
        <v>28</v>
      </c>
      <c r="M1650" s="3" t="s">
        <v>27</v>
      </c>
      <c r="N1650" s="3" t="s">
        <v>28</v>
      </c>
      <c r="O1650" s="3" t="s">
        <v>27</v>
      </c>
      <c r="P1650" s="3" t="s">
        <v>27</v>
      </c>
      <c r="Q1650" s="3" t="s">
        <v>27</v>
      </c>
      <c r="R1650" s="3" t="s">
        <v>28</v>
      </c>
      <c r="S1650" s="3" t="s">
        <v>28</v>
      </c>
      <c r="T1650" s="3" t="s">
        <v>28</v>
      </c>
    </row>
    <row r="1651" spans="1:20" ht="409.6">
      <c r="A1651" s="3">
        <v>2716614</v>
      </c>
      <c r="B1651" s="3">
        <f>HYPERLINK("https://platform.v2.vetology.net/cases/2716614/screening-report/6?type=pdf&amp;v=v6&amp;scorecard=1&amp;secret_key=BX%25IJ%24%2F65ieZ%29f6", 2716614)</f>
        <v>2716614</v>
      </c>
      <c r="C1651" s="3">
        <f>HYPERLINK("https://platform.v2.vetology.net/report/v/final/"&amp;2716614, 2716614)</f>
        <v>2716614</v>
      </c>
      <c r="D1651" s="3" t="s">
        <v>5843</v>
      </c>
      <c r="E1651" s="3" t="s">
        <v>5844</v>
      </c>
      <c r="F1651" s="3" t="s">
        <v>5845</v>
      </c>
      <c r="G1651" s="3" t="s">
        <v>211</v>
      </c>
      <c r="H1651" s="3" t="s">
        <v>5846</v>
      </c>
      <c r="I1651" s="3" t="s">
        <v>108</v>
      </c>
      <c r="J1651" s="3" t="s">
        <v>109</v>
      </c>
      <c r="K1651" s="3" t="s">
        <v>28</v>
      </c>
      <c r="L1651" s="3" t="s">
        <v>27</v>
      </c>
      <c r="M1651" s="3" t="s">
        <v>28</v>
      </c>
      <c r="N1651" s="3" t="s">
        <v>27</v>
      </c>
      <c r="O1651" s="3" t="s">
        <v>27</v>
      </c>
      <c r="P1651" s="3" t="s">
        <v>28</v>
      </c>
      <c r="Q1651" s="3" t="s">
        <v>28</v>
      </c>
      <c r="R1651" s="3" t="s">
        <v>27</v>
      </c>
      <c r="S1651" s="3" t="s">
        <v>27</v>
      </c>
      <c r="T1651" s="3" t="s">
        <v>27</v>
      </c>
    </row>
    <row r="1652" spans="1:20" ht="409.6">
      <c r="A1652" s="3">
        <v>2716608</v>
      </c>
      <c r="B1652" s="3">
        <f>HYPERLINK("https://platform.v2.vetology.net/cases/2716608/screening-report/6?type=pdf&amp;v=v6&amp;scorecard=1&amp;secret_key=BX%25IJ%24%2F65ieZ%29f6", 2716608)</f>
        <v>2716608</v>
      </c>
      <c r="C1652" s="3">
        <f>HYPERLINK("https://platform.v2.vetology.net/report/v/final/"&amp;2716608, 2716608)</f>
        <v>2716608</v>
      </c>
      <c r="D1652" s="3" t="s">
        <v>5847</v>
      </c>
      <c r="E1652" s="3" t="s">
        <v>5848</v>
      </c>
      <c r="F1652" s="3" t="s">
        <v>5849</v>
      </c>
      <c r="G1652" s="3" t="s">
        <v>64</v>
      </c>
      <c r="H1652" s="3" t="s">
        <v>5850</v>
      </c>
      <c r="I1652" s="3" t="s">
        <v>2108</v>
      </c>
      <c r="J1652" s="3" t="s">
        <v>679</v>
      </c>
      <c r="K1652" s="3" t="s">
        <v>28</v>
      </c>
      <c r="L1652" s="3" t="s">
        <v>27</v>
      </c>
      <c r="M1652" s="3" t="s">
        <v>28</v>
      </c>
      <c r="N1652" s="3" t="s">
        <v>27</v>
      </c>
      <c r="O1652" s="3" t="s">
        <v>27</v>
      </c>
      <c r="P1652" s="3" t="s">
        <v>27</v>
      </c>
      <c r="Q1652" s="3" t="s">
        <v>27</v>
      </c>
      <c r="R1652" s="3" t="s">
        <v>27</v>
      </c>
      <c r="S1652" s="3" t="s">
        <v>27</v>
      </c>
      <c r="T1652" s="3" t="s">
        <v>27</v>
      </c>
    </row>
    <row r="1653" spans="1:20" ht="409.6">
      <c r="A1653" s="3">
        <v>2716594</v>
      </c>
      <c r="B1653" s="3">
        <f>HYPERLINK("https://platform.v2.vetology.net/cases/2716594/screening-report/6?type=pdf&amp;v=v6&amp;scorecard=1&amp;secret_key=BX%25IJ%24%2F65ieZ%29f6", 2716594)</f>
        <v>2716594</v>
      </c>
      <c r="C1653" s="3">
        <f>HYPERLINK("https://platform.v2.vetology.net/report/v/final/"&amp;2716594, 2716594)</f>
        <v>2716594</v>
      </c>
      <c r="D1653" s="3" t="s">
        <v>5851</v>
      </c>
      <c r="E1653" s="3" t="s">
        <v>5852</v>
      </c>
      <c r="F1653" s="3" t="s">
        <v>5853</v>
      </c>
      <c r="G1653" s="3" t="s">
        <v>179</v>
      </c>
      <c r="H1653" s="3" t="s">
        <v>5854</v>
      </c>
      <c r="I1653" s="3" t="s">
        <v>59</v>
      </c>
      <c r="J1653" s="3" t="s">
        <v>60</v>
      </c>
      <c r="K1653" s="3" t="s">
        <v>28</v>
      </c>
      <c r="L1653" s="3" t="s">
        <v>28</v>
      </c>
      <c r="M1653" s="3" t="s">
        <v>28</v>
      </c>
      <c r="N1653" s="3" t="s">
        <v>28</v>
      </c>
      <c r="O1653" s="3" t="s">
        <v>28</v>
      </c>
      <c r="P1653" s="3" t="s">
        <v>28</v>
      </c>
      <c r="Q1653" s="3" t="s">
        <v>28</v>
      </c>
      <c r="R1653" s="3" t="s">
        <v>28</v>
      </c>
      <c r="S1653" s="3" t="s">
        <v>28</v>
      </c>
      <c r="T1653" s="3" t="s">
        <v>27</v>
      </c>
    </row>
    <row r="1654" spans="1:20" ht="305.25">
      <c r="A1654" s="3">
        <v>2716582</v>
      </c>
      <c r="B1654" s="3">
        <f>HYPERLINK("https://platform.v2.vetology.net/cases/2716582/screening-report/6?type=pdf&amp;v=v6&amp;scorecard=1&amp;secret_key=BX%25IJ%24%2F65ieZ%29f6", 2716582)</f>
        <v>2716582</v>
      </c>
      <c r="C1654" s="3">
        <f>HYPERLINK("https://platform.v2.vetology.net/report/v/final/"&amp;2716582, 2716582)</f>
        <v>2716582</v>
      </c>
      <c r="D1654" s="3" t="s">
        <v>5855</v>
      </c>
      <c r="E1654" s="3" t="s">
        <v>5856</v>
      </c>
      <c r="F1654" s="3"/>
      <c r="G1654" s="3" t="s">
        <v>100</v>
      </c>
      <c r="H1654" s="3" t="s">
        <v>31</v>
      </c>
      <c r="I1654" s="3" t="s">
        <v>32</v>
      </c>
      <c r="J1654" s="3" t="s">
        <v>33</v>
      </c>
      <c r="K1654" s="3" t="s">
        <v>28</v>
      </c>
      <c r="L1654" s="3" t="s">
        <v>28</v>
      </c>
      <c r="M1654" s="3" t="s">
        <v>28</v>
      </c>
      <c r="N1654" s="3" t="s">
        <v>28</v>
      </c>
      <c r="O1654" s="3" t="s">
        <v>28</v>
      </c>
      <c r="P1654" s="3" t="s">
        <v>28</v>
      </c>
      <c r="Q1654" s="3" t="s">
        <v>28</v>
      </c>
      <c r="R1654" s="3" t="s">
        <v>28</v>
      </c>
      <c r="S1654" s="3" t="s">
        <v>28</v>
      </c>
      <c r="T1654" s="3" t="s">
        <v>28</v>
      </c>
    </row>
    <row r="1655" spans="1:20" ht="409.6">
      <c r="A1655" s="3">
        <v>2716575</v>
      </c>
      <c r="B1655" s="3">
        <f>HYPERLINK("https://platform.v2.vetology.net/cases/2716575/screening-report/6?type=pdf&amp;v=v6&amp;scorecard=1&amp;secret_key=BX%25IJ%24%2F65ieZ%29f6", 2716575)</f>
        <v>2716575</v>
      </c>
      <c r="C1655" s="3">
        <f>HYPERLINK("https://platform.v2.vetology.net/report/v/final/"&amp;2716575, 2716575)</f>
        <v>2716575</v>
      </c>
      <c r="D1655" s="3" t="s">
        <v>5857</v>
      </c>
      <c r="E1655" s="3" t="s">
        <v>5858</v>
      </c>
      <c r="F1655" s="3" t="s">
        <v>5859</v>
      </c>
      <c r="G1655" s="3" t="s">
        <v>186</v>
      </c>
      <c r="H1655" s="3" t="s">
        <v>5860</v>
      </c>
      <c r="I1655" s="3" t="s">
        <v>1516</v>
      </c>
      <c r="J1655" s="3" t="s">
        <v>1517</v>
      </c>
      <c r="K1655" s="3" t="s">
        <v>28</v>
      </c>
      <c r="L1655" s="3" t="s">
        <v>27</v>
      </c>
      <c r="M1655" s="3" t="s">
        <v>27</v>
      </c>
      <c r="N1655" s="3" t="s">
        <v>27</v>
      </c>
      <c r="O1655" s="3" t="s">
        <v>27</v>
      </c>
      <c r="P1655" s="3" t="s">
        <v>28</v>
      </c>
      <c r="Q1655" s="3" t="s">
        <v>28</v>
      </c>
      <c r="R1655" s="3" t="s">
        <v>27</v>
      </c>
      <c r="S1655" s="3" t="s">
        <v>27</v>
      </c>
      <c r="T1655" s="3" t="s">
        <v>27</v>
      </c>
    </row>
    <row r="1656" spans="1:20" ht="366">
      <c r="A1656" s="3">
        <v>2716569</v>
      </c>
      <c r="B1656" s="3">
        <f>HYPERLINK("https://platform.v2.vetology.net/cases/2716569/screening-report/6?type=pdf&amp;v=v6&amp;scorecard=1&amp;secret_key=BX%25IJ%24%2F65ieZ%29f6", 2716569)</f>
        <v>2716569</v>
      </c>
      <c r="C1656" s="3">
        <f>HYPERLINK("https://platform.v2.vetology.net/report/v/final/"&amp;2716569, 2716569)</f>
        <v>2716569</v>
      </c>
      <c r="D1656" s="3" t="s">
        <v>5861</v>
      </c>
      <c r="E1656" s="3" t="s">
        <v>5862</v>
      </c>
      <c r="F1656" s="3" t="s">
        <v>5863</v>
      </c>
      <c r="G1656" s="3" t="s">
        <v>186</v>
      </c>
      <c r="H1656" s="3" t="s">
        <v>338</v>
      </c>
      <c r="I1656" s="3" t="s">
        <v>339</v>
      </c>
      <c r="J1656" s="3" t="s">
        <v>4606</v>
      </c>
      <c r="K1656" s="3" t="s">
        <v>28</v>
      </c>
      <c r="L1656" s="3" t="s">
        <v>28</v>
      </c>
      <c r="M1656" s="3" t="s">
        <v>28</v>
      </c>
      <c r="N1656" s="3" t="s">
        <v>28</v>
      </c>
      <c r="O1656" s="3" t="s">
        <v>28</v>
      </c>
      <c r="P1656" s="3" t="s">
        <v>28</v>
      </c>
      <c r="Q1656" s="3" t="s">
        <v>28</v>
      </c>
      <c r="R1656" s="3" t="s">
        <v>28</v>
      </c>
      <c r="S1656" s="3" t="s">
        <v>27</v>
      </c>
      <c r="T1656" s="3" t="s">
        <v>28</v>
      </c>
    </row>
    <row r="1657" spans="1:20" ht="409.6">
      <c r="A1657" s="3">
        <v>2716489</v>
      </c>
      <c r="B1657" s="3">
        <f>HYPERLINK("https://platform.v2.vetology.net/cases/2716489/screening-report/6?type=pdf&amp;v=v6&amp;scorecard=1&amp;secret_key=BX%25IJ%24%2F65ieZ%29f6", 2716489)</f>
        <v>2716489</v>
      </c>
      <c r="C1657" s="3">
        <f>HYPERLINK("https://platform.v2.vetology.net/report/v/final/"&amp;2716489, 2716489)</f>
        <v>2716489</v>
      </c>
      <c r="D1657" s="3" t="s">
        <v>5864</v>
      </c>
      <c r="E1657" s="3" t="s">
        <v>5865</v>
      </c>
      <c r="F1657" s="3" t="s">
        <v>5866</v>
      </c>
      <c r="G1657" s="3" t="s">
        <v>64</v>
      </c>
      <c r="H1657" s="3" t="s">
        <v>1338</v>
      </c>
      <c r="I1657" s="3" t="s">
        <v>1339</v>
      </c>
      <c r="J1657" s="3" t="s">
        <v>1340</v>
      </c>
      <c r="K1657" s="3" t="s">
        <v>27</v>
      </c>
      <c r="L1657" s="3" t="s">
        <v>27</v>
      </c>
      <c r="M1657" s="3" t="s">
        <v>28</v>
      </c>
      <c r="N1657" s="3" t="s">
        <v>28</v>
      </c>
      <c r="O1657" s="3" t="s">
        <v>27</v>
      </c>
      <c r="P1657" s="3" t="s">
        <v>28</v>
      </c>
      <c r="Q1657" s="3" t="s">
        <v>27</v>
      </c>
      <c r="R1657" s="3" t="s">
        <v>28</v>
      </c>
      <c r="S1657" s="3" t="s">
        <v>27</v>
      </c>
      <c r="T1657" s="3" t="s">
        <v>28</v>
      </c>
    </row>
    <row r="1658" spans="1:20" ht="381.75">
      <c r="A1658" s="3">
        <v>2716380</v>
      </c>
      <c r="B1658" s="3">
        <f>HYPERLINK("https://platform.v2.vetology.net/cases/2716380/screening-report/6?type=pdf&amp;v=v6&amp;scorecard=1&amp;secret_key=BX%25IJ%24%2F65ieZ%29f6", 2716380)</f>
        <v>2716380</v>
      </c>
      <c r="C1658" s="3">
        <f>HYPERLINK("https://platform.v2.vetology.net/report/v/final/"&amp;2716380, 2716380)</f>
        <v>2716380</v>
      </c>
      <c r="D1658" s="3" t="s">
        <v>3124</v>
      </c>
      <c r="E1658" s="3" t="s">
        <v>5867</v>
      </c>
      <c r="F1658" s="3" t="s">
        <v>1049</v>
      </c>
      <c r="G1658" s="3" t="s">
        <v>100</v>
      </c>
      <c r="H1658" s="3" t="s">
        <v>1905</v>
      </c>
      <c r="I1658" s="3" t="s">
        <v>37</v>
      </c>
      <c r="J1658" s="3" t="s">
        <v>38</v>
      </c>
      <c r="K1658" s="3" t="s">
        <v>27</v>
      </c>
      <c r="L1658" s="3" t="s">
        <v>28</v>
      </c>
      <c r="M1658" s="3" t="s">
        <v>28</v>
      </c>
      <c r="N1658" s="3" t="s">
        <v>28</v>
      </c>
      <c r="O1658" s="3" t="s">
        <v>27</v>
      </c>
      <c r="P1658" s="3" t="s">
        <v>28</v>
      </c>
      <c r="Q1658" s="3" t="s">
        <v>28</v>
      </c>
      <c r="R1658" s="3" t="s">
        <v>28</v>
      </c>
      <c r="S1658" s="3" t="s">
        <v>28</v>
      </c>
      <c r="T1658" s="3" t="s">
        <v>28</v>
      </c>
    </row>
    <row r="1659" spans="1:20" ht="409.6">
      <c r="A1659" s="3">
        <v>2716370</v>
      </c>
      <c r="B1659" s="3">
        <f>HYPERLINK("https://platform.v2.vetology.net/cases/2716370/screening-report/6?type=pdf&amp;v=v6&amp;scorecard=1&amp;secret_key=BX%25IJ%24%2F65ieZ%29f6", 2716370)</f>
        <v>2716370</v>
      </c>
      <c r="C1659" s="3">
        <f>HYPERLINK("https://platform.v2.vetology.net/report/v/final/"&amp;2716370, 2716370)</f>
        <v>2716370</v>
      </c>
      <c r="D1659" s="3" t="s">
        <v>5868</v>
      </c>
      <c r="E1659" s="3" t="s">
        <v>5869</v>
      </c>
      <c r="F1659" s="3" t="s">
        <v>1377</v>
      </c>
      <c r="G1659" s="3" t="s">
        <v>186</v>
      </c>
      <c r="H1659" s="3" t="s">
        <v>309</v>
      </c>
      <c r="I1659" s="3" t="s">
        <v>310</v>
      </c>
      <c r="J1659" s="3" t="s">
        <v>311</v>
      </c>
      <c r="K1659" s="3" t="s">
        <v>27</v>
      </c>
      <c r="L1659" s="3" t="s">
        <v>27</v>
      </c>
      <c r="M1659" s="3" t="s">
        <v>28</v>
      </c>
      <c r="N1659" s="3" t="s">
        <v>27</v>
      </c>
      <c r="O1659" s="3" t="s">
        <v>27</v>
      </c>
      <c r="P1659" s="3" t="s">
        <v>28</v>
      </c>
      <c r="Q1659" s="3" t="s">
        <v>27</v>
      </c>
      <c r="R1659" s="3" t="s">
        <v>27</v>
      </c>
      <c r="S1659" s="3" t="s">
        <v>27</v>
      </c>
      <c r="T1659" s="3" t="s">
        <v>27</v>
      </c>
    </row>
    <row r="1660" spans="1:20" ht="229.5">
      <c r="A1660" s="3">
        <v>2716358</v>
      </c>
      <c r="B1660" s="3">
        <f>HYPERLINK("https://platform.v2.vetology.net/cases/2716358/screening-report/6?type=pdf&amp;v=v6&amp;scorecard=1&amp;secret_key=BX%25IJ%24%2F65ieZ%29f6", 2716358)</f>
        <v>2716358</v>
      </c>
      <c r="C1660" s="3">
        <f>HYPERLINK("https://platform.v2.vetology.net/report/v/final/"&amp;2716358, 2716358)</f>
        <v>2716358</v>
      </c>
      <c r="D1660" s="3" t="s">
        <v>5870</v>
      </c>
      <c r="E1660" s="3" t="s">
        <v>5871</v>
      </c>
      <c r="F1660" s="3" t="s">
        <v>5872</v>
      </c>
      <c r="G1660" s="3" t="s">
        <v>186</v>
      </c>
      <c r="H1660" s="3" t="s">
        <v>31</v>
      </c>
      <c r="I1660" s="3" t="s">
        <v>32</v>
      </c>
      <c r="J1660" s="3" t="s">
        <v>119</v>
      </c>
      <c r="K1660" s="3" t="s">
        <v>28</v>
      </c>
      <c r="L1660" s="3" t="s">
        <v>28</v>
      </c>
      <c r="M1660" s="3" t="s">
        <v>28</v>
      </c>
      <c r="N1660" s="3" t="s">
        <v>28</v>
      </c>
      <c r="O1660" s="3" t="s">
        <v>27</v>
      </c>
      <c r="P1660" s="3" t="s">
        <v>28</v>
      </c>
      <c r="Q1660" s="3" t="s">
        <v>28</v>
      </c>
      <c r="R1660" s="3" t="s">
        <v>28</v>
      </c>
      <c r="S1660" s="3" t="s">
        <v>28</v>
      </c>
      <c r="T1660" s="3" t="s">
        <v>28</v>
      </c>
    </row>
    <row r="1661" spans="1:20" ht="336">
      <c r="A1661" s="3">
        <v>2716223</v>
      </c>
      <c r="B1661" s="3">
        <f>HYPERLINK("https://platform.v2.vetology.net/cases/2716223/screening-report/6?type=pdf&amp;v=v6&amp;scorecard=1&amp;secret_key=BX%25IJ%24%2F65ieZ%29f6", 2716223)</f>
        <v>2716223</v>
      </c>
      <c r="C1661" s="3">
        <f>HYPERLINK("https://platform.v2.vetology.net/report/v/final/"&amp;2716223, 2716223)</f>
        <v>2716223</v>
      </c>
      <c r="D1661" s="3" t="s">
        <v>5873</v>
      </c>
      <c r="E1661" s="3" t="s">
        <v>5874</v>
      </c>
      <c r="F1661" s="3" t="s">
        <v>5875</v>
      </c>
      <c r="G1661" s="3" t="s">
        <v>186</v>
      </c>
      <c r="H1661" s="3" t="s">
        <v>31</v>
      </c>
      <c r="I1661" s="3" t="s">
        <v>32</v>
      </c>
      <c r="J1661" s="3" t="s">
        <v>119</v>
      </c>
      <c r="K1661" s="3" t="s">
        <v>28</v>
      </c>
      <c r="L1661" s="3" t="s">
        <v>28</v>
      </c>
      <c r="M1661" s="3" t="s">
        <v>28</v>
      </c>
      <c r="N1661" s="3" t="s">
        <v>28</v>
      </c>
      <c r="O1661" s="3" t="s">
        <v>28</v>
      </c>
      <c r="P1661" s="3" t="s">
        <v>28</v>
      </c>
      <c r="Q1661" s="3" t="s">
        <v>28</v>
      </c>
      <c r="R1661" s="3" t="s">
        <v>28</v>
      </c>
      <c r="S1661" s="3" t="s">
        <v>28</v>
      </c>
      <c r="T1661" s="3" t="s">
        <v>28</v>
      </c>
    </row>
    <row r="1662" spans="1:20" ht="305.25">
      <c r="A1662" s="3">
        <v>2716176</v>
      </c>
      <c r="B1662" s="3">
        <f>HYPERLINK("https://platform.v2.vetology.net/cases/2716176/screening-report/6?type=pdf&amp;v=v6&amp;scorecard=1&amp;secret_key=BX%25IJ%24%2F65ieZ%29f6", 2716176)</f>
        <v>2716176</v>
      </c>
      <c r="C1662" s="3">
        <f>HYPERLINK("https://platform.v2.vetology.net/report/v/final/"&amp;2716176, 2716176)</f>
        <v>2716176</v>
      </c>
      <c r="D1662" s="3" t="s">
        <v>5876</v>
      </c>
      <c r="E1662" s="3" t="s">
        <v>5877</v>
      </c>
      <c r="F1662" s="3" t="s">
        <v>1717</v>
      </c>
      <c r="G1662" s="3" t="s">
        <v>186</v>
      </c>
      <c r="H1662" s="3" t="s">
        <v>118</v>
      </c>
      <c r="I1662" s="3" t="s">
        <v>32</v>
      </c>
      <c r="J1662" s="3" t="s">
        <v>33</v>
      </c>
      <c r="K1662" s="3" t="s">
        <v>28</v>
      </c>
      <c r="L1662" s="3" t="s">
        <v>28</v>
      </c>
      <c r="M1662" s="3" t="s">
        <v>28</v>
      </c>
      <c r="N1662" s="3" t="s">
        <v>28</v>
      </c>
      <c r="O1662" s="3" t="s">
        <v>27</v>
      </c>
      <c r="P1662" s="3" t="s">
        <v>28</v>
      </c>
      <c r="Q1662" s="3" t="s">
        <v>28</v>
      </c>
      <c r="R1662" s="3" t="s">
        <v>28</v>
      </c>
      <c r="S1662" s="3" t="s">
        <v>28</v>
      </c>
      <c r="T1662" s="3" t="s">
        <v>28</v>
      </c>
    </row>
    <row r="1663" spans="1:20" ht="409.6">
      <c r="A1663" s="3">
        <v>2716170</v>
      </c>
      <c r="B1663" s="3">
        <f>HYPERLINK("https://platform.v2.vetology.net/cases/2716170/screening-report/6?type=pdf&amp;v=v6&amp;scorecard=1&amp;secret_key=BX%25IJ%24%2F65ieZ%29f6", 2716170)</f>
        <v>2716170</v>
      </c>
      <c r="C1663" s="3">
        <f>HYPERLINK("https://platform.v2.vetology.net/report/v/final/"&amp;2716170, 2716170)</f>
        <v>2716170</v>
      </c>
      <c r="D1663" s="3" t="s">
        <v>5878</v>
      </c>
      <c r="E1663" s="3" t="s">
        <v>5879</v>
      </c>
      <c r="F1663" s="3" t="s">
        <v>4779</v>
      </c>
      <c r="G1663" s="3" t="s">
        <v>186</v>
      </c>
      <c r="H1663" s="3" t="s">
        <v>5880</v>
      </c>
      <c r="I1663" s="3" t="s">
        <v>351</v>
      </c>
      <c r="J1663" s="3" t="s">
        <v>5881</v>
      </c>
      <c r="K1663" s="3" t="s">
        <v>28</v>
      </c>
      <c r="L1663" s="3" t="s">
        <v>28</v>
      </c>
      <c r="M1663" s="3" t="s">
        <v>28</v>
      </c>
      <c r="N1663" s="3" t="s">
        <v>28</v>
      </c>
      <c r="O1663" s="3" t="s">
        <v>28</v>
      </c>
      <c r="P1663" s="3" t="s">
        <v>28</v>
      </c>
      <c r="Q1663" s="3" t="s">
        <v>28</v>
      </c>
      <c r="R1663" s="3" t="s">
        <v>28</v>
      </c>
      <c r="S1663" s="3" t="s">
        <v>28</v>
      </c>
      <c r="T1663" s="3" t="s">
        <v>27</v>
      </c>
    </row>
    <row r="1664" spans="1:20" ht="409.6">
      <c r="A1664" s="3">
        <v>2716077</v>
      </c>
      <c r="B1664" s="3">
        <f>HYPERLINK("https://platform.v2.vetology.net/cases/2716077/screening-report/6?type=pdf&amp;v=v6&amp;scorecard=1&amp;secret_key=BX%25IJ%24%2F65ieZ%29f6", 2716077)</f>
        <v>2716077</v>
      </c>
      <c r="C1664" s="3">
        <f>HYPERLINK("https://platform.v2.vetology.net/report/v/final/"&amp;2716077, 2716077)</f>
        <v>2716077</v>
      </c>
      <c r="D1664" s="3" t="s">
        <v>5882</v>
      </c>
      <c r="E1664" s="3" t="s">
        <v>5883</v>
      </c>
      <c r="F1664" s="3" t="s">
        <v>5884</v>
      </c>
      <c r="G1664" s="3" t="s">
        <v>834</v>
      </c>
      <c r="H1664" s="3" t="s">
        <v>5885</v>
      </c>
      <c r="I1664" s="3" t="s">
        <v>3391</v>
      </c>
      <c r="J1664" s="3" t="s">
        <v>3392</v>
      </c>
      <c r="K1664" s="3" t="s">
        <v>27</v>
      </c>
      <c r="L1664" s="3" t="s">
        <v>28</v>
      </c>
      <c r="M1664" s="3" t="s">
        <v>27</v>
      </c>
      <c r="N1664" s="3" t="s">
        <v>28</v>
      </c>
      <c r="O1664" s="3" t="s">
        <v>27</v>
      </c>
      <c r="P1664" s="3" t="s">
        <v>28</v>
      </c>
      <c r="Q1664" s="3" t="s">
        <v>27</v>
      </c>
      <c r="R1664" s="3" t="s">
        <v>28</v>
      </c>
      <c r="S1664" s="3" t="s">
        <v>28</v>
      </c>
      <c r="T1664" s="3" t="s">
        <v>28</v>
      </c>
    </row>
    <row r="1665" spans="1:20" ht="409.6">
      <c r="A1665" s="3">
        <v>2716049</v>
      </c>
      <c r="B1665" s="3">
        <f>HYPERLINK("https://platform.v2.vetology.net/cases/2716049/screening-report/6?type=pdf&amp;v=v6&amp;scorecard=1&amp;secret_key=BX%25IJ%24%2F65ieZ%29f6", 2716049)</f>
        <v>2716049</v>
      </c>
      <c r="C1665" s="3">
        <f>HYPERLINK("https://platform.v2.vetology.net/report/v/final/"&amp;2716049, 2716049)</f>
        <v>2716049</v>
      </c>
      <c r="D1665" s="3" t="s">
        <v>5886</v>
      </c>
      <c r="E1665" s="3" t="s">
        <v>5887</v>
      </c>
      <c r="F1665" s="3" t="s">
        <v>5888</v>
      </c>
      <c r="G1665" s="3" t="s">
        <v>834</v>
      </c>
      <c r="H1665" s="3" t="s">
        <v>135</v>
      </c>
      <c r="I1665" s="3" t="s">
        <v>136</v>
      </c>
      <c r="J1665" s="3" t="s">
        <v>137</v>
      </c>
      <c r="K1665" s="3" t="s">
        <v>28</v>
      </c>
      <c r="L1665" s="3" t="s">
        <v>28</v>
      </c>
      <c r="M1665" s="3" t="s">
        <v>28</v>
      </c>
      <c r="N1665" s="3" t="s">
        <v>27</v>
      </c>
      <c r="O1665" s="3" t="s">
        <v>27</v>
      </c>
      <c r="P1665" s="3" t="s">
        <v>28</v>
      </c>
      <c r="Q1665" s="3" t="s">
        <v>28</v>
      </c>
      <c r="R1665" s="3" t="s">
        <v>27</v>
      </c>
      <c r="S1665" s="3" t="s">
        <v>28</v>
      </c>
      <c r="T1665" s="3" t="s">
        <v>27</v>
      </c>
    </row>
    <row r="1666" spans="1:20" ht="409.6">
      <c r="A1666" s="3">
        <v>2716037</v>
      </c>
      <c r="B1666" s="3">
        <f>HYPERLINK("https://platform.v2.vetology.net/cases/2716037/screening-report/6?type=pdf&amp;v=v6&amp;scorecard=1&amp;secret_key=BX%25IJ%24%2F65ieZ%29f6", 2716037)</f>
        <v>2716037</v>
      </c>
      <c r="C1666" s="3">
        <f>HYPERLINK("https://platform.v2.vetology.net/report/v/final/"&amp;2716037, 2716037)</f>
        <v>2716037</v>
      </c>
      <c r="D1666" s="3" t="s">
        <v>5889</v>
      </c>
      <c r="E1666" s="3" t="s">
        <v>5890</v>
      </c>
      <c r="F1666" s="3" t="s">
        <v>5891</v>
      </c>
      <c r="G1666" s="3" t="s">
        <v>64</v>
      </c>
      <c r="H1666" s="3" t="s">
        <v>5892</v>
      </c>
      <c r="I1666" s="3" t="s">
        <v>793</v>
      </c>
      <c r="J1666" s="3" t="s">
        <v>794</v>
      </c>
      <c r="K1666" s="3" t="s">
        <v>28</v>
      </c>
      <c r="L1666" s="3" t="s">
        <v>28</v>
      </c>
      <c r="M1666" s="3" t="s">
        <v>28</v>
      </c>
      <c r="N1666" s="3" t="s">
        <v>28</v>
      </c>
      <c r="O1666" s="3" t="s">
        <v>28</v>
      </c>
      <c r="P1666" s="3" t="s">
        <v>28</v>
      </c>
      <c r="Q1666" s="3" t="s">
        <v>28</v>
      </c>
      <c r="R1666" s="3" t="s">
        <v>28</v>
      </c>
      <c r="S1666" s="3" t="s">
        <v>28</v>
      </c>
      <c r="T1666" s="3" t="s">
        <v>28</v>
      </c>
    </row>
    <row r="1667" spans="1:20" ht="381.75">
      <c r="A1667" s="3">
        <v>2716025</v>
      </c>
      <c r="B1667" s="3">
        <f>HYPERLINK("https://platform.v2.vetology.net/cases/2716025/screening-report/6?type=pdf&amp;v=v6&amp;scorecard=1&amp;secret_key=BX%25IJ%24%2F65ieZ%29f6", 2716025)</f>
        <v>2716025</v>
      </c>
      <c r="C1667" s="3">
        <f>HYPERLINK("https://platform.v2.vetology.net/report/v/final/"&amp;2716025, 2716025)</f>
        <v>2716025</v>
      </c>
      <c r="D1667" s="3" t="s">
        <v>5893</v>
      </c>
      <c r="E1667" s="3" t="s">
        <v>5894</v>
      </c>
      <c r="F1667" s="3" t="s">
        <v>5895</v>
      </c>
      <c r="G1667" s="3" t="s">
        <v>834</v>
      </c>
      <c r="H1667" s="3" t="s">
        <v>855</v>
      </c>
      <c r="I1667" s="3" t="s">
        <v>856</v>
      </c>
      <c r="J1667" s="3" t="s">
        <v>857</v>
      </c>
      <c r="K1667" s="3" t="s">
        <v>28</v>
      </c>
      <c r="L1667" s="3" t="s">
        <v>28</v>
      </c>
      <c r="M1667" s="3" t="s">
        <v>28</v>
      </c>
      <c r="N1667" s="3" t="s">
        <v>28</v>
      </c>
      <c r="O1667" s="3" t="s">
        <v>27</v>
      </c>
      <c r="P1667" s="3" t="s">
        <v>28</v>
      </c>
      <c r="Q1667" s="3" t="s">
        <v>28</v>
      </c>
      <c r="R1667" s="3" t="s">
        <v>28</v>
      </c>
      <c r="S1667" s="3" t="s">
        <v>28</v>
      </c>
      <c r="T1667" s="3" t="s">
        <v>28</v>
      </c>
    </row>
    <row r="1668" spans="1:20" ht="409.6">
      <c r="A1668" s="3">
        <v>2716024</v>
      </c>
      <c r="B1668" s="3">
        <f>HYPERLINK("https://platform.v2.vetology.net/cases/2716024/screening-report/6?type=pdf&amp;v=v6&amp;scorecard=1&amp;secret_key=BX%25IJ%24%2F65ieZ%29f6", 2716024)</f>
        <v>2716024</v>
      </c>
      <c r="C1668" s="3">
        <f>HYPERLINK("https://platform.v2.vetology.net/report/v/final/"&amp;2716024, 2716024)</f>
        <v>2716024</v>
      </c>
      <c r="D1668" s="3" t="s">
        <v>5896</v>
      </c>
      <c r="E1668" s="3" t="s">
        <v>5897</v>
      </c>
      <c r="F1668" s="3" t="s">
        <v>5898</v>
      </c>
      <c r="G1668" s="3" t="s">
        <v>834</v>
      </c>
      <c r="H1668" s="3" t="s">
        <v>1443</v>
      </c>
      <c r="I1668" s="3" t="s">
        <v>1444</v>
      </c>
      <c r="J1668" s="3" t="s">
        <v>1445</v>
      </c>
      <c r="K1668" s="3" t="s">
        <v>28</v>
      </c>
      <c r="L1668" s="3" t="s">
        <v>28</v>
      </c>
      <c r="M1668" s="3" t="s">
        <v>28</v>
      </c>
      <c r="N1668" s="3" t="s">
        <v>28</v>
      </c>
      <c r="O1668" s="3" t="s">
        <v>27</v>
      </c>
      <c r="P1668" s="3" t="s">
        <v>28</v>
      </c>
      <c r="Q1668" s="3" t="s">
        <v>27</v>
      </c>
      <c r="R1668" s="3" t="s">
        <v>28</v>
      </c>
      <c r="S1668" s="3" t="s">
        <v>28</v>
      </c>
      <c r="T1668" s="3" t="s">
        <v>28</v>
      </c>
    </row>
    <row r="1669" spans="1:20" ht="305.25">
      <c r="A1669" s="3">
        <v>2716019</v>
      </c>
      <c r="B1669" s="3">
        <f>HYPERLINK("https://platform.v2.vetology.net/cases/2716019/screening-report/6?type=pdf&amp;v=v6&amp;scorecard=1&amp;secret_key=BX%25IJ%24%2F65ieZ%29f6", 2716019)</f>
        <v>2716019</v>
      </c>
      <c r="C1669" s="3">
        <f>HYPERLINK("https://platform.v2.vetology.net/report/v/final/"&amp;2716019, 2716019)</f>
        <v>2716019</v>
      </c>
      <c r="D1669" s="3" t="s">
        <v>5899</v>
      </c>
      <c r="E1669" s="3" t="s">
        <v>5900</v>
      </c>
      <c r="F1669" s="3" t="s">
        <v>5901</v>
      </c>
      <c r="G1669" s="3" t="s">
        <v>834</v>
      </c>
      <c r="H1669" s="3" t="s">
        <v>31</v>
      </c>
      <c r="I1669" s="3" t="s">
        <v>32</v>
      </c>
      <c r="J1669" s="3" t="s">
        <v>33</v>
      </c>
      <c r="K1669" s="3" t="s">
        <v>27</v>
      </c>
      <c r="L1669" s="3" t="s">
        <v>28</v>
      </c>
      <c r="M1669" s="3" t="s">
        <v>28</v>
      </c>
      <c r="N1669" s="3" t="s">
        <v>27</v>
      </c>
      <c r="O1669" s="3" t="s">
        <v>27</v>
      </c>
      <c r="P1669" s="3" t="s">
        <v>28</v>
      </c>
      <c r="Q1669" s="3" t="s">
        <v>28</v>
      </c>
      <c r="R1669" s="3" t="s">
        <v>28</v>
      </c>
      <c r="S1669" s="3" t="s">
        <v>27</v>
      </c>
      <c r="T1669" s="3" t="s">
        <v>28</v>
      </c>
    </row>
    <row r="1670" spans="1:20" ht="409.6">
      <c r="A1670" s="3">
        <v>2715990</v>
      </c>
      <c r="B1670" s="3">
        <f>HYPERLINK("https://platform.v2.vetology.net/cases/2715990/screening-report/6?type=pdf&amp;v=v6&amp;scorecard=1&amp;secret_key=BX%25IJ%24%2F65ieZ%29f6", 2715990)</f>
        <v>2715990</v>
      </c>
      <c r="C1670" s="3">
        <f>HYPERLINK("https://platform.v2.vetology.net/report/v/final/"&amp;2715990, 2715990)</f>
        <v>2715990</v>
      </c>
      <c r="D1670" s="3" t="s">
        <v>5902</v>
      </c>
      <c r="E1670" s="3" t="s">
        <v>5903</v>
      </c>
      <c r="F1670" s="3" t="s">
        <v>5904</v>
      </c>
      <c r="G1670" s="3" t="s">
        <v>100</v>
      </c>
      <c r="H1670" s="3" t="s">
        <v>554</v>
      </c>
      <c r="I1670" s="3" t="s">
        <v>555</v>
      </c>
      <c r="J1670" s="3" t="s">
        <v>556</v>
      </c>
      <c r="K1670" s="3" t="s">
        <v>28</v>
      </c>
      <c r="L1670" s="3" t="s">
        <v>28</v>
      </c>
      <c r="M1670" s="3" t="s">
        <v>28</v>
      </c>
      <c r="N1670" s="3" t="s">
        <v>28</v>
      </c>
      <c r="O1670" s="3" t="s">
        <v>28</v>
      </c>
      <c r="P1670" s="3" t="s">
        <v>28</v>
      </c>
      <c r="Q1670" s="3" t="s">
        <v>28</v>
      </c>
      <c r="R1670" s="3" t="s">
        <v>28</v>
      </c>
      <c r="S1670" s="3" t="s">
        <v>28</v>
      </c>
      <c r="T1670" s="3" t="s">
        <v>28</v>
      </c>
    </row>
    <row r="1671" spans="1:20" ht="396.75">
      <c r="A1671" s="3">
        <v>2715977</v>
      </c>
      <c r="B1671" s="3">
        <f>HYPERLINK("https://platform.v2.vetology.net/cases/2715977/screening-report/6?type=pdf&amp;v=v6&amp;scorecard=1&amp;secret_key=BX%25IJ%24%2F65ieZ%29f6", 2715977)</f>
        <v>2715977</v>
      </c>
      <c r="C1671" s="3">
        <f>HYPERLINK("https://platform.v2.vetology.net/report/v/final/"&amp;2715977, 2715977)</f>
        <v>2715977</v>
      </c>
      <c r="D1671" s="3" t="s">
        <v>5905</v>
      </c>
      <c r="E1671" s="3" t="s">
        <v>5906</v>
      </c>
      <c r="F1671" s="3" t="s">
        <v>5907</v>
      </c>
      <c r="G1671" s="3" t="s">
        <v>834</v>
      </c>
      <c r="H1671" s="3" t="s">
        <v>5908</v>
      </c>
      <c r="I1671" s="3" t="s">
        <v>724</v>
      </c>
      <c r="J1671" s="3" t="s">
        <v>725</v>
      </c>
      <c r="K1671" s="3" t="s">
        <v>27</v>
      </c>
      <c r="L1671" s="3" t="s">
        <v>28</v>
      </c>
      <c r="M1671" s="3" t="s">
        <v>28</v>
      </c>
      <c r="N1671" s="3" t="s">
        <v>28</v>
      </c>
      <c r="O1671" s="3" t="s">
        <v>27</v>
      </c>
      <c r="P1671" s="3" t="s">
        <v>28</v>
      </c>
      <c r="Q1671" s="3" t="s">
        <v>28</v>
      </c>
      <c r="R1671" s="3" t="s">
        <v>28</v>
      </c>
      <c r="S1671" s="3" t="s">
        <v>28</v>
      </c>
      <c r="T1671" s="3" t="s">
        <v>28</v>
      </c>
    </row>
    <row r="1672" spans="1:20" ht="409.6">
      <c r="A1672" s="3">
        <v>2715928</v>
      </c>
      <c r="B1672" s="3">
        <f>HYPERLINK("https://platform.v2.vetology.net/cases/2715928/screening-report/6?type=pdf&amp;v=v6&amp;scorecard=1&amp;secret_key=BX%25IJ%24%2F65ieZ%29f6", 2715928)</f>
        <v>2715928</v>
      </c>
      <c r="C1672" s="3">
        <f>HYPERLINK("https://platform.v2.vetology.net/report/v/final/"&amp;2715928, 2715928)</f>
        <v>2715928</v>
      </c>
      <c r="D1672" s="3" t="s">
        <v>5909</v>
      </c>
      <c r="E1672" s="3" t="s">
        <v>5910</v>
      </c>
      <c r="F1672" s="3" t="s">
        <v>5911</v>
      </c>
      <c r="G1672" s="3" t="s">
        <v>64</v>
      </c>
      <c r="H1672" s="3" t="s">
        <v>2528</v>
      </c>
      <c r="I1672" s="3" t="s">
        <v>324</v>
      </c>
      <c r="J1672" s="3" t="s">
        <v>325</v>
      </c>
      <c r="K1672" s="3" t="s">
        <v>27</v>
      </c>
      <c r="L1672" s="3" t="s">
        <v>28</v>
      </c>
      <c r="M1672" s="3" t="s">
        <v>27</v>
      </c>
      <c r="N1672" s="3" t="s">
        <v>28</v>
      </c>
      <c r="O1672" s="3" t="s">
        <v>27</v>
      </c>
      <c r="P1672" s="3" t="s">
        <v>28</v>
      </c>
      <c r="Q1672" s="3" t="s">
        <v>27</v>
      </c>
      <c r="R1672" s="3" t="s">
        <v>28</v>
      </c>
      <c r="S1672" s="3" t="s">
        <v>27</v>
      </c>
      <c r="T1672" s="3" t="s">
        <v>28</v>
      </c>
    </row>
    <row r="1673" spans="1:20" ht="409.6">
      <c r="A1673" s="3">
        <v>2715901</v>
      </c>
      <c r="B1673" s="3">
        <f>HYPERLINK("https://platform.v2.vetology.net/cases/2715901/screening-report/6?type=pdf&amp;v=v6&amp;scorecard=1&amp;secret_key=BX%25IJ%24%2F65ieZ%29f6", 2715901)</f>
        <v>2715901</v>
      </c>
      <c r="C1673" s="3">
        <f>HYPERLINK("https://platform.v2.vetology.net/report/v/final/"&amp;2715901, 2715901)</f>
        <v>2715901</v>
      </c>
      <c r="D1673" s="3" t="s">
        <v>5912</v>
      </c>
      <c r="E1673" s="3" t="s">
        <v>5913</v>
      </c>
      <c r="F1673" s="3" t="s">
        <v>5914</v>
      </c>
      <c r="G1673" s="3" t="s">
        <v>179</v>
      </c>
      <c r="H1673" s="3" t="s">
        <v>31</v>
      </c>
      <c r="I1673" s="3" t="s">
        <v>32</v>
      </c>
      <c r="J1673" s="3" t="s">
        <v>847</v>
      </c>
      <c r="K1673" s="3" t="s">
        <v>28</v>
      </c>
      <c r="L1673" s="3" t="s">
        <v>27</v>
      </c>
      <c r="M1673" s="3" t="s">
        <v>28</v>
      </c>
      <c r="N1673" s="3" t="s">
        <v>28</v>
      </c>
      <c r="O1673" s="3" t="s">
        <v>27</v>
      </c>
      <c r="P1673" s="3" t="s">
        <v>28</v>
      </c>
      <c r="Q1673" s="3" t="s">
        <v>28</v>
      </c>
      <c r="R1673" s="3" t="s">
        <v>28</v>
      </c>
      <c r="S1673" s="3" t="s">
        <v>28</v>
      </c>
      <c r="T1673" s="3" t="s">
        <v>28</v>
      </c>
    </row>
    <row r="1674" spans="1:20" ht="409.6">
      <c r="A1674" s="3">
        <v>2715862</v>
      </c>
      <c r="B1674" s="3">
        <f>HYPERLINK("https://platform.v2.vetology.net/cases/2715862/screening-report/6?type=pdf&amp;v=v6&amp;scorecard=1&amp;secret_key=BX%25IJ%24%2F65ieZ%29f6", 2715862)</f>
        <v>2715862</v>
      </c>
      <c r="C1674" s="3">
        <f>HYPERLINK("https://platform.v2.vetology.net/report/v/final/"&amp;2715862, 2715862)</f>
        <v>2715862</v>
      </c>
      <c r="D1674" s="3" t="s">
        <v>5915</v>
      </c>
      <c r="E1674" s="3" t="s">
        <v>5916</v>
      </c>
      <c r="F1674" s="3" t="s">
        <v>5917</v>
      </c>
      <c r="G1674" s="3" t="s">
        <v>64</v>
      </c>
      <c r="H1674" s="3" t="s">
        <v>5918</v>
      </c>
      <c r="I1674" s="3" t="s">
        <v>5919</v>
      </c>
      <c r="J1674" s="3" t="s">
        <v>5920</v>
      </c>
      <c r="K1674" s="3" t="s">
        <v>28</v>
      </c>
      <c r="L1674" s="3" t="s">
        <v>27</v>
      </c>
      <c r="M1674" s="3" t="s">
        <v>28</v>
      </c>
      <c r="N1674" s="3" t="s">
        <v>27</v>
      </c>
      <c r="O1674" s="3" t="s">
        <v>27</v>
      </c>
      <c r="P1674" s="3" t="s">
        <v>28</v>
      </c>
      <c r="Q1674" s="3" t="s">
        <v>28</v>
      </c>
      <c r="R1674" s="3" t="s">
        <v>27</v>
      </c>
      <c r="S1674" s="3" t="s">
        <v>27</v>
      </c>
      <c r="T1674" s="3" t="s">
        <v>27</v>
      </c>
    </row>
    <row r="1675" spans="1:20" ht="409.6">
      <c r="A1675" s="3">
        <v>2715831</v>
      </c>
      <c r="B1675" s="3">
        <f>HYPERLINK("https://platform.v2.vetology.net/cases/2715831/screening-report/6?type=pdf&amp;v=v6&amp;scorecard=1&amp;secret_key=BX%25IJ%24%2F65ieZ%29f6", 2715831)</f>
        <v>2715831</v>
      </c>
      <c r="C1675" s="3">
        <f>HYPERLINK("https://platform.v2.vetology.net/report/v/final/"&amp;2715831, 2715831)</f>
        <v>2715831</v>
      </c>
      <c r="D1675" s="3" t="s">
        <v>5921</v>
      </c>
      <c r="E1675" s="3" t="s">
        <v>5922</v>
      </c>
      <c r="F1675" s="3" t="s">
        <v>3000</v>
      </c>
      <c r="G1675" s="3" t="s">
        <v>64</v>
      </c>
      <c r="H1675" s="3" t="s">
        <v>3689</v>
      </c>
      <c r="I1675" s="3" t="s">
        <v>520</v>
      </c>
      <c r="J1675" s="3" t="s">
        <v>335</v>
      </c>
      <c r="K1675" s="3" t="s">
        <v>28</v>
      </c>
      <c r="L1675" s="3" t="s">
        <v>28</v>
      </c>
      <c r="M1675" s="3" t="s">
        <v>28</v>
      </c>
      <c r="N1675" s="3" t="s">
        <v>28</v>
      </c>
      <c r="O1675" s="3" t="s">
        <v>27</v>
      </c>
      <c r="P1675" s="3" t="s">
        <v>28</v>
      </c>
      <c r="Q1675" s="3" t="s">
        <v>28</v>
      </c>
      <c r="R1675" s="3" t="s">
        <v>28</v>
      </c>
      <c r="S1675" s="3" t="s">
        <v>28</v>
      </c>
      <c r="T1675" s="3" t="s">
        <v>28</v>
      </c>
    </row>
    <row r="1676" spans="1:20" ht="409.6">
      <c r="A1676" s="3">
        <v>2715790</v>
      </c>
      <c r="B1676" s="3">
        <f>HYPERLINK("https://platform.v2.vetology.net/cases/2715790/screening-report/6?type=pdf&amp;v=v6&amp;scorecard=1&amp;secret_key=BX%25IJ%24%2F65ieZ%29f6", 2715790)</f>
        <v>2715790</v>
      </c>
      <c r="C1676" s="3">
        <f>HYPERLINK("https://platform.v2.vetology.net/report/v/final/"&amp;2715790, 2715790)</f>
        <v>2715790</v>
      </c>
      <c r="D1676" s="3" t="s">
        <v>5923</v>
      </c>
      <c r="E1676" s="3" t="s">
        <v>5924</v>
      </c>
      <c r="F1676" s="3" t="s">
        <v>5925</v>
      </c>
      <c r="G1676" s="3" t="s">
        <v>64</v>
      </c>
      <c r="H1676" s="3" t="s">
        <v>1033</v>
      </c>
      <c r="I1676" s="3" t="s">
        <v>1034</v>
      </c>
      <c r="J1676" s="3" t="s">
        <v>1035</v>
      </c>
      <c r="K1676" s="3" t="s">
        <v>28</v>
      </c>
      <c r="L1676" s="3" t="s">
        <v>28</v>
      </c>
      <c r="M1676" s="3" t="s">
        <v>28</v>
      </c>
      <c r="N1676" s="3" t="s">
        <v>28</v>
      </c>
      <c r="O1676" s="3" t="s">
        <v>27</v>
      </c>
      <c r="P1676" s="3" t="s">
        <v>28</v>
      </c>
      <c r="Q1676" s="3" t="s">
        <v>28</v>
      </c>
      <c r="R1676" s="3" t="s">
        <v>27</v>
      </c>
      <c r="S1676" s="3" t="s">
        <v>28</v>
      </c>
      <c r="T1676" s="3" t="s">
        <v>27</v>
      </c>
    </row>
    <row r="1677" spans="1:20" ht="366">
      <c r="A1677" s="3">
        <v>2715769</v>
      </c>
      <c r="B1677" s="3">
        <f>HYPERLINK("https://platform.v2.vetology.net/cases/2715769/screening-report/6?type=pdf&amp;v=v6&amp;scorecard=1&amp;secret_key=BX%25IJ%24%2F65ieZ%29f6", 2715769)</f>
        <v>2715769</v>
      </c>
      <c r="C1677" s="3">
        <f>HYPERLINK("https://platform.v2.vetology.net/report/v/final/"&amp;2715769, 2715769)</f>
        <v>2715769</v>
      </c>
      <c r="D1677" s="3" t="s">
        <v>5926</v>
      </c>
      <c r="E1677" s="3" t="s">
        <v>5927</v>
      </c>
      <c r="F1677" s="3" t="s">
        <v>5928</v>
      </c>
      <c r="G1677" s="3" t="s">
        <v>100</v>
      </c>
      <c r="H1677" s="3" t="s">
        <v>187</v>
      </c>
      <c r="I1677" s="3" t="s">
        <v>188</v>
      </c>
      <c r="J1677" s="3" t="s">
        <v>189</v>
      </c>
      <c r="K1677" s="3" t="s">
        <v>28</v>
      </c>
      <c r="L1677" s="3" t="s">
        <v>28</v>
      </c>
      <c r="M1677" s="3" t="s">
        <v>28</v>
      </c>
      <c r="N1677" s="3" t="s">
        <v>28</v>
      </c>
      <c r="O1677" s="3" t="s">
        <v>27</v>
      </c>
      <c r="P1677" s="3" t="s">
        <v>28</v>
      </c>
      <c r="Q1677" s="3" t="s">
        <v>27</v>
      </c>
      <c r="R1677" s="3" t="s">
        <v>28</v>
      </c>
      <c r="S1677" s="3" t="s">
        <v>28</v>
      </c>
      <c r="T1677" s="3" t="s">
        <v>28</v>
      </c>
    </row>
    <row r="1678" spans="1:20" ht="409.6">
      <c r="A1678" s="3">
        <v>2715735</v>
      </c>
      <c r="B1678" s="3">
        <f>HYPERLINK("https://platform.v2.vetology.net/cases/2715735/screening-report/6?type=pdf&amp;v=v6&amp;scorecard=1&amp;secret_key=BX%25IJ%24%2F65ieZ%29f6", 2715735)</f>
        <v>2715735</v>
      </c>
      <c r="C1678" s="3">
        <f>HYPERLINK("https://platform.v2.vetology.net/report/v/final/"&amp;2715735, 2715735)</f>
        <v>2715735</v>
      </c>
      <c r="D1678" s="3" t="s">
        <v>5929</v>
      </c>
      <c r="E1678" s="3" t="s">
        <v>5930</v>
      </c>
      <c r="F1678" s="3" t="s">
        <v>22</v>
      </c>
      <c r="G1678" s="3" t="s">
        <v>372</v>
      </c>
      <c r="H1678" s="3" t="s">
        <v>5931</v>
      </c>
      <c r="I1678" s="3" t="s">
        <v>1070</v>
      </c>
      <c r="J1678" s="3" t="s">
        <v>207</v>
      </c>
      <c r="K1678" s="3" t="s">
        <v>27</v>
      </c>
      <c r="L1678" s="3" t="s">
        <v>28</v>
      </c>
      <c r="M1678" s="3" t="s">
        <v>28</v>
      </c>
      <c r="N1678" s="3" t="s">
        <v>28</v>
      </c>
      <c r="O1678" s="3" t="s">
        <v>27</v>
      </c>
      <c r="P1678" s="3" t="s">
        <v>28</v>
      </c>
      <c r="Q1678" s="3" t="s">
        <v>28</v>
      </c>
      <c r="R1678" s="3" t="s">
        <v>28</v>
      </c>
      <c r="S1678" s="3" t="s">
        <v>28</v>
      </c>
      <c r="T1678" s="3" t="s">
        <v>28</v>
      </c>
    </row>
    <row r="1679" spans="1:20" ht="409.6">
      <c r="A1679" s="3">
        <v>2715717</v>
      </c>
      <c r="B1679" s="3">
        <f>HYPERLINK("https://platform.v2.vetology.net/cases/2715717/screening-report/6?type=pdf&amp;v=v6&amp;scorecard=1&amp;secret_key=BX%25IJ%24%2F65ieZ%29f6", 2715717)</f>
        <v>2715717</v>
      </c>
      <c r="C1679" s="3">
        <f>HYPERLINK("https://platform.v2.vetology.net/report/v/final/"&amp;2715717, 2715717)</f>
        <v>2715717</v>
      </c>
      <c r="D1679" s="3" t="s">
        <v>5932</v>
      </c>
      <c r="E1679" s="3" t="s">
        <v>5933</v>
      </c>
      <c r="F1679" s="3" t="s">
        <v>5934</v>
      </c>
      <c r="G1679" s="3" t="s">
        <v>211</v>
      </c>
      <c r="H1679" s="3" t="s">
        <v>5935</v>
      </c>
      <c r="I1679" s="3" t="s">
        <v>1057</v>
      </c>
      <c r="J1679" s="3" t="s">
        <v>1058</v>
      </c>
      <c r="K1679" s="3" t="s">
        <v>28</v>
      </c>
      <c r="L1679" s="3" t="s">
        <v>28</v>
      </c>
      <c r="M1679" s="3" t="s">
        <v>28</v>
      </c>
      <c r="N1679" s="3" t="s">
        <v>28</v>
      </c>
      <c r="O1679" s="3" t="s">
        <v>27</v>
      </c>
      <c r="P1679" s="3" t="s">
        <v>28</v>
      </c>
      <c r="Q1679" s="3" t="s">
        <v>28</v>
      </c>
      <c r="R1679" s="3" t="s">
        <v>28</v>
      </c>
      <c r="S1679" s="3" t="s">
        <v>28</v>
      </c>
      <c r="T1679" s="3" t="s">
        <v>27</v>
      </c>
    </row>
    <row r="1680" spans="1:20" ht="409.6">
      <c r="A1680" s="3">
        <v>2715669</v>
      </c>
      <c r="B1680" s="3">
        <f>HYPERLINK("https://platform.v2.vetology.net/cases/2715669/screening-report/6?type=pdf&amp;v=v6&amp;scorecard=1&amp;secret_key=BX%25IJ%24%2F65ieZ%29f6", 2715669)</f>
        <v>2715669</v>
      </c>
      <c r="C1680" s="3">
        <f>HYPERLINK("https://platform.v2.vetology.net/report/v/final/"&amp;2715669, 2715669)</f>
        <v>2715669</v>
      </c>
      <c r="D1680" s="3" t="s">
        <v>5936</v>
      </c>
      <c r="E1680" s="3" t="s">
        <v>5937</v>
      </c>
      <c r="F1680" s="3" t="s">
        <v>5938</v>
      </c>
      <c r="G1680" s="3" t="s">
        <v>211</v>
      </c>
      <c r="H1680" s="3" t="s">
        <v>1033</v>
      </c>
      <c r="I1680" s="3" t="s">
        <v>1034</v>
      </c>
      <c r="J1680" s="3" t="s">
        <v>1035</v>
      </c>
      <c r="K1680" s="3" t="s">
        <v>28</v>
      </c>
      <c r="L1680" s="3" t="s">
        <v>28</v>
      </c>
      <c r="M1680" s="3" t="s">
        <v>28</v>
      </c>
      <c r="N1680" s="3" t="s">
        <v>28</v>
      </c>
      <c r="O1680" s="3" t="s">
        <v>27</v>
      </c>
      <c r="P1680" s="3" t="s">
        <v>28</v>
      </c>
      <c r="Q1680" s="3" t="s">
        <v>28</v>
      </c>
      <c r="R1680" s="3" t="s">
        <v>27</v>
      </c>
      <c r="S1680" s="3" t="s">
        <v>28</v>
      </c>
      <c r="T1680" s="3" t="s">
        <v>27</v>
      </c>
    </row>
    <row r="1681" spans="1:20" ht="409.6">
      <c r="A1681" s="3">
        <v>2715653</v>
      </c>
      <c r="B1681" s="3">
        <f>HYPERLINK("https://platform.v2.vetology.net/cases/2715653/screening-report/6?type=pdf&amp;v=v6&amp;scorecard=1&amp;secret_key=BX%25IJ%24%2F65ieZ%29f6", 2715653)</f>
        <v>2715653</v>
      </c>
      <c r="C1681" s="3">
        <f>HYPERLINK("https://platform.v2.vetology.net/report/v/final/"&amp;2715653, 2715653)</f>
        <v>2715653</v>
      </c>
      <c r="D1681" s="3" t="s">
        <v>5939</v>
      </c>
      <c r="E1681" s="3" t="s">
        <v>5940</v>
      </c>
      <c r="F1681" s="3"/>
      <c r="G1681" s="3" t="s">
        <v>372</v>
      </c>
      <c r="H1681" s="3" t="s">
        <v>3801</v>
      </c>
      <c r="I1681" s="3" t="s">
        <v>2045</v>
      </c>
      <c r="J1681" s="3" t="s">
        <v>2046</v>
      </c>
      <c r="K1681" s="3" t="s">
        <v>27</v>
      </c>
      <c r="L1681" s="3" t="s">
        <v>28</v>
      </c>
      <c r="M1681" s="3" t="s">
        <v>28</v>
      </c>
      <c r="N1681" s="3" t="s">
        <v>28</v>
      </c>
      <c r="O1681" s="3" t="s">
        <v>27</v>
      </c>
      <c r="P1681" s="3" t="s">
        <v>28</v>
      </c>
      <c r="Q1681" s="3" t="s">
        <v>27</v>
      </c>
      <c r="R1681" s="3" t="s">
        <v>28</v>
      </c>
      <c r="S1681" s="3" t="s">
        <v>28</v>
      </c>
      <c r="T1681" s="3" t="s">
        <v>28</v>
      </c>
    </row>
    <row r="1682" spans="1:20" ht="409.6">
      <c r="A1682" s="3">
        <v>2715513</v>
      </c>
      <c r="B1682" s="3">
        <f>HYPERLINK("https://platform.v2.vetology.net/cases/2715513/screening-report/6?type=pdf&amp;v=v6&amp;scorecard=1&amp;secret_key=BX%25IJ%24%2F65ieZ%29f6", 2715513)</f>
        <v>2715513</v>
      </c>
      <c r="C1682" s="3">
        <f>HYPERLINK("https://platform.v2.vetology.net/report/v/final/"&amp;2715513, 2715513)</f>
        <v>2715513</v>
      </c>
      <c r="D1682" s="3" t="s">
        <v>5941</v>
      </c>
      <c r="E1682" s="3" t="s">
        <v>5942</v>
      </c>
      <c r="F1682" s="3" t="s">
        <v>5943</v>
      </c>
      <c r="G1682" s="3" t="s">
        <v>64</v>
      </c>
      <c r="H1682" s="3" t="s">
        <v>5944</v>
      </c>
      <c r="I1682" s="3" t="s">
        <v>1404</v>
      </c>
      <c r="J1682" s="3" t="s">
        <v>1405</v>
      </c>
      <c r="K1682" s="3" t="s">
        <v>27</v>
      </c>
      <c r="L1682" s="3" t="s">
        <v>28</v>
      </c>
      <c r="M1682" s="3" t="s">
        <v>27</v>
      </c>
      <c r="N1682" s="3" t="s">
        <v>28</v>
      </c>
      <c r="O1682" s="3" t="s">
        <v>27</v>
      </c>
      <c r="P1682" s="3" t="s">
        <v>28</v>
      </c>
      <c r="Q1682" s="3" t="s">
        <v>27</v>
      </c>
      <c r="R1682" s="3" t="s">
        <v>28</v>
      </c>
      <c r="S1682" s="3" t="s">
        <v>28</v>
      </c>
      <c r="T1682" s="3" t="s">
        <v>28</v>
      </c>
    </row>
    <row r="1683" spans="1:20" ht="381.75">
      <c r="A1683" s="3">
        <v>2715407</v>
      </c>
      <c r="B1683" s="3">
        <f>HYPERLINK("https://platform.v2.vetology.net/cases/2715407/screening-report/6?type=pdf&amp;v=v6&amp;scorecard=1&amp;secret_key=BX%25IJ%24%2F65ieZ%29f6", 2715407)</f>
        <v>2715407</v>
      </c>
      <c r="C1683" s="3">
        <f>HYPERLINK("https://platform.v2.vetology.net/report/v/final/"&amp;2715407, 2715407)</f>
        <v>2715407</v>
      </c>
      <c r="D1683" s="3" t="s">
        <v>5945</v>
      </c>
      <c r="E1683" s="3" t="s">
        <v>5946</v>
      </c>
      <c r="F1683" s="3"/>
      <c r="G1683" s="3" t="s">
        <v>122</v>
      </c>
      <c r="H1683" s="3" t="s">
        <v>5947</v>
      </c>
      <c r="I1683" s="3" t="s">
        <v>981</v>
      </c>
      <c r="J1683" s="3" t="s">
        <v>982</v>
      </c>
      <c r="K1683" s="3" t="s">
        <v>27</v>
      </c>
      <c r="L1683" s="3" t="s">
        <v>27</v>
      </c>
      <c r="M1683" s="3" t="s">
        <v>28</v>
      </c>
      <c r="N1683" s="3" t="s">
        <v>28</v>
      </c>
      <c r="O1683" s="3" t="s">
        <v>27</v>
      </c>
      <c r="P1683" s="3" t="s">
        <v>28</v>
      </c>
      <c r="Q1683" s="3" t="s">
        <v>27</v>
      </c>
      <c r="R1683" s="3" t="s">
        <v>28</v>
      </c>
      <c r="S1683" s="3" t="s">
        <v>28</v>
      </c>
      <c r="T1683" s="3" t="s">
        <v>28</v>
      </c>
    </row>
    <row r="1684" spans="1:20" ht="409.6">
      <c r="A1684" s="3">
        <v>2715377</v>
      </c>
      <c r="B1684" s="3">
        <f>HYPERLINK("https://platform.v2.vetology.net/cases/2715377/screening-report/6?type=pdf&amp;v=v6&amp;scorecard=1&amp;secret_key=BX%25IJ%24%2F65ieZ%29f6", 2715377)</f>
        <v>2715377</v>
      </c>
      <c r="C1684" s="3">
        <f>HYPERLINK("https://platform.v2.vetology.net/report/v/final/"&amp;2715377, 2715377)</f>
        <v>2715377</v>
      </c>
      <c r="D1684" s="3" t="s">
        <v>5948</v>
      </c>
      <c r="E1684" s="3" t="s">
        <v>5949</v>
      </c>
      <c r="F1684" s="3" t="s">
        <v>5950</v>
      </c>
      <c r="G1684" s="3" t="s">
        <v>736</v>
      </c>
      <c r="H1684" s="3" t="s">
        <v>5951</v>
      </c>
      <c r="I1684" s="3" t="s">
        <v>464</v>
      </c>
      <c r="J1684" s="3" t="s">
        <v>297</v>
      </c>
      <c r="K1684" s="3" t="s">
        <v>28</v>
      </c>
      <c r="L1684" s="3" t="s">
        <v>28</v>
      </c>
      <c r="M1684" s="3" t="s">
        <v>28</v>
      </c>
      <c r="N1684" s="3" t="s">
        <v>28</v>
      </c>
      <c r="O1684" s="3" t="s">
        <v>27</v>
      </c>
      <c r="P1684" s="3" t="s">
        <v>28</v>
      </c>
      <c r="Q1684" s="3" t="s">
        <v>28</v>
      </c>
      <c r="R1684" s="3" t="s">
        <v>28</v>
      </c>
      <c r="S1684" s="3" t="s">
        <v>27</v>
      </c>
      <c r="T1684" s="3" t="s">
        <v>28</v>
      </c>
    </row>
    <row r="1685" spans="1:20" ht="409.6">
      <c r="A1685" s="3">
        <v>2715358</v>
      </c>
      <c r="B1685" s="3">
        <f>HYPERLINK("https://platform.v2.vetology.net/cases/2715358/screening-report/6?type=pdf&amp;v=v6&amp;scorecard=1&amp;secret_key=BX%25IJ%24%2F65ieZ%29f6", 2715358)</f>
        <v>2715358</v>
      </c>
      <c r="C1685" s="3">
        <f>HYPERLINK("https://platform.v2.vetology.net/report/v/final/"&amp;2715358, 2715358)</f>
        <v>2715358</v>
      </c>
      <c r="D1685" s="3" t="s">
        <v>5952</v>
      </c>
      <c r="E1685" s="3" t="s">
        <v>5953</v>
      </c>
      <c r="F1685" s="3" t="s">
        <v>5954</v>
      </c>
      <c r="G1685" s="3" t="s">
        <v>496</v>
      </c>
      <c r="H1685" s="3" t="s">
        <v>350</v>
      </c>
      <c r="I1685" s="3" t="s">
        <v>351</v>
      </c>
      <c r="J1685" s="3" t="s">
        <v>352</v>
      </c>
      <c r="K1685" s="3" t="s">
        <v>28</v>
      </c>
      <c r="L1685" s="3" t="s">
        <v>28</v>
      </c>
      <c r="M1685" s="3" t="s">
        <v>28</v>
      </c>
      <c r="N1685" s="3" t="s">
        <v>28</v>
      </c>
      <c r="O1685" s="3" t="s">
        <v>28</v>
      </c>
      <c r="P1685" s="3" t="s">
        <v>28</v>
      </c>
      <c r="Q1685" s="3" t="s">
        <v>28</v>
      </c>
      <c r="R1685" s="3" t="s">
        <v>28</v>
      </c>
      <c r="S1685" s="3" t="s">
        <v>28</v>
      </c>
      <c r="T1685" s="3" t="s">
        <v>27</v>
      </c>
    </row>
    <row r="1686" spans="1:20" ht="336">
      <c r="A1686" s="3">
        <v>2715356</v>
      </c>
      <c r="B1686" s="3">
        <f>HYPERLINK("https://platform.v2.vetology.net/cases/2715356/screening-report/6?type=pdf&amp;v=v6&amp;scorecard=1&amp;secret_key=BX%25IJ%24%2F65ieZ%29f6", 2715356)</f>
        <v>2715356</v>
      </c>
      <c r="C1686" s="3">
        <f>HYPERLINK("https://platform.v2.vetology.net/report/v/final/"&amp;2715356, 2715356)</f>
        <v>2715356</v>
      </c>
      <c r="D1686" s="3" t="s">
        <v>5955</v>
      </c>
      <c r="E1686" s="3" t="s">
        <v>5956</v>
      </c>
      <c r="F1686" s="3" t="s">
        <v>5957</v>
      </c>
      <c r="G1686" s="3" t="s">
        <v>496</v>
      </c>
      <c r="H1686" s="3" t="s">
        <v>5958</v>
      </c>
      <c r="I1686" s="3" t="s">
        <v>200</v>
      </c>
      <c r="J1686" s="3" t="s">
        <v>201</v>
      </c>
      <c r="K1686" s="3" t="s">
        <v>27</v>
      </c>
      <c r="L1686" s="3" t="s">
        <v>28</v>
      </c>
      <c r="M1686" s="3" t="s">
        <v>28</v>
      </c>
      <c r="N1686" s="3" t="s">
        <v>28</v>
      </c>
      <c r="O1686" s="3" t="s">
        <v>27</v>
      </c>
      <c r="P1686" s="3" t="s">
        <v>28</v>
      </c>
      <c r="Q1686" s="3" t="s">
        <v>28</v>
      </c>
      <c r="R1686" s="3" t="s">
        <v>28</v>
      </c>
      <c r="S1686" s="3" t="s">
        <v>28</v>
      </c>
      <c r="T1686" s="3" t="s">
        <v>28</v>
      </c>
    </row>
    <row r="1687" spans="1:20" ht="409.6">
      <c r="A1687" s="3">
        <v>2715319</v>
      </c>
      <c r="B1687" s="3">
        <f>HYPERLINK("https://platform.v2.vetology.net/cases/2715319/screening-report/6?type=pdf&amp;v=v6&amp;scorecard=1&amp;secret_key=BX%25IJ%24%2F65ieZ%29f6", 2715319)</f>
        <v>2715319</v>
      </c>
      <c r="C1687" s="3">
        <f>HYPERLINK("https://platform.v2.vetology.net/report/v/final/"&amp;2715319, 2715319)</f>
        <v>2715319</v>
      </c>
      <c r="D1687" s="3" t="s">
        <v>5959</v>
      </c>
      <c r="E1687" s="3" t="s">
        <v>5960</v>
      </c>
      <c r="F1687" s="3" t="s">
        <v>5961</v>
      </c>
      <c r="G1687" s="3" t="s">
        <v>64</v>
      </c>
      <c r="H1687" s="3" t="s">
        <v>4739</v>
      </c>
      <c r="I1687" s="3" t="s">
        <v>469</v>
      </c>
      <c r="J1687" s="3" t="s">
        <v>470</v>
      </c>
      <c r="K1687" s="3" t="s">
        <v>28</v>
      </c>
      <c r="L1687" s="3" t="s">
        <v>28</v>
      </c>
      <c r="M1687" s="3" t="s">
        <v>28</v>
      </c>
      <c r="N1687" s="3" t="s">
        <v>28</v>
      </c>
      <c r="O1687" s="3" t="s">
        <v>27</v>
      </c>
      <c r="P1687" s="3" t="s">
        <v>27</v>
      </c>
      <c r="Q1687" s="3" t="s">
        <v>28</v>
      </c>
      <c r="R1687" s="3" t="s">
        <v>28</v>
      </c>
      <c r="S1687" s="3" t="s">
        <v>28</v>
      </c>
      <c r="T1687" s="3" t="s">
        <v>28</v>
      </c>
    </row>
    <row r="1688" spans="1:20" ht="336">
      <c r="A1688" s="3">
        <v>2715312</v>
      </c>
      <c r="B1688" s="3">
        <f>HYPERLINK("https://platform.v2.vetology.net/cases/2715312/screening-report/6?type=pdf&amp;v=v6&amp;scorecard=1&amp;secret_key=BX%25IJ%24%2F65ieZ%29f6", 2715312)</f>
        <v>2715312</v>
      </c>
      <c r="C1688" s="3">
        <f>HYPERLINK("https://platform.v2.vetology.net/report/v/final/"&amp;2715312, 2715312)</f>
        <v>2715312</v>
      </c>
      <c r="D1688" s="3" t="s">
        <v>5962</v>
      </c>
      <c r="E1688" s="3" t="s">
        <v>5963</v>
      </c>
      <c r="F1688" s="3" t="s">
        <v>5964</v>
      </c>
      <c r="G1688" s="3" t="s">
        <v>186</v>
      </c>
      <c r="H1688" s="3" t="s">
        <v>1143</v>
      </c>
      <c r="I1688" s="3" t="s">
        <v>718</v>
      </c>
      <c r="J1688" s="3" t="s">
        <v>719</v>
      </c>
      <c r="K1688" s="3" t="s">
        <v>28</v>
      </c>
      <c r="L1688" s="3" t="s">
        <v>28</v>
      </c>
      <c r="M1688" s="3" t="s">
        <v>28</v>
      </c>
      <c r="N1688" s="3" t="s">
        <v>28</v>
      </c>
      <c r="O1688" s="3" t="s">
        <v>27</v>
      </c>
      <c r="P1688" s="3" t="s">
        <v>28</v>
      </c>
      <c r="Q1688" s="3" t="s">
        <v>28</v>
      </c>
      <c r="R1688" s="3" t="s">
        <v>28</v>
      </c>
      <c r="S1688" s="3" t="s">
        <v>28</v>
      </c>
      <c r="T1688" s="3" t="s">
        <v>28</v>
      </c>
    </row>
    <row r="1689" spans="1:20" ht="409.6">
      <c r="A1689" s="3">
        <v>2715302</v>
      </c>
      <c r="B1689" s="3">
        <f>HYPERLINK("https://platform.v2.vetology.net/cases/2715302/screening-report/6?type=pdf&amp;v=v6&amp;scorecard=1&amp;secret_key=BX%25IJ%24%2F65ieZ%29f6", 2715302)</f>
        <v>2715302</v>
      </c>
      <c r="C1689" s="3">
        <f>HYPERLINK("https://platform.v2.vetology.net/report/v/final/"&amp;2715302, 2715302)</f>
        <v>2715302</v>
      </c>
      <c r="D1689" s="3" t="s">
        <v>5965</v>
      </c>
      <c r="E1689" s="3" t="s">
        <v>5966</v>
      </c>
      <c r="F1689" s="3"/>
      <c r="G1689" s="3" t="s">
        <v>100</v>
      </c>
      <c r="H1689" s="3" t="s">
        <v>5967</v>
      </c>
      <c r="I1689" s="3" t="s">
        <v>693</v>
      </c>
      <c r="J1689" s="3" t="s">
        <v>335</v>
      </c>
      <c r="K1689" s="3" t="s">
        <v>28</v>
      </c>
      <c r="L1689" s="3" t="s">
        <v>28</v>
      </c>
      <c r="M1689" s="3" t="s">
        <v>28</v>
      </c>
      <c r="N1689" s="3" t="s">
        <v>28</v>
      </c>
      <c r="O1689" s="3" t="s">
        <v>28</v>
      </c>
      <c r="P1689" s="3" t="s">
        <v>28</v>
      </c>
      <c r="Q1689" s="3" t="s">
        <v>28</v>
      </c>
      <c r="R1689" s="3" t="s">
        <v>28</v>
      </c>
      <c r="S1689" s="3" t="s">
        <v>28</v>
      </c>
      <c r="T1689" s="3" t="s">
        <v>28</v>
      </c>
    </row>
    <row r="1690" spans="1:20" ht="409.6">
      <c r="A1690" s="3">
        <v>2715298</v>
      </c>
      <c r="B1690" s="3">
        <f>HYPERLINK("https://platform.v2.vetology.net/cases/2715298/screening-report/6?type=pdf&amp;v=v6&amp;scorecard=1&amp;secret_key=BX%25IJ%24%2F65ieZ%29f6", 2715298)</f>
        <v>2715298</v>
      </c>
      <c r="C1690" s="3">
        <f>HYPERLINK("https://platform.v2.vetology.net/report/v/final/"&amp;2715298, 2715298)</f>
        <v>2715298</v>
      </c>
      <c r="D1690" s="3" t="s">
        <v>5968</v>
      </c>
      <c r="E1690" s="3" t="s">
        <v>5969</v>
      </c>
      <c r="F1690" s="3" t="s">
        <v>5970</v>
      </c>
      <c r="G1690" s="3" t="s">
        <v>64</v>
      </c>
      <c r="H1690" s="3" t="s">
        <v>855</v>
      </c>
      <c r="I1690" s="3" t="s">
        <v>856</v>
      </c>
      <c r="J1690" s="3" t="s">
        <v>857</v>
      </c>
      <c r="K1690" s="3" t="s">
        <v>27</v>
      </c>
      <c r="L1690" s="3" t="s">
        <v>28</v>
      </c>
      <c r="M1690" s="3" t="s">
        <v>28</v>
      </c>
      <c r="N1690" s="3" t="s">
        <v>28</v>
      </c>
      <c r="O1690" s="3" t="s">
        <v>27</v>
      </c>
      <c r="P1690" s="3" t="s">
        <v>28</v>
      </c>
      <c r="Q1690" s="3" t="s">
        <v>28</v>
      </c>
      <c r="R1690" s="3" t="s">
        <v>28</v>
      </c>
      <c r="S1690" s="3" t="s">
        <v>28</v>
      </c>
      <c r="T1690" s="3" t="s">
        <v>28</v>
      </c>
    </row>
    <row r="1691" spans="1:20" ht="366">
      <c r="A1691" s="3">
        <v>2715291</v>
      </c>
      <c r="B1691" s="3">
        <f>HYPERLINK("https://platform.v2.vetology.net/cases/2715291/screening-report/6?type=pdf&amp;v=v6&amp;scorecard=1&amp;secret_key=BX%25IJ%24%2F65ieZ%29f6", 2715291)</f>
        <v>2715291</v>
      </c>
      <c r="C1691" s="3">
        <f>HYPERLINK("https://platform.v2.vetology.net/report/v/final/"&amp;2715291, 2715291)</f>
        <v>2715291</v>
      </c>
      <c r="D1691" s="3" t="s">
        <v>5971</v>
      </c>
      <c r="E1691" s="3" t="s">
        <v>5972</v>
      </c>
      <c r="F1691" s="3" t="s">
        <v>5973</v>
      </c>
      <c r="G1691" s="3" t="s">
        <v>211</v>
      </c>
      <c r="H1691" s="3" t="s">
        <v>1303</v>
      </c>
      <c r="I1691" s="3" t="s">
        <v>72</v>
      </c>
      <c r="J1691" s="3" t="s">
        <v>363</v>
      </c>
      <c r="K1691" s="3" t="s">
        <v>28</v>
      </c>
      <c r="L1691" s="3" t="s">
        <v>28</v>
      </c>
      <c r="M1691" s="3" t="s">
        <v>28</v>
      </c>
      <c r="N1691" s="3" t="s">
        <v>27</v>
      </c>
      <c r="O1691" s="3" t="s">
        <v>27</v>
      </c>
      <c r="P1691" s="3" t="s">
        <v>28</v>
      </c>
      <c r="Q1691" s="3" t="s">
        <v>28</v>
      </c>
      <c r="R1691" s="3" t="s">
        <v>28</v>
      </c>
      <c r="S1691" s="3" t="s">
        <v>28</v>
      </c>
      <c r="T1691" s="3" t="s">
        <v>27</v>
      </c>
    </row>
    <row r="1692" spans="1:20" ht="409.6">
      <c r="A1692" s="3">
        <v>2715244</v>
      </c>
      <c r="B1692" s="3">
        <f>HYPERLINK("https://platform.v2.vetology.net/cases/2715244/screening-report/6?type=pdf&amp;v=v6&amp;scorecard=1&amp;secret_key=BX%25IJ%24%2F65ieZ%29f6", 2715244)</f>
        <v>2715244</v>
      </c>
      <c r="C1692" s="3">
        <f>HYPERLINK("https://platform.v2.vetology.net/report/v/final/"&amp;2715244, 2715244)</f>
        <v>2715244</v>
      </c>
      <c r="D1692" s="3" t="s">
        <v>5974</v>
      </c>
      <c r="E1692" s="3" t="s">
        <v>5975</v>
      </c>
      <c r="F1692" s="3" t="s">
        <v>5976</v>
      </c>
      <c r="G1692" s="3" t="s">
        <v>64</v>
      </c>
      <c r="H1692" s="3" t="s">
        <v>2267</v>
      </c>
      <c r="I1692" s="3" t="s">
        <v>305</v>
      </c>
      <c r="J1692" s="3" t="s">
        <v>119</v>
      </c>
      <c r="K1692" s="3" t="s">
        <v>28</v>
      </c>
      <c r="L1692" s="3" t="s">
        <v>28</v>
      </c>
      <c r="M1692" s="3" t="s">
        <v>28</v>
      </c>
      <c r="N1692" s="3" t="s">
        <v>28</v>
      </c>
      <c r="O1692" s="3" t="s">
        <v>28</v>
      </c>
      <c r="P1692" s="3" t="s">
        <v>28</v>
      </c>
      <c r="Q1692" s="3" t="s">
        <v>28</v>
      </c>
      <c r="R1692" s="3" t="s">
        <v>28</v>
      </c>
      <c r="S1692" s="3" t="s">
        <v>28</v>
      </c>
      <c r="T1692" s="3" t="s">
        <v>28</v>
      </c>
    </row>
    <row r="1693" spans="1:20" ht="409.6">
      <c r="A1693" s="3">
        <v>2715234</v>
      </c>
      <c r="B1693" s="3">
        <f>HYPERLINK("https://platform.v2.vetology.net/cases/2715234/screening-report/6?type=pdf&amp;v=v6&amp;scorecard=1&amp;secret_key=BX%25IJ%24%2F65ieZ%29f6", 2715234)</f>
        <v>2715234</v>
      </c>
      <c r="C1693" s="3">
        <f>HYPERLINK("https://platform.v2.vetology.net/report/v/final/"&amp;2715234, 2715234)</f>
        <v>2715234</v>
      </c>
      <c r="D1693" s="3" t="s">
        <v>5977</v>
      </c>
      <c r="E1693" s="3" t="s">
        <v>5978</v>
      </c>
      <c r="F1693" s="3" t="s">
        <v>5979</v>
      </c>
      <c r="G1693" s="3" t="s">
        <v>64</v>
      </c>
      <c r="H1693" s="3" t="s">
        <v>5980</v>
      </c>
      <c r="I1693" s="3" t="s">
        <v>3619</v>
      </c>
      <c r="J1693" s="3" t="s">
        <v>3620</v>
      </c>
      <c r="K1693" s="3" t="s">
        <v>28</v>
      </c>
      <c r="L1693" s="3" t="s">
        <v>27</v>
      </c>
      <c r="M1693" s="3" t="s">
        <v>27</v>
      </c>
      <c r="N1693" s="3" t="s">
        <v>27</v>
      </c>
      <c r="O1693" s="3" t="s">
        <v>27</v>
      </c>
      <c r="P1693" s="3" t="s">
        <v>27</v>
      </c>
      <c r="Q1693" s="3" t="s">
        <v>28</v>
      </c>
      <c r="R1693" s="3" t="s">
        <v>27</v>
      </c>
      <c r="S1693" s="3" t="s">
        <v>28</v>
      </c>
      <c r="T1693" s="3" t="s">
        <v>27</v>
      </c>
    </row>
    <row r="1694" spans="1:20" ht="290.25">
      <c r="A1694" s="3">
        <v>2715221</v>
      </c>
      <c r="B1694" s="3">
        <f>HYPERLINK("https://platform.v2.vetology.net/cases/2715221/screening-report/6?type=pdf&amp;v=v6&amp;scorecard=1&amp;secret_key=BX%25IJ%24%2F65ieZ%29f6", 2715221)</f>
        <v>2715221</v>
      </c>
      <c r="C1694" s="3">
        <f>HYPERLINK("https://platform.v2.vetology.net/report/v/final/"&amp;2715221, 2715221)</f>
        <v>2715221</v>
      </c>
      <c r="D1694" s="3" t="s">
        <v>5981</v>
      </c>
      <c r="E1694" s="3" t="s">
        <v>5982</v>
      </c>
      <c r="F1694" s="3" t="s">
        <v>5983</v>
      </c>
      <c r="G1694" s="3" t="s">
        <v>211</v>
      </c>
      <c r="H1694" s="3" t="s">
        <v>241</v>
      </c>
      <c r="I1694" s="3"/>
      <c r="J1694" s="3" t="s">
        <v>207</v>
      </c>
      <c r="K1694" s="3" t="s">
        <v>28</v>
      </c>
      <c r="L1694" s="3" t="s">
        <v>28</v>
      </c>
      <c r="M1694" s="3" t="s">
        <v>28</v>
      </c>
      <c r="N1694" s="3" t="s">
        <v>28</v>
      </c>
      <c r="O1694" s="3" t="s">
        <v>28</v>
      </c>
      <c r="P1694" s="3" t="s">
        <v>28</v>
      </c>
      <c r="Q1694" s="3" t="s">
        <v>28</v>
      </c>
      <c r="R1694" s="3" t="s">
        <v>28</v>
      </c>
      <c r="S1694" s="3" t="s">
        <v>28</v>
      </c>
      <c r="T1694" s="3" t="s">
        <v>27</v>
      </c>
    </row>
    <row r="1695" spans="1:20" ht="409.6">
      <c r="A1695" s="3">
        <v>2715212</v>
      </c>
      <c r="B1695" s="3">
        <f>HYPERLINK("https://platform.v2.vetology.net/cases/2715212/screening-report/6?type=pdf&amp;v=v6&amp;scorecard=1&amp;secret_key=BX%25IJ%24%2F65ieZ%29f6", 2715212)</f>
        <v>2715212</v>
      </c>
      <c r="C1695" s="3">
        <f>HYPERLINK("https://platform.v2.vetology.net/report/v/final/"&amp;2715212, 2715212)</f>
        <v>2715212</v>
      </c>
      <c r="D1695" s="3" t="s">
        <v>2937</v>
      </c>
      <c r="E1695" s="3" t="s">
        <v>2938</v>
      </c>
      <c r="F1695" s="3" t="s">
        <v>2939</v>
      </c>
      <c r="G1695" s="3" t="s">
        <v>211</v>
      </c>
      <c r="H1695" s="3" t="s">
        <v>344</v>
      </c>
      <c r="I1695" s="3" t="s">
        <v>345</v>
      </c>
      <c r="J1695" s="3" t="s">
        <v>346</v>
      </c>
      <c r="K1695" s="3" t="s">
        <v>28</v>
      </c>
      <c r="L1695" s="3" t="s">
        <v>28</v>
      </c>
      <c r="M1695" s="3" t="s">
        <v>28</v>
      </c>
      <c r="N1695" s="3" t="s">
        <v>27</v>
      </c>
      <c r="O1695" s="3" t="s">
        <v>28</v>
      </c>
      <c r="P1695" s="3" t="s">
        <v>28</v>
      </c>
      <c r="Q1695" s="3" t="s">
        <v>28</v>
      </c>
      <c r="R1695" s="3" t="s">
        <v>28</v>
      </c>
      <c r="S1695" s="3" t="s">
        <v>27</v>
      </c>
      <c r="T1695" s="3" t="s">
        <v>27</v>
      </c>
    </row>
    <row r="1696" spans="1:20" ht="409.6">
      <c r="A1696" s="3">
        <v>2715078</v>
      </c>
      <c r="B1696" s="3">
        <f>HYPERLINK("https://platform.v2.vetology.net/cases/2715078/screening-report/6?type=pdf&amp;v=v6&amp;scorecard=1&amp;secret_key=BX%25IJ%24%2F65ieZ%29f6", 2715078)</f>
        <v>2715078</v>
      </c>
      <c r="C1696" s="3">
        <f>HYPERLINK("https://platform.v2.vetology.net/report/v/final/"&amp;2715078, 2715078)</f>
        <v>2715078</v>
      </c>
      <c r="D1696" s="3" t="s">
        <v>5984</v>
      </c>
      <c r="E1696" s="3" t="s">
        <v>5985</v>
      </c>
      <c r="F1696" s="3" t="s">
        <v>5986</v>
      </c>
      <c r="G1696" s="3" t="s">
        <v>64</v>
      </c>
      <c r="H1696" s="3" t="s">
        <v>88</v>
      </c>
      <c r="I1696" s="3" t="s">
        <v>89</v>
      </c>
      <c r="J1696" s="3" t="s">
        <v>90</v>
      </c>
      <c r="K1696" s="3" t="s">
        <v>27</v>
      </c>
      <c r="L1696" s="3" t="s">
        <v>28</v>
      </c>
      <c r="M1696" s="3" t="s">
        <v>28</v>
      </c>
      <c r="N1696" s="3" t="s">
        <v>28</v>
      </c>
      <c r="O1696" s="3" t="s">
        <v>27</v>
      </c>
      <c r="P1696" s="3" t="s">
        <v>28</v>
      </c>
      <c r="Q1696" s="3" t="s">
        <v>28</v>
      </c>
      <c r="R1696" s="3" t="s">
        <v>28</v>
      </c>
      <c r="S1696" s="3" t="s">
        <v>28</v>
      </c>
      <c r="T1696" s="3" t="s">
        <v>28</v>
      </c>
    </row>
    <row r="1697" spans="1:20" ht="336">
      <c r="A1697" s="3">
        <v>2715065</v>
      </c>
      <c r="B1697" s="3">
        <f>HYPERLINK("https://platform.v2.vetology.net/cases/2715065/screening-report/6?type=pdf&amp;v=v6&amp;scorecard=1&amp;secret_key=BX%25IJ%24%2F65ieZ%29f6", 2715065)</f>
        <v>2715065</v>
      </c>
      <c r="C1697" s="3">
        <f>HYPERLINK("https://platform.v2.vetology.net/report/v/final/"&amp;2715065, 2715065)</f>
        <v>2715065</v>
      </c>
      <c r="D1697" s="3" t="s">
        <v>5987</v>
      </c>
      <c r="E1697" s="3" t="s">
        <v>5988</v>
      </c>
      <c r="F1697" s="3" t="s">
        <v>5989</v>
      </c>
      <c r="G1697" s="3" t="s">
        <v>186</v>
      </c>
      <c r="H1697" s="3" t="s">
        <v>5990</v>
      </c>
      <c r="I1697" s="3" t="s">
        <v>718</v>
      </c>
      <c r="J1697" s="3" t="s">
        <v>719</v>
      </c>
      <c r="K1697" s="3" t="s">
        <v>28</v>
      </c>
      <c r="L1697" s="3" t="s">
        <v>28</v>
      </c>
      <c r="M1697" s="3" t="s">
        <v>28</v>
      </c>
      <c r="N1697" s="3" t="s">
        <v>28</v>
      </c>
      <c r="O1697" s="3" t="s">
        <v>27</v>
      </c>
      <c r="P1697" s="3" t="s">
        <v>28</v>
      </c>
      <c r="Q1697" s="3" t="s">
        <v>28</v>
      </c>
      <c r="R1697" s="3" t="s">
        <v>28</v>
      </c>
      <c r="S1697" s="3" t="s">
        <v>28</v>
      </c>
      <c r="T1697" s="3" t="s">
        <v>28</v>
      </c>
    </row>
    <row r="1698" spans="1:20" ht="409.6">
      <c r="A1698" s="3">
        <v>2715058</v>
      </c>
      <c r="B1698" s="3">
        <f>HYPERLINK("https://platform.v2.vetology.net/cases/2715058/screening-report/6?type=pdf&amp;v=v6&amp;scorecard=1&amp;secret_key=BX%25IJ%24%2F65ieZ%29f6", 2715058)</f>
        <v>2715058</v>
      </c>
      <c r="C1698" s="3">
        <f>HYPERLINK("https://platform.v2.vetology.net/report/v/final/"&amp;2715058, 2715058)</f>
        <v>2715058</v>
      </c>
      <c r="D1698" s="3" t="s">
        <v>5991</v>
      </c>
      <c r="E1698" s="3" t="s">
        <v>5992</v>
      </c>
      <c r="F1698" s="3" t="s">
        <v>5993</v>
      </c>
      <c r="G1698" s="3" t="s">
        <v>736</v>
      </c>
      <c r="H1698" s="3" t="s">
        <v>5336</v>
      </c>
      <c r="I1698" s="3" t="s">
        <v>2136</v>
      </c>
      <c r="J1698" s="3" t="s">
        <v>2137</v>
      </c>
      <c r="K1698" s="3" t="s">
        <v>27</v>
      </c>
      <c r="L1698" s="3" t="s">
        <v>28</v>
      </c>
      <c r="M1698" s="3" t="s">
        <v>27</v>
      </c>
      <c r="N1698" s="3" t="s">
        <v>28</v>
      </c>
      <c r="O1698" s="3" t="s">
        <v>27</v>
      </c>
      <c r="P1698" s="3" t="s">
        <v>27</v>
      </c>
      <c r="Q1698" s="3" t="s">
        <v>27</v>
      </c>
      <c r="R1698" s="3" t="s">
        <v>28</v>
      </c>
      <c r="S1698" s="3" t="s">
        <v>28</v>
      </c>
      <c r="T1698" s="3" t="s">
        <v>28</v>
      </c>
    </row>
    <row r="1699" spans="1:20" ht="409.6">
      <c r="A1699" s="3">
        <v>2714994</v>
      </c>
      <c r="B1699" s="3">
        <f>HYPERLINK("https://platform.v2.vetology.net/cases/2714994/screening-report/6?type=pdf&amp;v=v6&amp;scorecard=1&amp;secret_key=BX%25IJ%24%2F65ieZ%29f6", 2714994)</f>
        <v>2714994</v>
      </c>
      <c r="C1699" s="3">
        <f>HYPERLINK("https://platform.v2.vetology.net/report/v/final/"&amp;2714994, 2714994)</f>
        <v>2714994</v>
      </c>
      <c r="D1699" s="3" t="s">
        <v>5994</v>
      </c>
      <c r="E1699" s="3" t="s">
        <v>5995</v>
      </c>
      <c r="F1699" s="3" t="s">
        <v>5996</v>
      </c>
      <c r="G1699" s="3" t="s">
        <v>64</v>
      </c>
      <c r="H1699" s="3" t="s">
        <v>2528</v>
      </c>
      <c r="I1699" s="3" t="s">
        <v>324</v>
      </c>
      <c r="J1699" s="3" t="s">
        <v>325</v>
      </c>
      <c r="K1699" s="3" t="s">
        <v>27</v>
      </c>
      <c r="L1699" s="3" t="s">
        <v>28</v>
      </c>
      <c r="M1699" s="3" t="s">
        <v>27</v>
      </c>
      <c r="N1699" s="3" t="s">
        <v>28</v>
      </c>
      <c r="O1699" s="3" t="s">
        <v>27</v>
      </c>
      <c r="P1699" s="3" t="s">
        <v>28</v>
      </c>
      <c r="Q1699" s="3" t="s">
        <v>27</v>
      </c>
      <c r="R1699" s="3" t="s">
        <v>28</v>
      </c>
      <c r="S1699" s="3" t="s">
        <v>28</v>
      </c>
      <c r="T1699" s="3" t="s">
        <v>28</v>
      </c>
    </row>
    <row r="1700" spans="1:20" ht="290.25">
      <c r="A1700" s="3">
        <v>2714962</v>
      </c>
      <c r="B1700" s="3">
        <f>HYPERLINK("https://platform.v2.vetology.net/cases/2714962/screening-report/6?type=pdf&amp;v=v6&amp;scorecard=1&amp;secret_key=BX%25IJ%24%2F65ieZ%29f6", 2714962)</f>
        <v>2714962</v>
      </c>
      <c r="C1700" s="3">
        <f>HYPERLINK("https://platform.v2.vetology.net/report/v/final/"&amp;2714962, 2714962)</f>
        <v>2714962</v>
      </c>
      <c r="D1700" s="3" t="s">
        <v>5997</v>
      </c>
      <c r="E1700" s="3" t="s">
        <v>5998</v>
      </c>
      <c r="F1700" s="3" t="s">
        <v>3109</v>
      </c>
      <c r="G1700" s="3" t="s">
        <v>186</v>
      </c>
      <c r="H1700" s="3" t="s">
        <v>419</v>
      </c>
      <c r="I1700" s="3" t="s">
        <v>316</v>
      </c>
      <c r="J1700" s="3" t="s">
        <v>317</v>
      </c>
      <c r="K1700" s="3" t="s">
        <v>28</v>
      </c>
      <c r="L1700" s="3" t="s">
        <v>28</v>
      </c>
      <c r="M1700" s="3" t="s">
        <v>28</v>
      </c>
      <c r="N1700" s="3" t="s">
        <v>28</v>
      </c>
      <c r="O1700" s="3" t="s">
        <v>27</v>
      </c>
      <c r="P1700" s="3" t="s">
        <v>28</v>
      </c>
      <c r="Q1700" s="3" t="s">
        <v>28</v>
      </c>
      <c r="R1700" s="3" t="s">
        <v>28</v>
      </c>
      <c r="S1700" s="3" t="s">
        <v>28</v>
      </c>
      <c r="T1700" s="3" t="s">
        <v>28</v>
      </c>
    </row>
    <row r="1701" spans="1:20" ht="409.6">
      <c r="A1701" s="3">
        <v>2714961</v>
      </c>
      <c r="B1701" s="3">
        <f>HYPERLINK("https://platform.v2.vetology.net/cases/2714961/screening-report/6?type=pdf&amp;v=v6&amp;scorecard=1&amp;secret_key=BX%25IJ%24%2F65ieZ%29f6", 2714961)</f>
        <v>2714961</v>
      </c>
      <c r="C1701" s="3">
        <f>HYPERLINK("https://platform.v2.vetology.net/report/v/final/"&amp;2714961, 2714961)</f>
        <v>2714961</v>
      </c>
      <c r="D1701" s="3" t="s">
        <v>5999</v>
      </c>
      <c r="E1701" s="3" t="s">
        <v>6000</v>
      </c>
      <c r="F1701" s="3" t="s">
        <v>6001</v>
      </c>
      <c r="G1701" s="3" t="s">
        <v>64</v>
      </c>
      <c r="H1701" s="3" t="s">
        <v>1421</v>
      </c>
      <c r="I1701" s="3" t="s">
        <v>32</v>
      </c>
      <c r="J1701" s="3" t="s">
        <v>33</v>
      </c>
      <c r="K1701" s="3" t="s">
        <v>28</v>
      </c>
      <c r="L1701" s="3" t="s">
        <v>28</v>
      </c>
      <c r="M1701" s="3" t="s">
        <v>28</v>
      </c>
      <c r="N1701" s="3" t="s">
        <v>28</v>
      </c>
      <c r="O1701" s="3" t="s">
        <v>28</v>
      </c>
      <c r="P1701" s="3" t="s">
        <v>28</v>
      </c>
      <c r="Q1701" s="3" t="s">
        <v>28</v>
      </c>
      <c r="R1701" s="3" t="s">
        <v>28</v>
      </c>
      <c r="S1701" s="3" t="s">
        <v>28</v>
      </c>
      <c r="T1701" s="3" t="s">
        <v>28</v>
      </c>
    </row>
    <row r="1702" spans="1:20" ht="321">
      <c r="A1702" s="3">
        <v>2714951</v>
      </c>
      <c r="B1702" s="3">
        <f>HYPERLINK("https://platform.v2.vetology.net/cases/2714951/screening-report/6?type=pdf&amp;v=v6&amp;scorecard=1&amp;secret_key=BX%25IJ%24%2F65ieZ%29f6", 2714951)</f>
        <v>2714951</v>
      </c>
      <c r="C1702" s="3">
        <f>HYPERLINK("https://platform.v2.vetology.net/report/v/final/"&amp;2714951, 2714951)</f>
        <v>2714951</v>
      </c>
      <c r="D1702" s="3" t="s">
        <v>6002</v>
      </c>
      <c r="E1702" s="3" t="s">
        <v>6003</v>
      </c>
      <c r="F1702" s="3" t="s">
        <v>4538</v>
      </c>
      <c r="G1702" s="3" t="s">
        <v>211</v>
      </c>
      <c r="H1702" s="3" t="s">
        <v>6004</v>
      </c>
      <c r="I1702" s="3" t="s">
        <v>233</v>
      </c>
      <c r="J1702" s="3" t="s">
        <v>234</v>
      </c>
      <c r="K1702" s="3" t="s">
        <v>28</v>
      </c>
      <c r="L1702" s="3" t="s">
        <v>28</v>
      </c>
      <c r="M1702" s="3" t="s">
        <v>27</v>
      </c>
      <c r="N1702" s="3" t="s">
        <v>28</v>
      </c>
      <c r="O1702" s="3" t="s">
        <v>27</v>
      </c>
      <c r="P1702" s="3" t="s">
        <v>28</v>
      </c>
      <c r="Q1702" s="3" t="s">
        <v>28</v>
      </c>
      <c r="R1702" s="3" t="s">
        <v>28</v>
      </c>
      <c r="S1702" s="3" t="s">
        <v>28</v>
      </c>
      <c r="T1702" s="3" t="s">
        <v>28</v>
      </c>
    </row>
    <row r="1703" spans="1:20" ht="409.6">
      <c r="A1703" s="3">
        <v>2714944</v>
      </c>
      <c r="B1703" s="3">
        <f>HYPERLINK("https://platform.v2.vetology.net/cases/2714944/screening-report/6?type=pdf&amp;v=v6&amp;scorecard=1&amp;secret_key=BX%25IJ%24%2F65ieZ%29f6", 2714944)</f>
        <v>2714944</v>
      </c>
      <c r="C1703" s="3">
        <f>HYPERLINK("https://platform.v2.vetology.net/report/v/final/"&amp;2714944, 2714944)</f>
        <v>2714944</v>
      </c>
      <c r="D1703" s="3" t="s">
        <v>6005</v>
      </c>
      <c r="E1703" s="3" t="s">
        <v>6006</v>
      </c>
      <c r="F1703" s="3" t="s">
        <v>6007</v>
      </c>
      <c r="G1703" s="3" t="s">
        <v>64</v>
      </c>
      <c r="H1703" s="3" t="s">
        <v>6008</v>
      </c>
      <c r="I1703" s="3" t="s">
        <v>291</v>
      </c>
      <c r="J1703" s="3" t="s">
        <v>225</v>
      </c>
      <c r="K1703" s="3" t="s">
        <v>28</v>
      </c>
      <c r="L1703" s="3" t="s">
        <v>28</v>
      </c>
      <c r="M1703" s="3" t="s">
        <v>28</v>
      </c>
      <c r="N1703" s="3" t="s">
        <v>27</v>
      </c>
      <c r="O1703" s="3" t="s">
        <v>27</v>
      </c>
      <c r="P1703" s="3" t="s">
        <v>28</v>
      </c>
      <c r="Q1703" s="3" t="s">
        <v>28</v>
      </c>
      <c r="R1703" s="3" t="s">
        <v>27</v>
      </c>
      <c r="S1703" s="3" t="s">
        <v>27</v>
      </c>
      <c r="T1703" s="3" t="s">
        <v>27</v>
      </c>
    </row>
    <row r="1704" spans="1:20" ht="366">
      <c r="A1704" s="3">
        <v>2714934</v>
      </c>
      <c r="B1704" s="3">
        <f>HYPERLINK("https://platform.v2.vetology.net/cases/2714934/screening-report/6?type=pdf&amp;v=v6&amp;scorecard=1&amp;secret_key=BX%25IJ%24%2F65ieZ%29f6", 2714934)</f>
        <v>2714934</v>
      </c>
      <c r="C1704" s="3">
        <f>HYPERLINK("https://platform.v2.vetology.net/report/v/final/"&amp;2714934, 2714934)</f>
        <v>2714934</v>
      </c>
      <c r="D1704" s="3" t="s">
        <v>6009</v>
      </c>
      <c r="E1704" s="3" t="s">
        <v>6010</v>
      </c>
      <c r="F1704" s="3"/>
      <c r="G1704" s="3" t="s">
        <v>122</v>
      </c>
      <c r="H1704" s="3" t="s">
        <v>6011</v>
      </c>
      <c r="I1704" s="3" t="s">
        <v>291</v>
      </c>
      <c r="J1704" s="3" t="s">
        <v>627</v>
      </c>
      <c r="K1704" s="3" t="s">
        <v>27</v>
      </c>
      <c r="L1704" s="3" t="s">
        <v>27</v>
      </c>
      <c r="M1704" s="3" t="s">
        <v>27</v>
      </c>
      <c r="N1704" s="3" t="s">
        <v>27</v>
      </c>
      <c r="O1704" s="3" t="s">
        <v>27</v>
      </c>
      <c r="P1704" s="3" t="s">
        <v>28</v>
      </c>
      <c r="Q1704" s="3" t="s">
        <v>27</v>
      </c>
      <c r="R1704" s="3" t="s">
        <v>27</v>
      </c>
      <c r="S1704" s="3" t="s">
        <v>27</v>
      </c>
      <c r="T1704" s="3" t="s">
        <v>27</v>
      </c>
    </row>
    <row r="1705" spans="1:20" ht="409.6">
      <c r="A1705" s="3">
        <v>2714925</v>
      </c>
      <c r="B1705" s="3">
        <f>HYPERLINK("https://platform.v2.vetology.net/cases/2714925/screening-report/6?type=pdf&amp;v=v6&amp;scorecard=1&amp;secret_key=BX%25IJ%24%2F65ieZ%29f6", 2714925)</f>
        <v>2714925</v>
      </c>
      <c r="C1705" s="3">
        <f>HYPERLINK("https://platform.v2.vetology.net/report/v/final/"&amp;2714925, 2714925)</f>
        <v>2714925</v>
      </c>
      <c r="D1705" s="3" t="s">
        <v>6012</v>
      </c>
      <c r="E1705" s="3" t="s">
        <v>6013</v>
      </c>
      <c r="F1705" s="3" t="s">
        <v>6014</v>
      </c>
      <c r="G1705" s="3" t="s">
        <v>64</v>
      </c>
      <c r="H1705" s="3" t="s">
        <v>403</v>
      </c>
      <c r="I1705" s="3" t="s">
        <v>643</v>
      </c>
      <c r="J1705" s="3" t="s">
        <v>143</v>
      </c>
      <c r="K1705" s="3" t="s">
        <v>28</v>
      </c>
      <c r="L1705" s="3" t="s">
        <v>28</v>
      </c>
      <c r="M1705" s="3" t="s">
        <v>28</v>
      </c>
      <c r="N1705" s="3" t="s">
        <v>28</v>
      </c>
      <c r="O1705" s="3" t="s">
        <v>27</v>
      </c>
      <c r="P1705" s="3" t="s">
        <v>28</v>
      </c>
      <c r="Q1705" s="3" t="s">
        <v>28</v>
      </c>
      <c r="R1705" s="3" t="s">
        <v>28</v>
      </c>
      <c r="S1705" s="3" t="s">
        <v>28</v>
      </c>
      <c r="T1705" s="3" t="s">
        <v>27</v>
      </c>
    </row>
    <row r="1706" spans="1:20" ht="409.6">
      <c r="A1706" s="3">
        <v>2714916</v>
      </c>
      <c r="B1706" s="3">
        <f>HYPERLINK("https://platform.v2.vetology.net/cases/2714916/screening-report/6?type=pdf&amp;v=v6&amp;scorecard=1&amp;secret_key=BX%25IJ%24%2F65ieZ%29f6", 2714916)</f>
        <v>2714916</v>
      </c>
      <c r="C1706" s="3">
        <f>HYPERLINK("https://platform.v2.vetology.net/report/v/final/"&amp;2714916, 2714916)</f>
        <v>2714916</v>
      </c>
      <c r="D1706" s="3" t="s">
        <v>6015</v>
      </c>
      <c r="E1706" s="3" t="s">
        <v>6016</v>
      </c>
      <c r="F1706" s="3" t="s">
        <v>6017</v>
      </c>
      <c r="G1706" s="3" t="s">
        <v>496</v>
      </c>
      <c r="H1706" s="3" t="s">
        <v>5785</v>
      </c>
      <c r="I1706" s="3" t="s">
        <v>2825</v>
      </c>
      <c r="J1706" s="3" t="s">
        <v>2826</v>
      </c>
      <c r="K1706" s="3" t="s">
        <v>27</v>
      </c>
      <c r="L1706" s="3" t="s">
        <v>28</v>
      </c>
      <c r="M1706" s="3" t="s">
        <v>27</v>
      </c>
      <c r="N1706" s="3" t="s">
        <v>28</v>
      </c>
      <c r="O1706" s="3" t="s">
        <v>27</v>
      </c>
      <c r="P1706" s="3" t="s">
        <v>28</v>
      </c>
      <c r="Q1706" s="3" t="s">
        <v>27</v>
      </c>
      <c r="R1706" s="3" t="s">
        <v>28</v>
      </c>
      <c r="S1706" s="3" t="s">
        <v>28</v>
      </c>
      <c r="T1706" s="3" t="s">
        <v>28</v>
      </c>
    </row>
    <row r="1707" spans="1:20" ht="305.25">
      <c r="A1707" s="3">
        <v>2714912</v>
      </c>
      <c r="B1707" s="3">
        <f>HYPERLINK("https://platform.v2.vetology.net/cases/2714912/screening-report/6?type=pdf&amp;v=v6&amp;scorecard=1&amp;secret_key=BX%25IJ%24%2F65ieZ%29f6", 2714912)</f>
        <v>2714912</v>
      </c>
      <c r="C1707" s="3">
        <f>HYPERLINK("https://platform.v2.vetology.net/report/v/final/"&amp;2714912, 2714912)</f>
        <v>2714912</v>
      </c>
      <c r="D1707" s="3" t="s">
        <v>6018</v>
      </c>
      <c r="E1707" s="3" t="s">
        <v>6019</v>
      </c>
      <c r="F1707" s="3" t="s">
        <v>22</v>
      </c>
      <c r="G1707" s="3" t="s">
        <v>372</v>
      </c>
      <c r="H1707" s="3" t="s">
        <v>31</v>
      </c>
      <c r="I1707" s="3" t="s">
        <v>32</v>
      </c>
      <c r="J1707" s="3" t="s">
        <v>33</v>
      </c>
      <c r="K1707" s="3" t="s">
        <v>28</v>
      </c>
      <c r="L1707" s="3" t="s">
        <v>28</v>
      </c>
      <c r="M1707" s="3" t="s">
        <v>28</v>
      </c>
      <c r="N1707" s="3" t="s">
        <v>28</v>
      </c>
      <c r="O1707" s="3" t="s">
        <v>28</v>
      </c>
      <c r="P1707" s="3" t="s">
        <v>28</v>
      </c>
      <c r="Q1707" s="3" t="s">
        <v>28</v>
      </c>
      <c r="R1707" s="3" t="s">
        <v>28</v>
      </c>
      <c r="S1707" s="3" t="s">
        <v>28</v>
      </c>
      <c r="T1707" s="3" t="s">
        <v>28</v>
      </c>
    </row>
    <row r="1708" spans="1:20" ht="409.6">
      <c r="A1708" s="3">
        <v>2714895</v>
      </c>
      <c r="B1708" s="3">
        <f>HYPERLINK("https://platform.v2.vetology.net/cases/2714895/screening-report/6?type=pdf&amp;v=v6&amp;scorecard=1&amp;secret_key=BX%25IJ%24%2F65ieZ%29f6", 2714895)</f>
        <v>2714895</v>
      </c>
      <c r="C1708" s="3">
        <f>HYPERLINK("https://platform.v2.vetology.net/report/v/final/"&amp;2714895, 2714895)</f>
        <v>2714895</v>
      </c>
      <c r="D1708" s="3" t="s">
        <v>954</v>
      </c>
      <c r="E1708" s="3" t="s">
        <v>6020</v>
      </c>
      <c r="F1708" s="3" t="s">
        <v>1049</v>
      </c>
      <c r="G1708" s="3" t="s">
        <v>100</v>
      </c>
      <c r="H1708" s="3" t="s">
        <v>6021</v>
      </c>
      <c r="I1708" s="3" t="s">
        <v>2136</v>
      </c>
      <c r="J1708" s="3" t="s">
        <v>2137</v>
      </c>
      <c r="K1708" s="3" t="s">
        <v>27</v>
      </c>
      <c r="L1708" s="3" t="s">
        <v>28</v>
      </c>
      <c r="M1708" s="3" t="s">
        <v>27</v>
      </c>
      <c r="N1708" s="3" t="s">
        <v>28</v>
      </c>
      <c r="O1708" s="3" t="s">
        <v>27</v>
      </c>
      <c r="P1708" s="3" t="s">
        <v>27</v>
      </c>
      <c r="Q1708" s="3" t="s">
        <v>27</v>
      </c>
      <c r="R1708" s="3" t="s">
        <v>28</v>
      </c>
      <c r="S1708" s="3" t="s">
        <v>28</v>
      </c>
      <c r="T1708" s="3" t="s">
        <v>28</v>
      </c>
    </row>
    <row r="1709" spans="1:20" ht="409.6">
      <c r="A1709" s="3">
        <v>2714887</v>
      </c>
      <c r="B1709" s="3">
        <f>HYPERLINK("https://platform.v2.vetology.net/cases/2714887/screening-report/6?type=pdf&amp;v=v6&amp;scorecard=1&amp;secret_key=BX%25IJ%24%2F65ieZ%29f6", 2714887)</f>
        <v>2714887</v>
      </c>
      <c r="C1709" s="3">
        <f>HYPERLINK("https://platform.v2.vetology.net/report/v/final/"&amp;2714887, 2714887)</f>
        <v>2714887</v>
      </c>
      <c r="D1709" s="3" t="s">
        <v>6022</v>
      </c>
      <c r="E1709" s="3" t="s">
        <v>6023</v>
      </c>
      <c r="F1709" s="3" t="s">
        <v>6024</v>
      </c>
      <c r="G1709" s="3" t="s">
        <v>736</v>
      </c>
      <c r="H1709" s="3" t="s">
        <v>158</v>
      </c>
      <c r="I1709" s="3" t="s">
        <v>32</v>
      </c>
      <c r="J1709" s="3" t="s">
        <v>119</v>
      </c>
      <c r="K1709" s="3" t="s">
        <v>28</v>
      </c>
      <c r="L1709" s="3" t="s">
        <v>28</v>
      </c>
      <c r="M1709" s="3" t="s">
        <v>28</v>
      </c>
      <c r="N1709" s="3" t="s">
        <v>28</v>
      </c>
      <c r="O1709" s="3" t="s">
        <v>28</v>
      </c>
      <c r="P1709" s="3" t="s">
        <v>28</v>
      </c>
      <c r="Q1709" s="3" t="s">
        <v>28</v>
      </c>
      <c r="R1709" s="3" t="s">
        <v>28</v>
      </c>
      <c r="S1709" s="3" t="s">
        <v>28</v>
      </c>
      <c r="T1709" s="3" t="s">
        <v>27</v>
      </c>
    </row>
    <row r="1710" spans="1:20" ht="409.6">
      <c r="A1710" s="3">
        <v>2714873</v>
      </c>
      <c r="B1710" s="3">
        <f>HYPERLINK("https://platform.v2.vetology.net/cases/2714873/screening-report/6?type=pdf&amp;v=v6&amp;scorecard=1&amp;secret_key=BX%25IJ%24%2F65ieZ%29f6", 2714873)</f>
        <v>2714873</v>
      </c>
      <c r="C1710" s="3">
        <f>HYPERLINK("https://platform.v2.vetology.net/report/v/final/"&amp;2714873, 2714873)</f>
        <v>2714873</v>
      </c>
      <c r="D1710" s="3" t="s">
        <v>6025</v>
      </c>
      <c r="E1710" s="3" t="s">
        <v>6026</v>
      </c>
      <c r="F1710" s="3" t="s">
        <v>6027</v>
      </c>
      <c r="G1710" s="3" t="s">
        <v>64</v>
      </c>
      <c r="H1710" s="3" t="s">
        <v>4435</v>
      </c>
      <c r="I1710" s="3" t="s">
        <v>1368</v>
      </c>
      <c r="J1710" s="3" t="s">
        <v>1369</v>
      </c>
      <c r="K1710" s="3" t="s">
        <v>28</v>
      </c>
      <c r="L1710" s="3" t="s">
        <v>28</v>
      </c>
      <c r="M1710" s="3" t="s">
        <v>28</v>
      </c>
      <c r="N1710" s="3" t="s">
        <v>28</v>
      </c>
      <c r="O1710" s="3" t="s">
        <v>27</v>
      </c>
      <c r="P1710" s="3" t="s">
        <v>27</v>
      </c>
      <c r="Q1710" s="3" t="s">
        <v>28</v>
      </c>
      <c r="R1710" s="3" t="s">
        <v>28</v>
      </c>
      <c r="S1710" s="3" t="s">
        <v>28</v>
      </c>
      <c r="T1710" s="3" t="s">
        <v>28</v>
      </c>
    </row>
    <row r="1711" spans="1:20" ht="351">
      <c r="A1711" s="3">
        <v>2714864</v>
      </c>
      <c r="B1711" s="3">
        <f>HYPERLINK("https://platform.v2.vetology.net/cases/2714864/screening-report/6?type=pdf&amp;v=v6&amp;scorecard=1&amp;secret_key=BX%25IJ%24%2F65ieZ%29f6", 2714864)</f>
        <v>2714864</v>
      </c>
      <c r="C1711" s="3">
        <f>HYPERLINK("https://platform.v2.vetology.net/report/v/final/"&amp;2714864, 2714864)</f>
        <v>2714864</v>
      </c>
      <c r="D1711" s="3" t="s">
        <v>6028</v>
      </c>
      <c r="E1711" s="3" t="s">
        <v>6029</v>
      </c>
      <c r="F1711" s="3"/>
      <c r="G1711" s="3" t="s">
        <v>372</v>
      </c>
      <c r="H1711" s="3" t="s">
        <v>304</v>
      </c>
      <c r="I1711" s="3" t="s">
        <v>305</v>
      </c>
      <c r="J1711" s="3" t="s">
        <v>119</v>
      </c>
      <c r="K1711" s="3" t="s">
        <v>28</v>
      </c>
      <c r="L1711" s="3" t="s">
        <v>28</v>
      </c>
      <c r="M1711" s="3" t="s">
        <v>28</v>
      </c>
      <c r="N1711" s="3" t="s">
        <v>28</v>
      </c>
      <c r="O1711" s="3" t="s">
        <v>28</v>
      </c>
      <c r="P1711" s="3" t="s">
        <v>28</v>
      </c>
      <c r="Q1711" s="3" t="s">
        <v>28</v>
      </c>
      <c r="R1711" s="3" t="s">
        <v>28</v>
      </c>
      <c r="S1711" s="3" t="s">
        <v>28</v>
      </c>
      <c r="T1711" s="3" t="s">
        <v>28</v>
      </c>
    </row>
    <row r="1712" spans="1:20" ht="409.6">
      <c r="A1712" s="3">
        <v>2714827</v>
      </c>
      <c r="B1712" s="3">
        <f>HYPERLINK("https://platform.v2.vetology.net/cases/2714827/screening-report/6?type=pdf&amp;v=v6&amp;scorecard=1&amp;secret_key=BX%25IJ%24%2F65ieZ%29f6", 2714827)</f>
        <v>2714827</v>
      </c>
      <c r="C1712" s="3">
        <f>HYPERLINK("https://platform.v2.vetology.net/report/v/final/"&amp;2714827, 2714827)</f>
        <v>2714827</v>
      </c>
      <c r="D1712" s="3" t="s">
        <v>6030</v>
      </c>
      <c r="E1712" s="3" t="s">
        <v>6031</v>
      </c>
      <c r="F1712" s="3" t="s">
        <v>6032</v>
      </c>
      <c r="G1712" s="3" t="s">
        <v>186</v>
      </c>
      <c r="H1712" s="3" t="s">
        <v>6033</v>
      </c>
      <c r="I1712" s="3" t="s">
        <v>59</v>
      </c>
      <c r="J1712" s="3" t="s">
        <v>60</v>
      </c>
      <c r="K1712" s="3" t="s">
        <v>28</v>
      </c>
      <c r="L1712" s="3" t="s">
        <v>28</v>
      </c>
      <c r="M1712" s="3" t="s">
        <v>28</v>
      </c>
      <c r="N1712" s="3" t="s">
        <v>28</v>
      </c>
      <c r="O1712" s="3" t="s">
        <v>28</v>
      </c>
      <c r="P1712" s="3" t="s">
        <v>28</v>
      </c>
      <c r="Q1712" s="3" t="s">
        <v>28</v>
      </c>
      <c r="R1712" s="3" t="s">
        <v>28</v>
      </c>
      <c r="S1712" s="3" t="s">
        <v>28</v>
      </c>
      <c r="T1712" s="3" t="s">
        <v>27</v>
      </c>
    </row>
    <row r="1713" spans="1:20" ht="259.5">
      <c r="A1713" s="3">
        <v>2714821</v>
      </c>
      <c r="B1713" s="3">
        <f>HYPERLINK("https://platform.v2.vetology.net/cases/2714821/screening-report/6?type=pdf&amp;v=v6&amp;scorecard=1&amp;secret_key=BX%25IJ%24%2F65ieZ%29f6", 2714821)</f>
        <v>2714821</v>
      </c>
      <c r="C1713" s="3">
        <f>HYPERLINK("https://platform.v2.vetology.net/report/v/final/"&amp;2714821, 2714821)</f>
        <v>2714821</v>
      </c>
      <c r="D1713" s="3" t="s">
        <v>6034</v>
      </c>
      <c r="E1713" s="3" t="s">
        <v>6035</v>
      </c>
      <c r="F1713" s="3" t="s">
        <v>6036</v>
      </c>
      <c r="G1713" s="3" t="s">
        <v>186</v>
      </c>
      <c r="H1713" s="3" t="s">
        <v>6037</v>
      </c>
      <c r="I1713" s="3" t="s">
        <v>6038</v>
      </c>
      <c r="J1713" s="3" t="s">
        <v>1110</v>
      </c>
      <c r="K1713" s="3" t="s">
        <v>28</v>
      </c>
      <c r="L1713" s="3" t="s">
        <v>28</v>
      </c>
      <c r="M1713" s="3" t="s">
        <v>28</v>
      </c>
      <c r="N1713" s="3" t="s">
        <v>28</v>
      </c>
      <c r="O1713" s="3" t="s">
        <v>27</v>
      </c>
      <c r="P1713" s="3" t="s">
        <v>28</v>
      </c>
      <c r="Q1713" s="3" t="s">
        <v>28</v>
      </c>
      <c r="R1713" s="3" t="s">
        <v>28</v>
      </c>
      <c r="S1713" s="3" t="s">
        <v>28</v>
      </c>
      <c r="T1713" s="3" t="s">
        <v>28</v>
      </c>
    </row>
    <row r="1714" spans="1:20" ht="366">
      <c r="A1714" s="3">
        <v>2714775</v>
      </c>
      <c r="B1714" s="3">
        <f>HYPERLINK("https://platform.v2.vetology.net/cases/2714775/screening-report/6?type=pdf&amp;v=v6&amp;scorecard=1&amp;secret_key=BX%25IJ%24%2F65ieZ%29f6", 2714775)</f>
        <v>2714775</v>
      </c>
      <c r="C1714" s="3">
        <f>HYPERLINK("https://platform.v2.vetology.net/report/v/final/"&amp;2714775, 2714775)</f>
        <v>2714775</v>
      </c>
      <c r="D1714" s="3" t="s">
        <v>6039</v>
      </c>
      <c r="E1714" s="3" t="s">
        <v>6040</v>
      </c>
      <c r="F1714" s="3" t="s">
        <v>6041</v>
      </c>
      <c r="G1714" s="3" t="s">
        <v>186</v>
      </c>
      <c r="H1714" s="3" t="s">
        <v>2942</v>
      </c>
      <c r="I1714" s="3" t="s">
        <v>2943</v>
      </c>
      <c r="J1714" s="3" t="s">
        <v>597</v>
      </c>
      <c r="K1714" s="3" t="s">
        <v>28</v>
      </c>
      <c r="L1714" s="3" t="s">
        <v>28</v>
      </c>
      <c r="M1714" s="3" t="s">
        <v>28</v>
      </c>
      <c r="N1714" s="3" t="s">
        <v>28</v>
      </c>
      <c r="O1714" s="3" t="s">
        <v>28</v>
      </c>
      <c r="P1714" s="3" t="s">
        <v>28</v>
      </c>
      <c r="Q1714" s="3" t="s">
        <v>28</v>
      </c>
      <c r="R1714" s="3" t="s">
        <v>27</v>
      </c>
      <c r="S1714" s="3" t="s">
        <v>27</v>
      </c>
      <c r="T1714" s="3" t="s">
        <v>27</v>
      </c>
    </row>
    <row r="1715" spans="1:20" ht="409.6">
      <c r="A1715" s="3">
        <v>2714768</v>
      </c>
      <c r="B1715" s="3">
        <f>HYPERLINK("https://platform.v2.vetology.net/cases/2714768/screening-report/6?type=pdf&amp;v=v6&amp;scorecard=1&amp;secret_key=BX%25IJ%24%2F65ieZ%29f6", 2714768)</f>
        <v>2714768</v>
      </c>
      <c r="C1715" s="3">
        <f>HYPERLINK("https://platform.v2.vetology.net/report/v/final/"&amp;2714768, 2714768)</f>
        <v>2714768</v>
      </c>
      <c r="D1715" s="3" t="s">
        <v>6042</v>
      </c>
      <c r="E1715" s="3" t="s">
        <v>6043</v>
      </c>
      <c r="F1715" s="3" t="s">
        <v>956</v>
      </c>
      <c r="G1715" s="3" t="s">
        <v>100</v>
      </c>
      <c r="H1715" s="3" t="s">
        <v>6044</v>
      </c>
      <c r="I1715" s="3" t="s">
        <v>4462</v>
      </c>
      <c r="J1715" s="3" t="s">
        <v>6045</v>
      </c>
      <c r="K1715" s="3" t="s">
        <v>27</v>
      </c>
      <c r="L1715" s="3" t="s">
        <v>27</v>
      </c>
      <c r="M1715" s="3" t="s">
        <v>28</v>
      </c>
      <c r="N1715" s="3" t="s">
        <v>27</v>
      </c>
      <c r="O1715" s="3" t="s">
        <v>27</v>
      </c>
      <c r="P1715" s="3" t="s">
        <v>28</v>
      </c>
      <c r="Q1715" s="3" t="s">
        <v>27</v>
      </c>
      <c r="R1715" s="3" t="s">
        <v>27</v>
      </c>
      <c r="S1715" s="3" t="s">
        <v>27</v>
      </c>
      <c r="T1715" s="3" t="s">
        <v>27</v>
      </c>
    </row>
    <row r="1716" spans="1:20" ht="305.25">
      <c r="A1716" s="3">
        <v>2714716</v>
      </c>
      <c r="B1716" s="3">
        <f>HYPERLINK("https://platform.v2.vetology.net/cases/2714716/screening-report/6?type=pdf&amp;v=v6&amp;scorecard=1&amp;secret_key=BX%25IJ%24%2F65ieZ%29f6", 2714716)</f>
        <v>2714716</v>
      </c>
      <c r="C1716" s="3">
        <f>HYPERLINK("https://platform.v2.vetology.net/report/v/final/"&amp;2714716, 2714716)</f>
        <v>2714716</v>
      </c>
      <c r="D1716" s="3" t="s">
        <v>6046</v>
      </c>
      <c r="E1716" s="3" t="s">
        <v>6047</v>
      </c>
      <c r="F1716" s="3" t="s">
        <v>1164</v>
      </c>
      <c r="G1716" s="3" t="s">
        <v>100</v>
      </c>
      <c r="H1716" s="3" t="s">
        <v>6048</v>
      </c>
      <c r="I1716" s="3" t="s">
        <v>6049</v>
      </c>
      <c r="J1716" s="3" t="s">
        <v>6050</v>
      </c>
      <c r="K1716" s="3" t="s">
        <v>27</v>
      </c>
      <c r="L1716" s="3" t="s">
        <v>27</v>
      </c>
      <c r="M1716" s="3" t="s">
        <v>27</v>
      </c>
      <c r="N1716" s="3" t="s">
        <v>27</v>
      </c>
      <c r="O1716" s="3" t="s">
        <v>27</v>
      </c>
      <c r="P1716" s="3" t="s">
        <v>27</v>
      </c>
      <c r="Q1716" s="3" t="s">
        <v>27</v>
      </c>
      <c r="R1716" s="3" t="s">
        <v>27</v>
      </c>
      <c r="S1716" s="3" t="s">
        <v>27</v>
      </c>
      <c r="T1716" s="3" t="s">
        <v>27</v>
      </c>
    </row>
    <row r="1717" spans="1:20" ht="409.6">
      <c r="A1717" s="3">
        <v>2714668</v>
      </c>
      <c r="B1717" s="3">
        <f>HYPERLINK("https://platform.v2.vetology.net/cases/2714668/screening-report/6?type=pdf&amp;v=v6&amp;scorecard=1&amp;secret_key=BX%25IJ%24%2F65ieZ%29f6", 2714668)</f>
        <v>2714668</v>
      </c>
      <c r="C1717" s="3">
        <f>HYPERLINK("https://platform.v2.vetology.net/report/v/final/"&amp;2714668, 2714668)</f>
        <v>2714668</v>
      </c>
      <c r="D1717" s="3" t="s">
        <v>6051</v>
      </c>
      <c r="E1717" s="3" t="s">
        <v>6052</v>
      </c>
      <c r="F1717" s="3" t="s">
        <v>6053</v>
      </c>
      <c r="G1717" s="3" t="s">
        <v>64</v>
      </c>
      <c r="H1717" s="3" t="s">
        <v>4984</v>
      </c>
      <c r="I1717" s="3" t="s">
        <v>469</v>
      </c>
      <c r="J1717" s="3" t="s">
        <v>470</v>
      </c>
      <c r="K1717" s="3" t="s">
        <v>27</v>
      </c>
      <c r="L1717" s="3" t="s">
        <v>28</v>
      </c>
      <c r="M1717" s="3" t="s">
        <v>28</v>
      </c>
      <c r="N1717" s="3" t="s">
        <v>28</v>
      </c>
      <c r="O1717" s="3" t="s">
        <v>27</v>
      </c>
      <c r="P1717" s="3" t="s">
        <v>28</v>
      </c>
      <c r="Q1717" s="3" t="s">
        <v>28</v>
      </c>
      <c r="R1717" s="3" t="s">
        <v>28</v>
      </c>
      <c r="S1717" s="3" t="s">
        <v>28</v>
      </c>
      <c r="T1717" s="3" t="s">
        <v>28</v>
      </c>
    </row>
    <row r="1718" spans="1:20" ht="409.6">
      <c r="A1718" s="3">
        <v>2714634</v>
      </c>
      <c r="B1718" s="3">
        <f>HYPERLINK("https://platform.v2.vetology.net/cases/2714634/screening-report/6?type=pdf&amp;v=v6&amp;scorecard=1&amp;secret_key=BX%25IJ%24%2F65ieZ%29f6", 2714634)</f>
        <v>2714634</v>
      </c>
      <c r="C1718" s="3">
        <f>HYPERLINK("https://platform.v2.vetology.net/report/v/final/"&amp;2714634, 2714634)</f>
        <v>2714634</v>
      </c>
      <c r="D1718" s="3" t="s">
        <v>6054</v>
      </c>
      <c r="E1718" s="3" t="s">
        <v>6055</v>
      </c>
      <c r="F1718" s="3" t="s">
        <v>6056</v>
      </c>
      <c r="G1718" s="3" t="s">
        <v>64</v>
      </c>
      <c r="H1718" s="3" t="s">
        <v>6057</v>
      </c>
      <c r="I1718" s="3" t="s">
        <v>305</v>
      </c>
      <c r="J1718" s="3" t="s">
        <v>2419</v>
      </c>
      <c r="K1718" s="3" t="s">
        <v>27</v>
      </c>
      <c r="L1718" s="3" t="s">
        <v>27</v>
      </c>
      <c r="M1718" s="3" t="s">
        <v>28</v>
      </c>
      <c r="N1718" s="3" t="s">
        <v>28</v>
      </c>
      <c r="O1718" s="3" t="s">
        <v>27</v>
      </c>
      <c r="P1718" s="3" t="s">
        <v>27</v>
      </c>
      <c r="Q1718" s="3" t="s">
        <v>27</v>
      </c>
      <c r="R1718" s="3" t="s">
        <v>28</v>
      </c>
      <c r="S1718" s="3" t="s">
        <v>28</v>
      </c>
      <c r="T1718" s="3" t="s">
        <v>27</v>
      </c>
    </row>
    <row r="1719" spans="1:20" ht="381.75">
      <c r="A1719" s="3">
        <v>2714623</v>
      </c>
      <c r="B1719" s="3">
        <f>HYPERLINK("https://platform.v2.vetology.net/cases/2714623/screening-report/6?type=pdf&amp;v=v6&amp;scorecard=1&amp;secret_key=BX%25IJ%24%2F65ieZ%29f6", 2714623)</f>
        <v>2714623</v>
      </c>
      <c r="C1719" s="3">
        <f>HYPERLINK("https://platform.v2.vetology.net/report/v/final/"&amp;2714623, 2714623)</f>
        <v>2714623</v>
      </c>
      <c r="D1719" s="3" t="s">
        <v>6058</v>
      </c>
      <c r="E1719" s="3" t="s">
        <v>2036</v>
      </c>
      <c r="F1719" s="3" t="s">
        <v>6059</v>
      </c>
      <c r="G1719" s="3" t="s">
        <v>186</v>
      </c>
      <c r="H1719" s="3" t="s">
        <v>1738</v>
      </c>
      <c r="I1719" s="3" t="s">
        <v>392</v>
      </c>
      <c r="J1719" s="3" t="s">
        <v>393</v>
      </c>
      <c r="K1719" s="3" t="s">
        <v>28</v>
      </c>
      <c r="L1719" s="3" t="s">
        <v>28</v>
      </c>
      <c r="M1719" s="3" t="s">
        <v>28</v>
      </c>
      <c r="N1719" s="3" t="s">
        <v>28</v>
      </c>
      <c r="O1719" s="3" t="s">
        <v>28</v>
      </c>
      <c r="P1719" s="3" t="s">
        <v>28</v>
      </c>
      <c r="Q1719" s="3" t="s">
        <v>28</v>
      </c>
      <c r="R1719" s="3" t="s">
        <v>28</v>
      </c>
      <c r="S1719" s="3" t="s">
        <v>28</v>
      </c>
      <c r="T1719" s="3" t="s">
        <v>28</v>
      </c>
    </row>
    <row r="1720" spans="1:20" ht="409.6">
      <c r="A1720" s="3">
        <v>2714606</v>
      </c>
      <c r="B1720" s="3">
        <f>HYPERLINK("https://platform.v2.vetology.net/cases/2714606/screening-report/6?type=pdf&amp;v=v6&amp;scorecard=1&amp;secret_key=BX%25IJ%24%2F65ieZ%29f6", 2714606)</f>
        <v>2714606</v>
      </c>
      <c r="C1720" s="3">
        <f>HYPERLINK("https://platform.v2.vetology.net/report/v/final/"&amp;2714606, 2714606)</f>
        <v>2714606</v>
      </c>
      <c r="D1720" s="3" t="s">
        <v>6060</v>
      </c>
      <c r="E1720" s="3" t="s">
        <v>6061</v>
      </c>
      <c r="F1720" s="3" t="s">
        <v>6062</v>
      </c>
      <c r="G1720" s="3" t="s">
        <v>64</v>
      </c>
      <c r="H1720" s="3" t="s">
        <v>6063</v>
      </c>
      <c r="I1720" s="3" t="s">
        <v>429</v>
      </c>
      <c r="J1720" s="3" t="s">
        <v>430</v>
      </c>
      <c r="K1720" s="3" t="s">
        <v>27</v>
      </c>
      <c r="L1720" s="3" t="s">
        <v>27</v>
      </c>
      <c r="M1720" s="3" t="s">
        <v>27</v>
      </c>
      <c r="N1720" s="3" t="s">
        <v>27</v>
      </c>
      <c r="O1720" s="3" t="s">
        <v>27</v>
      </c>
      <c r="P1720" s="3" t="s">
        <v>28</v>
      </c>
      <c r="Q1720" s="3" t="s">
        <v>27</v>
      </c>
      <c r="R1720" s="3" t="s">
        <v>28</v>
      </c>
      <c r="S1720" s="3" t="s">
        <v>28</v>
      </c>
      <c r="T1720" s="3" t="s">
        <v>27</v>
      </c>
    </row>
    <row r="1721" spans="1:20" ht="259.5">
      <c r="A1721" s="3">
        <v>2714503</v>
      </c>
      <c r="B1721" s="3">
        <f>HYPERLINK("https://platform.v2.vetology.net/cases/2714503/screening-report/6?type=pdf&amp;v=v6&amp;scorecard=1&amp;secret_key=BX%25IJ%24%2F65ieZ%29f6", 2714503)</f>
        <v>2714503</v>
      </c>
      <c r="C1721" s="3">
        <f>HYPERLINK("https://platform.v2.vetology.net/report/v/final/"&amp;2714503, 2714503)</f>
        <v>2714503</v>
      </c>
      <c r="D1721" s="3" t="s">
        <v>6064</v>
      </c>
      <c r="E1721" s="3" t="s">
        <v>6065</v>
      </c>
      <c r="F1721" s="3"/>
      <c r="G1721" s="3" t="s">
        <v>100</v>
      </c>
      <c r="H1721" s="3" t="s">
        <v>2615</v>
      </c>
      <c r="I1721" s="3" t="s">
        <v>793</v>
      </c>
      <c r="J1721" s="3" t="s">
        <v>1439</v>
      </c>
      <c r="K1721" s="3" t="s">
        <v>28</v>
      </c>
      <c r="L1721" s="3" t="s">
        <v>28</v>
      </c>
      <c r="M1721" s="3" t="s">
        <v>28</v>
      </c>
      <c r="N1721" s="3" t="s">
        <v>28</v>
      </c>
      <c r="O1721" s="3" t="s">
        <v>28</v>
      </c>
      <c r="P1721" s="3" t="s">
        <v>28</v>
      </c>
      <c r="Q1721" s="3" t="s">
        <v>28</v>
      </c>
      <c r="R1721" s="3" t="s">
        <v>28</v>
      </c>
      <c r="S1721" s="3" t="s">
        <v>28</v>
      </c>
      <c r="T1721" s="3" t="s">
        <v>28</v>
      </c>
    </row>
    <row r="1722" spans="1:20" ht="409.6">
      <c r="A1722" s="3">
        <v>2714479</v>
      </c>
      <c r="B1722" s="3">
        <f>HYPERLINK("https://platform.v2.vetology.net/cases/2714479/screening-report/6?type=pdf&amp;v=v6&amp;scorecard=1&amp;secret_key=BX%25IJ%24%2F65ieZ%29f6", 2714479)</f>
        <v>2714479</v>
      </c>
      <c r="C1722" s="3">
        <f>HYPERLINK("https://platform.v2.vetology.net/report/v/final/"&amp;2714479, 2714479)</f>
        <v>2714479</v>
      </c>
      <c r="D1722" s="3" t="s">
        <v>6066</v>
      </c>
      <c r="E1722" s="3" t="s">
        <v>6067</v>
      </c>
      <c r="F1722" s="3" t="s">
        <v>6068</v>
      </c>
      <c r="G1722" s="3" t="s">
        <v>57</v>
      </c>
      <c r="H1722" s="3" t="s">
        <v>31</v>
      </c>
      <c r="I1722" s="3" t="s">
        <v>32</v>
      </c>
      <c r="J1722" s="3" t="s">
        <v>33</v>
      </c>
      <c r="K1722" s="3" t="s">
        <v>28</v>
      </c>
      <c r="L1722" s="3" t="s">
        <v>28</v>
      </c>
      <c r="M1722" s="3" t="s">
        <v>27</v>
      </c>
      <c r="N1722" s="3" t="s">
        <v>28</v>
      </c>
      <c r="O1722" s="3" t="s">
        <v>28</v>
      </c>
      <c r="P1722" s="3" t="s">
        <v>28</v>
      </c>
      <c r="Q1722" s="3" t="s">
        <v>28</v>
      </c>
      <c r="R1722" s="3" t="s">
        <v>28</v>
      </c>
      <c r="S1722" s="3" t="s">
        <v>28</v>
      </c>
      <c r="T1722" s="3" t="s">
        <v>28</v>
      </c>
    </row>
    <row r="1723" spans="1:20" ht="409.6">
      <c r="A1723" s="3">
        <v>2714445</v>
      </c>
      <c r="B1723" s="3">
        <f>HYPERLINK("https://platform.v2.vetology.net/cases/2714445/screening-report/6?type=pdf&amp;v=v6&amp;scorecard=1&amp;secret_key=BX%25IJ%24%2F65ieZ%29f6", 2714445)</f>
        <v>2714445</v>
      </c>
      <c r="C1723" s="3">
        <f>HYPERLINK("https://platform.v2.vetology.net/report/v/final/"&amp;2714445, 2714445)</f>
        <v>2714445</v>
      </c>
      <c r="D1723" s="3" t="s">
        <v>6069</v>
      </c>
      <c r="E1723" s="3" t="s">
        <v>6070</v>
      </c>
      <c r="F1723" s="3" t="s">
        <v>6071</v>
      </c>
      <c r="G1723" s="3" t="s">
        <v>64</v>
      </c>
      <c r="H1723" s="3" t="s">
        <v>908</v>
      </c>
      <c r="I1723" s="3" t="s">
        <v>32</v>
      </c>
      <c r="J1723" s="3" t="s">
        <v>119</v>
      </c>
      <c r="K1723" s="3" t="s">
        <v>28</v>
      </c>
      <c r="L1723" s="3" t="s">
        <v>28</v>
      </c>
      <c r="M1723" s="3" t="s">
        <v>28</v>
      </c>
      <c r="N1723" s="3" t="s">
        <v>28</v>
      </c>
      <c r="O1723" s="3" t="s">
        <v>27</v>
      </c>
      <c r="P1723" s="3" t="s">
        <v>28</v>
      </c>
      <c r="Q1723" s="3" t="s">
        <v>28</v>
      </c>
      <c r="R1723" s="3" t="s">
        <v>28</v>
      </c>
      <c r="S1723" s="3" t="s">
        <v>28</v>
      </c>
      <c r="T1723" s="3" t="s">
        <v>28</v>
      </c>
    </row>
    <row r="1724" spans="1:20" ht="305.25">
      <c r="A1724" s="3">
        <v>2714398</v>
      </c>
      <c r="B1724" s="3">
        <f>HYPERLINK("https://platform.v2.vetology.net/cases/2714398/screening-report/6?type=pdf&amp;v=v6&amp;scorecard=1&amp;secret_key=BX%25IJ%24%2F65ieZ%29f6", 2714398)</f>
        <v>2714398</v>
      </c>
      <c r="C1724" s="3">
        <f>HYPERLINK("https://platform.v2.vetology.net/report/v/final/"&amp;2714398, 2714398)</f>
        <v>2714398</v>
      </c>
      <c r="D1724" s="3" t="s">
        <v>6072</v>
      </c>
      <c r="E1724" s="3" t="s">
        <v>6073</v>
      </c>
      <c r="F1724" s="3" t="s">
        <v>6074</v>
      </c>
      <c r="G1724" s="3" t="s">
        <v>496</v>
      </c>
      <c r="H1724" s="3" t="s">
        <v>6075</v>
      </c>
      <c r="I1724" s="3" t="s">
        <v>1070</v>
      </c>
      <c r="J1724" s="3" t="s">
        <v>207</v>
      </c>
      <c r="K1724" s="3" t="s">
        <v>27</v>
      </c>
      <c r="L1724" s="3" t="s">
        <v>28</v>
      </c>
      <c r="M1724" s="3" t="s">
        <v>27</v>
      </c>
      <c r="N1724" s="3" t="s">
        <v>28</v>
      </c>
      <c r="O1724" s="3" t="s">
        <v>27</v>
      </c>
      <c r="P1724" s="3" t="s">
        <v>28</v>
      </c>
      <c r="Q1724" s="3" t="s">
        <v>28</v>
      </c>
      <c r="R1724" s="3" t="s">
        <v>28</v>
      </c>
      <c r="S1724" s="3" t="s">
        <v>28</v>
      </c>
      <c r="T1724" s="3" t="s">
        <v>28</v>
      </c>
    </row>
    <row r="1725" spans="1:20" ht="409.6">
      <c r="A1725" s="3">
        <v>2714377</v>
      </c>
      <c r="B1725" s="3">
        <f>HYPERLINK("https://platform.v2.vetology.net/cases/2714377/screening-report/6?type=pdf&amp;v=v6&amp;scorecard=1&amp;secret_key=BX%25IJ%24%2F65ieZ%29f6", 2714377)</f>
        <v>2714377</v>
      </c>
      <c r="C1725" s="3">
        <f>HYPERLINK("https://platform.v2.vetology.net/report/v/final/"&amp;2714377, 2714377)</f>
        <v>2714377</v>
      </c>
      <c r="D1725" s="3" t="s">
        <v>6076</v>
      </c>
      <c r="E1725" s="3" t="s">
        <v>6077</v>
      </c>
      <c r="F1725" s="3" t="s">
        <v>6078</v>
      </c>
      <c r="G1725" s="3" t="s">
        <v>64</v>
      </c>
      <c r="H1725" s="3" t="s">
        <v>158</v>
      </c>
      <c r="I1725" s="3" t="s">
        <v>32</v>
      </c>
      <c r="J1725" s="3" t="s">
        <v>33</v>
      </c>
      <c r="K1725" s="3" t="s">
        <v>28</v>
      </c>
      <c r="L1725" s="3" t="s">
        <v>28</v>
      </c>
      <c r="M1725" s="3" t="s">
        <v>28</v>
      </c>
      <c r="N1725" s="3" t="s">
        <v>28</v>
      </c>
      <c r="O1725" s="3" t="s">
        <v>28</v>
      </c>
      <c r="P1725" s="3" t="s">
        <v>28</v>
      </c>
      <c r="Q1725" s="3" t="s">
        <v>28</v>
      </c>
      <c r="R1725" s="3" t="s">
        <v>28</v>
      </c>
      <c r="S1725" s="3" t="s">
        <v>28</v>
      </c>
      <c r="T1725" s="3" t="s">
        <v>28</v>
      </c>
    </row>
    <row r="1726" spans="1:20" ht="290.25">
      <c r="A1726" s="3">
        <v>2714376</v>
      </c>
      <c r="B1726" s="3">
        <f>HYPERLINK("https://platform.v2.vetology.net/cases/2714376/screening-report/6?type=pdf&amp;v=v6&amp;scorecard=1&amp;secret_key=BX%25IJ%24%2F65ieZ%29f6", 2714376)</f>
        <v>2714376</v>
      </c>
      <c r="C1726" s="3">
        <f>HYPERLINK("https://platform.v2.vetology.net/report/v/final/"&amp;2714376, 2714376)</f>
        <v>2714376</v>
      </c>
      <c r="D1726" s="3" t="s">
        <v>6079</v>
      </c>
      <c r="E1726" s="3" t="s">
        <v>6080</v>
      </c>
      <c r="F1726" s="3" t="s">
        <v>6081</v>
      </c>
      <c r="G1726" s="3" t="s">
        <v>186</v>
      </c>
      <c r="H1726" s="3" t="s">
        <v>6082</v>
      </c>
      <c r="I1726" s="3" t="s">
        <v>1109</v>
      </c>
      <c r="J1726" s="3" t="s">
        <v>1110</v>
      </c>
      <c r="K1726" s="3" t="s">
        <v>28</v>
      </c>
      <c r="L1726" s="3" t="s">
        <v>28</v>
      </c>
      <c r="M1726" s="3" t="s">
        <v>28</v>
      </c>
      <c r="N1726" s="3" t="s">
        <v>28</v>
      </c>
      <c r="O1726" s="3" t="s">
        <v>27</v>
      </c>
      <c r="P1726" s="3" t="s">
        <v>28</v>
      </c>
      <c r="Q1726" s="3" t="s">
        <v>28</v>
      </c>
      <c r="R1726" s="3" t="s">
        <v>28</v>
      </c>
      <c r="S1726" s="3" t="s">
        <v>28</v>
      </c>
      <c r="T1726" s="3" t="s">
        <v>27</v>
      </c>
    </row>
    <row r="1727" spans="1:20" ht="409.6">
      <c r="A1727" s="3">
        <v>2714368</v>
      </c>
      <c r="B1727" s="3">
        <f>HYPERLINK("https://platform.v2.vetology.net/cases/2714368/screening-report/6?type=pdf&amp;v=v6&amp;scorecard=1&amp;secret_key=BX%25IJ%24%2F65ieZ%29f6", 2714368)</f>
        <v>2714368</v>
      </c>
      <c r="C1727" s="3">
        <f>HYPERLINK("https://platform.v2.vetology.net/report/v/final/"&amp;2714368, 2714368)</f>
        <v>2714368</v>
      </c>
      <c r="D1727" s="3" t="s">
        <v>6083</v>
      </c>
      <c r="E1727" s="3" t="s">
        <v>1981</v>
      </c>
      <c r="F1727" s="3" t="s">
        <v>1291</v>
      </c>
      <c r="G1727" s="3" t="s">
        <v>100</v>
      </c>
      <c r="H1727" s="3" t="s">
        <v>6084</v>
      </c>
      <c r="I1727" s="3" t="s">
        <v>1368</v>
      </c>
      <c r="J1727" s="3" t="s">
        <v>1369</v>
      </c>
      <c r="K1727" s="3" t="s">
        <v>28</v>
      </c>
      <c r="L1727" s="3" t="s">
        <v>28</v>
      </c>
      <c r="M1727" s="3" t="s">
        <v>28</v>
      </c>
      <c r="N1727" s="3" t="s">
        <v>28</v>
      </c>
      <c r="O1727" s="3" t="s">
        <v>27</v>
      </c>
      <c r="P1727" s="3" t="s">
        <v>28</v>
      </c>
      <c r="Q1727" s="3" t="s">
        <v>28</v>
      </c>
      <c r="R1727" s="3" t="s">
        <v>28</v>
      </c>
      <c r="S1727" s="3" t="s">
        <v>28</v>
      </c>
      <c r="T1727" s="3" t="s">
        <v>27</v>
      </c>
    </row>
    <row r="1728" spans="1:20" ht="259.5">
      <c r="A1728" s="3">
        <v>2714360</v>
      </c>
      <c r="B1728" s="3">
        <f>HYPERLINK("https://platform.v2.vetology.net/cases/2714360/screening-report/6?type=pdf&amp;v=v6&amp;scorecard=1&amp;secret_key=BX%25IJ%24%2F65ieZ%29f6", 2714360)</f>
        <v>2714360</v>
      </c>
      <c r="C1728" s="3">
        <f>HYPERLINK("https://platform.v2.vetology.net/report/v/final/"&amp;2714360, 2714360)</f>
        <v>2714360</v>
      </c>
      <c r="D1728" s="3" t="s">
        <v>6085</v>
      </c>
      <c r="E1728" s="3" t="s">
        <v>6086</v>
      </c>
      <c r="F1728" s="3" t="s">
        <v>6087</v>
      </c>
      <c r="G1728" s="3" t="s">
        <v>186</v>
      </c>
      <c r="H1728" s="3" t="s">
        <v>1615</v>
      </c>
      <c r="I1728" s="3" t="s">
        <v>305</v>
      </c>
      <c r="J1728" s="3" t="s">
        <v>119</v>
      </c>
      <c r="K1728" s="3" t="s">
        <v>28</v>
      </c>
      <c r="L1728" s="3" t="s">
        <v>28</v>
      </c>
      <c r="M1728" s="3" t="s">
        <v>28</v>
      </c>
      <c r="N1728" s="3" t="s">
        <v>28</v>
      </c>
      <c r="O1728" s="3" t="s">
        <v>28</v>
      </c>
      <c r="P1728" s="3" t="s">
        <v>28</v>
      </c>
      <c r="Q1728" s="3" t="s">
        <v>28</v>
      </c>
      <c r="R1728" s="3" t="s">
        <v>28</v>
      </c>
      <c r="S1728" s="3" t="s">
        <v>28</v>
      </c>
      <c r="T1728" s="3" t="s">
        <v>28</v>
      </c>
    </row>
    <row r="1729" spans="1:20" ht="290.25">
      <c r="A1729" s="3">
        <v>2714356</v>
      </c>
      <c r="B1729" s="3">
        <f>HYPERLINK("https://platform.v2.vetology.net/cases/2714356/screening-report/6?type=pdf&amp;v=v6&amp;scorecard=1&amp;secret_key=BX%25IJ%24%2F65ieZ%29f6", 2714356)</f>
        <v>2714356</v>
      </c>
      <c r="C1729" s="3">
        <f>HYPERLINK("https://platform.v2.vetology.net/report/v/final/"&amp;2714356, 2714356)</f>
        <v>2714356</v>
      </c>
      <c r="D1729" s="3" t="s">
        <v>6088</v>
      </c>
      <c r="E1729" s="3" t="s">
        <v>6089</v>
      </c>
      <c r="F1729" s="3" t="s">
        <v>6090</v>
      </c>
      <c r="G1729" s="3" t="s">
        <v>186</v>
      </c>
      <c r="H1729" s="3" t="s">
        <v>951</v>
      </c>
      <c r="I1729" s="3" t="s">
        <v>952</v>
      </c>
      <c r="J1729" s="3" t="s">
        <v>953</v>
      </c>
      <c r="K1729" s="3" t="s">
        <v>28</v>
      </c>
      <c r="L1729" s="3" t="s">
        <v>28</v>
      </c>
      <c r="M1729" s="3" t="s">
        <v>28</v>
      </c>
      <c r="N1729" s="3" t="s">
        <v>28</v>
      </c>
      <c r="O1729" s="3" t="s">
        <v>27</v>
      </c>
      <c r="P1729" s="3" t="s">
        <v>27</v>
      </c>
      <c r="Q1729" s="3" t="s">
        <v>27</v>
      </c>
      <c r="R1729" s="3" t="s">
        <v>28</v>
      </c>
      <c r="S1729" s="3" t="s">
        <v>28</v>
      </c>
      <c r="T1729" s="3" t="s">
        <v>27</v>
      </c>
    </row>
    <row r="1730" spans="1:20" ht="409.6">
      <c r="A1730" s="3">
        <v>2714327</v>
      </c>
      <c r="B1730" s="3">
        <f>HYPERLINK("https://platform.v2.vetology.net/cases/2714327/screening-report/6?type=pdf&amp;v=v6&amp;scorecard=1&amp;secret_key=BX%25IJ%24%2F65ieZ%29f6", 2714327)</f>
        <v>2714327</v>
      </c>
      <c r="C1730" s="3">
        <f>HYPERLINK("https://platform.v2.vetology.net/report/v/final/"&amp;2714327, 2714327)</f>
        <v>2714327</v>
      </c>
      <c r="D1730" s="3" t="s">
        <v>6091</v>
      </c>
      <c r="E1730" s="3" t="s">
        <v>6092</v>
      </c>
      <c r="F1730" s="3" t="s">
        <v>6093</v>
      </c>
      <c r="G1730" s="3" t="s">
        <v>64</v>
      </c>
      <c r="H1730" s="3" t="s">
        <v>6094</v>
      </c>
      <c r="I1730" s="3"/>
      <c r="J1730" s="3" t="s">
        <v>225</v>
      </c>
      <c r="K1730" s="3" t="s">
        <v>28</v>
      </c>
      <c r="L1730" s="3" t="s">
        <v>28</v>
      </c>
      <c r="M1730" s="3" t="s">
        <v>28</v>
      </c>
      <c r="N1730" s="3" t="s">
        <v>27</v>
      </c>
      <c r="O1730" s="3" t="s">
        <v>27</v>
      </c>
      <c r="P1730" s="3" t="s">
        <v>27</v>
      </c>
      <c r="Q1730" s="3" t="s">
        <v>27</v>
      </c>
      <c r="R1730" s="3" t="s">
        <v>28</v>
      </c>
      <c r="S1730" s="3" t="s">
        <v>27</v>
      </c>
      <c r="T1730" s="3" t="s">
        <v>27</v>
      </c>
    </row>
    <row r="1731" spans="1:20" ht="409.6">
      <c r="A1731" s="3">
        <v>2714232</v>
      </c>
      <c r="B1731" s="3">
        <f>HYPERLINK("https://platform.v2.vetology.net/cases/2714232/screening-report/6?type=pdf&amp;v=v6&amp;scorecard=1&amp;secret_key=BX%25IJ%24%2F65ieZ%29f6", 2714232)</f>
        <v>2714232</v>
      </c>
      <c r="C1731" s="3">
        <f>HYPERLINK("https://platform.v2.vetology.net/report/v/final/"&amp;2714232, 2714232)</f>
        <v>2714232</v>
      </c>
      <c r="D1731" s="3" t="s">
        <v>6095</v>
      </c>
      <c r="E1731" s="3" t="s">
        <v>6096</v>
      </c>
      <c r="F1731" s="3" t="s">
        <v>22</v>
      </c>
      <c r="G1731" s="3" t="s">
        <v>372</v>
      </c>
      <c r="H1731" s="3" t="s">
        <v>6097</v>
      </c>
      <c r="I1731" s="3" t="s">
        <v>856</v>
      </c>
      <c r="J1731" s="3" t="s">
        <v>857</v>
      </c>
      <c r="K1731" s="3" t="s">
        <v>28</v>
      </c>
      <c r="L1731" s="3" t="s">
        <v>28</v>
      </c>
      <c r="M1731" s="3" t="s">
        <v>28</v>
      </c>
      <c r="N1731" s="3" t="s">
        <v>28</v>
      </c>
      <c r="O1731" s="3" t="s">
        <v>27</v>
      </c>
      <c r="P1731" s="3" t="s">
        <v>28</v>
      </c>
      <c r="Q1731" s="3" t="s">
        <v>28</v>
      </c>
      <c r="R1731" s="3" t="s">
        <v>28</v>
      </c>
      <c r="S1731" s="3" t="s">
        <v>28</v>
      </c>
      <c r="T1731" s="3" t="s">
        <v>28</v>
      </c>
    </row>
    <row r="1732" spans="1:20" ht="409.6">
      <c r="A1732" s="3">
        <v>2714199</v>
      </c>
      <c r="B1732" s="3">
        <f>HYPERLINK("https://platform.v2.vetology.net/cases/2714199/screening-report/6?type=pdf&amp;v=v6&amp;scorecard=1&amp;secret_key=BX%25IJ%24%2F65ieZ%29f6", 2714199)</f>
        <v>2714199</v>
      </c>
      <c r="C1732" s="3">
        <f>HYPERLINK("https://platform.v2.vetology.net/report/v/final/"&amp;2714199, 2714199)</f>
        <v>2714199</v>
      </c>
      <c r="D1732" s="3" t="s">
        <v>6098</v>
      </c>
      <c r="E1732" s="3" t="s">
        <v>6099</v>
      </c>
      <c r="F1732" s="3" t="s">
        <v>6100</v>
      </c>
      <c r="G1732" s="3" t="s">
        <v>496</v>
      </c>
      <c r="H1732" s="3" t="s">
        <v>6101</v>
      </c>
      <c r="I1732" s="3" t="s">
        <v>2078</v>
      </c>
      <c r="J1732" s="3" t="s">
        <v>2079</v>
      </c>
      <c r="K1732" s="3" t="s">
        <v>28</v>
      </c>
      <c r="L1732" s="3" t="s">
        <v>28</v>
      </c>
      <c r="M1732" s="3" t="s">
        <v>28</v>
      </c>
      <c r="N1732" s="3" t="s">
        <v>28</v>
      </c>
      <c r="O1732" s="3" t="s">
        <v>27</v>
      </c>
      <c r="P1732" s="3" t="s">
        <v>28</v>
      </c>
      <c r="Q1732" s="3" t="s">
        <v>28</v>
      </c>
      <c r="R1732" s="3" t="s">
        <v>28</v>
      </c>
      <c r="S1732" s="3" t="s">
        <v>28</v>
      </c>
      <c r="T1732" s="3" t="s">
        <v>27</v>
      </c>
    </row>
    <row r="1733" spans="1:20" ht="366">
      <c r="A1733" s="3">
        <v>2714197</v>
      </c>
      <c r="B1733" s="3">
        <f>HYPERLINK("https://platform.v2.vetology.net/cases/2714197/screening-report/6?type=pdf&amp;v=v6&amp;scorecard=1&amp;secret_key=BX%25IJ%24%2F65ieZ%29f6", 2714197)</f>
        <v>2714197</v>
      </c>
      <c r="C1733" s="3">
        <f>HYPERLINK("https://platform.v2.vetology.net/report/v/final/"&amp;2714197, 2714197)</f>
        <v>2714197</v>
      </c>
      <c r="D1733" s="3" t="s">
        <v>6102</v>
      </c>
      <c r="E1733" s="3" t="s">
        <v>6103</v>
      </c>
      <c r="F1733" s="3" t="s">
        <v>22</v>
      </c>
      <c r="G1733" s="3" t="s">
        <v>372</v>
      </c>
      <c r="H1733" s="3" t="s">
        <v>2962</v>
      </c>
      <c r="I1733" s="3" t="s">
        <v>2963</v>
      </c>
      <c r="J1733" s="3" t="s">
        <v>2964</v>
      </c>
      <c r="K1733" s="3" t="s">
        <v>27</v>
      </c>
      <c r="L1733" s="3" t="s">
        <v>28</v>
      </c>
      <c r="M1733" s="3" t="s">
        <v>28</v>
      </c>
      <c r="N1733" s="3" t="s">
        <v>28</v>
      </c>
      <c r="O1733" s="3" t="s">
        <v>27</v>
      </c>
      <c r="P1733" s="3" t="s">
        <v>28</v>
      </c>
      <c r="Q1733" s="3" t="s">
        <v>27</v>
      </c>
      <c r="R1733" s="3" t="s">
        <v>28</v>
      </c>
      <c r="S1733" s="3" t="s">
        <v>28</v>
      </c>
      <c r="T1733" s="3" t="s">
        <v>28</v>
      </c>
    </row>
    <row r="1734" spans="1:20" ht="229.5">
      <c r="A1734" s="3">
        <v>2714190</v>
      </c>
      <c r="B1734" s="3">
        <f>HYPERLINK("https://platform.v2.vetology.net/cases/2714190/screening-report/6?type=pdf&amp;v=v6&amp;scorecard=1&amp;secret_key=BX%25IJ%24%2F65ieZ%29f6", 2714190)</f>
        <v>2714190</v>
      </c>
      <c r="C1734" s="3">
        <f>HYPERLINK("https://platform.v2.vetology.net/report/v/final/"&amp;2714190, 2714190)</f>
        <v>2714190</v>
      </c>
      <c r="D1734" s="3" t="s">
        <v>6104</v>
      </c>
      <c r="E1734" s="3" t="s">
        <v>6105</v>
      </c>
      <c r="F1734" s="3" t="s">
        <v>6106</v>
      </c>
      <c r="G1734" s="3" t="s">
        <v>211</v>
      </c>
      <c r="H1734" s="3" t="s">
        <v>1720</v>
      </c>
      <c r="I1734" s="3" t="s">
        <v>129</v>
      </c>
      <c r="J1734" s="3" t="s">
        <v>119</v>
      </c>
      <c r="K1734" s="3" t="s">
        <v>28</v>
      </c>
      <c r="L1734" s="3" t="s">
        <v>28</v>
      </c>
      <c r="M1734" s="3" t="s">
        <v>28</v>
      </c>
      <c r="N1734" s="3" t="s">
        <v>28</v>
      </c>
      <c r="O1734" s="3" t="s">
        <v>27</v>
      </c>
      <c r="P1734" s="3" t="s">
        <v>28</v>
      </c>
      <c r="Q1734" s="3" t="s">
        <v>28</v>
      </c>
      <c r="R1734" s="3" t="s">
        <v>28</v>
      </c>
      <c r="S1734" s="3" t="s">
        <v>28</v>
      </c>
      <c r="T1734" s="3" t="s">
        <v>28</v>
      </c>
    </row>
    <row r="1735" spans="1:20" ht="409.6">
      <c r="A1735" s="3">
        <v>2714143</v>
      </c>
      <c r="B1735" s="3">
        <f>HYPERLINK("https://platform.v2.vetology.net/cases/2714143/screening-report/6?type=pdf&amp;v=v6&amp;scorecard=1&amp;secret_key=BX%25IJ%24%2F65ieZ%29f6", 2714143)</f>
        <v>2714143</v>
      </c>
      <c r="C1735" s="3">
        <f>HYPERLINK("https://platform.v2.vetology.net/report/v/final/"&amp;2714143, 2714143)</f>
        <v>2714143</v>
      </c>
      <c r="D1735" s="3" t="s">
        <v>6107</v>
      </c>
      <c r="E1735" s="3" t="s">
        <v>6108</v>
      </c>
      <c r="F1735" s="3" t="s">
        <v>6109</v>
      </c>
      <c r="G1735" s="3" t="s">
        <v>179</v>
      </c>
      <c r="H1735" s="3" t="s">
        <v>6110</v>
      </c>
      <c r="I1735" s="3" t="s">
        <v>829</v>
      </c>
      <c r="J1735" s="3" t="s">
        <v>830</v>
      </c>
      <c r="K1735" s="3" t="s">
        <v>28</v>
      </c>
      <c r="L1735" s="3" t="s">
        <v>27</v>
      </c>
      <c r="M1735" s="3" t="s">
        <v>28</v>
      </c>
      <c r="N1735" s="3" t="s">
        <v>27</v>
      </c>
      <c r="O1735" s="3" t="s">
        <v>27</v>
      </c>
      <c r="P1735" s="3" t="s">
        <v>28</v>
      </c>
      <c r="Q1735" s="3" t="s">
        <v>27</v>
      </c>
      <c r="R1735" s="3" t="s">
        <v>27</v>
      </c>
      <c r="S1735" s="3" t="s">
        <v>27</v>
      </c>
      <c r="T1735" s="3" t="s">
        <v>27</v>
      </c>
    </row>
    <row r="1736" spans="1:20" ht="409.6">
      <c r="A1736" s="3">
        <v>2714138</v>
      </c>
      <c r="B1736" s="3">
        <f>HYPERLINK("https://platform.v2.vetology.net/cases/2714138/screening-report/6?type=pdf&amp;v=v6&amp;scorecard=1&amp;secret_key=BX%25IJ%24%2F65ieZ%29f6", 2714138)</f>
        <v>2714138</v>
      </c>
      <c r="C1736" s="3">
        <f>HYPERLINK("https://platform.v2.vetology.net/report/v/final/"&amp;2714138, 2714138)</f>
        <v>2714138</v>
      </c>
      <c r="D1736" s="3" t="s">
        <v>6111</v>
      </c>
      <c r="E1736" s="3" t="s">
        <v>6112</v>
      </c>
      <c r="F1736" s="3" t="s">
        <v>6113</v>
      </c>
      <c r="G1736" s="3" t="s">
        <v>186</v>
      </c>
      <c r="H1736" s="3" t="s">
        <v>6114</v>
      </c>
      <c r="I1736" s="3" t="s">
        <v>224</v>
      </c>
      <c r="J1736" s="3" t="s">
        <v>225</v>
      </c>
      <c r="K1736" s="3" t="s">
        <v>28</v>
      </c>
      <c r="L1736" s="3" t="s">
        <v>28</v>
      </c>
      <c r="M1736" s="3" t="s">
        <v>28</v>
      </c>
      <c r="N1736" s="3" t="s">
        <v>28</v>
      </c>
      <c r="O1736" s="3" t="s">
        <v>28</v>
      </c>
      <c r="P1736" s="3" t="s">
        <v>28</v>
      </c>
      <c r="Q1736" s="3" t="s">
        <v>28</v>
      </c>
      <c r="R1736" s="3" t="s">
        <v>28</v>
      </c>
      <c r="S1736" s="3" t="s">
        <v>27</v>
      </c>
      <c r="T1736" s="3" t="s">
        <v>27</v>
      </c>
    </row>
    <row r="1737" spans="1:20" ht="409.6">
      <c r="A1737" s="3">
        <v>2714074</v>
      </c>
      <c r="B1737" s="3">
        <f>HYPERLINK("https://platform.v2.vetology.net/cases/2714074/screening-report/6?type=pdf&amp;v=v6&amp;scorecard=1&amp;secret_key=BX%25IJ%24%2F65ieZ%29f6", 2714074)</f>
        <v>2714074</v>
      </c>
      <c r="C1737" s="3">
        <f>HYPERLINK("https://platform.v2.vetology.net/report/v/final/"&amp;2714074, 2714074)</f>
        <v>2714074</v>
      </c>
      <c r="D1737" s="3" t="s">
        <v>6115</v>
      </c>
      <c r="E1737" s="3" t="s">
        <v>6116</v>
      </c>
      <c r="F1737" s="3" t="s">
        <v>6117</v>
      </c>
      <c r="G1737" s="3" t="s">
        <v>64</v>
      </c>
      <c r="H1737" s="3" t="s">
        <v>1271</v>
      </c>
      <c r="I1737" s="3" t="s">
        <v>883</v>
      </c>
      <c r="J1737" s="3" t="s">
        <v>884</v>
      </c>
      <c r="K1737" s="3" t="s">
        <v>27</v>
      </c>
      <c r="L1737" s="3" t="s">
        <v>28</v>
      </c>
      <c r="M1737" s="3" t="s">
        <v>28</v>
      </c>
      <c r="N1737" s="3" t="s">
        <v>28</v>
      </c>
      <c r="O1737" s="3" t="s">
        <v>28</v>
      </c>
      <c r="P1737" s="3" t="s">
        <v>28</v>
      </c>
      <c r="Q1737" s="3" t="s">
        <v>28</v>
      </c>
      <c r="R1737" s="3" t="s">
        <v>28</v>
      </c>
      <c r="S1737" s="3" t="s">
        <v>28</v>
      </c>
      <c r="T1737" s="3" t="s">
        <v>28</v>
      </c>
    </row>
    <row r="1738" spans="1:20" ht="366">
      <c r="A1738" s="3">
        <v>2714069</v>
      </c>
      <c r="B1738" s="3">
        <f>HYPERLINK("https://platform.v2.vetology.net/cases/2714069/screening-report/6?type=pdf&amp;v=v6&amp;scorecard=1&amp;secret_key=BX%25IJ%24%2F65ieZ%29f6", 2714069)</f>
        <v>2714069</v>
      </c>
      <c r="C1738" s="3">
        <f>HYPERLINK("https://platform.v2.vetology.net/report/v/final/"&amp;2714069, 2714069)</f>
        <v>2714069</v>
      </c>
      <c r="D1738" s="3" t="s">
        <v>6118</v>
      </c>
      <c r="E1738" s="3" t="s">
        <v>6119</v>
      </c>
      <c r="F1738" s="3" t="s">
        <v>6120</v>
      </c>
      <c r="G1738" s="3" t="s">
        <v>186</v>
      </c>
      <c r="H1738" s="3" t="s">
        <v>6121</v>
      </c>
      <c r="I1738" s="3" t="s">
        <v>200</v>
      </c>
      <c r="J1738" s="3" t="s">
        <v>219</v>
      </c>
      <c r="K1738" s="3" t="s">
        <v>27</v>
      </c>
      <c r="L1738" s="3" t="s">
        <v>28</v>
      </c>
      <c r="M1738" s="3" t="s">
        <v>28</v>
      </c>
      <c r="N1738" s="3" t="s">
        <v>28</v>
      </c>
      <c r="O1738" s="3" t="s">
        <v>27</v>
      </c>
      <c r="P1738" s="3" t="s">
        <v>28</v>
      </c>
      <c r="Q1738" s="3" t="s">
        <v>28</v>
      </c>
      <c r="R1738" s="3" t="s">
        <v>28</v>
      </c>
      <c r="S1738" s="3" t="s">
        <v>28</v>
      </c>
      <c r="T1738" s="3" t="s">
        <v>28</v>
      </c>
    </row>
    <row r="1739" spans="1:20" ht="366">
      <c r="A1739" s="3">
        <v>2714050</v>
      </c>
      <c r="B1739" s="3">
        <f>HYPERLINK("https://platform.v2.vetology.net/cases/2714050/screening-report/6?type=pdf&amp;v=v6&amp;scorecard=1&amp;secret_key=BX%25IJ%24%2F65ieZ%29f6", 2714050)</f>
        <v>2714050</v>
      </c>
      <c r="C1739" s="3">
        <f>HYPERLINK("https://platform.v2.vetology.net/report/v/final/"&amp;2714050, 2714050)</f>
        <v>2714050</v>
      </c>
      <c r="D1739" s="3" t="s">
        <v>6122</v>
      </c>
      <c r="E1739" s="3" t="s">
        <v>6123</v>
      </c>
      <c r="F1739" s="3"/>
      <c r="G1739" s="3" t="s">
        <v>100</v>
      </c>
      <c r="H1739" s="3" t="s">
        <v>1271</v>
      </c>
      <c r="I1739" s="3" t="s">
        <v>883</v>
      </c>
      <c r="J1739" s="3" t="s">
        <v>884</v>
      </c>
      <c r="K1739" s="3" t="s">
        <v>27</v>
      </c>
      <c r="L1739" s="3" t="s">
        <v>28</v>
      </c>
      <c r="M1739" s="3" t="s">
        <v>28</v>
      </c>
      <c r="N1739" s="3" t="s">
        <v>28</v>
      </c>
      <c r="O1739" s="3" t="s">
        <v>28</v>
      </c>
      <c r="P1739" s="3" t="s">
        <v>28</v>
      </c>
      <c r="Q1739" s="3" t="s">
        <v>28</v>
      </c>
      <c r="R1739" s="3" t="s">
        <v>28</v>
      </c>
      <c r="S1739" s="3" t="s">
        <v>28</v>
      </c>
      <c r="T1739" s="3" t="s">
        <v>28</v>
      </c>
    </row>
    <row r="1740" spans="1:20" ht="290.25">
      <c r="A1740" s="3">
        <v>2714035</v>
      </c>
      <c r="B1740" s="3">
        <f>HYPERLINK("https://platform.v2.vetology.net/cases/2714035/screening-report/6?type=pdf&amp;v=v6&amp;scorecard=1&amp;secret_key=BX%25IJ%24%2F65ieZ%29f6", 2714035)</f>
        <v>2714035</v>
      </c>
      <c r="C1740" s="3">
        <f>HYPERLINK("https://platform.v2.vetology.net/report/v/final/"&amp;2714035, 2714035)</f>
        <v>2714035</v>
      </c>
      <c r="D1740" s="3" t="s">
        <v>6124</v>
      </c>
      <c r="E1740" s="3" t="s">
        <v>6125</v>
      </c>
      <c r="F1740" s="3" t="s">
        <v>6126</v>
      </c>
      <c r="G1740" s="3" t="s">
        <v>211</v>
      </c>
      <c r="H1740" s="3" t="s">
        <v>2907</v>
      </c>
      <c r="I1740" s="3" t="s">
        <v>404</v>
      </c>
      <c r="J1740" s="3" t="s">
        <v>405</v>
      </c>
      <c r="K1740" s="3" t="s">
        <v>28</v>
      </c>
      <c r="L1740" s="3" t="s">
        <v>28</v>
      </c>
      <c r="M1740" s="3" t="s">
        <v>28</v>
      </c>
      <c r="N1740" s="3" t="s">
        <v>27</v>
      </c>
      <c r="O1740" s="3" t="s">
        <v>27</v>
      </c>
      <c r="P1740" s="3" t="s">
        <v>28</v>
      </c>
      <c r="Q1740" s="3" t="s">
        <v>28</v>
      </c>
      <c r="R1740" s="3" t="s">
        <v>28</v>
      </c>
      <c r="S1740" s="3" t="s">
        <v>27</v>
      </c>
      <c r="T1740" s="3" t="s">
        <v>27</v>
      </c>
    </row>
    <row r="1741" spans="1:20" ht="409.6">
      <c r="A1741" s="3">
        <v>2714029</v>
      </c>
      <c r="B1741" s="3">
        <f>HYPERLINK("https://platform.v2.vetology.net/cases/2714029/screening-report/6?type=pdf&amp;v=v6&amp;scorecard=1&amp;secret_key=BX%25IJ%24%2F65ieZ%29f6", 2714029)</f>
        <v>2714029</v>
      </c>
      <c r="C1741" s="3">
        <f>HYPERLINK("https://platform.v2.vetology.net/report/v/final/"&amp;2714029, 2714029)</f>
        <v>2714029</v>
      </c>
      <c r="D1741" s="3" t="s">
        <v>6127</v>
      </c>
      <c r="E1741" s="3" t="s">
        <v>6128</v>
      </c>
      <c r="F1741" s="3" t="s">
        <v>6129</v>
      </c>
      <c r="G1741" s="3" t="s">
        <v>64</v>
      </c>
      <c r="H1741" s="3" t="s">
        <v>6130</v>
      </c>
      <c r="I1741" s="3" t="s">
        <v>6131</v>
      </c>
      <c r="J1741" s="3" t="s">
        <v>6132</v>
      </c>
      <c r="K1741" s="3" t="s">
        <v>27</v>
      </c>
      <c r="L1741" s="3" t="s">
        <v>27</v>
      </c>
      <c r="M1741" s="3" t="s">
        <v>27</v>
      </c>
      <c r="N1741" s="3" t="s">
        <v>27</v>
      </c>
      <c r="O1741" s="3" t="s">
        <v>27</v>
      </c>
      <c r="P1741" s="3" t="s">
        <v>27</v>
      </c>
      <c r="Q1741" s="3" t="s">
        <v>27</v>
      </c>
      <c r="R1741" s="3" t="s">
        <v>28</v>
      </c>
      <c r="S1741" s="3" t="s">
        <v>27</v>
      </c>
      <c r="T1741" s="3" t="s">
        <v>28</v>
      </c>
    </row>
    <row r="1742" spans="1:20" ht="409.6">
      <c r="A1742" s="3">
        <v>2714002</v>
      </c>
      <c r="B1742" s="3">
        <f>HYPERLINK("https://platform.v2.vetology.net/cases/2714002/screening-report/6?type=pdf&amp;v=v6&amp;scorecard=1&amp;secret_key=BX%25IJ%24%2F65ieZ%29f6", 2714002)</f>
        <v>2714002</v>
      </c>
      <c r="C1742" s="3">
        <f>HYPERLINK("https://platform.v2.vetology.net/report/v/final/"&amp;2714002, 2714002)</f>
        <v>2714002</v>
      </c>
      <c r="D1742" s="3" t="s">
        <v>6133</v>
      </c>
      <c r="E1742" s="3" t="s">
        <v>6134</v>
      </c>
      <c r="F1742" s="3" t="s">
        <v>6135</v>
      </c>
      <c r="G1742" s="3" t="s">
        <v>64</v>
      </c>
      <c r="H1742" s="3" t="s">
        <v>419</v>
      </c>
      <c r="I1742" s="3" t="s">
        <v>316</v>
      </c>
      <c r="J1742" s="3" t="s">
        <v>317</v>
      </c>
      <c r="K1742" s="3" t="s">
        <v>28</v>
      </c>
      <c r="L1742" s="3" t="s">
        <v>28</v>
      </c>
      <c r="M1742" s="3" t="s">
        <v>28</v>
      </c>
      <c r="N1742" s="3" t="s">
        <v>28</v>
      </c>
      <c r="O1742" s="3" t="s">
        <v>27</v>
      </c>
      <c r="P1742" s="3" t="s">
        <v>28</v>
      </c>
      <c r="Q1742" s="3" t="s">
        <v>28</v>
      </c>
      <c r="R1742" s="3" t="s">
        <v>28</v>
      </c>
      <c r="S1742" s="3" t="s">
        <v>28</v>
      </c>
      <c r="T1742" s="3" t="s">
        <v>28</v>
      </c>
    </row>
    <row r="1743" spans="1:20" ht="409.6">
      <c r="A1743" s="3">
        <v>2713997</v>
      </c>
      <c r="B1743" s="3">
        <f>HYPERLINK("https://platform.v2.vetology.net/cases/2713997/screening-report/6?type=pdf&amp;v=v6&amp;scorecard=1&amp;secret_key=BX%25IJ%24%2F65ieZ%29f6", 2713997)</f>
        <v>2713997</v>
      </c>
      <c r="C1743" s="3">
        <f>HYPERLINK("https://platform.v2.vetology.net/report/v/final/"&amp;2713997, 2713997)</f>
        <v>2713997</v>
      </c>
      <c r="D1743" s="3" t="s">
        <v>6136</v>
      </c>
      <c r="E1743" s="3" t="s">
        <v>6137</v>
      </c>
      <c r="F1743" s="3" t="s">
        <v>6138</v>
      </c>
      <c r="G1743" s="3" t="s">
        <v>64</v>
      </c>
      <c r="H1743" s="3" t="s">
        <v>403</v>
      </c>
      <c r="I1743" s="3" t="s">
        <v>643</v>
      </c>
      <c r="J1743" s="3" t="s">
        <v>6139</v>
      </c>
      <c r="K1743" s="3" t="s">
        <v>28</v>
      </c>
      <c r="L1743" s="3" t="s">
        <v>27</v>
      </c>
      <c r="M1743" s="3" t="s">
        <v>28</v>
      </c>
      <c r="N1743" s="3" t="s">
        <v>27</v>
      </c>
      <c r="O1743" s="3" t="s">
        <v>27</v>
      </c>
      <c r="P1743" s="3" t="s">
        <v>28</v>
      </c>
      <c r="Q1743" s="3" t="s">
        <v>28</v>
      </c>
      <c r="R1743" s="3" t="s">
        <v>28</v>
      </c>
      <c r="S1743" s="3" t="s">
        <v>28</v>
      </c>
      <c r="T1743" s="3" t="s">
        <v>27</v>
      </c>
    </row>
    <row r="1744" spans="1:20" ht="259.5">
      <c r="A1744" s="3">
        <v>2713996</v>
      </c>
      <c r="B1744" s="3">
        <f>HYPERLINK("https://platform.v2.vetology.net/cases/2713996/screening-report/6?type=pdf&amp;v=v6&amp;scorecard=1&amp;secret_key=BX%25IJ%24%2F65ieZ%29f6", 2713996)</f>
        <v>2713996</v>
      </c>
      <c r="C1744" s="3">
        <f>HYPERLINK("https://platform.v2.vetology.net/report/v/final/"&amp;2713996, 2713996)</f>
        <v>2713996</v>
      </c>
      <c r="D1744" s="3" t="s">
        <v>6140</v>
      </c>
      <c r="E1744" s="3" t="s">
        <v>6141</v>
      </c>
      <c r="F1744" s="3" t="s">
        <v>22</v>
      </c>
      <c r="G1744" s="3" t="s">
        <v>100</v>
      </c>
      <c r="H1744" s="3" t="s">
        <v>6142</v>
      </c>
      <c r="I1744" s="3" t="s">
        <v>2259</v>
      </c>
      <c r="J1744" s="3" t="s">
        <v>2260</v>
      </c>
      <c r="K1744" s="3" t="s">
        <v>27</v>
      </c>
      <c r="L1744" s="3" t="s">
        <v>28</v>
      </c>
      <c r="M1744" s="3" t="s">
        <v>28</v>
      </c>
      <c r="N1744" s="3" t="s">
        <v>28</v>
      </c>
      <c r="O1744" s="3" t="s">
        <v>27</v>
      </c>
      <c r="P1744" s="3" t="s">
        <v>28</v>
      </c>
      <c r="Q1744" s="3" t="s">
        <v>28</v>
      </c>
      <c r="R1744" s="3" t="s">
        <v>28</v>
      </c>
      <c r="S1744" s="3" t="s">
        <v>28</v>
      </c>
      <c r="T1744" s="3" t="s">
        <v>28</v>
      </c>
    </row>
    <row r="1745" spans="1:20" ht="409.6">
      <c r="A1745" s="3">
        <v>2713992</v>
      </c>
      <c r="B1745" s="3">
        <f>HYPERLINK("https://platform.v2.vetology.net/cases/2713992/screening-report/6?type=pdf&amp;v=v6&amp;scorecard=1&amp;secret_key=BX%25IJ%24%2F65ieZ%29f6", 2713992)</f>
        <v>2713992</v>
      </c>
      <c r="C1745" s="3">
        <f>HYPERLINK("https://platform.v2.vetology.net/report/v/final/"&amp;2713992, 2713992)</f>
        <v>2713992</v>
      </c>
      <c r="D1745" s="3" t="s">
        <v>6143</v>
      </c>
      <c r="E1745" s="3" t="s">
        <v>6144</v>
      </c>
      <c r="F1745" s="3" t="s">
        <v>22</v>
      </c>
      <c r="G1745" s="3" t="s">
        <v>100</v>
      </c>
      <c r="H1745" s="3" t="s">
        <v>6145</v>
      </c>
      <c r="I1745" s="3" t="s">
        <v>1135</v>
      </c>
      <c r="J1745" s="3" t="s">
        <v>1136</v>
      </c>
      <c r="K1745" s="3" t="s">
        <v>28</v>
      </c>
      <c r="L1745" s="3" t="s">
        <v>27</v>
      </c>
      <c r="M1745" s="3" t="s">
        <v>28</v>
      </c>
      <c r="N1745" s="3" t="s">
        <v>27</v>
      </c>
      <c r="O1745" s="3" t="s">
        <v>27</v>
      </c>
      <c r="P1745" s="3" t="s">
        <v>28</v>
      </c>
      <c r="Q1745" s="3" t="s">
        <v>27</v>
      </c>
      <c r="R1745" s="3" t="s">
        <v>27</v>
      </c>
      <c r="S1745" s="3" t="s">
        <v>27</v>
      </c>
      <c r="T1745" s="3" t="s">
        <v>27</v>
      </c>
    </row>
    <row r="1746" spans="1:20" ht="409.6">
      <c r="A1746" s="3">
        <v>2713951</v>
      </c>
      <c r="B1746" s="3">
        <f>HYPERLINK("https://platform.v2.vetology.net/cases/2713951/screening-report/6?type=pdf&amp;v=v6&amp;scorecard=1&amp;secret_key=BX%25IJ%24%2F65ieZ%29f6", 2713951)</f>
        <v>2713951</v>
      </c>
      <c r="C1746" s="3">
        <f>HYPERLINK("https://platform.v2.vetology.net/report/v/final/"&amp;2713951, 2713951)</f>
        <v>2713951</v>
      </c>
      <c r="D1746" s="3" t="s">
        <v>6146</v>
      </c>
      <c r="E1746" s="3" t="s">
        <v>6147</v>
      </c>
      <c r="F1746" s="3" t="s">
        <v>6148</v>
      </c>
      <c r="G1746" s="3" t="s">
        <v>57</v>
      </c>
      <c r="H1746" s="3" t="s">
        <v>6149</v>
      </c>
      <c r="I1746" s="3" t="s">
        <v>1227</v>
      </c>
      <c r="J1746" s="3" t="s">
        <v>1228</v>
      </c>
      <c r="K1746" s="3" t="s">
        <v>28</v>
      </c>
      <c r="L1746" s="3" t="s">
        <v>28</v>
      </c>
      <c r="M1746" s="3" t="s">
        <v>28</v>
      </c>
      <c r="N1746" s="3" t="s">
        <v>27</v>
      </c>
      <c r="O1746" s="3" t="s">
        <v>27</v>
      </c>
      <c r="P1746" s="3" t="s">
        <v>28</v>
      </c>
      <c r="Q1746" s="3" t="s">
        <v>28</v>
      </c>
      <c r="R1746" s="3" t="s">
        <v>27</v>
      </c>
      <c r="S1746" s="3" t="s">
        <v>28</v>
      </c>
      <c r="T1746" s="3" t="s">
        <v>27</v>
      </c>
    </row>
    <row r="1747" spans="1:20" ht="244.5">
      <c r="A1747" s="3">
        <v>2713938</v>
      </c>
      <c r="B1747" s="3">
        <f>HYPERLINK("https://platform.v2.vetology.net/cases/2713938/screening-report/6?type=pdf&amp;v=v6&amp;scorecard=1&amp;secret_key=BX%25IJ%24%2F65ieZ%29f6", 2713938)</f>
        <v>2713938</v>
      </c>
      <c r="C1747" s="3">
        <f>HYPERLINK("https://platform.v2.vetology.net/report/v/final/"&amp;2713938, 2713938)</f>
        <v>2713938</v>
      </c>
      <c r="D1747" s="3" t="s">
        <v>6150</v>
      </c>
      <c r="E1747" s="3" t="s">
        <v>6151</v>
      </c>
      <c r="F1747" s="3" t="s">
        <v>6152</v>
      </c>
      <c r="G1747" s="3" t="s">
        <v>186</v>
      </c>
      <c r="H1747" s="3" t="s">
        <v>6153</v>
      </c>
      <c r="I1747" s="3" t="s">
        <v>2024</v>
      </c>
      <c r="J1747" s="3" t="s">
        <v>207</v>
      </c>
      <c r="K1747" s="3" t="s">
        <v>28</v>
      </c>
      <c r="L1747" s="3" t="s">
        <v>28</v>
      </c>
      <c r="M1747" s="3" t="s">
        <v>28</v>
      </c>
      <c r="N1747" s="3" t="s">
        <v>28</v>
      </c>
      <c r="O1747" s="3" t="s">
        <v>27</v>
      </c>
      <c r="P1747" s="3" t="s">
        <v>27</v>
      </c>
      <c r="Q1747" s="3" t="s">
        <v>28</v>
      </c>
      <c r="R1747" s="3" t="s">
        <v>28</v>
      </c>
      <c r="S1747" s="3" t="s">
        <v>28</v>
      </c>
      <c r="T1747" s="3" t="s">
        <v>28</v>
      </c>
    </row>
    <row r="1748" spans="1:20" ht="381.75">
      <c r="A1748" s="3">
        <v>2713918</v>
      </c>
      <c r="B1748" s="3">
        <f>HYPERLINK("https://platform.v2.vetology.net/cases/2713918/screening-report/6?type=pdf&amp;v=v6&amp;scorecard=1&amp;secret_key=BX%25IJ%24%2F65ieZ%29f6", 2713918)</f>
        <v>2713918</v>
      </c>
      <c r="C1748" s="3">
        <f>HYPERLINK("https://platform.v2.vetology.net/report/v/final/"&amp;2713918, 2713918)</f>
        <v>2713918</v>
      </c>
      <c r="D1748" s="3" t="s">
        <v>6154</v>
      </c>
      <c r="E1748" s="3" t="s">
        <v>6155</v>
      </c>
      <c r="F1748" s="3" t="s">
        <v>6156</v>
      </c>
      <c r="G1748" s="3" t="s">
        <v>64</v>
      </c>
      <c r="H1748" s="3" t="s">
        <v>855</v>
      </c>
      <c r="I1748" s="3" t="s">
        <v>856</v>
      </c>
      <c r="J1748" s="3" t="s">
        <v>857</v>
      </c>
      <c r="K1748" s="3" t="s">
        <v>28</v>
      </c>
      <c r="L1748" s="3" t="s">
        <v>28</v>
      </c>
      <c r="M1748" s="3" t="s">
        <v>28</v>
      </c>
      <c r="N1748" s="3" t="s">
        <v>28</v>
      </c>
      <c r="O1748" s="3" t="s">
        <v>27</v>
      </c>
      <c r="P1748" s="3" t="s">
        <v>28</v>
      </c>
      <c r="Q1748" s="3" t="s">
        <v>28</v>
      </c>
      <c r="R1748" s="3" t="s">
        <v>28</v>
      </c>
      <c r="S1748" s="3" t="s">
        <v>28</v>
      </c>
      <c r="T1748" s="3" t="s">
        <v>28</v>
      </c>
    </row>
    <row r="1749" spans="1:20" ht="396.75">
      <c r="A1749" s="3">
        <v>2713902</v>
      </c>
      <c r="B1749" s="3">
        <f>HYPERLINK("https://platform.v2.vetology.net/cases/2713902/screening-report/6?type=pdf&amp;v=v6&amp;scorecard=1&amp;secret_key=BX%25IJ%24%2F65ieZ%29f6", 2713902)</f>
        <v>2713902</v>
      </c>
      <c r="C1749" s="3">
        <f>HYPERLINK("https://platform.v2.vetology.net/report/v/final/"&amp;2713902, 2713902)</f>
        <v>2713902</v>
      </c>
      <c r="D1749" s="3" t="s">
        <v>6157</v>
      </c>
      <c r="E1749" s="3" t="s">
        <v>6158</v>
      </c>
      <c r="F1749" s="3" t="s">
        <v>1762</v>
      </c>
      <c r="G1749" s="3" t="s">
        <v>100</v>
      </c>
      <c r="H1749" s="3" t="s">
        <v>1307</v>
      </c>
      <c r="I1749" s="3" t="s">
        <v>351</v>
      </c>
      <c r="J1749" s="3" t="s">
        <v>352</v>
      </c>
      <c r="K1749" s="3" t="s">
        <v>28</v>
      </c>
      <c r="L1749" s="3" t="s">
        <v>28</v>
      </c>
      <c r="M1749" s="3" t="s">
        <v>28</v>
      </c>
      <c r="N1749" s="3" t="s">
        <v>28</v>
      </c>
      <c r="O1749" s="3" t="s">
        <v>27</v>
      </c>
      <c r="P1749" s="3" t="s">
        <v>28</v>
      </c>
      <c r="Q1749" s="3" t="s">
        <v>28</v>
      </c>
      <c r="R1749" s="3" t="s">
        <v>28</v>
      </c>
      <c r="S1749" s="3" t="s">
        <v>28</v>
      </c>
      <c r="T1749" s="3" t="s">
        <v>27</v>
      </c>
    </row>
    <row r="1750" spans="1:20" ht="229.5">
      <c r="A1750" s="3">
        <v>2713883</v>
      </c>
      <c r="B1750" s="3">
        <f>HYPERLINK("https://platform.v2.vetology.net/cases/2713883/screening-report/6?type=pdf&amp;v=v6&amp;scorecard=1&amp;secret_key=BX%25IJ%24%2F65ieZ%29f6", 2713883)</f>
        <v>2713883</v>
      </c>
      <c r="C1750" s="3">
        <f>HYPERLINK("https://platform.v2.vetology.net/report/v/final/"&amp;2713883, 2713883)</f>
        <v>2713883</v>
      </c>
      <c r="D1750" s="3" t="s">
        <v>6159</v>
      </c>
      <c r="E1750" s="3" t="s">
        <v>6160</v>
      </c>
      <c r="F1750" s="3" t="s">
        <v>277</v>
      </c>
      <c r="G1750" s="3" t="s">
        <v>186</v>
      </c>
      <c r="H1750" s="3" t="s">
        <v>158</v>
      </c>
      <c r="I1750" s="3" t="s">
        <v>32</v>
      </c>
      <c r="J1750" s="3" t="s">
        <v>119</v>
      </c>
      <c r="K1750" s="3" t="s">
        <v>28</v>
      </c>
      <c r="L1750" s="3" t="s">
        <v>28</v>
      </c>
      <c r="M1750" s="3" t="s">
        <v>28</v>
      </c>
      <c r="N1750" s="3" t="s">
        <v>28</v>
      </c>
      <c r="O1750" s="3" t="s">
        <v>27</v>
      </c>
      <c r="P1750" s="3" t="s">
        <v>28</v>
      </c>
      <c r="Q1750" s="3" t="s">
        <v>28</v>
      </c>
      <c r="R1750" s="3" t="s">
        <v>28</v>
      </c>
      <c r="S1750" s="3" t="s">
        <v>28</v>
      </c>
      <c r="T1750" s="3" t="s">
        <v>28</v>
      </c>
    </row>
    <row r="1751" spans="1:20" ht="409.6">
      <c r="A1751" s="3">
        <v>2713867</v>
      </c>
      <c r="B1751" s="3">
        <f>HYPERLINK("https://platform.v2.vetology.net/cases/2713867/screening-report/6?type=pdf&amp;v=v6&amp;scorecard=1&amp;secret_key=BX%25IJ%24%2F65ieZ%29f6", 2713867)</f>
        <v>2713867</v>
      </c>
      <c r="C1751" s="3">
        <f>HYPERLINK("https://platform.v2.vetology.net/report/v/final/"&amp;2713867, 2713867)</f>
        <v>2713867</v>
      </c>
      <c r="D1751" s="3" t="s">
        <v>6161</v>
      </c>
      <c r="E1751" s="3" t="s">
        <v>6162</v>
      </c>
      <c r="F1751" s="3" t="s">
        <v>6163</v>
      </c>
      <c r="G1751" s="3" t="s">
        <v>100</v>
      </c>
      <c r="H1751" s="3" t="s">
        <v>4435</v>
      </c>
      <c r="I1751" s="3" t="s">
        <v>1368</v>
      </c>
      <c r="J1751" s="3" t="s">
        <v>1369</v>
      </c>
      <c r="K1751" s="3" t="s">
        <v>28</v>
      </c>
      <c r="L1751" s="3" t="s">
        <v>28</v>
      </c>
      <c r="M1751" s="3" t="s">
        <v>28</v>
      </c>
      <c r="N1751" s="3" t="s">
        <v>28</v>
      </c>
      <c r="O1751" s="3" t="s">
        <v>27</v>
      </c>
      <c r="P1751" s="3" t="s">
        <v>28</v>
      </c>
      <c r="Q1751" s="3" t="s">
        <v>28</v>
      </c>
      <c r="R1751" s="3" t="s">
        <v>28</v>
      </c>
      <c r="S1751" s="3" t="s">
        <v>28</v>
      </c>
      <c r="T1751" s="3" t="s">
        <v>28</v>
      </c>
    </row>
    <row r="1752" spans="1:20" ht="409.6">
      <c r="A1752" s="3">
        <v>2713857</v>
      </c>
      <c r="B1752" s="3">
        <f>HYPERLINK("https://platform.v2.vetology.net/cases/2713857/screening-report/6?type=pdf&amp;v=v6&amp;scorecard=1&amp;secret_key=BX%25IJ%24%2F65ieZ%29f6", 2713857)</f>
        <v>2713857</v>
      </c>
      <c r="C1752" s="3">
        <f>HYPERLINK("https://platform.v2.vetology.net/report/v/final/"&amp;2713857, 2713857)</f>
        <v>2713857</v>
      </c>
      <c r="D1752" s="3" t="s">
        <v>6164</v>
      </c>
      <c r="E1752" s="3" t="s">
        <v>6165</v>
      </c>
      <c r="F1752" s="3" t="s">
        <v>1765</v>
      </c>
      <c r="G1752" s="3" t="s">
        <v>57</v>
      </c>
      <c r="H1752" s="3" t="s">
        <v>6166</v>
      </c>
      <c r="I1752" s="3" t="s">
        <v>1611</v>
      </c>
      <c r="J1752" s="3" t="s">
        <v>1612</v>
      </c>
      <c r="K1752" s="3" t="s">
        <v>28</v>
      </c>
      <c r="L1752" s="3" t="s">
        <v>28</v>
      </c>
      <c r="M1752" s="3" t="s">
        <v>28</v>
      </c>
      <c r="N1752" s="3" t="s">
        <v>28</v>
      </c>
      <c r="O1752" s="3" t="s">
        <v>28</v>
      </c>
      <c r="P1752" s="3" t="s">
        <v>28</v>
      </c>
      <c r="Q1752" s="3" t="s">
        <v>28</v>
      </c>
      <c r="R1752" s="3" t="s">
        <v>28</v>
      </c>
      <c r="S1752" s="3" t="s">
        <v>27</v>
      </c>
      <c r="T1752" s="3" t="s">
        <v>28</v>
      </c>
    </row>
    <row r="1753" spans="1:20" ht="321">
      <c r="A1753" s="3">
        <v>2713798</v>
      </c>
      <c r="B1753" s="3">
        <f>HYPERLINK("https://platform.v2.vetology.net/cases/2713798/screening-report/6?type=pdf&amp;v=v6&amp;scorecard=1&amp;secret_key=BX%25IJ%24%2F65ieZ%29f6", 2713798)</f>
        <v>2713798</v>
      </c>
      <c r="C1753" s="3">
        <f>HYPERLINK("https://platform.v2.vetology.net/report/v/final/"&amp;2713798, 2713798)</f>
        <v>2713798</v>
      </c>
      <c r="D1753" s="3" t="s">
        <v>6167</v>
      </c>
      <c r="E1753" s="3" t="s">
        <v>6168</v>
      </c>
      <c r="F1753" s="3" t="s">
        <v>1377</v>
      </c>
      <c r="G1753" s="3" t="s">
        <v>186</v>
      </c>
      <c r="H1753" s="3" t="s">
        <v>6169</v>
      </c>
      <c r="I1753" s="3" t="s">
        <v>2353</v>
      </c>
      <c r="J1753" s="3" t="s">
        <v>207</v>
      </c>
      <c r="K1753" s="3" t="s">
        <v>28</v>
      </c>
      <c r="L1753" s="3" t="s">
        <v>27</v>
      </c>
      <c r="M1753" s="3" t="s">
        <v>28</v>
      </c>
      <c r="N1753" s="3" t="s">
        <v>27</v>
      </c>
      <c r="O1753" s="3" t="s">
        <v>27</v>
      </c>
      <c r="P1753" s="3" t="s">
        <v>28</v>
      </c>
      <c r="Q1753" s="3" t="s">
        <v>27</v>
      </c>
      <c r="R1753" s="3" t="s">
        <v>28</v>
      </c>
      <c r="S1753" s="3" t="s">
        <v>27</v>
      </c>
      <c r="T1753" s="3" t="s">
        <v>27</v>
      </c>
    </row>
    <row r="1754" spans="1:20" ht="409.6">
      <c r="A1754" s="3">
        <v>2713792</v>
      </c>
      <c r="B1754" s="3">
        <f>HYPERLINK("https://platform.v2.vetology.net/cases/2713792/screening-report/6?type=pdf&amp;v=v6&amp;scorecard=1&amp;secret_key=BX%25IJ%24%2F65ieZ%29f6", 2713792)</f>
        <v>2713792</v>
      </c>
      <c r="C1754" s="3">
        <f>HYPERLINK("https://platform.v2.vetology.net/report/v/final/"&amp;2713792, 2713792)</f>
        <v>2713792</v>
      </c>
      <c r="D1754" s="3" t="s">
        <v>6170</v>
      </c>
      <c r="E1754" s="3" t="s">
        <v>6171</v>
      </c>
      <c r="F1754" s="3" t="s">
        <v>6172</v>
      </c>
      <c r="G1754" s="3" t="s">
        <v>64</v>
      </c>
      <c r="H1754" s="3" t="s">
        <v>3831</v>
      </c>
      <c r="I1754" s="3" t="s">
        <v>136</v>
      </c>
      <c r="J1754" s="3" t="s">
        <v>424</v>
      </c>
      <c r="K1754" s="3" t="s">
        <v>28</v>
      </c>
      <c r="L1754" s="3" t="s">
        <v>28</v>
      </c>
      <c r="M1754" s="3" t="s">
        <v>28</v>
      </c>
      <c r="N1754" s="3" t="s">
        <v>28</v>
      </c>
      <c r="O1754" s="3" t="s">
        <v>27</v>
      </c>
      <c r="P1754" s="3" t="s">
        <v>28</v>
      </c>
      <c r="Q1754" s="3" t="s">
        <v>27</v>
      </c>
      <c r="R1754" s="3" t="s">
        <v>28</v>
      </c>
      <c r="S1754" s="3" t="s">
        <v>27</v>
      </c>
      <c r="T1754" s="3" t="s">
        <v>27</v>
      </c>
    </row>
    <row r="1755" spans="1:20" ht="290.25">
      <c r="A1755" s="3">
        <v>2713785</v>
      </c>
      <c r="B1755" s="3">
        <f>HYPERLINK("https://platform.v2.vetology.net/cases/2713785/screening-report/6?type=pdf&amp;v=v6&amp;scorecard=1&amp;secret_key=BX%25IJ%24%2F65ieZ%29f6", 2713785)</f>
        <v>2713785</v>
      </c>
      <c r="C1755" s="3">
        <f>HYPERLINK("https://platform.v2.vetology.net/report/v/final/"&amp;2713785, 2713785)</f>
        <v>2713785</v>
      </c>
      <c r="D1755" s="3" t="s">
        <v>6173</v>
      </c>
      <c r="E1755" s="3" t="s">
        <v>6174</v>
      </c>
      <c r="F1755" s="3" t="s">
        <v>6175</v>
      </c>
      <c r="G1755" s="3" t="s">
        <v>496</v>
      </c>
      <c r="H1755" s="3" t="s">
        <v>5676</v>
      </c>
      <c r="I1755" s="3" t="s">
        <v>316</v>
      </c>
      <c r="J1755" s="3" t="s">
        <v>317</v>
      </c>
      <c r="K1755" s="3" t="s">
        <v>28</v>
      </c>
      <c r="L1755" s="3" t="s">
        <v>28</v>
      </c>
      <c r="M1755" s="3" t="s">
        <v>28</v>
      </c>
      <c r="N1755" s="3" t="s">
        <v>28</v>
      </c>
      <c r="O1755" s="3" t="s">
        <v>27</v>
      </c>
      <c r="P1755" s="3" t="s">
        <v>28</v>
      </c>
      <c r="Q1755" s="3" t="s">
        <v>28</v>
      </c>
      <c r="R1755" s="3" t="s">
        <v>28</v>
      </c>
      <c r="S1755" s="3" t="s">
        <v>28</v>
      </c>
      <c r="T1755" s="3" t="s">
        <v>28</v>
      </c>
    </row>
    <row r="1756" spans="1:20" ht="305.25">
      <c r="A1756" s="3">
        <v>2713707</v>
      </c>
      <c r="B1756" s="3">
        <f>HYPERLINK("https://platform.v2.vetology.net/cases/2713707/screening-report/6?type=pdf&amp;v=v6&amp;scorecard=1&amp;secret_key=BX%25IJ%24%2F65ieZ%29f6", 2713707)</f>
        <v>2713707</v>
      </c>
      <c r="C1756" s="3">
        <f>HYPERLINK("https://platform.v2.vetology.net/report/v/final/"&amp;2713707, 2713707)</f>
        <v>2713707</v>
      </c>
      <c r="D1756" s="3" t="s">
        <v>6176</v>
      </c>
      <c r="E1756" s="3" t="s">
        <v>6177</v>
      </c>
      <c r="F1756" s="3" t="s">
        <v>1762</v>
      </c>
      <c r="G1756" s="3" t="s">
        <v>100</v>
      </c>
      <c r="H1756" s="3" t="s">
        <v>3755</v>
      </c>
      <c r="I1756" s="3" t="s">
        <v>464</v>
      </c>
      <c r="J1756" s="3" t="s">
        <v>688</v>
      </c>
      <c r="K1756" s="3" t="s">
        <v>28</v>
      </c>
      <c r="L1756" s="3" t="s">
        <v>28</v>
      </c>
      <c r="M1756" s="3" t="s">
        <v>28</v>
      </c>
      <c r="N1756" s="3" t="s">
        <v>28</v>
      </c>
      <c r="O1756" s="3" t="s">
        <v>28</v>
      </c>
      <c r="P1756" s="3" t="s">
        <v>28</v>
      </c>
      <c r="Q1756" s="3" t="s">
        <v>28</v>
      </c>
      <c r="R1756" s="3" t="s">
        <v>28</v>
      </c>
      <c r="S1756" s="3" t="s">
        <v>28</v>
      </c>
      <c r="T1756" s="3" t="s">
        <v>28</v>
      </c>
    </row>
    <row r="1757" spans="1:20" ht="409.6">
      <c r="A1757" s="3">
        <v>2713697</v>
      </c>
      <c r="B1757" s="3">
        <f>HYPERLINK("https://platform.v2.vetology.net/cases/2713697/screening-report/6?type=pdf&amp;v=v6&amp;scorecard=1&amp;secret_key=BX%25IJ%24%2F65ieZ%29f6", 2713697)</f>
        <v>2713697</v>
      </c>
      <c r="C1757" s="3">
        <f>HYPERLINK("https://platform.v2.vetology.net/report/v/final/"&amp;2713697, 2713697)</f>
        <v>2713697</v>
      </c>
      <c r="D1757" s="3" t="s">
        <v>6178</v>
      </c>
      <c r="E1757" s="3" t="s">
        <v>6179</v>
      </c>
      <c r="F1757" s="3" t="s">
        <v>99</v>
      </c>
      <c r="G1757" s="3" t="s">
        <v>100</v>
      </c>
      <c r="H1757" s="3" t="s">
        <v>6180</v>
      </c>
      <c r="I1757" s="3" t="s">
        <v>1497</v>
      </c>
      <c r="J1757" s="3" t="s">
        <v>1340</v>
      </c>
      <c r="K1757" s="3" t="s">
        <v>28</v>
      </c>
      <c r="L1757" s="3" t="s">
        <v>28</v>
      </c>
      <c r="M1757" s="3" t="s">
        <v>28</v>
      </c>
      <c r="N1757" s="3" t="s">
        <v>28</v>
      </c>
      <c r="O1757" s="3" t="s">
        <v>27</v>
      </c>
      <c r="P1757" s="3" t="s">
        <v>28</v>
      </c>
      <c r="Q1757" s="3" t="s">
        <v>27</v>
      </c>
      <c r="R1757" s="3" t="s">
        <v>28</v>
      </c>
      <c r="S1757" s="3" t="s">
        <v>28</v>
      </c>
      <c r="T1757" s="3" t="s">
        <v>28</v>
      </c>
    </row>
    <row r="1758" spans="1:20" ht="229.5">
      <c r="A1758" s="3">
        <v>2713693</v>
      </c>
      <c r="B1758" s="3">
        <f>HYPERLINK("https://platform.v2.vetology.net/cases/2713693/screening-report/6?type=pdf&amp;v=v6&amp;scorecard=1&amp;secret_key=BX%25IJ%24%2F65ieZ%29f6", 2713693)</f>
        <v>2713693</v>
      </c>
      <c r="C1758" s="3">
        <f>HYPERLINK("https://platform.v2.vetology.net/report/v/final/"&amp;2713693, 2713693)</f>
        <v>2713693</v>
      </c>
      <c r="D1758" s="3" t="s">
        <v>6181</v>
      </c>
      <c r="E1758" s="3" t="s">
        <v>6182</v>
      </c>
      <c r="F1758" s="3" t="s">
        <v>6183</v>
      </c>
      <c r="G1758" s="3" t="s">
        <v>186</v>
      </c>
      <c r="H1758" s="3" t="s">
        <v>135</v>
      </c>
      <c r="I1758" s="3" t="s">
        <v>136</v>
      </c>
      <c r="J1758" s="3" t="s">
        <v>137</v>
      </c>
      <c r="K1758" s="3" t="s">
        <v>28</v>
      </c>
      <c r="L1758" s="3" t="s">
        <v>28</v>
      </c>
      <c r="M1758" s="3" t="s">
        <v>28</v>
      </c>
      <c r="N1758" s="3" t="s">
        <v>28</v>
      </c>
      <c r="O1758" s="3" t="s">
        <v>27</v>
      </c>
      <c r="P1758" s="3" t="s">
        <v>28</v>
      </c>
      <c r="Q1758" s="3" t="s">
        <v>28</v>
      </c>
      <c r="R1758" s="3" t="s">
        <v>28</v>
      </c>
      <c r="S1758" s="3" t="s">
        <v>28</v>
      </c>
      <c r="T1758" s="3" t="s">
        <v>27</v>
      </c>
    </row>
    <row r="1759" spans="1:20" ht="396.75">
      <c r="A1759" s="3">
        <v>2713690</v>
      </c>
      <c r="B1759" s="3">
        <f>HYPERLINK("https://platform.v2.vetology.net/cases/2713690/screening-report/6?type=pdf&amp;v=v6&amp;scorecard=1&amp;secret_key=BX%25IJ%24%2F65ieZ%29f6", 2713690)</f>
        <v>2713690</v>
      </c>
      <c r="C1759" s="3">
        <f>HYPERLINK("https://platform.v2.vetology.net/report/v/final/"&amp;2713690, 2713690)</f>
        <v>2713690</v>
      </c>
      <c r="D1759" s="3" t="s">
        <v>6184</v>
      </c>
      <c r="E1759" s="3" t="s">
        <v>6185</v>
      </c>
      <c r="F1759" s="3" t="s">
        <v>6186</v>
      </c>
      <c r="G1759" s="3" t="s">
        <v>186</v>
      </c>
      <c r="H1759" s="3" t="s">
        <v>2892</v>
      </c>
      <c r="I1759" s="3" t="s">
        <v>2108</v>
      </c>
      <c r="J1759" s="3" t="s">
        <v>679</v>
      </c>
      <c r="K1759" s="3" t="s">
        <v>28</v>
      </c>
      <c r="L1759" s="3" t="s">
        <v>27</v>
      </c>
      <c r="M1759" s="3" t="s">
        <v>28</v>
      </c>
      <c r="N1759" s="3" t="s">
        <v>27</v>
      </c>
      <c r="O1759" s="3" t="s">
        <v>27</v>
      </c>
      <c r="P1759" s="3" t="s">
        <v>27</v>
      </c>
      <c r="Q1759" s="3" t="s">
        <v>27</v>
      </c>
      <c r="R1759" s="3" t="s">
        <v>27</v>
      </c>
      <c r="S1759" s="3" t="s">
        <v>27</v>
      </c>
      <c r="T1759" s="3" t="s">
        <v>27</v>
      </c>
    </row>
    <row r="1760" spans="1:20" ht="366">
      <c r="A1760" s="3">
        <v>2713506</v>
      </c>
      <c r="B1760" s="3">
        <f>HYPERLINK("https://platform.v2.vetology.net/cases/2713506/screening-report/6?type=pdf&amp;v=v6&amp;scorecard=1&amp;secret_key=BX%25IJ%24%2F65ieZ%29f6", 2713506)</f>
        <v>2713506</v>
      </c>
      <c r="C1760" s="3">
        <f>HYPERLINK("https://platform.v2.vetology.net/report/v/final/"&amp;2713506, 2713506)</f>
        <v>2713506</v>
      </c>
      <c r="D1760" s="3" t="s">
        <v>6187</v>
      </c>
      <c r="E1760" s="3" t="s">
        <v>6188</v>
      </c>
      <c r="F1760" s="3" t="s">
        <v>6189</v>
      </c>
      <c r="G1760" s="3" t="s">
        <v>6190</v>
      </c>
      <c r="H1760" s="3" t="s">
        <v>6191</v>
      </c>
      <c r="I1760" s="3" t="s">
        <v>2875</v>
      </c>
      <c r="J1760" s="3" t="s">
        <v>207</v>
      </c>
      <c r="K1760" s="3" t="s">
        <v>27</v>
      </c>
      <c r="L1760" s="3" t="s">
        <v>28</v>
      </c>
      <c r="M1760" s="3" t="s">
        <v>28</v>
      </c>
      <c r="N1760" s="3" t="s">
        <v>28</v>
      </c>
      <c r="O1760" s="3" t="s">
        <v>27</v>
      </c>
      <c r="P1760" s="3" t="s">
        <v>27</v>
      </c>
      <c r="Q1760" s="3" t="s">
        <v>28</v>
      </c>
      <c r="R1760" s="3" t="s">
        <v>28</v>
      </c>
      <c r="S1760" s="3" t="s">
        <v>28</v>
      </c>
      <c r="T1760" s="3" t="s">
        <v>28</v>
      </c>
    </row>
    <row r="1761" spans="1:20" ht="321">
      <c r="A1761" s="3">
        <v>2713471</v>
      </c>
      <c r="B1761" s="3">
        <f>HYPERLINK("https://platform.v2.vetology.net/cases/2713471/screening-report/6?type=pdf&amp;v=v6&amp;scorecard=1&amp;secret_key=BX%25IJ%24%2F65ieZ%29f6", 2713471)</f>
        <v>2713471</v>
      </c>
      <c r="C1761" s="3">
        <f>HYPERLINK("https://platform.v2.vetology.net/report/v/final/"&amp;2713471, 2713471)</f>
        <v>2713471</v>
      </c>
      <c r="D1761" s="3" t="s">
        <v>6192</v>
      </c>
      <c r="E1761" s="3" t="s">
        <v>6193</v>
      </c>
      <c r="F1761" s="3" t="s">
        <v>6194</v>
      </c>
      <c r="G1761" s="3" t="s">
        <v>211</v>
      </c>
      <c r="H1761" s="3" t="s">
        <v>6195</v>
      </c>
      <c r="I1761" s="3" t="s">
        <v>784</v>
      </c>
      <c r="J1761" s="3" t="s">
        <v>785</v>
      </c>
      <c r="K1761" s="3" t="s">
        <v>27</v>
      </c>
      <c r="L1761" s="3" t="s">
        <v>28</v>
      </c>
      <c r="M1761" s="3" t="s">
        <v>27</v>
      </c>
      <c r="N1761" s="3" t="s">
        <v>28</v>
      </c>
      <c r="O1761" s="3" t="s">
        <v>27</v>
      </c>
      <c r="P1761" s="3" t="s">
        <v>28</v>
      </c>
      <c r="Q1761" s="3" t="s">
        <v>27</v>
      </c>
      <c r="R1761" s="3" t="s">
        <v>28</v>
      </c>
      <c r="S1761" s="3" t="s">
        <v>28</v>
      </c>
      <c r="T1761" s="3" t="s">
        <v>27</v>
      </c>
    </row>
    <row r="1762" spans="1:20" ht="366">
      <c r="A1762" s="3">
        <v>2713467</v>
      </c>
      <c r="B1762" s="3">
        <f>HYPERLINK("https://platform.v2.vetology.net/cases/2713467/screening-report/6?type=pdf&amp;v=v6&amp;scorecard=1&amp;secret_key=BX%25IJ%24%2F65ieZ%29f6", 2713467)</f>
        <v>2713467</v>
      </c>
      <c r="C1762" s="3">
        <f>HYPERLINK("https://platform.v2.vetology.net/report/v/final/"&amp;2713467, 2713467)</f>
        <v>2713467</v>
      </c>
      <c r="D1762" s="3" t="s">
        <v>6196</v>
      </c>
      <c r="E1762" s="3" t="s">
        <v>6197</v>
      </c>
      <c r="F1762" s="3" t="s">
        <v>3568</v>
      </c>
      <c r="G1762" s="3" t="s">
        <v>211</v>
      </c>
      <c r="H1762" s="3" t="s">
        <v>6198</v>
      </c>
      <c r="I1762" s="3" t="s">
        <v>1822</v>
      </c>
      <c r="J1762" s="3" t="s">
        <v>660</v>
      </c>
      <c r="K1762" s="3" t="s">
        <v>27</v>
      </c>
      <c r="L1762" s="3" t="s">
        <v>28</v>
      </c>
      <c r="M1762" s="3" t="s">
        <v>27</v>
      </c>
      <c r="N1762" s="3" t="s">
        <v>28</v>
      </c>
      <c r="O1762" s="3" t="s">
        <v>27</v>
      </c>
      <c r="P1762" s="3" t="s">
        <v>28</v>
      </c>
      <c r="Q1762" s="3" t="s">
        <v>27</v>
      </c>
      <c r="R1762" s="3" t="s">
        <v>28</v>
      </c>
      <c r="S1762" s="3" t="s">
        <v>28</v>
      </c>
      <c r="T1762" s="3" t="s">
        <v>28</v>
      </c>
    </row>
    <row r="1763" spans="1:20" ht="409.6">
      <c r="A1763" s="3">
        <v>2713464</v>
      </c>
      <c r="B1763" s="3">
        <f>HYPERLINK("https://platform.v2.vetology.net/cases/2713464/screening-report/6?type=pdf&amp;v=v6&amp;scorecard=1&amp;secret_key=BX%25IJ%24%2F65ieZ%29f6", 2713464)</f>
        <v>2713464</v>
      </c>
      <c r="C1763" s="3">
        <f>HYPERLINK("https://platform.v2.vetology.net/report/v/final/"&amp;2713464, 2713464)</f>
        <v>2713464</v>
      </c>
      <c r="D1763" s="3" t="s">
        <v>6199</v>
      </c>
      <c r="E1763" s="3" t="s">
        <v>6200</v>
      </c>
      <c r="F1763" s="3" t="s">
        <v>6201</v>
      </c>
      <c r="G1763" s="3" t="s">
        <v>211</v>
      </c>
      <c r="H1763" s="3" t="s">
        <v>171</v>
      </c>
      <c r="I1763" s="3" t="s">
        <v>172</v>
      </c>
      <c r="J1763" s="3" t="s">
        <v>109</v>
      </c>
      <c r="K1763" s="3" t="s">
        <v>28</v>
      </c>
      <c r="L1763" s="3" t="s">
        <v>27</v>
      </c>
      <c r="M1763" s="3" t="s">
        <v>28</v>
      </c>
      <c r="N1763" s="3" t="s">
        <v>27</v>
      </c>
      <c r="O1763" s="3" t="s">
        <v>27</v>
      </c>
      <c r="P1763" s="3" t="s">
        <v>28</v>
      </c>
      <c r="Q1763" s="3" t="s">
        <v>27</v>
      </c>
      <c r="R1763" s="3" t="s">
        <v>27</v>
      </c>
      <c r="S1763" s="3" t="s">
        <v>28</v>
      </c>
      <c r="T1763" s="3" t="s">
        <v>27</v>
      </c>
    </row>
    <row r="1764" spans="1:20" ht="229.5">
      <c r="A1764" s="3">
        <v>2713413</v>
      </c>
      <c r="B1764" s="3">
        <f>HYPERLINK("https://platform.v2.vetology.net/cases/2713413/screening-report/6?type=pdf&amp;v=v6&amp;scorecard=1&amp;secret_key=BX%25IJ%24%2F65ieZ%29f6", 2713413)</f>
        <v>2713413</v>
      </c>
      <c r="C1764" s="3">
        <f>HYPERLINK("https://platform.v2.vetology.net/report/v/final/"&amp;2713413, 2713413)</f>
        <v>2713413</v>
      </c>
      <c r="D1764" s="3" t="s">
        <v>6202</v>
      </c>
      <c r="E1764" s="3" t="s">
        <v>6203</v>
      </c>
      <c r="F1764" s="3" t="s">
        <v>6204</v>
      </c>
      <c r="G1764" s="3" t="s">
        <v>122</v>
      </c>
      <c r="H1764" s="3" t="s">
        <v>6205</v>
      </c>
      <c r="I1764" s="3"/>
      <c r="J1764" s="3" t="s">
        <v>207</v>
      </c>
      <c r="K1764" s="3" t="s">
        <v>28</v>
      </c>
      <c r="L1764" s="3" t="s">
        <v>28</v>
      </c>
      <c r="M1764" s="3" t="s">
        <v>28</v>
      </c>
      <c r="N1764" s="3" t="s">
        <v>28</v>
      </c>
      <c r="O1764" s="3" t="s">
        <v>27</v>
      </c>
      <c r="P1764" s="3" t="s">
        <v>28</v>
      </c>
      <c r="Q1764" s="3" t="s">
        <v>28</v>
      </c>
      <c r="R1764" s="3" t="s">
        <v>28</v>
      </c>
      <c r="S1764" s="3" t="s">
        <v>28</v>
      </c>
      <c r="T1764" s="3" t="s">
        <v>28</v>
      </c>
    </row>
    <row r="1765" spans="1:20" ht="409.6">
      <c r="A1765" s="3">
        <v>2713388</v>
      </c>
      <c r="B1765" s="3">
        <f>HYPERLINK("https://platform.v2.vetology.net/cases/2713388/screening-report/6?type=pdf&amp;v=v6&amp;scorecard=1&amp;secret_key=BX%25IJ%24%2F65ieZ%29f6", 2713388)</f>
        <v>2713388</v>
      </c>
      <c r="C1765" s="3">
        <f>HYPERLINK("https://platform.v2.vetology.net/report/v/final/"&amp;2713388, 2713388)</f>
        <v>2713388</v>
      </c>
      <c r="D1765" s="3" t="s">
        <v>6206</v>
      </c>
      <c r="E1765" s="3" t="s">
        <v>6207</v>
      </c>
      <c r="F1765" s="3" t="s">
        <v>6208</v>
      </c>
      <c r="G1765" s="3" t="s">
        <v>211</v>
      </c>
      <c r="H1765" s="3" t="s">
        <v>1932</v>
      </c>
      <c r="I1765" s="3" t="s">
        <v>136</v>
      </c>
      <c r="J1765" s="3" t="s">
        <v>137</v>
      </c>
      <c r="K1765" s="3" t="s">
        <v>27</v>
      </c>
      <c r="L1765" s="3" t="s">
        <v>27</v>
      </c>
      <c r="M1765" s="3" t="s">
        <v>28</v>
      </c>
      <c r="N1765" s="3" t="s">
        <v>28</v>
      </c>
      <c r="O1765" s="3" t="s">
        <v>27</v>
      </c>
      <c r="P1765" s="3" t="s">
        <v>28</v>
      </c>
      <c r="Q1765" s="3" t="s">
        <v>27</v>
      </c>
      <c r="R1765" s="3" t="s">
        <v>28</v>
      </c>
      <c r="S1765" s="3" t="s">
        <v>27</v>
      </c>
      <c r="T1765" s="3" t="s">
        <v>27</v>
      </c>
    </row>
    <row r="1766" spans="1:20" ht="409.6">
      <c r="A1766" s="3">
        <v>2713378</v>
      </c>
      <c r="B1766" s="3">
        <f>HYPERLINK("https://platform.v2.vetology.net/cases/2713378/screening-report/6?type=pdf&amp;v=v6&amp;scorecard=1&amp;secret_key=BX%25IJ%24%2F65ieZ%29f6", 2713378)</f>
        <v>2713378</v>
      </c>
      <c r="C1766" s="3">
        <f>HYPERLINK("https://platform.v2.vetology.net/report/v/final/"&amp;2713378, 2713378)</f>
        <v>2713378</v>
      </c>
      <c r="D1766" s="3" t="s">
        <v>6209</v>
      </c>
      <c r="E1766" s="3" t="s">
        <v>6210</v>
      </c>
      <c r="F1766" s="3" t="s">
        <v>6211</v>
      </c>
      <c r="G1766" s="3" t="s">
        <v>64</v>
      </c>
      <c r="H1766" s="3" t="s">
        <v>419</v>
      </c>
      <c r="I1766" s="3" t="s">
        <v>316</v>
      </c>
      <c r="J1766" s="3" t="s">
        <v>317</v>
      </c>
      <c r="K1766" s="3" t="s">
        <v>28</v>
      </c>
      <c r="L1766" s="3" t="s">
        <v>28</v>
      </c>
      <c r="M1766" s="3" t="s">
        <v>28</v>
      </c>
      <c r="N1766" s="3" t="s">
        <v>28</v>
      </c>
      <c r="O1766" s="3" t="s">
        <v>27</v>
      </c>
      <c r="P1766" s="3" t="s">
        <v>28</v>
      </c>
      <c r="Q1766" s="3" t="s">
        <v>28</v>
      </c>
      <c r="R1766" s="3" t="s">
        <v>28</v>
      </c>
      <c r="S1766" s="3" t="s">
        <v>28</v>
      </c>
      <c r="T1766" s="3" t="s">
        <v>28</v>
      </c>
    </row>
    <row r="1767" spans="1:20" ht="396.75">
      <c r="A1767" s="3">
        <v>2713357</v>
      </c>
      <c r="B1767" s="3">
        <f>HYPERLINK("https://platform.v2.vetology.net/cases/2713357/screening-report/6?type=pdf&amp;v=v6&amp;scorecard=1&amp;secret_key=BX%25IJ%24%2F65ieZ%29f6", 2713357)</f>
        <v>2713357</v>
      </c>
      <c r="C1767" s="3">
        <f>HYPERLINK("https://platform.v2.vetology.net/report/v/final/"&amp;2713357, 2713357)</f>
        <v>2713357</v>
      </c>
      <c r="D1767" s="3" t="s">
        <v>6212</v>
      </c>
      <c r="E1767" s="3" t="s">
        <v>6213</v>
      </c>
      <c r="F1767" s="3" t="s">
        <v>6214</v>
      </c>
      <c r="G1767" s="3" t="s">
        <v>64</v>
      </c>
      <c r="H1767" s="3" t="s">
        <v>6215</v>
      </c>
      <c r="I1767" s="3" t="s">
        <v>2438</v>
      </c>
      <c r="J1767" s="3" t="s">
        <v>2439</v>
      </c>
      <c r="K1767" s="3" t="s">
        <v>28</v>
      </c>
      <c r="L1767" s="3" t="s">
        <v>28</v>
      </c>
      <c r="M1767" s="3" t="s">
        <v>28</v>
      </c>
      <c r="N1767" s="3" t="s">
        <v>28</v>
      </c>
      <c r="O1767" s="3" t="s">
        <v>28</v>
      </c>
      <c r="P1767" s="3" t="s">
        <v>27</v>
      </c>
      <c r="Q1767" s="3" t="s">
        <v>28</v>
      </c>
      <c r="R1767" s="3" t="s">
        <v>28</v>
      </c>
      <c r="S1767" s="3" t="s">
        <v>28</v>
      </c>
      <c r="T1767" s="3" t="s">
        <v>28</v>
      </c>
    </row>
    <row r="1768" spans="1:20" ht="409.6">
      <c r="A1768" s="3">
        <v>2713316</v>
      </c>
      <c r="B1768" s="3">
        <f>HYPERLINK("https://platform.v2.vetology.net/cases/2713316/screening-report/6?type=pdf&amp;v=v6&amp;scorecard=1&amp;secret_key=BX%25IJ%24%2F65ieZ%29f6", 2713316)</f>
        <v>2713316</v>
      </c>
      <c r="C1768" s="3">
        <f>HYPERLINK("https://platform.v2.vetology.net/report/v/final/"&amp;2713316, 2713316)</f>
        <v>2713316</v>
      </c>
      <c r="D1768" s="3" t="s">
        <v>6216</v>
      </c>
      <c r="E1768" s="3" t="s">
        <v>6217</v>
      </c>
      <c r="F1768" s="3" t="s">
        <v>6218</v>
      </c>
      <c r="G1768" s="3" t="s">
        <v>211</v>
      </c>
      <c r="H1768" s="3" t="s">
        <v>6219</v>
      </c>
      <c r="I1768" s="3" t="s">
        <v>1020</v>
      </c>
      <c r="J1768" s="3" t="s">
        <v>1021</v>
      </c>
      <c r="K1768" s="3" t="s">
        <v>27</v>
      </c>
      <c r="L1768" s="3" t="s">
        <v>28</v>
      </c>
      <c r="M1768" s="3" t="s">
        <v>27</v>
      </c>
      <c r="N1768" s="3" t="s">
        <v>28</v>
      </c>
      <c r="O1768" s="3" t="s">
        <v>27</v>
      </c>
      <c r="P1768" s="3" t="s">
        <v>27</v>
      </c>
      <c r="Q1768" s="3" t="s">
        <v>27</v>
      </c>
      <c r="R1768" s="3" t="s">
        <v>28</v>
      </c>
      <c r="S1768" s="3" t="s">
        <v>28</v>
      </c>
      <c r="T1768" s="3" t="s">
        <v>28</v>
      </c>
    </row>
    <row r="1769" spans="1:20" ht="409.6">
      <c r="A1769" s="3">
        <v>2713262</v>
      </c>
      <c r="B1769" s="3">
        <f>HYPERLINK("https://platform.v2.vetology.net/cases/2713262/screening-report/6?type=pdf&amp;v=v6&amp;scorecard=1&amp;secret_key=BX%25IJ%24%2F65ieZ%29f6", 2713262)</f>
        <v>2713262</v>
      </c>
      <c r="C1769" s="3">
        <f>HYPERLINK("https://platform.v2.vetology.net/report/v/final/"&amp;2713262, 2713262)</f>
        <v>2713262</v>
      </c>
      <c r="D1769" s="3" t="s">
        <v>6220</v>
      </c>
      <c r="E1769" s="3" t="s">
        <v>6221</v>
      </c>
      <c r="F1769" s="3" t="s">
        <v>6222</v>
      </c>
      <c r="G1769" s="3" t="s">
        <v>64</v>
      </c>
      <c r="H1769" s="3" t="s">
        <v>6223</v>
      </c>
      <c r="I1769" s="3" t="s">
        <v>6224</v>
      </c>
      <c r="J1769" s="3" t="s">
        <v>719</v>
      </c>
      <c r="K1769" s="3" t="s">
        <v>27</v>
      </c>
      <c r="L1769" s="3" t="s">
        <v>27</v>
      </c>
      <c r="M1769" s="3" t="s">
        <v>28</v>
      </c>
      <c r="N1769" s="3" t="s">
        <v>27</v>
      </c>
      <c r="O1769" s="3" t="s">
        <v>27</v>
      </c>
      <c r="P1769" s="3" t="s">
        <v>28</v>
      </c>
      <c r="Q1769" s="3" t="s">
        <v>27</v>
      </c>
      <c r="R1769" s="3" t="s">
        <v>28</v>
      </c>
      <c r="S1769" s="3" t="s">
        <v>27</v>
      </c>
      <c r="T1769" s="3" t="s">
        <v>27</v>
      </c>
    </row>
    <row r="1770" spans="1:20" ht="366">
      <c r="A1770" s="3">
        <v>2713219</v>
      </c>
      <c r="B1770" s="3">
        <f>HYPERLINK("https://platform.v2.vetology.net/cases/2713219/screening-report/6?type=pdf&amp;v=v6&amp;scorecard=1&amp;secret_key=BX%25IJ%24%2F65ieZ%29f6", 2713219)</f>
        <v>2713219</v>
      </c>
      <c r="C1770" s="3">
        <f>HYPERLINK("https://platform.v2.vetology.net/report/v/final/"&amp;2713219, 2713219)</f>
        <v>2713219</v>
      </c>
      <c r="D1770" s="3" t="s">
        <v>6225</v>
      </c>
      <c r="E1770" s="3" t="s">
        <v>6226</v>
      </c>
      <c r="F1770" s="3" t="s">
        <v>6227</v>
      </c>
      <c r="G1770" s="3" t="s">
        <v>186</v>
      </c>
      <c r="H1770" s="3" t="s">
        <v>6228</v>
      </c>
      <c r="I1770" s="3" t="s">
        <v>2963</v>
      </c>
      <c r="J1770" s="3" t="s">
        <v>2964</v>
      </c>
      <c r="K1770" s="3" t="s">
        <v>27</v>
      </c>
      <c r="L1770" s="3" t="s">
        <v>28</v>
      </c>
      <c r="M1770" s="3" t="s">
        <v>27</v>
      </c>
      <c r="N1770" s="3" t="s">
        <v>28</v>
      </c>
      <c r="O1770" s="3" t="s">
        <v>27</v>
      </c>
      <c r="P1770" s="3" t="s">
        <v>28</v>
      </c>
      <c r="Q1770" s="3" t="s">
        <v>27</v>
      </c>
      <c r="R1770" s="3" t="s">
        <v>28</v>
      </c>
      <c r="S1770" s="3" t="s">
        <v>28</v>
      </c>
      <c r="T1770" s="3" t="s">
        <v>28</v>
      </c>
    </row>
    <row r="1771" spans="1:20" ht="229.5">
      <c r="A1771" s="3">
        <v>2713156</v>
      </c>
      <c r="B1771" s="3">
        <f>HYPERLINK("https://platform.v2.vetology.net/cases/2713156/screening-report/6?type=pdf&amp;v=v6&amp;scorecard=1&amp;secret_key=BX%25IJ%24%2F65ieZ%29f6", 2713156)</f>
        <v>2713156</v>
      </c>
      <c r="C1771" s="3">
        <f>HYPERLINK("https://platform.v2.vetology.net/report/v/final/"&amp;2713156, 2713156)</f>
        <v>2713156</v>
      </c>
      <c r="D1771" s="3" t="s">
        <v>6229</v>
      </c>
      <c r="E1771" s="3" t="s">
        <v>6230</v>
      </c>
      <c r="F1771" s="3" t="s">
        <v>6231</v>
      </c>
      <c r="G1771" s="3" t="s">
        <v>186</v>
      </c>
      <c r="H1771" s="3" t="s">
        <v>158</v>
      </c>
      <c r="I1771" s="3" t="s">
        <v>32</v>
      </c>
      <c r="J1771" s="3" t="s">
        <v>119</v>
      </c>
      <c r="K1771" s="3" t="s">
        <v>28</v>
      </c>
      <c r="L1771" s="3" t="s">
        <v>28</v>
      </c>
      <c r="M1771" s="3" t="s">
        <v>28</v>
      </c>
      <c r="N1771" s="3" t="s">
        <v>28</v>
      </c>
      <c r="O1771" s="3" t="s">
        <v>28</v>
      </c>
      <c r="P1771" s="3" t="s">
        <v>28</v>
      </c>
      <c r="Q1771" s="3" t="s">
        <v>28</v>
      </c>
      <c r="R1771" s="3" t="s">
        <v>28</v>
      </c>
      <c r="S1771" s="3" t="s">
        <v>28</v>
      </c>
      <c r="T1771" s="3" t="s">
        <v>28</v>
      </c>
    </row>
    <row r="1772" spans="1:20" ht="229.5">
      <c r="A1772" s="3">
        <v>2713120</v>
      </c>
      <c r="B1772" s="3">
        <f>HYPERLINK("https://platform.v2.vetology.net/cases/2713120/screening-report/6?type=pdf&amp;v=v6&amp;scorecard=1&amp;secret_key=BX%25IJ%24%2F65ieZ%29f6", 2713120)</f>
        <v>2713120</v>
      </c>
      <c r="C1772" s="3">
        <f>HYPERLINK("https://platform.v2.vetology.net/report/v/final/"&amp;2713120, 2713120)</f>
        <v>2713120</v>
      </c>
      <c r="D1772" s="3" t="s">
        <v>6232</v>
      </c>
      <c r="E1772" s="3" t="s">
        <v>6233</v>
      </c>
      <c r="F1772" s="3"/>
      <c r="G1772" s="3" t="s">
        <v>122</v>
      </c>
      <c r="H1772" s="3" t="s">
        <v>702</v>
      </c>
      <c r="I1772" s="3" t="s">
        <v>32</v>
      </c>
      <c r="J1772" s="3" t="s">
        <v>119</v>
      </c>
      <c r="K1772" s="3" t="s">
        <v>28</v>
      </c>
      <c r="L1772" s="3" t="s">
        <v>28</v>
      </c>
      <c r="M1772" s="3" t="s">
        <v>28</v>
      </c>
      <c r="N1772" s="3" t="s">
        <v>28</v>
      </c>
      <c r="O1772" s="3" t="s">
        <v>27</v>
      </c>
      <c r="P1772" s="3" t="s">
        <v>28</v>
      </c>
      <c r="Q1772" s="3" t="s">
        <v>28</v>
      </c>
      <c r="R1772" s="3" t="s">
        <v>28</v>
      </c>
      <c r="S1772" s="3" t="s">
        <v>28</v>
      </c>
      <c r="T1772" s="3" t="s">
        <v>28</v>
      </c>
    </row>
    <row r="1773" spans="1:20" ht="305.25">
      <c r="A1773" s="3">
        <v>2713113</v>
      </c>
      <c r="B1773" s="3">
        <f>HYPERLINK("https://platform.v2.vetology.net/cases/2713113/screening-report/6?type=pdf&amp;v=v6&amp;scorecard=1&amp;secret_key=BX%25IJ%24%2F65ieZ%29f6", 2713113)</f>
        <v>2713113</v>
      </c>
      <c r="C1773" s="3">
        <f>HYPERLINK("https://platform.v2.vetology.net/report/v/final/"&amp;2713113, 2713113)</f>
        <v>2713113</v>
      </c>
      <c r="D1773" s="3" t="s">
        <v>6234</v>
      </c>
      <c r="E1773" s="3" t="s">
        <v>6235</v>
      </c>
      <c r="F1773" s="3" t="s">
        <v>6236</v>
      </c>
      <c r="G1773" s="3" t="s">
        <v>186</v>
      </c>
      <c r="H1773" s="3" t="s">
        <v>300</v>
      </c>
      <c r="I1773" s="3" t="s">
        <v>32</v>
      </c>
      <c r="J1773" s="3" t="s">
        <v>33</v>
      </c>
      <c r="K1773" s="3" t="s">
        <v>28</v>
      </c>
      <c r="L1773" s="3" t="s">
        <v>28</v>
      </c>
      <c r="M1773" s="3" t="s">
        <v>28</v>
      </c>
      <c r="N1773" s="3" t="s">
        <v>28</v>
      </c>
      <c r="O1773" s="3" t="s">
        <v>27</v>
      </c>
      <c r="P1773" s="3" t="s">
        <v>28</v>
      </c>
      <c r="Q1773" s="3" t="s">
        <v>28</v>
      </c>
      <c r="R1773" s="3" t="s">
        <v>28</v>
      </c>
      <c r="S1773" s="3" t="s">
        <v>28</v>
      </c>
      <c r="T1773" s="3" t="s">
        <v>28</v>
      </c>
    </row>
    <row r="1774" spans="1:20" ht="244.5">
      <c r="A1774" s="3">
        <v>2713080</v>
      </c>
      <c r="B1774" s="3">
        <f>HYPERLINK("https://platform.v2.vetology.net/cases/2713080/screening-report/6?type=pdf&amp;v=v6&amp;scorecard=1&amp;secret_key=BX%25IJ%24%2F65ieZ%29f6", 2713080)</f>
        <v>2713080</v>
      </c>
      <c r="C1774" s="3">
        <f>HYPERLINK("https://platform.v2.vetology.net/report/v/final/"&amp;2713080, 2713080)</f>
        <v>2713080</v>
      </c>
      <c r="D1774" s="3" t="s">
        <v>6237</v>
      </c>
      <c r="E1774" s="3" t="s">
        <v>6238</v>
      </c>
      <c r="F1774" s="3" t="s">
        <v>22</v>
      </c>
      <c r="G1774" s="3" t="s">
        <v>372</v>
      </c>
      <c r="H1774" s="3" t="s">
        <v>2784</v>
      </c>
      <c r="I1774" s="3" t="s">
        <v>206</v>
      </c>
      <c r="J1774" s="3" t="s">
        <v>207</v>
      </c>
      <c r="K1774" s="3" t="s">
        <v>27</v>
      </c>
      <c r="L1774" s="3" t="s">
        <v>28</v>
      </c>
      <c r="M1774" s="3" t="s">
        <v>27</v>
      </c>
      <c r="N1774" s="3" t="s">
        <v>28</v>
      </c>
      <c r="O1774" s="3" t="s">
        <v>27</v>
      </c>
      <c r="P1774" s="3" t="s">
        <v>28</v>
      </c>
      <c r="Q1774" s="3" t="s">
        <v>27</v>
      </c>
      <c r="R1774" s="3" t="s">
        <v>28</v>
      </c>
      <c r="S1774" s="3" t="s">
        <v>28</v>
      </c>
      <c r="T1774" s="3" t="s">
        <v>28</v>
      </c>
    </row>
    <row r="1775" spans="1:20" ht="351">
      <c r="A1775" s="3">
        <v>2713053</v>
      </c>
      <c r="B1775" s="3">
        <f>HYPERLINK("https://platform.v2.vetology.net/cases/2713053/screening-report/6?type=pdf&amp;v=v6&amp;scorecard=1&amp;secret_key=BX%25IJ%24%2F65ieZ%29f6", 2713053)</f>
        <v>2713053</v>
      </c>
      <c r="C1775" s="3">
        <f>HYPERLINK("https://platform.v2.vetology.net/report/v/final/"&amp;2713053, 2713053)</f>
        <v>2713053</v>
      </c>
      <c r="D1775" s="3" t="s">
        <v>6239</v>
      </c>
      <c r="E1775" s="3" t="s">
        <v>6240</v>
      </c>
      <c r="F1775" s="3" t="s">
        <v>2881</v>
      </c>
      <c r="G1775" s="3" t="s">
        <v>57</v>
      </c>
      <c r="H1775" s="3" t="s">
        <v>6241</v>
      </c>
      <c r="I1775" s="3" t="s">
        <v>6242</v>
      </c>
      <c r="J1775" s="3" t="s">
        <v>6243</v>
      </c>
      <c r="K1775" s="3" t="s">
        <v>28</v>
      </c>
      <c r="L1775" s="3" t="s">
        <v>28</v>
      </c>
      <c r="M1775" s="3" t="s">
        <v>28</v>
      </c>
      <c r="N1775" s="3" t="s">
        <v>28</v>
      </c>
      <c r="O1775" s="3" t="s">
        <v>28</v>
      </c>
      <c r="P1775" s="3" t="s">
        <v>28</v>
      </c>
      <c r="Q1775" s="3" t="s">
        <v>28</v>
      </c>
      <c r="R1775" s="3" t="s">
        <v>28</v>
      </c>
      <c r="S1775" s="3" t="s">
        <v>28</v>
      </c>
      <c r="T1775" s="3" t="s">
        <v>28</v>
      </c>
    </row>
    <row r="1776" spans="1:20" ht="409.6">
      <c r="A1776" s="3">
        <v>2713019</v>
      </c>
      <c r="B1776" s="3">
        <f>HYPERLINK("https://platform.v2.vetology.net/cases/2713019/screening-report/6?type=pdf&amp;v=v6&amp;scorecard=1&amp;secret_key=BX%25IJ%24%2F65ieZ%29f6", 2713019)</f>
        <v>2713019</v>
      </c>
      <c r="C1776" s="3">
        <f>HYPERLINK("https://platform.v2.vetology.net/report/v/final/"&amp;2713019, 2713019)</f>
        <v>2713019</v>
      </c>
      <c r="D1776" s="3" t="s">
        <v>6244</v>
      </c>
      <c r="E1776" s="3" t="s">
        <v>6245</v>
      </c>
      <c r="F1776" s="3" t="s">
        <v>22</v>
      </c>
      <c r="G1776" s="3" t="s">
        <v>372</v>
      </c>
      <c r="H1776" s="3" t="s">
        <v>6246</v>
      </c>
      <c r="I1776" s="3" t="s">
        <v>3181</v>
      </c>
      <c r="J1776" s="3" t="s">
        <v>3182</v>
      </c>
      <c r="K1776" s="3" t="s">
        <v>27</v>
      </c>
      <c r="L1776" s="3" t="s">
        <v>28</v>
      </c>
      <c r="M1776" s="3" t="s">
        <v>28</v>
      </c>
      <c r="N1776" s="3" t="s">
        <v>28</v>
      </c>
      <c r="O1776" s="3" t="s">
        <v>27</v>
      </c>
      <c r="P1776" s="3" t="s">
        <v>28</v>
      </c>
      <c r="Q1776" s="3" t="s">
        <v>28</v>
      </c>
      <c r="R1776" s="3" t="s">
        <v>28</v>
      </c>
      <c r="S1776" s="3" t="s">
        <v>28</v>
      </c>
      <c r="T1776" s="3" t="s">
        <v>28</v>
      </c>
    </row>
    <row r="1777" spans="1:20" ht="229.5">
      <c r="A1777" s="3">
        <v>2713012</v>
      </c>
      <c r="B1777" s="3">
        <f>HYPERLINK("https://platform.v2.vetology.net/cases/2713012/screening-report/6?type=pdf&amp;v=v6&amp;scorecard=1&amp;secret_key=BX%25IJ%24%2F65ieZ%29f6", 2713012)</f>
        <v>2713012</v>
      </c>
      <c r="C1777" s="3">
        <f>HYPERLINK("https://platform.v2.vetology.net/report/v/final/"&amp;2713012, 2713012)</f>
        <v>2713012</v>
      </c>
      <c r="D1777" s="3" t="s">
        <v>6247</v>
      </c>
      <c r="E1777" s="3" t="s">
        <v>6248</v>
      </c>
      <c r="F1777" s="3"/>
      <c r="G1777" s="3" t="s">
        <v>100</v>
      </c>
      <c r="H1777" s="3" t="s">
        <v>6249</v>
      </c>
      <c r="I1777" s="3"/>
      <c r="J1777" s="3" t="s">
        <v>207</v>
      </c>
      <c r="K1777" s="3" t="s">
        <v>28</v>
      </c>
      <c r="L1777" s="3" t="s">
        <v>28</v>
      </c>
      <c r="M1777" s="3" t="s">
        <v>28</v>
      </c>
      <c r="N1777" s="3" t="s">
        <v>28</v>
      </c>
      <c r="O1777" s="3" t="s">
        <v>28</v>
      </c>
      <c r="P1777" s="3" t="s">
        <v>28</v>
      </c>
      <c r="Q1777" s="3" t="s">
        <v>28</v>
      </c>
      <c r="R1777" s="3" t="s">
        <v>28</v>
      </c>
      <c r="S1777" s="3" t="s">
        <v>28</v>
      </c>
      <c r="T1777" s="3" t="s">
        <v>27</v>
      </c>
    </row>
    <row r="1778" spans="1:20" ht="396.75">
      <c r="A1778" s="3">
        <v>2712996</v>
      </c>
      <c r="B1778" s="3">
        <f>HYPERLINK("https://platform.v2.vetology.net/cases/2712996/screening-report/6?type=pdf&amp;v=v6&amp;scorecard=1&amp;secret_key=BX%25IJ%24%2F65ieZ%29f6", 2712996)</f>
        <v>2712996</v>
      </c>
      <c r="C1778" s="3">
        <f>HYPERLINK("https://platform.v2.vetology.net/report/v/final/"&amp;2712996, 2712996)</f>
        <v>2712996</v>
      </c>
      <c r="D1778" s="3" t="s">
        <v>6250</v>
      </c>
      <c r="E1778" s="3" t="s">
        <v>6251</v>
      </c>
      <c r="F1778" s="3" t="s">
        <v>5084</v>
      </c>
      <c r="G1778" s="3" t="s">
        <v>186</v>
      </c>
      <c r="H1778" s="3" t="s">
        <v>6252</v>
      </c>
      <c r="I1778" s="3" t="s">
        <v>572</v>
      </c>
      <c r="J1778" s="3" t="s">
        <v>2392</v>
      </c>
      <c r="K1778" s="3" t="s">
        <v>28</v>
      </c>
      <c r="L1778" s="3" t="s">
        <v>28</v>
      </c>
      <c r="M1778" s="3" t="s">
        <v>27</v>
      </c>
      <c r="N1778" s="3" t="s">
        <v>28</v>
      </c>
      <c r="O1778" s="3" t="s">
        <v>27</v>
      </c>
      <c r="P1778" s="3" t="s">
        <v>28</v>
      </c>
      <c r="Q1778" s="3" t="s">
        <v>27</v>
      </c>
      <c r="R1778" s="3" t="s">
        <v>28</v>
      </c>
      <c r="S1778" s="3" t="s">
        <v>27</v>
      </c>
      <c r="T1778" s="3" t="s">
        <v>28</v>
      </c>
    </row>
    <row r="1779" spans="1:20" ht="409.6">
      <c r="A1779" s="3">
        <v>2712994</v>
      </c>
      <c r="B1779" s="3">
        <f>HYPERLINK("https://platform.v2.vetology.net/cases/2712994/screening-report/6?type=pdf&amp;v=v6&amp;scorecard=1&amp;secret_key=BX%25IJ%24%2F65ieZ%29f6", 2712994)</f>
        <v>2712994</v>
      </c>
      <c r="C1779" s="3">
        <f>HYPERLINK("https://platform.v2.vetology.net/report/v/final/"&amp;2712994, 2712994)</f>
        <v>2712994</v>
      </c>
      <c r="D1779" s="3" t="s">
        <v>6253</v>
      </c>
      <c r="E1779" s="3" t="s">
        <v>6254</v>
      </c>
      <c r="F1779" s="3" t="s">
        <v>6255</v>
      </c>
      <c r="G1779" s="3" t="s">
        <v>496</v>
      </c>
      <c r="H1779" s="3" t="s">
        <v>6256</v>
      </c>
      <c r="I1779" s="3" t="s">
        <v>6257</v>
      </c>
      <c r="J1779" s="3" t="s">
        <v>6258</v>
      </c>
      <c r="K1779" s="3" t="s">
        <v>27</v>
      </c>
      <c r="L1779" s="3" t="s">
        <v>27</v>
      </c>
      <c r="M1779" s="3" t="s">
        <v>27</v>
      </c>
      <c r="N1779" s="3" t="s">
        <v>27</v>
      </c>
      <c r="O1779" s="3" t="s">
        <v>27</v>
      </c>
      <c r="P1779" s="3" t="s">
        <v>28</v>
      </c>
      <c r="Q1779" s="3" t="s">
        <v>27</v>
      </c>
      <c r="R1779" s="3" t="s">
        <v>28</v>
      </c>
      <c r="S1779" s="3" t="s">
        <v>28</v>
      </c>
      <c r="T1779" s="3" t="s">
        <v>28</v>
      </c>
    </row>
    <row r="1780" spans="1:20" ht="409.6">
      <c r="A1780" s="3">
        <v>2712990</v>
      </c>
      <c r="B1780" s="3">
        <f>HYPERLINK("https://platform.v2.vetology.net/cases/2712990/screening-report/6?type=pdf&amp;v=v6&amp;scorecard=1&amp;secret_key=BX%25IJ%24%2F65ieZ%29f6", 2712990)</f>
        <v>2712990</v>
      </c>
      <c r="C1780" s="3">
        <f>HYPERLINK("https://platform.v2.vetology.net/report/v/final/"&amp;2712990, 2712990)</f>
        <v>2712990</v>
      </c>
      <c r="D1780" s="3" t="s">
        <v>6259</v>
      </c>
      <c r="E1780" s="3" t="s">
        <v>6260</v>
      </c>
      <c r="F1780" s="3" t="s">
        <v>6261</v>
      </c>
      <c r="G1780" s="3" t="s">
        <v>1772</v>
      </c>
      <c r="H1780" s="3" t="s">
        <v>6262</v>
      </c>
      <c r="I1780" s="3" t="s">
        <v>939</v>
      </c>
      <c r="J1780" s="3" t="s">
        <v>940</v>
      </c>
      <c r="K1780" s="3" t="s">
        <v>27</v>
      </c>
      <c r="L1780" s="3" t="s">
        <v>28</v>
      </c>
      <c r="M1780" s="3" t="s">
        <v>27</v>
      </c>
      <c r="N1780" s="3" t="s">
        <v>28</v>
      </c>
      <c r="O1780" s="3" t="s">
        <v>27</v>
      </c>
      <c r="P1780" s="3" t="s">
        <v>28</v>
      </c>
      <c r="Q1780" s="3" t="s">
        <v>28</v>
      </c>
      <c r="R1780" s="3" t="s">
        <v>28</v>
      </c>
      <c r="S1780" s="3" t="s">
        <v>28</v>
      </c>
      <c r="T1780" s="3" t="s">
        <v>28</v>
      </c>
    </row>
    <row r="1781" spans="1:20" ht="409.6">
      <c r="A1781" s="3">
        <v>2712928</v>
      </c>
      <c r="B1781" s="3">
        <f>HYPERLINK("https://platform.v2.vetology.net/cases/2712928/screening-report/6?type=pdf&amp;v=v6&amp;scorecard=1&amp;secret_key=BX%25IJ%24%2F65ieZ%29f6", 2712928)</f>
        <v>2712928</v>
      </c>
      <c r="C1781" s="3">
        <f>HYPERLINK("https://platform.v2.vetology.net/report/v/final/"&amp;2712928, 2712928)</f>
        <v>2712928</v>
      </c>
      <c r="D1781" s="3" t="s">
        <v>6263</v>
      </c>
      <c r="E1781" s="3" t="s">
        <v>6264</v>
      </c>
      <c r="F1781" s="3" t="s">
        <v>6265</v>
      </c>
      <c r="G1781" s="3" t="s">
        <v>64</v>
      </c>
      <c r="H1781" s="3" t="s">
        <v>1143</v>
      </c>
      <c r="I1781" s="3" t="s">
        <v>718</v>
      </c>
      <c r="J1781" s="3" t="s">
        <v>719</v>
      </c>
      <c r="K1781" s="3" t="s">
        <v>28</v>
      </c>
      <c r="L1781" s="3" t="s">
        <v>28</v>
      </c>
      <c r="M1781" s="3" t="s">
        <v>28</v>
      </c>
      <c r="N1781" s="3" t="s">
        <v>28</v>
      </c>
      <c r="O1781" s="3" t="s">
        <v>28</v>
      </c>
      <c r="P1781" s="3" t="s">
        <v>28</v>
      </c>
      <c r="Q1781" s="3" t="s">
        <v>28</v>
      </c>
      <c r="R1781" s="3" t="s">
        <v>28</v>
      </c>
      <c r="S1781" s="3" t="s">
        <v>28</v>
      </c>
      <c r="T1781" s="3" t="s">
        <v>28</v>
      </c>
    </row>
    <row r="1782" spans="1:20" ht="366">
      <c r="A1782" s="3">
        <v>2712910</v>
      </c>
      <c r="B1782" s="3">
        <f>HYPERLINK("https://platform.v2.vetology.net/cases/2712910/screening-report/6?type=pdf&amp;v=v6&amp;scorecard=1&amp;secret_key=BX%25IJ%24%2F65ieZ%29f6", 2712910)</f>
        <v>2712910</v>
      </c>
      <c r="C1782" s="3">
        <f>HYPERLINK("https://platform.v2.vetology.net/report/v/final/"&amp;2712910, 2712910)</f>
        <v>2712910</v>
      </c>
      <c r="D1782" s="3" t="s">
        <v>6266</v>
      </c>
      <c r="E1782" s="3" t="s">
        <v>6267</v>
      </c>
      <c r="F1782" s="3" t="s">
        <v>6268</v>
      </c>
      <c r="G1782" s="3" t="s">
        <v>186</v>
      </c>
      <c r="H1782" s="3" t="s">
        <v>6269</v>
      </c>
      <c r="I1782" s="3" t="s">
        <v>6270</v>
      </c>
      <c r="J1782" s="3" t="s">
        <v>6271</v>
      </c>
      <c r="K1782" s="3" t="s">
        <v>28</v>
      </c>
      <c r="L1782" s="3" t="s">
        <v>28</v>
      </c>
      <c r="M1782" s="3" t="s">
        <v>27</v>
      </c>
      <c r="N1782" s="3" t="s">
        <v>28</v>
      </c>
      <c r="O1782" s="3" t="s">
        <v>27</v>
      </c>
      <c r="P1782" s="3" t="s">
        <v>27</v>
      </c>
      <c r="Q1782" s="3" t="s">
        <v>27</v>
      </c>
      <c r="R1782" s="3" t="s">
        <v>28</v>
      </c>
      <c r="S1782" s="3" t="s">
        <v>28</v>
      </c>
      <c r="T1782" s="3" t="s">
        <v>28</v>
      </c>
    </row>
    <row r="1783" spans="1:20" ht="381.75">
      <c r="A1783" s="3">
        <v>2712905</v>
      </c>
      <c r="B1783" s="3">
        <f>HYPERLINK("https://platform.v2.vetology.net/cases/2712905/screening-report/6?type=pdf&amp;v=v6&amp;scorecard=1&amp;secret_key=BX%25IJ%24%2F65ieZ%29f6", 2712905)</f>
        <v>2712905</v>
      </c>
      <c r="C1783" s="3">
        <f>HYPERLINK("https://platform.v2.vetology.net/report/v/final/"&amp;2712905, 2712905)</f>
        <v>2712905</v>
      </c>
      <c r="D1783" s="3" t="s">
        <v>6272</v>
      </c>
      <c r="E1783" s="3" t="s">
        <v>6273</v>
      </c>
      <c r="F1783" s="3" t="s">
        <v>6274</v>
      </c>
      <c r="G1783" s="3" t="s">
        <v>186</v>
      </c>
      <c r="H1783" s="3" t="s">
        <v>6275</v>
      </c>
      <c r="I1783" s="3" t="s">
        <v>1897</v>
      </c>
      <c r="J1783" s="3" t="s">
        <v>325</v>
      </c>
      <c r="K1783" s="3" t="s">
        <v>27</v>
      </c>
      <c r="L1783" s="3" t="s">
        <v>27</v>
      </c>
      <c r="M1783" s="3" t="s">
        <v>27</v>
      </c>
      <c r="N1783" s="3" t="s">
        <v>28</v>
      </c>
      <c r="O1783" s="3" t="s">
        <v>27</v>
      </c>
      <c r="P1783" s="3" t="s">
        <v>27</v>
      </c>
      <c r="Q1783" s="3" t="s">
        <v>27</v>
      </c>
      <c r="R1783" s="3" t="s">
        <v>28</v>
      </c>
      <c r="S1783" s="3" t="s">
        <v>28</v>
      </c>
      <c r="T1783" s="3" t="s">
        <v>28</v>
      </c>
    </row>
    <row r="1784" spans="1:20" ht="409.6">
      <c r="A1784" s="3">
        <v>2712903</v>
      </c>
      <c r="B1784" s="3">
        <f>HYPERLINK("https://platform.v2.vetology.net/cases/2712903/screening-report/6?type=pdf&amp;v=v6&amp;scorecard=1&amp;secret_key=BX%25IJ%24%2F65ieZ%29f6", 2712903)</f>
        <v>2712903</v>
      </c>
      <c r="C1784" s="3">
        <f>HYPERLINK("https://platform.v2.vetology.net/report/v/final/"&amp;2712903, 2712903)</f>
        <v>2712903</v>
      </c>
      <c r="D1784" s="3" t="s">
        <v>6276</v>
      </c>
      <c r="E1784" s="3" t="s">
        <v>6277</v>
      </c>
      <c r="F1784" s="3" t="s">
        <v>6278</v>
      </c>
      <c r="G1784" s="3" t="s">
        <v>186</v>
      </c>
      <c r="H1784" s="3" t="s">
        <v>6279</v>
      </c>
      <c r="I1784" s="3" t="s">
        <v>3492</v>
      </c>
      <c r="J1784" s="3" t="s">
        <v>154</v>
      </c>
      <c r="K1784" s="3" t="s">
        <v>28</v>
      </c>
      <c r="L1784" s="3" t="s">
        <v>28</v>
      </c>
      <c r="M1784" s="3" t="s">
        <v>27</v>
      </c>
      <c r="N1784" s="3" t="s">
        <v>28</v>
      </c>
      <c r="O1784" s="3" t="s">
        <v>27</v>
      </c>
      <c r="P1784" s="3" t="s">
        <v>28</v>
      </c>
      <c r="Q1784" s="3" t="s">
        <v>27</v>
      </c>
      <c r="R1784" s="3" t="s">
        <v>28</v>
      </c>
      <c r="S1784" s="3" t="s">
        <v>27</v>
      </c>
      <c r="T1784" s="3" t="s">
        <v>28</v>
      </c>
    </row>
    <row r="1785" spans="1:20" ht="409.6">
      <c r="A1785" s="3">
        <v>2712872</v>
      </c>
      <c r="B1785" s="3">
        <f>HYPERLINK("https://platform.v2.vetology.net/cases/2712872/screening-report/6?type=pdf&amp;v=v6&amp;scorecard=1&amp;secret_key=BX%25IJ%24%2F65ieZ%29f6", 2712872)</f>
        <v>2712872</v>
      </c>
      <c r="C1785" s="3">
        <f>HYPERLINK("https://platform.v2.vetology.net/report/v/final/"&amp;2712872, 2712872)</f>
        <v>2712872</v>
      </c>
      <c r="D1785" s="3" t="s">
        <v>6280</v>
      </c>
      <c r="E1785" s="3" t="s">
        <v>6281</v>
      </c>
      <c r="F1785" s="3" t="s">
        <v>3758</v>
      </c>
      <c r="G1785" s="3" t="s">
        <v>186</v>
      </c>
      <c r="H1785" s="3" t="s">
        <v>2475</v>
      </c>
      <c r="I1785" s="3" t="s">
        <v>1497</v>
      </c>
      <c r="J1785" s="3" t="s">
        <v>1340</v>
      </c>
      <c r="K1785" s="3" t="s">
        <v>28</v>
      </c>
      <c r="L1785" s="3" t="s">
        <v>28</v>
      </c>
      <c r="M1785" s="3" t="s">
        <v>28</v>
      </c>
      <c r="N1785" s="3" t="s">
        <v>28</v>
      </c>
      <c r="O1785" s="3" t="s">
        <v>27</v>
      </c>
      <c r="P1785" s="3" t="s">
        <v>28</v>
      </c>
      <c r="Q1785" s="3" t="s">
        <v>27</v>
      </c>
      <c r="R1785" s="3" t="s">
        <v>28</v>
      </c>
      <c r="S1785" s="3" t="s">
        <v>28</v>
      </c>
      <c r="T1785" s="3" t="s">
        <v>28</v>
      </c>
    </row>
    <row r="1786" spans="1:20" ht="396.75">
      <c r="A1786" s="3">
        <v>2712865</v>
      </c>
      <c r="B1786" s="3">
        <f>HYPERLINK("https://platform.v2.vetology.net/cases/2712865/screening-report/6?type=pdf&amp;v=v6&amp;scorecard=1&amp;secret_key=BX%25IJ%24%2F65ieZ%29f6", 2712865)</f>
        <v>2712865</v>
      </c>
      <c r="C1786" s="3">
        <f>HYPERLINK("https://platform.v2.vetology.net/report/v/final/"&amp;2712865, 2712865)</f>
        <v>2712865</v>
      </c>
      <c r="D1786" s="3" t="s">
        <v>6282</v>
      </c>
      <c r="E1786" s="3" t="s">
        <v>6283</v>
      </c>
      <c r="F1786" s="3"/>
      <c r="G1786" s="3" t="s">
        <v>100</v>
      </c>
      <c r="H1786" s="3" t="s">
        <v>4750</v>
      </c>
      <c r="I1786" s="3" t="s">
        <v>469</v>
      </c>
      <c r="J1786" s="3" t="s">
        <v>470</v>
      </c>
      <c r="K1786" s="3" t="s">
        <v>28</v>
      </c>
      <c r="L1786" s="3" t="s">
        <v>28</v>
      </c>
      <c r="M1786" s="3" t="s">
        <v>28</v>
      </c>
      <c r="N1786" s="3" t="s">
        <v>28</v>
      </c>
      <c r="O1786" s="3" t="s">
        <v>27</v>
      </c>
      <c r="P1786" s="3" t="s">
        <v>28</v>
      </c>
      <c r="Q1786" s="3" t="s">
        <v>28</v>
      </c>
      <c r="R1786" s="3" t="s">
        <v>28</v>
      </c>
      <c r="S1786" s="3" t="s">
        <v>28</v>
      </c>
      <c r="T1786" s="3" t="s">
        <v>28</v>
      </c>
    </row>
    <row r="1787" spans="1:20" ht="409.6">
      <c r="A1787" s="3">
        <v>2712831</v>
      </c>
      <c r="B1787" s="3">
        <f>HYPERLINK("https://platform.v2.vetology.net/cases/2712831/screening-report/6?type=pdf&amp;v=v6&amp;scorecard=1&amp;secret_key=BX%25IJ%24%2F65ieZ%29f6", 2712831)</f>
        <v>2712831</v>
      </c>
      <c r="C1787" s="3">
        <f>HYPERLINK("https://platform.v2.vetology.net/report/v/final/"&amp;2712831, 2712831)</f>
        <v>2712831</v>
      </c>
      <c r="D1787" s="3" t="s">
        <v>6284</v>
      </c>
      <c r="E1787" s="3" t="s">
        <v>6285</v>
      </c>
      <c r="F1787" s="3" t="s">
        <v>6286</v>
      </c>
      <c r="G1787" s="3" t="s">
        <v>186</v>
      </c>
      <c r="H1787" s="3" t="s">
        <v>6279</v>
      </c>
      <c r="I1787" s="3" t="s">
        <v>3492</v>
      </c>
      <c r="J1787" s="3" t="s">
        <v>154</v>
      </c>
      <c r="K1787" s="3" t="s">
        <v>28</v>
      </c>
      <c r="L1787" s="3" t="s">
        <v>28</v>
      </c>
      <c r="M1787" s="3" t="s">
        <v>27</v>
      </c>
      <c r="N1787" s="3" t="s">
        <v>28</v>
      </c>
      <c r="O1787" s="3" t="s">
        <v>27</v>
      </c>
      <c r="P1787" s="3" t="s">
        <v>28</v>
      </c>
      <c r="Q1787" s="3" t="s">
        <v>27</v>
      </c>
      <c r="R1787" s="3" t="s">
        <v>28</v>
      </c>
      <c r="S1787" s="3" t="s">
        <v>27</v>
      </c>
      <c r="T1787" s="3" t="s">
        <v>28</v>
      </c>
    </row>
    <row r="1788" spans="1:20" ht="409.6">
      <c r="A1788" s="3">
        <v>2712828</v>
      </c>
      <c r="B1788" s="3">
        <f>HYPERLINK("https://platform.v2.vetology.net/cases/2712828/screening-report/6?type=pdf&amp;v=v6&amp;scorecard=1&amp;secret_key=BX%25IJ%24%2F65ieZ%29f6", 2712828)</f>
        <v>2712828</v>
      </c>
      <c r="C1788" s="3">
        <f>HYPERLINK("https://platform.v2.vetology.net/report/v/final/"&amp;2712828, 2712828)</f>
        <v>2712828</v>
      </c>
      <c r="D1788" s="3" t="s">
        <v>6287</v>
      </c>
      <c r="E1788" s="3" t="s">
        <v>6288</v>
      </c>
      <c r="F1788" s="3" t="s">
        <v>3245</v>
      </c>
      <c r="G1788" s="3" t="s">
        <v>57</v>
      </c>
      <c r="H1788" s="3" t="s">
        <v>6289</v>
      </c>
      <c r="I1788" s="3" t="s">
        <v>3391</v>
      </c>
      <c r="J1788" s="3" t="s">
        <v>3392</v>
      </c>
      <c r="K1788" s="3" t="s">
        <v>27</v>
      </c>
      <c r="L1788" s="3" t="s">
        <v>28</v>
      </c>
      <c r="M1788" s="3" t="s">
        <v>27</v>
      </c>
      <c r="N1788" s="3" t="s">
        <v>28</v>
      </c>
      <c r="O1788" s="3" t="s">
        <v>27</v>
      </c>
      <c r="P1788" s="3" t="s">
        <v>28</v>
      </c>
      <c r="Q1788" s="3" t="s">
        <v>27</v>
      </c>
      <c r="R1788" s="3" t="s">
        <v>28</v>
      </c>
      <c r="S1788" s="3" t="s">
        <v>27</v>
      </c>
      <c r="T1788" s="3" t="s">
        <v>28</v>
      </c>
    </row>
    <row r="1789" spans="1:20" ht="381.75">
      <c r="A1789" s="3">
        <v>2712810</v>
      </c>
      <c r="B1789" s="3">
        <f>HYPERLINK("https://platform.v2.vetology.net/cases/2712810/screening-report/6?type=pdf&amp;v=v6&amp;scorecard=1&amp;secret_key=BX%25IJ%24%2F65ieZ%29f6", 2712810)</f>
        <v>2712810</v>
      </c>
      <c r="C1789" s="3">
        <f>HYPERLINK("https://platform.v2.vetology.net/report/v/final/"&amp;2712810, 2712810)</f>
        <v>2712810</v>
      </c>
      <c r="D1789" s="3" t="s">
        <v>6290</v>
      </c>
      <c r="E1789" s="3" t="s">
        <v>6291</v>
      </c>
      <c r="F1789" s="3" t="s">
        <v>6292</v>
      </c>
      <c r="G1789" s="3" t="s">
        <v>186</v>
      </c>
      <c r="H1789" s="3" t="s">
        <v>1905</v>
      </c>
      <c r="I1789" s="3" t="s">
        <v>37</v>
      </c>
      <c r="J1789" s="3" t="s">
        <v>38</v>
      </c>
      <c r="K1789" s="3" t="s">
        <v>28</v>
      </c>
      <c r="L1789" s="3" t="s">
        <v>28</v>
      </c>
      <c r="M1789" s="3" t="s">
        <v>28</v>
      </c>
      <c r="N1789" s="3" t="s">
        <v>28</v>
      </c>
      <c r="O1789" s="3" t="s">
        <v>27</v>
      </c>
      <c r="P1789" s="3" t="s">
        <v>28</v>
      </c>
      <c r="Q1789" s="3" t="s">
        <v>28</v>
      </c>
      <c r="R1789" s="3" t="s">
        <v>28</v>
      </c>
      <c r="S1789" s="3" t="s">
        <v>28</v>
      </c>
      <c r="T1789" s="3" t="s">
        <v>28</v>
      </c>
    </row>
    <row r="1790" spans="1:20" ht="409.6">
      <c r="A1790" s="3">
        <v>2712765</v>
      </c>
      <c r="B1790" s="3">
        <f>HYPERLINK("https://platform.v2.vetology.net/cases/2712765/screening-report/6?type=pdf&amp;v=v6&amp;scorecard=1&amp;secret_key=BX%25IJ%24%2F65ieZ%29f6", 2712765)</f>
        <v>2712765</v>
      </c>
      <c r="C1790" s="3">
        <f>HYPERLINK("https://platform.v2.vetology.net/report/v/final/"&amp;2712765, 2712765)</f>
        <v>2712765</v>
      </c>
      <c r="D1790" s="3" t="s">
        <v>6293</v>
      </c>
      <c r="E1790" s="3" t="s">
        <v>6294</v>
      </c>
      <c r="F1790" s="3" t="s">
        <v>6295</v>
      </c>
      <c r="G1790" s="3" t="s">
        <v>57</v>
      </c>
      <c r="H1790" s="3" t="s">
        <v>6296</v>
      </c>
      <c r="I1790" s="3" t="s">
        <v>1592</v>
      </c>
      <c r="J1790" s="3" t="s">
        <v>4188</v>
      </c>
      <c r="K1790" s="3" t="s">
        <v>28</v>
      </c>
      <c r="L1790" s="3" t="s">
        <v>28</v>
      </c>
      <c r="M1790" s="3" t="s">
        <v>28</v>
      </c>
      <c r="N1790" s="3" t="s">
        <v>28</v>
      </c>
      <c r="O1790" s="3" t="s">
        <v>27</v>
      </c>
      <c r="P1790" s="3" t="s">
        <v>28</v>
      </c>
      <c r="Q1790" s="3" t="s">
        <v>28</v>
      </c>
      <c r="R1790" s="3" t="s">
        <v>27</v>
      </c>
      <c r="S1790" s="3" t="s">
        <v>27</v>
      </c>
      <c r="T1790" s="3" t="s">
        <v>28</v>
      </c>
    </row>
    <row r="1791" spans="1:20" ht="381.75">
      <c r="A1791" s="3">
        <v>2712747</v>
      </c>
      <c r="B1791" s="3">
        <f>HYPERLINK("https://platform.v2.vetology.net/cases/2712747/screening-report/6?type=pdf&amp;v=v6&amp;scorecard=1&amp;secret_key=BX%25IJ%24%2F65ieZ%29f6", 2712747)</f>
        <v>2712747</v>
      </c>
      <c r="C1791" s="3">
        <f>HYPERLINK("https://platform.v2.vetology.net/report/v/final/"&amp;2712747, 2712747)</f>
        <v>2712747</v>
      </c>
      <c r="D1791" s="3" t="s">
        <v>6297</v>
      </c>
      <c r="E1791" s="3" t="s">
        <v>6298</v>
      </c>
      <c r="F1791" s="3" t="s">
        <v>6299</v>
      </c>
      <c r="G1791" s="3" t="s">
        <v>1772</v>
      </c>
      <c r="H1791" s="3" t="s">
        <v>6300</v>
      </c>
      <c r="I1791" s="3" t="s">
        <v>6301</v>
      </c>
      <c r="J1791" s="3" t="s">
        <v>6302</v>
      </c>
      <c r="K1791" s="3" t="s">
        <v>27</v>
      </c>
      <c r="L1791" s="3" t="s">
        <v>27</v>
      </c>
      <c r="M1791" s="3" t="s">
        <v>27</v>
      </c>
      <c r="N1791" s="3" t="s">
        <v>28</v>
      </c>
      <c r="O1791" s="3" t="s">
        <v>27</v>
      </c>
      <c r="P1791" s="3" t="s">
        <v>27</v>
      </c>
      <c r="Q1791" s="3" t="s">
        <v>27</v>
      </c>
      <c r="R1791" s="3" t="s">
        <v>28</v>
      </c>
      <c r="S1791" s="3" t="s">
        <v>28</v>
      </c>
      <c r="T1791" s="3" t="s">
        <v>28</v>
      </c>
    </row>
    <row r="1792" spans="1:20" ht="244.5">
      <c r="A1792" s="3">
        <v>2712699</v>
      </c>
      <c r="B1792" s="3">
        <f>HYPERLINK("https://platform.v2.vetology.net/cases/2712699/screening-report/6?type=pdf&amp;v=v6&amp;scorecard=1&amp;secret_key=BX%25IJ%24%2F65ieZ%29f6", 2712699)</f>
        <v>2712699</v>
      </c>
      <c r="C1792" s="3">
        <f>HYPERLINK("https://platform.v2.vetology.net/report/v/final/"&amp;2712699, 2712699)</f>
        <v>2712699</v>
      </c>
      <c r="D1792" s="3" t="s">
        <v>6303</v>
      </c>
      <c r="E1792" s="3" t="s">
        <v>6304</v>
      </c>
      <c r="F1792" s="3" t="s">
        <v>6305</v>
      </c>
      <c r="G1792" s="3" t="s">
        <v>186</v>
      </c>
      <c r="H1792" s="3" t="s">
        <v>6306</v>
      </c>
      <c r="I1792" s="3" t="s">
        <v>606</v>
      </c>
      <c r="J1792" s="3" t="s">
        <v>207</v>
      </c>
      <c r="K1792" s="3" t="s">
        <v>28</v>
      </c>
      <c r="L1792" s="3" t="s">
        <v>27</v>
      </c>
      <c r="M1792" s="3" t="s">
        <v>28</v>
      </c>
      <c r="N1792" s="3" t="s">
        <v>27</v>
      </c>
      <c r="O1792" s="3" t="s">
        <v>27</v>
      </c>
      <c r="P1792" s="3" t="s">
        <v>28</v>
      </c>
      <c r="Q1792" s="3" t="s">
        <v>28</v>
      </c>
      <c r="R1792" s="3" t="s">
        <v>27</v>
      </c>
      <c r="S1792" s="3" t="s">
        <v>28</v>
      </c>
      <c r="T1792" s="3" t="s">
        <v>27</v>
      </c>
    </row>
    <row r="1793" spans="1:20" ht="229.5">
      <c r="A1793" s="3">
        <v>2712591</v>
      </c>
      <c r="B1793" s="3">
        <f>HYPERLINK("https://platform.v2.vetology.net/cases/2712591/screening-report/6?type=pdf&amp;v=v6&amp;scorecard=1&amp;secret_key=BX%25IJ%24%2F65ieZ%29f6", 2712591)</f>
        <v>2712591</v>
      </c>
      <c r="C1793" s="3">
        <f>HYPERLINK("https://platform.v2.vetology.net/report/v/final/"&amp;2712591, 2712591)</f>
        <v>2712591</v>
      </c>
      <c r="D1793" s="3" t="s">
        <v>6307</v>
      </c>
      <c r="E1793" s="3" t="s">
        <v>4841</v>
      </c>
      <c r="F1793" s="3"/>
      <c r="G1793" s="3" t="s">
        <v>122</v>
      </c>
      <c r="H1793" s="3" t="s">
        <v>31</v>
      </c>
      <c r="I1793" s="3" t="s">
        <v>32</v>
      </c>
      <c r="J1793" s="3" t="s">
        <v>119</v>
      </c>
      <c r="K1793" s="3" t="s">
        <v>28</v>
      </c>
      <c r="L1793" s="3" t="s">
        <v>28</v>
      </c>
      <c r="M1793" s="3" t="s">
        <v>28</v>
      </c>
      <c r="N1793" s="3" t="s">
        <v>28</v>
      </c>
      <c r="O1793" s="3" t="s">
        <v>28</v>
      </c>
      <c r="P1793" s="3" t="s">
        <v>28</v>
      </c>
      <c r="Q1793" s="3" t="s">
        <v>28</v>
      </c>
      <c r="R1793" s="3" t="s">
        <v>28</v>
      </c>
      <c r="S1793" s="3" t="s">
        <v>28</v>
      </c>
      <c r="T1793" s="3" t="s">
        <v>28</v>
      </c>
    </row>
    <row r="1794" spans="1:20" ht="409.6">
      <c r="A1794" s="3">
        <v>2712532</v>
      </c>
      <c r="B1794" s="3">
        <f>HYPERLINK("https://platform.v2.vetology.net/cases/2712532/screening-report/6?type=pdf&amp;v=v6&amp;scorecard=1&amp;secret_key=BX%25IJ%24%2F65ieZ%29f6", 2712532)</f>
        <v>2712532</v>
      </c>
      <c r="C1794" s="3">
        <f>HYPERLINK("https://platform.v2.vetology.net/report/v/final/"&amp;2712532, 2712532)</f>
        <v>2712532</v>
      </c>
      <c r="D1794" s="3" t="s">
        <v>6308</v>
      </c>
      <c r="E1794" s="3" t="s">
        <v>6309</v>
      </c>
      <c r="F1794" s="3" t="s">
        <v>6310</v>
      </c>
      <c r="G1794" s="3" t="s">
        <v>64</v>
      </c>
      <c r="H1794" s="3" t="s">
        <v>6311</v>
      </c>
      <c r="I1794" s="3" t="s">
        <v>4790</v>
      </c>
      <c r="J1794" s="3" t="s">
        <v>5412</v>
      </c>
      <c r="K1794" s="3" t="s">
        <v>28</v>
      </c>
      <c r="L1794" s="3" t="s">
        <v>28</v>
      </c>
      <c r="M1794" s="3" t="s">
        <v>28</v>
      </c>
      <c r="N1794" s="3" t="s">
        <v>28</v>
      </c>
      <c r="O1794" s="3" t="s">
        <v>28</v>
      </c>
      <c r="P1794" s="3" t="s">
        <v>28</v>
      </c>
      <c r="Q1794" s="3" t="s">
        <v>28</v>
      </c>
      <c r="R1794" s="3" t="s">
        <v>28</v>
      </c>
      <c r="S1794" s="3" t="s">
        <v>28</v>
      </c>
      <c r="T1794" s="3" t="s">
        <v>27</v>
      </c>
    </row>
    <row r="1795" spans="1:20" ht="409.6">
      <c r="A1795" s="3">
        <v>2712526</v>
      </c>
      <c r="B1795" s="3">
        <f>HYPERLINK("https://platform.v2.vetology.net/cases/2712526/screening-report/6?type=pdf&amp;v=v6&amp;scorecard=1&amp;secret_key=BX%25IJ%24%2F65ieZ%29f6", 2712526)</f>
        <v>2712526</v>
      </c>
      <c r="C1795" s="3">
        <f>HYPERLINK("https://platform.v2.vetology.net/report/v/final/"&amp;2712526, 2712526)</f>
        <v>2712526</v>
      </c>
      <c r="D1795" s="3" t="s">
        <v>6312</v>
      </c>
      <c r="E1795" s="3" t="s">
        <v>6313</v>
      </c>
      <c r="F1795" s="3" t="s">
        <v>22</v>
      </c>
      <c r="G1795" s="3" t="s">
        <v>100</v>
      </c>
      <c r="H1795" s="3" t="s">
        <v>6314</v>
      </c>
      <c r="I1795" s="3" t="s">
        <v>520</v>
      </c>
      <c r="J1795" s="3" t="s">
        <v>335</v>
      </c>
      <c r="K1795" s="3" t="s">
        <v>28</v>
      </c>
      <c r="L1795" s="3" t="s">
        <v>28</v>
      </c>
      <c r="M1795" s="3" t="s">
        <v>28</v>
      </c>
      <c r="N1795" s="3" t="s">
        <v>28</v>
      </c>
      <c r="O1795" s="3" t="s">
        <v>27</v>
      </c>
      <c r="P1795" s="3" t="s">
        <v>28</v>
      </c>
      <c r="Q1795" s="3" t="s">
        <v>28</v>
      </c>
      <c r="R1795" s="3" t="s">
        <v>28</v>
      </c>
      <c r="S1795" s="3" t="s">
        <v>28</v>
      </c>
      <c r="T1795" s="3" t="s">
        <v>28</v>
      </c>
    </row>
    <row r="1796" spans="1:20" ht="409.6">
      <c r="A1796" s="3">
        <v>2712518</v>
      </c>
      <c r="B1796" s="3">
        <f>HYPERLINK("https://platform.v2.vetology.net/cases/2712518/screening-report/6?type=pdf&amp;v=v6&amp;scorecard=1&amp;secret_key=BX%25IJ%24%2F65ieZ%29f6", 2712518)</f>
        <v>2712518</v>
      </c>
      <c r="C1796" s="3">
        <f>HYPERLINK("https://platform.v2.vetology.net/report/v/final/"&amp;2712518, 2712518)</f>
        <v>2712518</v>
      </c>
      <c r="D1796" s="3" t="s">
        <v>6315</v>
      </c>
      <c r="E1796" s="3" t="s">
        <v>6316</v>
      </c>
      <c r="F1796" s="3" t="s">
        <v>6317</v>
      </c>
      <c r="G1796" s="3" t="s">
        <v>64</v>
      </c>
      <c r="H1796" s="3" t="s">
        <v>6318</v>
      </c>
      <c r="I1796" s="3" t="s">
        <v>136</v>
      </c>
      <c r="J1796" s="3" t="s">
        <v>424</v>
      </c>
      <c r="K1796" s="3" t="s">
        <v>28</v>
      </c>
      <c r="L1796" s="3" t="s">
        <v>28</v>
      </c>
      <c r="M1796" s="3" t="s">
        <v>28</v>
      </c>
      <c r="N1796" s="3" t="s">
        <v>28</v>
      </c>
      <c r="O1796" s="3" t="s">
        <v>27</v>
      </c>
      <c r="P1796" s="3" t="s">
        <v>28</v>
      </c>
      <c r="Q1796" s="3" t="s">
        <v>28</v>
      </c>
      <c r="R1796" s="3" t="s">
        <v>27</v>
      </c>
      <c r="S1796" s="3" t="s">
        <v>28</v>
      </c>
      <c r="T1796" s="3" t="s">
        <v>27</v>
      </c>
    </row>
    <row r="1797" spans="1:20" ht="409.6">
      <c r="A1797" s="3">
        <v>2712447</v>
      </c>
      <c r="B1797" s="3">
        <f>HYPERLINK("https://platform.v2.vetology.net/cases/2712447/screening-report/6?type=pdf&amp;v=v6&amp;scorecard=1&amp;secret_key=BX%25IJ%24%2F65ieZ%29f6", 2712447)</f>
        <v>2712447</v>
      </c>
      <c r="C1797" s="3">
        <f>HYPERLINK("https://platform.v2.vetology.net/report/v/final/"&amp;2712447, 2712447)</f>
        <v>2712447</v>
      </c>
      <c r="D1797" s="3" t="s">
        <v>6319</v>
      </c>
      <c r="E1797" s="3" t="s">
        <v>6320</v>
      </c>
      <c r="F1797" s="3" t="s">
        <v>6321</v>
      </c>
      <c r="G1797" s="3" t="s">
        <v>64</v>
      </c>
      <c r="H1797" s="3" t="s">
        <v>1714</v>
      </c>
      <c r="I1797" s="3" t="s">
        <v>392</v>
      </c>
      <c r="J1797" s="3" t="s">
        <v>393</v>
      </c>
      <c r="K1797" s="3" t="s">
        <v>28</v>
      </c>
      <c r="L1797" s="3" t="s">
        <v>28</v>
      </c>
      <c r="M1797" s="3" t="s">
        <v>28</v>
      </c>
      <c r="N1797" s="3" t="s">
        <v>28</v>
      </c>
      <c r="O1797" s="3" t="s">
        <v>28</v>
      </c>
      <c r="P1797" s="3" t="s">
        <v>28</v>
      </c>
      <c r="Q1797" s="3" t="s">
        <v>28</v>
      </c>
      <c r="R1797" s="3" t="s">
        <v>28</v>
      </c>
      <c r="S1797" s="3" t="s">
        <v>28</v>
      </c>
      <c r="T1797" s="3" t="s">
        <v>28</v>
      </c>
    </row>
    <row r="1798" spans="1:20" ht="321">
      <c r="A1798" s="3">
        <v>2712419</v>
      </c>
      <c r="B1798" s="3">
        <f>HYPERLINK("https://platform.v2.vetology.net/cases/2712419/screening-report/6?type=pdf&amp;v=v6&amp;scorecard=1&amp;secret_key=BX%25IJ%24%2F65ieZ%29f6", 2712419)</f>
        <v>2712419</v>
      </c>
      <c r="C1798" s="3">
        <f>HYPERLINK("https://platform.v2.vetology.net/report/v/final/"&amp;2712419, 2712419)</f>
        <v>2712419</v>
      </c>
      <c r="D1798" s="3" t="s">
        <v>6322</v>
      </c>
      <c r="E1798" s="3" t="s">
        <v>6323</v>
      </c>
      <c r="F1798" s="3" t="s">
        <v>6324</v>
      </c>
      <c r="G1798" s="3" t="s">
        <v>211</v>
      </c>
      <c r="H1798" s="3" t="s">
        <v>6325</v>
      </c>
      <c r="I1798" s="3" t="s">
        <v>1497</v>
      </c>
      <c r="J1798" s="3" t="s">
        <v>207</v>
      </c>
      <c r="K1798" s="3" t="s">
        <v>28</v>
      </c>
      <c r="L1798" s="3" t="s">
        <v>28</v>
      </c>
      <c r="M1798" s="3" t="s">
        <v>28</v>
      </c>
      <c r="N1798" s="3" t="s">
        <v>28</v>
      </c>
      <c r="O1798" s="3" t="s">
        <v>27</v>
      </c>
      <c r="P1798" s="3" t="s">
        <v>28</v>
      </c>
      <c r="Q1798" s="3" t="s">
        <v>28</v>
      </c>
      <c r="R1798" s="3" t="s">
        <v>28</v>
      </c>
      <c r="S1798" s="3" t="s">
        <v>27</v>
      </c>
      <c r="T1798" s="3" t="s">
        <v>28</v>
      </c>
    </row>
    <row r="1799" spans="1:20" ht="229.5">
      <c r="A1799" s="3">
        <v>2712319</v>
      </c>
      <c r="B1799" s="3">
        <f>HYPERLINK("https://platform.v2.vetology.net/cases/2712319/screening-report/6?type=pdf&amp;v=v6&amp;scorecard=1&amp;secret_key=BX%25IJ%24%2F65ieZ%29f6", 2712319)</f>
        <v>2712319</v>
      </c>
      <c r="C1799" s="3">
        <f>HYPERLINK("https://platform.v2.vetology.net/report/v/final/"&amp;2712319, 2712319)</f>
        <v>2712319</v>
      </c>
      <c r="D1799" s="3" t="s">
        <v>6326</v>
      </c>
      <c r="E1799" s="3" t="s">
        <v>6327</v>
      </c>
      <c r="F1799" s="3" t="s">
        <v>22</v>
      </c>
      <c r="G1799" s="3" t="s">
        <v>100</v>
      </c>
      <c r="H1799" s="3" t="s">
        <v>6328</v>
      </c>
      <c r="I1799" s="3" t="s">
        <v>4431</v>
      </c>
      <c r="J1799" s="3" t="s">
        <v>4432</v>
      </c>
      <c r="K1799" s="3" t="s">
        <v>27</v>
      </c>
      <c r="L1799" s="3" t="s">
        <v>28</v>
      </c>
      <c r="M1799" s="3" t="s">
        <v>28</v>
      </c>
      <c r="N1799" s="3" t="s">
        <v>28</v>
      </c>
      <c r="O1799" s="3" t="s">
        <v>27</v>
      </c>
      <c r="P1799" s="3" t="s">
        <v>27</v>
      </c>
      <c r="Q1799" s="3" t="s">
        <v>28</v>
      </c>
      <c r="R1799" s="3" t="s">
        <v>28</v>
      </c>
      <c r="S1799" s="3" t="s">
        <v>28</v>
      </c>
      <c r="T1799" s="3" t="s">
        <v>28</v>
      </c>
    </row>
    <row r="1800" spans="1:20" ht="409.6">
      <c r="A1800" s="3">
        <v>2712313</v>
      </c>
      <c r="B1800" s="3">
        <f>HYPERLINK("https://platform.v2.vetology.net/cases/2712313/screening-report/6?type=pdf&amp;v=v6&amp;scorecard=1&amp;secret_key=BX%25IJ%24%2F65ieZ%29f6", 2712313)</f>
        <v>2712313</v>
      </c>
      <c r="C1800" s="3">
        <f>HYPERLINK("https://platform.v2.vetology.net/report/v/final/"&amp;2712313, 2712313)</f>
        <v>2712313</v>
      </c>
      <c r="D1800" s="3" t="s">
        <v>6329</v>
      </c>
      <c r="E1800" s="3" t="s">
        <v>6330</v>
      </c>
      <c r="F1800" s="3" t="s">
        <v>6331</v>
      </c>
      <c r="G1800" s="3" t="s">
        <v>64</v>
      </c>
      <c r="H1800" s="3" t="s">
        <v>6332</v>
      </c>
      <c r="I1800" s="3" t="s">
        <v>2777</v>
      </c>
      <c r="J1800" s="3" t="s">
        <v>2778</v>
      </c>
      <c r="K1800" s="3" t="s">
        <v>27</v>
      </c>
      <c r="L1800" s="3" t="s">
        <v>28</v>
      </c>
      <c r="M1800" s="3" t="s">
        <v>28</v>
      </c>
      <c r="N1800" s="3" t="s">
        <v>27</v>
      </c>
      <c r="O1800" s="3" t="s">
        <v>27</v>
      </c>
      <c r="P1800" s="3" t="s">
        <v>28</v>
      </c>
      <c r="Q1800" s="3" t="s">
        <v>27</v>
      </c>
      <c r="R1800" s="3" t="s">
        <v>28</v>
      </c>
      <c r="S1800" s="3" t="s">
        <v>27</v>
      </c>
      <c r="T1800" s="3" t="s">
        <v>28</v>
      </c>
    </row>
    <row r="1801" spans="1:20" ht="409.6">
      <c r="A1801" s="3">
        <v>2712311</v>
      </c>
      <c r="B1801" s="3">
        <f>HYPERLINK("https://platform.v2.vetology.net/cases/2712311/screening-report/6?type=pdf&amp;v=v6&amp;scorecard=1&amp;secret_key=BX%25IJ%24%2F65ieZ%29f6", 2712311)</f>
        <v>2712311</v>
      </c>
      <c r="C1801" s="3">
        <f>HYPERLINK("https://platform.v2.vetology.net/report/v/final/"&amp;2712311, 2712311)</f>
        <v>2712311</v>
      </c>
      <c r="D1801" s="3" t="s">
        <v>6333</v>
      </c>
      <c r="E1801" s="3" t="s">
        <v>6334</v>
      </c>
      <c r="F1801" s="3" t="s">
        <v>6335</v>
      </c>
      <c r="G1801" s="3" t="s">
        <v>179</v>
      </c>
      <c r="H1801" s="3" t="s">
        <v>6336</v>
      </c>
      <c r="I1801" s="3" t="s">
        <v>464</v>
      </c>
      <c r="J1801" s="3" t="s">
        <v>297</v>
      </c>
      <c r="K1801" s="3" t="s">
        <v>27</v>
      </c>
      <c r="L1801" s="3" t="s">
        <v>28</v>
      </c>
      <c r="M1801" s="3" t="s">
        <v>28</v>
      </c>
      <c r="N1801" s="3" t="s">
        <v>28</v>
      </c>
      <c r="O1801" s="3" t="s">
        <v>27</v>
      </c>
      <c r="P1801" s="3" t="s">
        <v>28</v>
      </c>
      <c r="Q1801" s="3" t="s">
        <v>27</v>
      </c>
      <c r="R1801" s="3" t="s">
        <v>28</v>
      </c>
      <c r="S1801" s="3" t="s">
        <v>28</v>
      </c>
      <c r="T1801" s="3" t="s">
        <v>28</v>
      </c>
    </row>
    <row r="1802" spans="1:20" ht="409.6">
      <c r="A1802" s="3">
        <v>2712300</v>
      </c>
      <c r="B1802" s="3">
        <f>HYPERLINK("https://platform.v2.vetology.net/cases/2712300/screening-report/6?type=pdf&amp;v=v6&amp;scorecard=1&amp;secret_key=BX%25IJ%24%2F65ieZ%29f6", 2712300)</f>
        <v>2712300</v>
      </c>
      <c r="C1802" s="3">
        <f>HYPERLINK("https://platform.v2.vetology.net/report/v/final/"&amp;2712300, 2712300)</f>
        <v>2712300</v>
      </c>
      <c r="D1802" s="3" t="s">
        <v>6337</v>
      </c>
      <c r="E1802" s="3" t="s">
        <v>6338</v>
      </c>
      <c r="F1802" s="3" t="s">
        <v>6339</v>
      </c>
      <c r="G1802" s="3" t="s">
        <v>211</v>
      </c>
      <c r="H1802" s="3" t="s">
        <v>6340</v>
      </c>
      <c r="I1802" s="3" t="s">
        <v>469</v>
      </c>
      <c r="J1802" s="3" t="s">
        <v>470</v>
      </c>
      <c r="K1802" s="3" t="s">
        <v>28</v>
      </c>
      <c r="L1802" s="3" t="s">
        <v>28</v>
      </c>
      <c r="M1802" s="3" t="s">
        <v>28</v>
      </c>
      <c r="N1802" s="3" t="s">
        <v>28</v>
      </c>
      <c r="O1802" s="3" t="s">
        <v>27</v>
      </c>
      <c r="P1802" s="3" t="s">
        <v>28</v>
      </c>
      <c r="Q1802" s="3" t="s">
        <v>28</v>
      </c>
      <c r="R1802" s="3" t="s">
        <v>28</v>
      </c>
      <c r="S1802" s="3" t="s">
        <v>28</v>
      </c>
      <c r="T1802" s="3" t="s">
        <v>28</v>
      </c>
    </row>
    <row r="1803" spans="1:20" ht="409.6">
      <c r="A1803" s="3">
        <v>2712281</v>
      </c>
      <c r="B1803" s="3">
        <f>HYPERLINK("https://platform.v2.vetology.net/cases/2712281/screening-report/6?type=pdf&amp;v=v6&amp;scorecard=1&amp;secret_key=BX%25IJ%24%2F65ieZ%29f6", 2712281)</f>
        <v>2712281</v>
      </c>
      <c r="C1803" s="3">
        <f>HYPERLINK("https://platform.v2.vetology.net/report/v/final/"&amp;2712281, 2712281)</f>
        <v>2712281</v>
      </c>
      <c r="D1803" s="3" t="s">
        <v>6341</v>
      </c>
      <c r="E1803" s="3" t="s">
        <v>6342</v>
      </c>
      <c r="F1803" s="3" t="s">
        <v>6343</v>
      </c>
      <c r="G1803" s="3" t="s">
        <v>64</v>
      </c>
      <c r="H1803" s="3" t="s">
        <v>6344</v>
      </c>
      <c r="I1803" s="3" t="s">
        <v>1483</v>
      </c>
      <c r="J1803" s="3" t="s">
        <v>5778</v>
      </c>
      <c r="K1803" s="3" t="s">
        <v>28</v>
      </c>
      <c r="L1803" s="3" t="s">
        <v>28</v>
      </c>
      <c r="M1803" s="3" t="s">
        <v>28</v>
      </c>
      <c r="N1803" s="3" t="s">
        <v>28</v>
      </c>
      <c r="O1803" s="3" t="s">
        <v>27</v>
      </c>
      <c r="P1803" s="3" t="s">
        <v>28</v>
      </c>
      <c r="Q1803" s="3" t="s">
        <v>28</v>
      </c>
      <c r="R1803" s="3" t="s">
        <v>28</v>
      </c>
      <c r="S1803" s="3" t="s">
        <v>28</v>
      </c>
      <c r="T1803" s="3" t="s">
        <v>27</v>
      </c>
    </row>
    <row r="1804" spans="1:20" ht="351">
      <c r="A1804" s="3">
        <v>2712257</v>
      </c>
      <c r="B1804" s="3">
        <f>HYPERLINK("https://platform.v2.vetology.net/cases/2712257/screening-report/6?type=pdf&amp;v=v6&amp;scorecard=1&amp;secret_key=BX%25IJ%24%2F65ieZ%29f6", 2712257)</f>
        <v>2712257</v>
      </c>
      <c r="C1804" s="3">
        <f>HYPERLINK("https://platform.v2.vetology.net/report/v/final/"&amp;2712257, 2712257)</f>
        <v>2712257</v>
      </c>
      <c r="D1804" s="3" t="s">
        <v>6345</v>
      </c>
      <c r="E1804" s="3" t="s">
        <v>6346</v>
      </c>
      <c r="F1804" s="3" t="s">
        <v>6347</v>
      </c>
      <c r="G1804" s="3" t="s">
        <v>186</v>
      </c>
      <c r="H1804" s="3" t="s">
        <v>6348</v>
      </c>
      <c r="I1804" s="3" t="s">
        <v>72</v>
      </c>
      <c r="J1804" s="3" t="s">
        <v>363</v>
      </c>
      <c r="K1804" s="3" t="s">
        <v>28</v>
      </c>
      <c r="L1804" s="3" t="s">
        <v>28</v>
      </c>
      <c r="M1804" s="3" t="s">
        <v>28</v>
      </c>
      <c r="N1804" s="3" t="s">
        <v>28</v>
      </c>
      <c r="O1804" s="3" t="s">
        <v>27</v>
      </c>
      <c r="P1804" s="3" t="s">
        <v>28</v>
      </c>
      <c r="Q1804" s="3" t="s">
        <v>28</v>
      </c>
      <c r="R1804" s="3" t="s">
        <v>28</v>
      </c>
      <c r="S1804" s="3" t="s">
        <v>28</v>
      </c>
      <c r="T1804" s="3" t="s">
        <v>27</v>
      </c>
    </row>
    <row r="1805" spans="1:20" ht="396.75">
      <c r="A1805" s="3">
        <v>2712255</v>
      </c>
      <c r="B1805" s="3">
        <f>HYPERLINK("https://platform.v2.vetology.net/cases/2712255/screening-report/6?type=pdf&amp;v=v6&amp;scorecard=1&amp;secret_key=BX%25IJ%24%2F65ieZ%29f6", 2712255)</f>
        <v>2712255</v>
      </c>
      <c r="C1805" s="3">
        <f>HYPERLINK("https://platform.v2.vetology.net/report/v/final/"&amp;2712255, 2712255)</f>
        <v>2712255</v>
      </c>
      <c r="D1805" s="3" t="s">
        <v>6349</v>
      </c>
      <c r="E1805" s="3" t="s">
        <v>1089</v>
      </c>
      <c r="F1805" s="3" t="s">
        <v>1090</v>
      </c>
      <c r="G1805" s="3" t="s">
        <v>100</v>
      </c>
      <c r="H1805" s="3" t="s">
        <v>1097</v>
      </c>
      <c r="I1805" s="3" t="s">
        <v>469</v>
      </c>
      <c r="J1805" s="3" t="s">
        <v>470</v>
      </c>
      <c r="K1805" s="3" t="s">
        <v>28</v>
      </c>
      <c r="L1805" s="3" t="s">
        <v>28</v>
      </c>
      <c r="M1805" s="3" t="s">
        <v>28</v>
      </c>
      <c r="N1805" s="3" t="s">
        <v>28</v>
      </c>
      <c r="O1805" s="3" t="s">
        <v>27</v>
      </c>
      <c r="P1805" s="3" t="s">
        <v>28</v>
      </c>
      <c r="Q1805" s="3" t="s">
        <v>28</v>
      </c>
      <c r="R1805" s="3" t="s">
        <v>28</v>
      </c>
      <c r="S1805" s="3" t="s">
        <v>28</v>
      </c>
      <c r="T1805" s="3" t="s">
        <v>28</v>
      </c>
    </row>
    <row r="1806" spans="1:20" ht="409.6">
      <c r="A1806" s="3">
        <v>2712220</v>
      </c>
      <c r="B1806" s="3">
        <f>HYPERLINK("https://platform.v2.vetology.net/cases/2712220/screening-report/6?type=pdf&amp;v=v6&amp;scorecard=1&amp;secret_key=BX%25IJ%24%2F65ieZ%29f6", 2712220)</f>
        <v>2712220</v>
      </c>
      <c r="C1806" s="3">
        <f>HYPERLINK("https://platform.v2.vetology.net/report/v/final/"&amp;2712220, 2712220)</f>
        <v>2712220</v>
      </c>
      <c r="D1806" s="3" t="s">
        <v>6350</v>
      </c>
      <c r="E1806" s="3" t="s">
        <v>6351</v>
      </c>
      <c r="F1806" s="3" t="s">
        <v>6352</v>
      </c>
      <c r="G1806" s="3" t="s">
        <v>179</v>
      </c>
      <c r="H1806" s="3" t="s">
        <v>6353</v>
      </c>
      <c r="I1806" s="3" t="s">
        <v>678</v>
      </c>
      <c r="J1806" s="3" t="s">
        <v>1264</v>
      </c>
      <c r="K1806" s="3" t="s">
        <v>27</v>
      </c>
      <c r="L1806" s="3" t="s">
        <v>27</v>
      </c>
      <c r="M1806" s="3" t="s">
        <v>28</v>
      </c>
      <c r="N1806" s="3" t="s">
        <v>27</v>
      </c>
      <c r="O1806" s="3" t="s">
        <v>27</v>
      </c>
      <c r="P1806" s="3" t="s">
        <v>28</v>
      </c>
      <c r="Q1806" s="3" t="s">
        <v>28</v>
      </c>
      <c r="R1806" s="3" t="s">
        <v>27</v>
      </c>
      <c r="S1806" s="3" t="s">
        <v>27</v>
      </c>
      <c r="T1806" s="3" t="s">
        <v>27</v>
      </c>
    </row>
    <row r="1807" spans="1:20" ht="409.6">
      <c r="A1807" s="3">
        <v>2712196</v>
      </c>
      <c r="B1807" s="3">
        <f>HYPERLINK("https://platform.v2.vetology.net/cases/2712196/screening-report/6?type=pdf&amp;v=v6&amp;scorecard=1&amp;secret_key=BX%25IJ%24%2F65ieZ%29f6", 2712196)</f>
        <v>2712196</v>
      </c>
      <c r="C1807" s="3">
        <f>HYPERLINK("https://platform.v2.vetology.net/report/v/final/"&amp;2712196, 2712196)</f>
        <v>2712196</v>
      </c>
      <c r="D1807" s="3" t="s">
        <v>6354</v>
      </c>
      <c r="E1807" s="3" t="s">
        <v>6355</v>
      </c>
      <c r="F1807" s="3" t="s">
        <v>6356</v>
      </c>
      <c r="G1807" s="3" t="s">
        <v>57</v>
      </c>
      <c r="H1807" s="3" t="s">
        <v>1326</v>
      </c>
      <c r="I1807" s="3" t="s">
        <v>351</v>
      </c>
      <c r="J1807" s="3" t="s">
        <v>352</v>
      </c>
      <c r="K1807" s="3" t="s">
        <v>28</v>
      </c>
      <c r="L1807" s="3" t="s">
        <v>28</v>
      </c>
      <c r="M1807" s="3" t="s">
        <v>28</v>
      </c>
      <c r="N1807" s="3" t="s">
        <v>28</v>
      </c>
      <c r="O1807" s="3" t="s">
        <v>28</v>
      </c>
      <c r="P1807" s="3" t="s">
        <v>28</v>
      </c>
      <c r="Q1807" s="3" t="s">
        <v>28</v>
      </c>
      <c r="R1807" s="3" t="s">
        <v>28</v>
      </c>
      <c r="S1807" s="3" t="s">
        <v>28</v>
      </c>
      <c r="T1807" s="3" t="s">
        <v>27</v>
      </c>
    </row>
    <row r="1808" spans="1:20" ht="396.75">
      <c r="A1808" s="3">
        <v>2712112</v>
      </c>
      <c r="B1808" s="3">
        <f>HYPERLINK("https://platform.v2.vetology.net/cases/2712112/screening-report/6?type=pdf&amp;v=v6&amp;scorecard=1&amp;secret_key=BX%25IJ%24%2F65ieZ%29f6", 2712112)</f>
        <v>2712112</v>
      </c>
      <c r="C1808" s="3">
        <f>HYPERLINK("https://platform.v2.vetology.net/report/v/final/"&amp;2712112, 2712112)</f>
        <v>2712112</v>
      </c>
      <c r="D1808" s="3" t="s">
        <v>6357</v>
      </c>
      <c r="E1808" s="3" t="s">
        <v>6358</v>
      </c>
      <c r="F1808" s="3" t="s">
        <v>6359</v>
      </c>
      <c r="G1808" s="3" t="s">
        <v>57</v>
      </c>
      <c r="H1808" s="3" t="s">
        <v>31</v>
      </c>
      <c r="I1808" s="3" t="s">
        <v>32</v>
      </c>
      <c r="J1808" s="3" t="s">
        <v>119</v>
      </c>
      <c r="K1808" s="3" t="s">
        <v>28</v>
      </c>
      <c r="L1808" s="3" t="s">
        <v>28</v>
      </c>
      <c r="M1808" s="3" t="s">
        <v>28</v>
      </c>
      <c r="N1808" s="3" t="s">
        <v>28</v>
      </c>
      <c r="O1808" s="3" t="s">
        <v>28</v>
      </c>
      <c r="P1808" s="3" t="s">
        <v>28</v>
      </c>
      <c r="Q1808" s="3" t="s">
        <v>28</v>
      </c>
      <c r="R1808" s="3" t="s">
        <v>28</v>
      </c>
      <c r="S1808" s="3" t="s">
        <v>28</v>
      </c>
      <c r="T1808" s="3" t="s">
        <v>28</v>
      </c>
    </row>
    <row r="1809" spans="1:20" ht="305.25">
      <c r="A1809" s="3">
        <v>2712055</v>
      </c>
      <c r="B1809" s="3">
        <f>HYPERLINK("https://platform.v2.vetology.net/cases/2712055/screening-report/6?type=pdf&amp;v=v6&amp;scorecard=1&amp;secret_key=BX%25IJ%24%2F65ieZ%29f6", 2712055)</f>
        <v>2712055</v>
      </c>
      <c r="C1809" s="3">
        <f>HYPERLINK("https://platform.v2.vetology.net/report/v/final/"&amp;2712055, 2712055)</f>
        <v>2712055</v>
      </c>
      <c r="D1809" s="3" t="s">
        <v>6360</v>
      </c>
      <c r="E1809" s="3" t="s">
        <v>6361</v>
      </c>
      <c r="F1809" s="3" t="s">
        <v>4559</v>
      </c>
      <c r="G1809" s="3" t="s">
        <v>57</v>
      </c>
      <c r="H1809" s="3" t="s">
        <v>2679</v>
      </c>
      <c r="I1809" s="3" t="s">
        <v>1660</v>
      </c>
      <c r="J1809" s="3" t="s">
        <v>207</v>
      </c>
      <c r="K1809" s="3" t="s">
        <v>27</v>
      </c>
      <c r="L1809" s="3" t="s">
        <v>28</v>
      </c>
      <c r="M1809" s="3" t="s">
        <v>28</v>
      </c>
      <c r="N1809" s="3" t="s">
        <v>28</v>
      </c>
      <c r="O1809" s="3" t="s">
        <v>27</v>
      </c>
      <c r="P1809" s="3" t="s">
        <v>27</v>
      </c>
      <c r="Q1809" s="3" t="s">
        <v>28</v>
      </c>
      <c r="R1809" s="3" t="s">
        <v>28</v>
      </c>
      <c r="S1809" s="3" t="s">
        <v>28</v>
      </c>
      <c r="T1809" s="3" t="s">
        <v>27</v>
      </c>
    </row>
    <row r="1810" spans="1:20" ht="409.6">
      <c r="A1810" s="3">
        <v>2712005</v>
      </c>
      <c r="B1810" s="3">
        <f>HYPERLINK("https://platform.v2.vetology.net/cases/2712005/screening-report/6?type=pdf&amp;v=v6&amp;scorecard=1&amp;secret_key=BX%25IJ%24%2F65ieZ%29f6", 2712005)</f>
        <v>2712005</v>
      </c>
      <c r="C1810" s="3">
        <f>HYPERLINK("https://platform.v2.vetology.net/report/v/final/"&amp;2712005, 2712005)</f>
        <v>2712005</v>
      </c>
      <c r="D1810" s="3" t="s">
        <v>6362</v>
      </c>
      <c r="E1810" s="3" t="s">
        <v>6363</v>
      </c>
      <c r="F1810" s="3" t="s">
        <v>6364</v>
      </c>
      <c r="G1810" s="3" t="s">
        <v>211</v>
      </c>
      <c r="H1810" s="3" t="s">
        <v>6365</v>
      </c>
      <c r="I1810" s="3" t="s">
        <v>113</v>
      </c>
      <c r="J1810" s="3" t="s">
        <v>114</v>
      </c>
      <c r="K1810" s="3" t="s">
        <v>28</v>
      </c>
      <c r="L1810" s="3" t="s">
        <v>28</v>
      </c>
      <c r="M1810" s="3" t="s">
        <v>27</v>
      </c>
      <c r="N1810" s="3" t="s">
        <v>28</v>
      </c>
      <c r="O1810" s="3" t="s">
        <v>27</v>
      </c>
      <c r="P1810" s="3" t="s">
        <v>27</v>
      </c>
      <c r="Q1810" s="3" t="s">
        <v>27</v>
      </c>
      <c r="R1810" s="3" t="s">
        <v>28</v>
      </c>
      <c r="S1810" s="3" t="s">
        <v>28</v>
      </c>
      <c r="T1810" s="3" t="s">
        <v>28</v>
      </c>
    </row>
    <row r="1811" spans="1:20" ht="409.6">
      <c r="A1811" s="3">
        <v>2711934</v>
      </c>
      <c r="B1811" s="3">
        <f>HYPERLINK("https://platform.v2.vetology.net/cases/2711934/screening-report/6?type=pdf&amp;v=v6&amp;scorecard=1&amp;secret_key=BX%25IJ%24%2F65ieZ%29f6", 2711934)</f>
        <v>2711934</v>
      </c>
      <c r="C1811" s="3">
        <f>HYPERLINK("https://platform.v2.vetology.net/report/v/final/"&amp;2711934, 2711934)</f>
        <v>2711934</v>
      </c>
      <c r="D1811" s="3" t="s">
        <v>6366</v>
      </c>
      <c r="E1811" s="3" t="s">
        <v>6367</v>
      </c>
      <c r="F1811" s="3" t="s">
        <v>6368</v>
      </c>
      <c r="G1811" s="3" t="s">
        <v>64</v>
      </c>
      <c r="H1811" s="3" t="s">
        <v>702</v>
      </c>
      <c r="I1811" s="3" t="s">
        <v>32</v>
      </c>
      <c r="J1811" s="3" t="s">
        <v>33</v>
      </c>
      <c r="K1811" s="3" t="s">
        <v>27</v>
      </c>
      <c r="L1811" s="3" t="s">
        <v>28</v>
      </c>
      <c r="M1811" s="3" t="s">
        <v>28</v>
      </c>
      <c r="N1811" s="3" t="s">
        <v>28</v>
      </c>
      <c r="O1811" s="3" t="s">
        <v>27</v>
      </c>
      <c r="P1811" s="3" t="s">
        <v>28</v>
      </c>
      <c r="Q1811" s="3" t="s">
        <v>27</v>
      </c>
      <c r="R1811" s="3" t="s">
        <v>28</v>
      </c>
      <c r="S1811" s="3" t="s">
        <v>28</v>
      </c>
      <c r="T1811" s="3" t="s">
        <v>27</v>
      </c>
    </row>
    <row r="1812" spans="1:20" ht="275.25">
      <c r="A1812" s="3">
        <v>2711862</v>
      </c>
      <c r="B1812" s="3">
        <f>HYPERLINK("https://platform.v2.vetology.net/cases/2711862/screening-report/6?type=pdf&amp;v=v6&amp;scorecard=1&amp;secret_key=BX%25IJ%24%2F65ieZ%29f6", 2711862)</f>
        <v>2711862</v>
      </c>
      <c r="C1812" s="3">
        <f>HYPERLINK("https://platform.v2.vetology.net/report/v/final/"&amp;2711862, 2711862)</f>
        <v>2711862</v>
      </c>
      <c r="D1812" s="3" t="s">
        <v>6369</v>
      </c>
      <c r="E1812" s="3" t="s">
        <v>6370</v>
      </c>
      <c r="F1812" s="3" t="s">
        <v>222</v>
      </c>
      <c r="G1812" s="3" t="s">
        <v>186</v>
      </c>
      <c r="H1812" s="3" t="s">
        <v>590</v>
      </c>
      <c r="I1812" s="3" t="s">
        <v>291</v>
      </c>
      <c r="J1812" s="3" t="s">
        <v>225</v>
      </c>
      <c r="K1812" s="3" t="s">
        <v>28</v>
      </c>
      <c r="L1812" s="3" t="s">
        <v>28</v>
      </c>
      <c r="M1812" s="3" t="s">
        <v>28</v>
      </c>
      <c r="N1812" s="3" t="s">
        <v>28</v>
      </c>
      <c r="O1812" s="3" t="s">
        <v>27</v>
      </c>
      <c r="P1812" s="3" t="s">
        <v>28</v>
      </c>
      <c r="Q1812" s="3" t="s">
        <v>28</v>
      </c>
      <c r="R1812" s="3" t="s">
        <v>27</v>
      </c>
      <c r="S1812" s="3" t="s">
        <v>27</v>
      </c>
      <c r="T1812" s="3" t="s">
        <v>27</v>
      </c>
    </row>
    <row r="1813" spans="1:20" ht="381.75">
      <c r="A1813" s="3">
        <v>2711846</v>
      </c>
      <c r="B1813" s="3">
        <f>HYPERLINK("https://platform.v2.vetology.net/cases/2711846/screening-report/6?type=pdf&amp;v=v6&amp;scorecard=1&amp;secret_key=BX%25IJ%24%2F65ieZ%29f6", 2711846)</f>
        <v>2711846</v>
      </c>
      <c r="C1813" s="3">
        <f>HYPERLINK("https://platform.v2.vetology.net/report/v/final/"&amp;2711846, 2711846)</f>
        <v>2711846</v>
      </c>
      <c r="D1813" s="3" t="s">
        <v>6371</v>
      </c>
      <c r="E1813" s="3" t="s">
        <v>6372</v>
      </c>
      <c r="F1813" s="3" t="s">
        <v>6373</v>
      </c>
      <c r="G1813" s="3" t="s">
        <v>496</v>
      </c>
      <c r="H1813" s="3" t="s">
        <v>6374</v>
      </c>
      <c r="I1813" s="3" t="s">
        <v>856</v>
      </c>
      <c r="J1813" s="3" t="s">
        <v>857</v>
      </c>
      <c r="K1813" s="3" t="s">
        <v>27</v>
      </c>
      <c r="L1813" s="3" t="s">
        <v>28</v>
      </c>
      <c r="M1813" s="3" t="s">
        <v>28</v>
      </c>
      <c r="N1813" s="3" t="s">
        <v>28</v>
      </c>
      <c r="O1813" s="3" t="s">
        <v>27</v>
      </c>
      <c r="P1813" s="3" t="s">
        <v>28</v>
      </c>
      <c r="Q1813" s="3" t="s">
        <v>28</v>
      </c>
      <c r="R1813" s="3" t="s">
        <v>28</v>
      </c>
      <c r="S1813" s="3" t="s">
        <v>28</v>
      </c>
      <c r="T1813" s="3" t="s">
        <v>28</v>
      </c>
    </row>
    <row r="1814" spans="1:20" ht="305.25">
      <c r="A1814" s="3">
        <v>2711843</v>
      </c>
      <c r="B1814" s="3">
        <f>HYPERLINK("https://platform.v2.vetology.net/cases/2711843/screening-report/6?type=pdf&amp;v=v6&amp;scorecard=1&amp;secret_key=BX%25IJ%24%2F65ieZ%29f6", 2711843)</f>
        <v>2711843</v>
      </c>
      <c r="C1814" s="3">
        <f>HYPERLINK("https://platform.v2.vetology.net/report/v/final/"&amp;2711843, 2711843)</f>
        <v>2711843</v>
      </c>
      <c r="D1814" s="3" t="s">
        <v>6375</v>
      </c>
      <c r="E1814" s="3" t="s">
        <v>6376</v>
      </c>
      <c r="F1814" s="3" t="s">
        <v>6377</v>
      </c>
      <c r="G1814" s="3" t="s">
        <v>496</v>
      </c>
      <c r="H1814" s="3" t="s">
        <v>31</v>
      </c>
      <c r="I1814" s="3" t="s">
        <v>32</v>
      </c>
      <c r="J1814" s="3" t="s">
        <v>33</v>
      </c>
      <c r="K1814" s="3" t="s">
        <v>28</v>
      </c>
      <c r="L1814" s="3" t="s">
        <v>28</v>
      </c>
      <c r="M1814" s="3" t="s">
        <v>28</v>
      </c>
      <c r="N1814" s="3" t="s">
        <v>28</v>
      </c>
      <c r="O1814" s="3" t="s">
        <v>28</v>
      </c>
      <c r="P1814" s="3" t="s">
        <v>28</v>
      </c>
      <c r="Q1814" s="3" t="s">
        <v>28</v>
      </c>
      <c r="R1814" s="3" t="s">
        <v>28</v>
      </c>
      <c r="S1814" s="3" t="s">
        <v>28</v>
      </c>
      <c r="T1814" s="3" t="s">
        <v>28</v>
      </c>
    </row>
    <row r="1815" spans="1:20" ht="366">
      <c r="A1815" s="3">
        <v>2711826</v>
      </c>
      <c r="B1815" s="3">
        <f>HYPERLINK("https://platform.v2.vetology.net/cases/2711826/screening-report/6?type=pdf&amp;v=v6&amp;scorecard=1&amp;secret_key=BX%25IJ%24%2F65ieZ%29f6", 2711826)</f>
        <v>2711826</v>
      </c>
      <c r="C1815" s="3">
        <f>HYPERLINK("https://platform.v2.vetology.net/report/v/final/"&amp;2711826, 2711826)</f>
        <v>2711826</v>
      </c>
      <c r="D1815" s="3" t="s">
        <v>6378</v>
      </c>
      <c r="E1815" s="3" t="s">
        <v>6379</v>
      </c>
      <c r="F1815" s="3" t="s">
        <v>22</v>
      </c>
      <c r="G1815" s="3" t="s">
        <v>372</v>
      </c>
      <c r="H1815" s="3" t="s">
        <v>1920</v>
      </c>
      <c r="I1815" s="3" t="s">
        <v>883</v>
      </c>
      <c r="J1815" s="3" t="s">
        <v>884</v>
      </c>
      <c r="K1815" s="3" t="s">
        <v>28</v>
      </c>
      <c r="L1815" s="3" t="s">
        <v>28</v>
      </c>
      <c r="M1815" s="3" t="s">
        <v>28</v>
      </c>
      <c r="N1815" s="3" t="s">
        <v>28</v>
      </c>
      <c r="O1815" s="3" t="s">
        <v>28</v>
      </c>
      <c r="P1815" s="3" t="s">
        <v>28</v>
      </c>
      <c r="Q1815" s="3" t="s">
        <v>28</v>
      </c>
      <c r="R1815" s="3" t="s">
        <v>28</v>
      </c>
      <c r="S1815" s="3" t="s">
        <v>28</v>
      </c>
      <c r="T1815" s="3" t="s">
        <v>28</v>
      </c>
    </row>
    <row r="1816" spans="1:20" ht="336">
      <c r="A1816" s="3">
        <v>2711823</v>
      </c>
      <c r="B1816" s="3">
        <f>HYPERLINK("https://platform.v2.vetology.net/cases/2711823/screening-report/6?type=pdf&amp;v=v6&amp;scorecard=1&amp;secret_key=BX%25IJ%24%2F65ieZ%29f6", 2711823)</f>
        <v>2711823</v>
      </c>
      <c r="C1816" s="3">
        <f>HYPERLINK("https://platform.v2.vetology.net/report/v/final/"&amp;2711823, 2711823)</f>
        <v>2711823</v>
      </c>
      <c r="D1816" s="3" t="s">
        <v>6380</v>
      </c>
      <c r="E1816" s="3" t="s">
        <v>6381</v>
      </c>
      <c r="F1816" s="3" t="s">
        <v>3245</v>
      </c>
      <c r="G1816" s="3" t="s">
        <v>57</v>
      </c>
      <c r="H1816" s="3" t="s">
        <v>6382</v>
      </c>
      <c r="I1816" s="3" t="s">
        <v>2560</v>
      </c>
      <c r="J1816" s="3" t="s">
        <v>479</v>
      </c>
      <c r="K1816" s="3" t="s">
        <v>28</v>
      </c>
      <c r="L1816" s="3" t="s">
        <v>28</v>
      </c>
      <c r="M1816" s="3" t="s">
        <v>28</v>
      </c>
      <c r="N1816" s="3" t="s">
        <v>28</v>
      </c>
      <c r="O1816" s="3" t="s">
        <v>27</v>
      </c>
      <c r="P1816" s="3" t="s">
        <v>28</v>
      </c>
      <c r="Q1816" s="3" t="s">
        <v>28</v>
      </c>
      <c r="R1816" s="3" t="s">
        <v>28</v>
      </c>
      <c r="S1816" s="3" t="s">
        <v>27</v>
      </c>
      <c r="T1816" s="3" t="s">
        <v>27</v>
      </c>
    </row>
    <row r="1817" spans="1:20" ht="409.6">
      <c r="A1817" s="3">
        <v>2711807</v>
      </c>
      <c r="B1817" s="3">
        <f>HYPERLINK("https://platform.v2.vetology.net/cases/2711807/screening-report/6?type=pdf&amp;v=v6&amp;scorecard=1&amp;secret_key=BX%25IJ%24%2F65ieZ%29f6", 2711807)</f>
        <v>2711807</v>
      </c>
      <c r="C1817" s="3">
        <f>HYPERLINK("https://platform.v2.vetology.net/report/v/final/"&amp;2711807, 2711807)</f>
        <v>2711807</v>
      </c>
      <c r="D1817" s="3" t="s">
        <v>6383</v>
      </c>
      <c r="E1817" s="3" t="s">
        <v>6384</v>
      </c>
      <c r="F1817" s="3" t="s">
        <v>6385</v>
      </c>
      <c r="G1817" s="3" t="s">
        <v>64</v>
      </c>
      <c r="H1817" s="3" t="s">
        <v>6386</v>
      </c>
      <c r="I1817" s="3" t="s">
        <v>3840</v>
      </c>
      <c r="J1817" s="3" t="s">
        <v>286</v>
      </c>
      <c r="K1817" s="3" t="s">
        <v>27</v>
      </c>
      <c r="L1817" s="3" t="s">
        <v>28</v>
      </c>
      <c r="M1817" s="3" t="s">
        <v>28</v>
      </c>
      <c r="N1817" s="3" t="s">
        <v>28</v>
      </c>
      <c r="O1817" s="3" t="s">
        <v>27</v>
      </c>
      <c r="P1817" s="3" t="s">
        <v>28</v>
      </c>
      <c r="Q1817" s="3" t="s">
        <v>27</v>
      </c>
      <c r="R1817" s="3" t="s">
        <v>28</v>
      </c>
      <c r="S1817" s="3" t="s">
        <v>27</v>
      </c>
      <c r="T1817" s="3" t="s">
        <v>28</v>
      </c>
    </row>
    <row r="1818" spans="1:20" ht="290.25">
      <c r="A1818" s="3">
        <v>2711806</v>
      </c>
      <c r="B1818" s="3">
        <f>HYPERLINK("https://platform.v2.vetology.net/cases/2711806/screening-report/6?type=pdf&amp;v=v6&amp;scorecard=1&amp;secret_key=BX%25IJ%24%2F65ieZ%29f6", 2711806)</f>
        <v>2711806</v>
      </c>
      <c r="C1818" s="3">
        <f>HYPERLINK("https://platform.v2.vetology.net/report/v/final/"&amp;2711806, 2711806)</f>
        <v>2711806</v>
      </c>
      <c r="D1818" s="3" t="s">
        <v>6387</v>
      </c>
      <c r="E1818" s="3" t="s">
        <v>6388</v>
      </c>
      <c r="F1818" s="3" t="s">
        <v>6389</v>
      </c>
      <c r="G1818" s="3" t="s">
        <v>186</v>
      </c>
      <c r="H1818" s="3" t="s">
        <v>3025</v>
      </c>
      <c r="I1818" s="3" t="s">
        <v>142</v>
      </c>
      <c r="J1818" s="3" t="s">
        <v>143</v>
      </c>
      <c r="K1818" s="3" t="s">
        <v>28</v>
      </c>
      <c r="L1818" s="3" t="s">
        <v>28</v>
      </c>
      <c r="M1818" s="3" t="s">
        <v>27</v>
      </c>
      <c r="N1818" s="3" t="s">
        <v>28</v>
      </c>
      <c r="O1818" s="3" t="s">
        <v>27</v>
      </c>
      <c r="P1818" s="3" t="s">
        <v>28</v>
      </c>
      <c r="Q1818" s="3" t="s">
        <v>28</v>
      </c>
      <c r="R1818" s="3" t="s">
        <v>28</v>
      </c>
      <c r="S1818" s="3" t="s">
        <v>28</v>
      </c>
      <c r="T1818" s="3" t="s">
        <v>27</v>
      </c>
    </row>
    <row r="1819" spans="1:20" ht="366">
      <c r="A1819" s="3">
        <v>2711775</v>
      </c>
      <c r="B1819" s="3">
        <f>HYPERLINK("https://platform.v2.vetology.net/cases/2711775/screening-report/6?type=pdf&amp;v=v6&amp;scorecard=1&amp;secret_key=BX%25IJ%24%2F65ieZ%29f6", 2711775)</f>
        <v>2711775</v>
      </c>
      <c r="C1819" s="3">
        <f>HYPERLINK("https://platform.v2.vetology.net/report/v/final/"&amp;2711775, 2711775)</f>
        <v>2711775</v>
      </c>
      <c r="D1819" s="3" t="s">
        <v>6390</v>
      </c>
      <c r="E1819" s="3" t="s">
        <v>6391</v>
      </c>
      <c r="F1819" s="3" t="s">
        <v>6392</v>
      </c>
      <c r="G1819" s="3" t="s">
        <v>211</v>
      </c>
      <c r="H1819" s="3" t="s">
        <v>1033</v>
      </c>
      <c r="I1819" s="3" t="s">
        <v>1034</v>
      </c>
      <c r="J1819" s="3" t="s">
        <v>1035</v>
      </c>
      <c r="K1819" s="3" t="s">
        <v>27</v>
      </c>
      <c r="L1819" s="3" t="s">
        <v>28</v>
      </c>
      <c r="M1819" s="3" t="s">
        <v>28</v>
      </c>
      <c r="N1819" s="3" t="s">
        <v>28</v>
      </c>
      <c r="O1819" s="3" t="s">
        <v>28</v>
      </c>
      <c r="P1819" s="3" t="s">
        <v>28</v>
      </c>
      <c r="Q1819" s="3" t="s">
        <v>28</v>
      </c>
      <c r="R1819" s="3" t="s">
        <v>27</v>
      </c>
      <c r="S1819" s="3" t="s">
        <v>28</v>
      </c>
      <c r="T1819" s="3" t="s">
        <v>27</v>
      </c>
    </row>
    <row r="1820" spans="1:20" ht="396.75">
      <c r="A1820" s="3">
        <v>2711731</v>
      </c>
      <c r="B1820" s="3">
        <f>HYPERLINK("https://platform.v2.vetology.net/cases/2711731/screening-report/6?type=pdf&amp;v=v6&amp;scorecard=1&amp;secret_key=BX%25IJ%24%2F65ieZ%29f6", 2711731)</f>
        <v>2711731</v>
      </c>
      <c r="C1820" s="3">
        <f>HYPERLINK("https://platform.v2.vetology.net/report/v/final/"&amp;2711731, 2711731)</f>
        <v>2711731</v>
      </c>
      <c r="D1820" s="3" t="s">
        <v>6393</v>
      </c>
      <c r="E1820" s="3" t="s">
        <v>6394</v>
      </c>
      <c r="F1820" s="3" t="s">
        <v>6395</v>
      </c>
      <c r="G1820" s="3" t="s">
        <v>1772</v>
      </c>
      <c r="H1820" s="3" t="s">
        <v>6396</v>
      </c>
      <c r="I1820" s="3" t="s">
        <v>469</v>
      </c>
      <c r="J1820" s="3" t="s">
        <v>470</v>
      </c>
      <c r="K1820" s="3" t="s">
        <v>27</v>
      </c>
      <c r="L1820" s="3" t="s">
        <v>28</v>
      </c>
      <c r="M1820" s="3" t="s">
        <v>28</v>
      </c>
      <c r="N1820" s="3" t="s">
        <v>28</v>
      </c>
      <c r="O1820" s="3" t="s">
        <v>27</v>
      </c>
      <c r="P1820" s="3" t="s">
        <v>27</v>
      </c>
      <c r="Q1820" s="3" t="s">
        <v>28</v>
      </c>
      <c r="R1820" s="3" t="s">
        <v>28</v>
      </c>
      <c r="S1820" s="3" t="s">
        <v>28</v>
      </c>
      <c r="T1820" s="3" t="s">
        <v>28</v>
      </c>
    </row>
    <row r="1821" spans="1:20" ht="409.6">
      <c r="A1821" s="3">
        <v>2711717</v>
      </c>
      <c r="B1821" s="3">
        <f>HYPERLINK("https://platform.v2.vetology.net/cases/2711717/screening-report/6?type=pdf&amp;v=v6&amp;scorecard=1&amp;secret_key=BX%25IJ%24%2F65ieZ%29f6", 2711717)</f>
        <v>2711717</v>
      </c>
      <c r="C1821" s="3">
        <f>HYPERLINK("https://platform.v2.vetology.net/report/v/final/"&amp;2711717, 2711717)</f>
        <v>2711717</v>
      </c>
      <c r="D1821" s="3" t="s">
        <v>6397</v>
      </c>
      <c r="E1821" s="3" t="s">
        <v>6398</v>
      </c>
      <c r="F1821" s="3" t="s">
        <v>6399</v>
      </c>
      <c r="G1821" s="3" t="s">
        <v>64</v>
      </c>
      <c r="H1821" s="3" t="s">
        <v>1372</v>
      </c>
      <c r="I1821" s="3" t="s">
        <v>1373</v>
      </c>
      <c r="J1821" s="3" t="s">
        <v>1374</v>
      </c>
      <c r="K1821" s="3" t="s">
        <v>27</v>
      </c>
      <c r="L1821" s="3" t="s">
        <v>27</v>
      </c>
      <c r="M1821" s="3" t="s">
        <v>27</v>
      </c>
      <c r="N1821" s="3" t="s">
        <v>27</v>
      </c>
      <c r="O1821" s="3" t="s">
        <v>27</v>
      </c>
      <c r="P1821" s="3" t="s">
        <v>28</v>
      </c>
      <c r="Q1821" s="3" t="s">
        <v>28</v>
      </c>
      <c r="R1821" s="3" t="s">
        <v>27</v>
      </c>
      <c r="S1821" s="3" t="s">
        <v>28</v>
      </c>
      <c r="T1821" s="3" t="s">
        <v>27</v>
      </c>
    </row>
    <row r="1822" spans="1:20" ht="409.6">
      <c r="A1822" s="3">
        <v>2711704</v>
      </c>
      <c r="B1822" s="3">
        <f>HYPERLINK("https://platform.v2.vetology.net/cases/2711704/screening-report/6?type=pdf&amp;v=v6&amp;scorecard=1&amp;secret_key=BX%25IJ%24%2F65ieZ%29f6", 2711704)</f>
        <v>2711704</v>
      </c>
      <c r="C1822" s="3">
        <f>HYPERLINK("https://platform.v2.vetology.net/report/v/final/"&amp;2711704, 2711704)</f>
        <v>2711704</v>
      </c>
      <c r="D1822" s="3" t="s">
        <v>6400</v>
      </c>
      <c r="E1822" s="3" t="s">
        <v>6401</v>
      </c>
      <c r="F1822" s="3" t="s">
        <v>6402</v>
      </c>
      <c r="G1822" s="3" t="s">
        <v>64</v>
      </c>
      <c r="H1822" s="3" t="s">
        <v>6403</v>
      </c>
      <c r="I1822" s="3" t="s">
        <v>3160</v>
      </c>
      <c r="J1822" s="3" t="s">
        <v>335</v>
      </c>
      <c r="K1822" s="3" t="s">
        <v>28</v>
      </c>
      <c r="L1822" s="3" t="s">
        <v>28</v>
      </c>
      <c r="M1822" s="3" t="s">
        <v>28</v>
      </c>
      <c r="N1822" s="3" t="s">
        <v>28</v>
      </c>
      <c r="O1822" s="3" t="s">
        <v>27</v>
      </c>
      <c r="P1822" s="3" t="s">
        <v>28</v>
      </c>
      <c r="Q1822" s="3" t="s">
        <v>28</v>
      </c>
      <c r="R1822" s="3" t="s">
        <v>28</v>
      </c>
      <c r="S1822" s="3" t="s">
        <v>28</v>
      </c>
      <c r="T1822" s="3" t="s">
        <v>28</v>
      </c>
    </row>
    <row r="1823" spans="1:20" ht="409.6">
      <c r="A1823" s="3">
        <v>2711584</v>
      </c>
      <c r="B1823" s="3">
        <f>HYPERLINK("https://platform.v2.vetology.net/cases/2711584/screening-report/6?type=pdf&amp;v=v6&amp;scorecard=1&amp;secret_key=BX%25IJ%24%2F65ieZ%29f6", 2711584)</f>
        <v>2711584</v>
      </c>
      <c r="C1823" s="3">
        <f>HYPERLINK("https://platform.v2.vetology.net/report/v/final/"&amp;2711584, 2711584)</f>
        <v>2711584</v>
      </c>
      <c r="D1823" s="3" t="s">
        <v>6404</v>
      </c>
      <c r="E1823" s="3" t="s">
        <v>6405</v>
      </c>
      <c r="F1823" s="3" t="s">
        <v>22</v>
      </c>
      <c r="G1823" s="3" t="s">
        <v>23</v>
      </c>
      <c r="H1823" s="3" t="s">
        <v>6406</v>
      </c>
      <c r="I1823" s="3" t="s">
        <v>279</v>
      </c>
      <c r="J1823" s="3" t="s">
        <v>280</v>
      </c>
      <c r="K1823" s="3" t="s">
        <v>28</v>
      </c>
      <c r="L1823" s="3" t="s">
        <v>28</v>
      </c>
      <c r="M1823" s="3" t="s">
        <v>28</v>
      </c>
      <c r="N1823" s="3" t="s">
        <v>28</v>
      </c>
      <c r="O1823" s="3" t="s">
        <v>28</v>
      </c>
      <c r="P1823" s="3" t="s">
        <v>28</v>
      </c>
      <c r="Q1823" s="3" t="s">
        <v>28</v>
      </c>
      <c r="R1823" s="3" t="s">
        <v>28</v>
      </c>
      <c r="S1823" s="3" t="s">
        <v>28</v>
      </c>
      <c r="T1823" s="3" t="s">
        <v>27</v>
      </c>
    </row>
    <row r="1824" spans="1:20" ht="409.6">
      <c r="A1824" s="3">
        <v>2711536</v>
      </c>
      <c r="B1824" s="3">
        <f>HYPERLINK("https://platform.v2.vetology.net/cases/2711536/screening-report/6?type=pdf&amp;v=v6&amp;scorecard=1&amp;secret_key=BX%25IJ%24%2F65ieZ%29f6", 2711536)</f>
        <v>2711536</v>
      </c>
      <c r="C1824" s="3">
        <f>HYPERLINK("https://platform.v2.vetology.net/report/v/final/"&amp;2711536, 2711536)</f>
        <v>2711536</v>
      </c>
      <c r="D1824" s="3" t="s">
        <v>6407</v>
      </c>
      <c r="E1824" s="3" t="s">
        <v>6408</v>
      </c>
      <c r="F1824" s="3" t="s">
        <v>6409</v>
      </c>
      <c r="G1824" s="3" t="s">
        <v>211</v>
      </c>
      <c r="H1824" s="3" t="s">
        <v>31</v>
      </c>
      <c r="I1824" s="3" t="s">
        <v>32</v>
      </c>
      <c r="J1824" s="3" t="s">
        <v>847</v>
      </c>
      <c r="K1824" s="3" t="s">
        <v>28</v>
      </c>
      <c r="L1824" s="3" t="s">
        <v>28</v>
      </c>
      <c r="M1824" s="3" t="s">
        <v>28</v>
      </c>
      <c r="N1824" s="3" t="s">
        <v>28</v>
      </c>
      <c r="O1824" s="3" t="s">
        <v>27</v>
      </c>
      <c r="P1824" s="3" t="s">
        <v>28</v>
      </c>
      <c r="Q1824" s="3" t="s">
        <v>28</v>
      </c>
      <c r="R1824" s="3" t="s">
        <v>28</v>
      </c>
      <c r="S1824" s="3" t="s">
        <v>28</v>
      </c>
      <c r="T1824" s="3" t="s">
        <v>28</v>
      </c>
    </row>
    <row r="1825" spans="1:20" ht="305.25">
      <c r="A1825" s="3">
        <v>2711533</v>
      </c>
      <c r="B1825" s="3">
        <f>HYPERLINK("https://platform.v2.vetology.net/cases/2711533/screening-report/6?type=pdf&amp;v=v6&amp;scorecard=1&amp;secret_key=BX%25IJ%24%2F65ieZ%29f6", 2711533)</f>
        <v>2711533</v>
      </c>
      <c r="C1825" s="3">
        <f>HYPERLINK("https://platform.v2.vetology.net/report/v/final/"&amp;2711533, 2711533)</f>
        <v>2711533</v>
      </c>
      <c r="D1825" s="3" t="s">
        <v>6410</v>
      </c>
      <c r="E1825" s="3" t="s">
        <v>6411</v>
      </c>
      <c r="F1825" s="3" t="s">
        <v>6412</v>
      </c>
      <c r="G1825" s="3" t="s">
        <v>211</v>
      </c>
      <c r="H1825" s="3" t="s">
        <v>158</v>
      </c>
      <c r="I1825" s="3" t="s">
        <v>32</v>
      </c>
      <c r="J1825" s="3" t="s">
        <v>33</v>
      </c>
      <c r="K1825" s="3" t="s">
        <v>28</v>
      </c>
      <c r="L1825" s="3" t="s">
        <v>28</v>
      </c>
      <c r="M1825" s="3" t="s">
        <v>28</v>
      </c>
      <c r="N1825" s="3" t="s">
        <v>27</v>
      </c>
      <c r="O1825" s="3" t="s">
        <v>28</v>
      </c>
      <c r="P1825" s="3" t="s">
        <v>28</v>
      </c>
      <c r="Q1825" s="3" t="s">
        <v>28</v>
      </c>
      <c r="R1825" s="3" t="s">
        <v>28</v>
      </c>
      <c r="S1825" s="3" t="s">
        <v>28</v>
      </c>
      <c r="T1825" s="3" t="s">
        <v>28</v>
      </c>
    </row>
    <row r="1826" spans="1:20" ht="381.75">
      <c r="A1826" s="3">
        <v>2711487</v>
      </c>
      <c r="B1826" s="3">
        <f>HYPERLINK("https://platform.v2.vetology.net/cases/2711487/screening-report/6?type=pdf&amp;v=v6&amp;scorecard=1&amp;secret_key=BX%25IJ%24%2F65ieZ%29f6", 2711487)</f>
        <v>2711487</v>
      </c>
      <c r="C1826" s="3">
        <f>HYPERLINK("https://platform.v2.vetology.net/report/v/final/"&amp;2711487, 2711487)</f>
        <v>2711487</v>
      </c>
      <c r="D1826" s="3" t="s">
        <v>6413</v>
      </c>
      <c r="E1826" s="3" t="s">
        <v>6414</v>
      </c>
      <c r="F1826" s="3" t="s">
        <v>22</v>
      </c>
      <c r="G1826" s="3" t="s">
        <v>23</v>
      </c>
      <c r="H1826" s="3" t="s">
        <v>6415</v>
      </c>
      <c r="I1826" s="3" t="s">
        <v>1897</v>
      </c>
      <c r="J1826" s="3" t="s">
        <v>325</v>
      </c>
      <c r="K1826" s="3" t="s">
        <v>27</v>
      </c>
      <c r="L1826" s="3" t="s">
        <v>28</v>
      </c>
      <c r="M1826" s="3" t="s">
        <v>27</v>
      </c>
      <c r="N1826" s="3" t="s">
        <v>28</v>
      </c>
      <c r="O1826" s="3" t="s">
        <v>27</v>
      </c>
      <c r="P1826" s="3" t="s">
        <v>27</v>
      </c>
      <c r="Q1826" s="3" t="s">
        <v>28</v>
      </c>
      <c r="R1826" s="3" t="s">
        <v>28</v>
      </c>
      <c r="S1826" s="3" t="s">
        <v>28</v>
      </c>
      <c r="T1826" s="3" t="s">
        <v>28</v>
      </c>
    </row>
    <row r="1827" spans="1:20" ht="409.6">
      <c r="A1827" s="3">
        <v>2711378</v>
      </c>
      <c r="B1827" s="3">
        <f>HYPERLINK("https://platform.v2.vetology.net/cases/2711378/screening-report/6?type=pdf&amp;v=v6&amp;scorecard=1&amp;secret_key=BX%25IJ%24%2F65ieZ%29f6", 2711378)</f>
        <v>2711378</v>
      </c>
      <c r="C1827" s="3">
        <f>HYPERLINK("https://platform.v2.vetology.net/report/v/final/"&amp;2711378, 2711378)</f>
        <v>2711378</v>
      </c>
      <c r="D1827" s="3" t="s">
        <v>6416</v>
      </c>
      <c r="E1827" s="3" t="s">
        <v>6417</v>
      </c>
      <c r="F1827" s="3" t="s">
        <v>22</v>
      </c>
      <c r="G1827" s="3" t="s">
        <v>23</v>
      </c>
      <c r="H1827" s="3" t="s">
        <v>6418</v>
      </c>
      <c r="I1827" s="3" t="s">
        <v>2625</v>
      </c>
      <c r="J1827" s="3" t="s">
        <v>2626</v>
      </c>
      <c r="K1827" s="3" t="s">
        <v>28</v>
      </c>
      <c r="L1827" s="3" t="s">
        <v>28</v>
      </c>
      <c r="M1827" s="3" t="s">
        <v>28</v>
      </c>
      <c r="N1827" s="3" t="s">
        <v>28</v>
      </c>
      <c r="O1827" s="3" t="s">
        <v>28</v>
      </c>
      <c r="P1827" s="3" t="s">
        <v>28</v>
      </c>
      <c r="Q1827" s="3" t="s">
        <v>28</v>
      </c>
      <c r="R1827" s="3" t="s">
        <v>28</v>
      </c>
      <c r="S1827" s="3" t="s">
        <v>28</v>
      </c>
      <c r="T1827" s="3" t="s">
        <v>27</v>
      </c>
    </row>
    <row r="1828" spans="1:20" ht="409.6">
      <c r="A1828" s="3">
        <v>2711372</v>
      </c>
      <c r="B1828" s="3">
        <f>HYPERLINK("https://platform.v2.vetology.net/cases/2711372/screening-report/6?type=pdf&amp;v=v6&amp;scorecard=1&amp;secret_key=BX%25IJ%24%2F65ieZ%29f6", 2711372)</f>
        <v>2711372</v>
      </c>
      <c r="C1828" s="3">
        <f>HYPERLINK("https://platform.v2.vetology.net/report/v/final/"&amp;2711372, 2711372)</f>
        <v>2711372</v>
      </c>
      <c r="D1828" s="3" t="s">
        <v>6419</v>
      </c>
      <c r="E1828" s="3" t="s">
        <v>6420</v>
      </c>
      <c r="F1828" s="3" t="s">
        <v>6421</v>
      </c>
      <c r="G1828" s="3" t="s">
        <v>57</v>
      </c>
      <c r="H1828" s="3" t="s">
        <v>6422</v>
      </c>
      <c r="I1828" s="3" t="s">
        <v>6423</v>
      </c>
      <c r="J1828" s="3" t="s">
        <v>6424</v>
      </c>
      <c r="K1828" s="3" t="s">
        <v>27</v>
      </c>
      <c r="L1828" s="3" t="s">
        <v>28</v>
      </c>
      <c r="M1828" s="3" t="s">
        <v>28</v>
      </c>
      <c r="N1828" s="3" t="s">
        <v>28</v>
      </c>
      <c r="O1828" s="3" t="s">
        <v>27</v>
      </c>
      <c r="P1828" s="3" t="s">
        <v>28</v>
      </c>
      <c r="Q1828" s="3" t="s">
        <v>27</v>
      </c>
      <c r="R1828" s="3" t="s">
        <v>28</v>
      </c>
      <c r="S1828" s="3" t="s">
        <v>28</v>
      </c>
      <c r="T1828" s="3" t="s">
        <v>28</v>
      </c>
    </row>
    <row r="1829" spans="1:20" ht="409.6">
      <c r="A1829" s="3">
        <v>2711362</v>
      </c>
      <c r="B1829" s="3">
        <f>HYPERLINK("https://platform.v2.vetology.net/cases/2711362/screening-report/6?type=pdf&amp;v=v6&amp;scorecard=1&amp;secret_key=BX%25IJ%24%2F65ieZ%29f6", 2711362)</f>
        <v>2711362</v>
      </c>
      <c r="C1829" s="3">
        <f>HYPERLINK("https://platform.v2.vetology.net/report/v/final/"&amp;2711362, 2711362)</f>
        <v>2711362</v>
      </c>
      <c r="D1829" s="3" t="s">
        <v>6425</v>
      </c>
      <c r="E1829" s="3" t="s">
        <v>6426</v>
      </c>
      <c r="F1829" s="3" t="s">
        <v>6427</v>
      </c>
      <c r="G1829" s="3" t="s">
        <v>179</v>
      </c>
      <c r="H1829" s="3" t="s">
        <v>828</v>
      </c>
      <c r="I1829" s="3" t="s">
        <v>829</v>
      </c>
      <c r="J1829" s="3" t="s">
        <v>830</v>
      </c>
      <c r="K1829" s="3" t="s">
        <v>27</v>
      </c>
      <c r="L1829" s="3" t="s">
        <v>27</v>
      </c>
      <c r="M1829" s="3" t="s">
        <v>27</v>
      </c>
      <c r="N1829" s="3" t="s">
        <v>27</v>
      </c>
      <c r="O1829" s="3" t="s">
        <v>27</v>
      </c>
      <c r="P1829" s="3" t="s">
        <v>28</v>
      </c>
      <c r="Q1829" s="3" t="s">
        <v>27</v>
      </c>
      <c r="R1829" s="3" t="s">
        <v>27</v>
      </c>
      <c r="S1829" s="3" t="s">
        <v>27</v>
      </c>
      <c r="T1829" s="3" t="s">
        <v>27</v>
      </c>
    </row>
    <row r="1830" spans="1:20" ht="409.6">
      <c r="A1830" s="3">
        <v>2711332</v>
      </c>
      <c r="B1830" s="3">
        <f>HYPERLINK("https://platform.v2.vetology.net/cases/2711332/screening-report/6?type=pdf&amp;v=v6&amp;scorecard=1&amp;secret_key=BX%25IJ%24%2F65ieZ%29f6", 2711332)</f>
        <v>2711332</v>
      </c>
      <c r="C1830" s="3">
        <f>HYPERLINK("https://platform.v2.vetology.net/report/v/final/"&amp;2711332, 2711332)</f>
        <v>2711332</v>
      </c>
      <c r="D1830" s="3" t="s">
        <v>6428</v>
      </c>
      <c r="E1830" s="3" t="s">
        <v>6429</v>
      </c>
      <c r="F1830" s="3" t="s">
        <v>6430</v>
      </c>
      <c r="G1830" s="3" t="s">
        <v>211</v>
      </c>
      <c r="H1830" s="3" t="s">
        <v>6431</v>
      </c>
      <c r="I1830" s="3" t="s">
        <v>6432</v>
      </c>
      <c r="J1830" s="3" t="s">
        <v>207</v>
      </c>
      <c r="K1830" s="3" t="s">
        <v>28</v>
      </c>
      <c r="L1830" s="3" t="s">
        <v>28</v>
      </c>
      <c r="M1830" s="3" t="s">
        <v>28</v>
      </c>
      <c r="N1830" s="3" t="s">
        <v>28</v>
      </c>
      <c r="O1830" s="3" t="s">
        <v>28</v>
      </c>
      <c r="P1830" s="3" t="s">
        <v>28</v>
      </c>
      <c r="Q1830" s="3" t="s">
        <v>28</v>
      </c>
      <c r="R1830" s="3" t="s">
        <v>28</v>
      </c>
      <c r="S1830" s="3" t="s">
        <v>27</v>
      </c>
      <c r="T1830" s="3" t="s">
        <v>27</v>
      </c>
    </row>
    <row r="1831" spans="1:20" ht="396.75">
      <c r="A1831" s="3">
        <v>2711304</v>
      </c>
      <c r="B1831" s="3">
        <f>HYPERLINK("https://platform.v2.vetology.net/cases/2711304/screening-report/6?type=pdf&amp;v=v6&amp;scorecard=1&amp;secret_key=BX%25IJ%24%2F65ieZ%29f6", 2711304)</f>
        <v>2711304</v>
      </c>
      <c r="C1831" s="3">
        <f>HYPERLINK("https://platform.v2.vetology.net/report/v/final/"&amp;2711304, 2711304)</f>
        <v>2711304</v>
      </c>
      <c r="D1831" s="3" t="s">
        <v>6433</v>
      </c>
      <c r="E1831" s="3" t="s">
        <v>6434</v>
      </c>
      <c r="F1831" s="3" t="s">
        <v>6435</v>
      </c>
      <c r="G1831" s="3" t="s">
        <v>57</v>
      </c>
      <c r="H1831" s="3" t="s">
        <v>4020</v>
      </c>
      <c r="I1831" s="3" t="s">
        <v>918</v>
      </c>
      <c r="J1831" s="3" t="s">
        <v>919</v>
      </c>
      <c r="K1831" s="3" t="s">
        <v>27</v>
      </c>
      <c r="L1831" s="3" t="s">
        <v>28</v>
      </c>
      <c r="M1831" s="3" t="s">
        <v>28</v>
      </c>
      <c r="N1831" s="3" t="s">
        <v>28</v>
      </c>
      <c r="O1831" s="3" t="s">
        <v>27</v>
      </c>
      <c r="P1831" s="3" t="s">
        <v>28</v>
      </c>
      <c r="Q1831" s="3" t="s">
        <v>28</v>
      </c>
      <c r="R1831" s="3" t="s">
        <v>27</v>
      </c>
      <c r="S1831" s="3" t="s">
        <v>28</v>
      </c>
      <c r="T1831" s="3" t="s">
        <v>28</v>
      </c>
    </row>
    <row r="1832" spans="1:20" ht="409.6">
      <c r="A1832" s="3">
        <v>2711230</v>
      </c>
      <c r="B1832" s="3">
        <f>HYPERLINK("https://platform.v2.vetology.net/cases/2711230/screening-report/6?type=pdf&amp;v=v6&amp;scorecard=1&amp;secret_key=BX%25IJ%24%2F65ieZ%29f6", 2711230)</f>
        <v>2711230</v>
      </c>
      <c r="C1832" s="3">
        <f>HYPERLINK("https://platform.v2.vetology.net/report/v/final/"&amp;2711230, 2711230)</f>
        <v>2711230</v>
      </c>
      <c r="D1832" s="3" t="s">
        <v>6436</v>
      </c>
      <c r="E1832" s="3" t="s">
        <v>6437</v>
      </c>
      <c r="F1832" s="3" t="s">
        <v>4712</v>
      </c>
      <c r="G1832" s="3" t="s">
        <v>57</v>
      </c>
      <c r="H1832" s="3" t="s">
        <v>31</v>
      </c>
      <c r="I1832" s="3" t="s">
        <v>32</v>
      </c>
      <c r="J1832" s="3" t="s">
        <v>33</v>
      </c>
      <c r="K1832" s="3" t="s">
        <v>28</v>
      </c>
      <c r="L1832" s="3" t="s">
        <v>28</v>
      </c>
      <c r="M1832" s="3" t="s">
        <v>28</v>
      </c>
      <c r="N1832" s="3" t="s">
        <v>28</v>
      </c>
      <c r="O1832" s="3" t="s">
        <v>28</v>
      </c>
      <c r="P1832" s="3" t="s">
        <v>28</v>
      </c>
      <c r="Q1832" s="3" t="s">
        <v>28</v>
      </c>
      <c r="R1832" s="3" t="s">
        <v>28</v>
      </c>
      <c r="S1832" s="3" t="s">
        <v>28</v>
      </c>
      <c r="T1832" s="3" t="s">
        <v>28</v>
      </c>
    </row>
    <row r="1833" spans="1:20" ht="321">
      <c r="A1833" s="3">
        <v>2711215</v>
      </c>
      <c r="B1833" s="3">
        <f>HYPERLINK("https://platform.v2.vetology.net/cases/2711215/screening-report/6?type=pdf&amp;v=v6&amp;scorecard=1&amp;secret_key=BX%25IJ%24%2F65ieZ%29f6", 2711215)</f>
        <v>2711215</v>
      </c>
      <c r="C1833" s="3">
        <f>HYPERLINK("https://platform.v2.vetology.net/report/v/final/"&amp;2711215, 2711215)</f>
        <v>2711215</v>
      </c>
      <c r="D1833" s="3" t="s">
        <v>6438</v>
      </c>
      <c r="E1833" s="3" t="s">
        <v>6439</v>
      </c>
      <c r="F1833" s="3" t="s">
        <v>22</v>
      </c>
      <c r="G1833" s="3" t="s">
        <v>100</v>
      </c>
      <c r="H1833" s="3" t="s">
        <v>6440</v>
      </c>
      <c r="I1833" s="3" t="s">
        <v>6441</v>
      </c>
      <c r="J1833" s="3" t="s">
        <v>479</v>
      </c>
      <c r="K1833" s="3" t="s">
        <v>28</v>
      </c>
      <c r="L1833" s="3" t="s">
        <v>28</v>
      </c>
      <c r="M1833" s="3" t="s">
        <v>28</v>
      </c>
      <c r="N1833" s="3" t="s">
        <v>27</v>
      </c>
      <c r="O1833" s="3" t="s">
        <v>27</v>
      </c>
      <c r="P1833" s="3" t="s">
        <v>28</v>
      </c>
      <c r="Q1833" s="3" t="s">
        <v>27</v>
      </c>
      <c r="R1833" s="3" t="s">
        <v>28</v>
      </c>
      <c r="S1833" s="3" t="s">
        <v>28</v>
      </c>
      <c r="T1833" s="3" t="s">
        <v>27</v>
      </c>
    </row>
    <row r="1834" spans="1:20" ht="351">
      <c r="A1834" s="3">
        <v>2711153</v>
      </c>
      <c r="B1834" s="3">
        <f>HYPERLINK("https://platform.v2.vetology.net/cases/2711153/screening-report/6?type=pdf&amp;v=v6&amp;scorecard=1&amp;secret_key=BX%25IJ%24%2F65ieZ%29f6", 2711153)</f>
        <v>2711153</v>
      </c>
      <c r="C1834" s="3">
        <f>HYPERLINK("https://platform.v2.vetology.net/report/v/final/"&amp;2711153, 2711153)</f>
        <v>2711153</v>
      </c>
      <c r="D1834" s="3" t="s">
        <v>6442</v>
      </c>
      <c r="E1834" s="3" t="s">
        <v>6443</v>
      </c>
      <c r="F1834" s="3" t="s">
        <v>6444</v>
      </c>
      <c r="G1834" s="3" t="s">
        <v>57</v>
      </c>
      <c r="H1834" s="3" t="s">
        <v>118</v>
      </c>
      <c r="I1834" s="3" t="s">
        <v>32</v>
      </c>
      <c r="J1834" s="3" t="s">
        <v>33</v>
      </c>
      <c r="K1834" s="3" t="s">
        <v>28</v>
      </c>
      <c r="L1834" s="3" t="s">
        <v>28</v>
      </c>
      <c r="M1834" s="3" t="s">
        <v>28</v>
      </c>
      <c r="N1834" s="3" t="s">
        <v>28</v>
      </c>
      <c r="O1834" s="3" t="s">
        <v>28</v>
      </c>
      <c r="P1834" s="3" t="s">
        <v>28</v>
      </c>
      <c r="Q1834" s="3" t="s">
        <v>28</v>
      </c>
      <c r="R1834" s="3" t="s">
        <v>28</v>
      </c>
      <c r="S1834" s="3" t="s">
        <v>28</v>
      </c>
      <c r="T1834" s="3" t="s">
        <v>28</v>
      </c>
    </row>
    <row r="1835" spans="1:20" ht="409.6">
      <c r="A1835" s="3">
        <v>2711144</v>
      </c>
      <c r="B1835" s="3">
        <f>HYPERLINK("https://platform.v2.vetology.net/cases/2711144/screening-report/6?type=pdf&amp;v=v6&amp;scorecard=1&amp;secret_key=BX%25IJ%24%2F65ieZ%29f6", 2711144)</f>
        <v>2711144</v>
      </c>
      <c r="C1835" s="3">
        <f>HYPERLINK("https://platform.v2.vetology.net/report/v/final/"&amp;2711144, 2711144)</f>
        <v>2711144</v>
      </c>
      <c r="D1835" s="3" t="s">
        <v>6445</v>
      </c>
      <c r="E1835" s="3" t="s">
        <v>6446</v>
      </c>
      <c r="F1835" s="3" t="s">
        <v>6447</v>
      </c>
      <c r="G1835" s="3" t="s">
        <v>186</v>
      </c>
      <c r="H1835" s="3" t="s">
        <v>6448</v>
      </c>
      <c r="I1835" s="3" t="s">
        <v>59</v>
      </c>
      <c r="J1835" s="3" t="s">
        <v>60</v>
      </c>
      <c r="K1835" s="3" t="s">
        <v>28</v>
      </c>
      <c r="L1835" s="3" t="s">
        <v>28</v>
      </c>
      <c r="M1835" s="3" t="s">
        <v>28</v>
      </c>
      <c r="N1835" s="3" t="s">
        <v>28</v>
      </c>
      <c r="O1835" s="3" t="s">
        <v>27</v>
      </c>
      <c r="P1835" s="3" t="s">
        <v>28</v>
      </c>
      <c r="Q1835" s="3" t="s">
        <v>28</v>
      </c>
      <c r="R1835" s="3" t="s">
        <v>28</v>
      </c>
      <c r="S1835" s="3" t="s">
        <v>28</v>
      </c>
      <c r="T1835" s="3" t="s">
        <v>28</v>
      </c>
    </row>
    <row r="1836" spans="1:20" ht="409.6">
      <c r="A1836" s="3">
        <v>2711140</v>
      </c>
      <c r="B1836" s="3">
        <f>HYPERLINK("https://platform.v2.vetology.net/cases/2711140/screening-report/6?type=pdf&amp;v=v6&amp;scorecard=1&amp;secret_key=BX%25IJ%24%2F65ieZ%29f6", 2711140)</f>
        <v>2711140</v>
      </c>
      <c r="C1836" s="3">
        <f>HYPERLINK("https://platform.v2.vetology.net/report/v/final/"&amp;2711140, 2711140)</f>
        <v>2711140</v>
      </c>
      <c r="D1836" s="3" t="s">
        <v>6449</v>
      </c>
      <c r="E1836" s="3" t="s">
        <v>6450</v>
      </c>
      <c r="F1836" s="3" t="s">
        <v>6451</v>
      </c>
      <c r="G1836" s="3" t="s">
        <v>64</v>
      </c>
      <c r="H1836" s="3" t="s">
        <v>6452</v>
      </c>
      <c r="I1836" s="3" t="s">
        <v>763</v>
      </c>
      <c r="J1836" s="3" t="s">
        <v>764</v>
      </c>
      <c r="K1836" s="3" t="s">
        <v>27</v>
      </c>
      <c r="L1836" s="3" t="s">
        <v>28</v>
      </c>
      <c r="M1836" s="3" t="s">
        <v>27</v>
      </c>
      <c r="N1836" s="3" t="s">
        <v>28</v>
      </c>
      <c r="O1836" s="3" t="s">
        <v>27</v>
      </c>
      <c r="P1836" s="3" t="s">
        <v>28</v>
      </c>
      <c r="Q1836" s="3" t="s">
        <v>27</v>
      </c>
      <c r="R1836" s="3" t="s">
        <v>28</v>
      </c>
      <c r="S1836" s="3" t="s">
        <v>28</v>
      </c>
      <c r="T1836" s="3" t="s">
        <v>28</v>
      </c>
    </row>
    <row r="1837" spans="1:20" ht="351">
      <c r="A1837" s="3">
        <v>2711110</v>
      </c>
      <c r="B1837" s="3">
        <f>HYPERLINK("https://platform.v2.vetology.net/cases/2711110/screening-report/6?type=pdf&amp;v=v6&amp;scorecard=1&amp;secret_key=BX%25IJ%24%2F65ieZ%29f6", 2711110)</f>
        <v>2711110</v>
      </c>
      <c r="C1837" s="3">
        <f>HYPERLINK("https://platform.v2.vetology.net/report/v/final/"&amp;2711110, 2711110)</f>
        <v>2711110</v>
      </c>
      <c r="D1837" s="3" t="s">
        <v>6453</v>
      </c>
      <c r="E1837" s="3" t="s">
        <v>6454</v>
      </c>
      <c r="F1837" s="3" t="s">
        <v>6455</v>
      </c>
      <c r="G1837" s="3" t="s">
        <v>179</v>
      </c>
      <c r="H1837" s="3" t="s">
        <v>6456</v>
      </c>
      <c r="I1837" s="3" t="s">
        <v>3835</v>
      </c>
      <c r="J1837" s="3" t="s">
        <v>3009</v>
      </c>
      <c r="K1837" s="3" t="s">
        <v>27</v>
      </c>
      <c r="L1837" s="3" t="s">
        <v>28</v>
      </c>
      <c r="M1837" s="3" t="s">
        <v>27</v>
      </c>
      <c r="N1837" s="3" t="s">
        <v>28</v>
      </c>
      <c r="O1837" s="3" t="s">
        <v>27</v>
      </c>
      <c r="P1837" s="3" t="s">
        <v>27</v>
      </c>
      <c r="Q1837" s="3" t="s">
        <v>27</v>
      </c>
      <c r="R1837" s="3" t="s">
        <v>28</v>
      </c>
      <c r="S1837" s="3" t="s">
        <v>28</v>
      </c>
      <c r="T1837" s="3" t="s">
        <v>28</v>
      </c>
    </row>
    <row r="1838" spans="1:20" ht="396.75">
      <c r="A1838" s="3">
        <v>2711100</v>
      </c>
      <c r="B1838" s="3">
        <f>HYPERLINK("https://platform.v2.vetology.net/cases/2711100/screening-report/6?type=pdf&amp;v=v6&amp;scorecard=1&amp;secret_key=BX%25IJ%24%2F65ieZ%29f6", 2711100)</f>
        <v>2711100</v>
      </c>
      <c r="C1838" s="3">
        <f>HYPERLINK("https://platform.v2.vetology.net/report/v/final/"&amp;2711100, 2711100)</f>
        <v>2711100</v>
      </c>
      <c r="D1838" s="3" t="s">
        <v>6457</v>
      </c>
      <c r="E1838" s="3" t="s">
        <v>6458</v>
      </c>
      <c r="F1838" s="3" t="s">
        <v>6459</v>
      </c>
      <c r="G1838" s="3" t="s">
        <v>186</v>
      </c>
      <c r="H1838" s="3" t="s">
        <v>4750</v>
      </c>
      <c r="I1838" s="3" t="s">
        <v>469</v>
      </c>
      <c r="J1838" s="3" t="s">
        <v>470</v>
      </c>
      <c r="K1838" s="3" t="s">
        <v>28</v>
      </c>
      <c r="L1838" s="3" t="s">
        <v>28</v>
      </c>
      <c r="M1838" s="3" t="s">
        <v>28</v>
      </c>
      <c r="N1838" s="3" t="s">
        <v>28</v>
      </c>
      <c r="O1838" s="3" t="s">
        <v>27</v>
      </c>
      <c r="P1838" s="3" t="s">
        <v>28</v>
      </c>
      <c r="Q1838" s="3" t="s">
        <v>28</v>
      </c>
      <c r="R1838" s="3" t="s">
        <v>28</v>
      </c>
      <c r="S1838" s="3" t="s">
        <v>28</v>
      </c>
      <c r="T1838" s="3" t="s">
        <v>28</v>
      </c>
    </row>
    <row r="1839" spans="1:20" ht="290.25">
      <c r="A1839" s="3">
        <v>2711088</v>
      </c>
      <c r="B1839" s="3">
        <f>HYPERLINK("https://platform.v2.vetology.net/cases/2711088/screening-report/6?type=pdf&amp;v=v6&amp;scorecard=1&amp;secret_key=BX%25IJ%24%2F65ieZ%29f6", 2711088)</f>
        <v>2711088</v>
      </c>
      <c r="C1839" s="3">
        <f>HYPERLINK("https://platform.v2.vetology.net/report/v/final/"&amp;2711088, 2711088)</f>
        <v>2711088</v>
      </c>
      <c r="D1839" s="3" t="s">
        <v>6460</v>
      </c>
      <c r="E1839" s="3" t="s">
        <v>6461</v>
      </c>
      <c r="F1839" s="3" t="s">
        <v>6462</v>
      </c>
      <c r="G1839" s="3" t="s">
        <v>211</v>
      </c>
      <c r="H1839" s="3" t="s">
        <v>135</v>
      </c>
      <c r="I1839" s="3" t="s">
        <v>136</v>
      </c>
      <c r="J1839" s="3" t="s">
        <v>137</v>
      </c>
      <c r="K1839" s="3" t="s">
        <v>28</v>
      </c>
      <c r="L1839" s="3" t="s">
        <v>28</v>
      </c>
      <c r="M1839" s="3" t="s">
        <v>28</v>
      </c>
      <c r="N1839" s="3" t="s">
        <v>28</v>
      </c>
      <c r="O1839" s="3" t="s">
        <v>27</v>
      </c>
      <c r="P1839" s="3" t="s">
        <v>28</v>
      </c>
      <c r="Q1839" s="3" t="s">
        <v>27</v>
      </c>
      <c r="R1839" s="3" t="s">
        <v>28</v>
      </c>
      <c r="S1839" s="3" t="s">
        <v>27</v>
      </c>
      <c r="T1839" s="3" t="s">
        <v>27</v>
      </c>
    </row>
    <row r="1840" spans="1:20" ht="409.6">
      <c r="A1840" s="3">
        <v>2711069</v>
      </c>
      <c r="B1840" s="3">
        <f>HYPERLINK("https://platform.v2.vetology.net/cases/2711069/screening-report/6?type=pdf&amp;v=v6&amp;scorecard=1&amp;secret_key=BX%25IJ%24%2F65ieZ%29f6", 2711069)</f>
        <v>2711069</v>
      </c>
      <c r="C1840" s="3">
        <f>HYPERLINK("https://platform.v2.vetology.net/report/v/final/"&amp;2711069, 2711069)</f>
        <v>2711069</v>
      </c>
      <c r="D1840" s="3" t="s">
        <v>6463</v>
      </c>
      <c r="E1840" s="3" t="s">
        <v>6464</v>
      </c>
      <c r="F1840" s="3" t="s">
        <v>6465</v>
      </c>
      <c r="G1840" s="3" t="s">
        <v>179</v>
      </c>
      <c r="H1840" s="3" t="s">
        <v>6466</v>
      </c>
      <c r="I1840" s="3" t="s">
        <v>181</v>
      </c>
      <c r="J1840" s="3" t="s">
        <v>6467</v>
      </c>
      <c r="K1840" s="3" t="s">
        <v>28</v>
      </c>
      <c r="L1840" s="3" t="s">
        <v>27</v>
      </c>
      <c r="M1840" s="3" t="s">
        <v>28</v>
      </c>
      <c r="N1840" s="3" t="s">
        <v>27</v>
      </c>
      <c r="O1840" s="3" t="s">
        <v>27</v>
      </c>
      <c r="P1840" s="3" t="s">
        <v>27</v>
      </c>
      <c r="Q1840" s="3" t="s">
        <v>28</v>
      </c>
      <c r="R1840" s="3" t="s">
        <v>27</v>
      </c>
      <c r="S1840" s="3" t="s">
        <v>27</v>
      </c>
      <c r="T1840" s="3" t="s">
        <v>27</v>
      </c>
    </row>
    <row r="1841" spans="1:20" ht="305.25">
      <c r="A1841" s="3">
        <v>2711050</v>
      </c>
      <c r="B1841" s="3">
        <f>HYPERLINK("https://platform.v2.vetology.net/cases/2711050/screening-report/6?type=pdf&amp;v=v6&amp;scorecard=1&amp;secret_key=BX%25IJ%24%2F65ieZ%29f6", 2711050)</f>
        <v>2711050</v>
      </c>
      <c r="C1841" s="3">
        <f>HYPERLINK("https://platform.v2.vetology.net/report/v/final/"&amp;2711050, 2711050)</f>
        <v>2711050</v>
      </c>
      <c r="D1841" s="3" t="s">
        <v>6468</v>
      </c>
      <c r="E1841" s="3" t="s">
        <v>6469</v>
      </c>
      <c r="F1841" s="3"/>
      <c r="G1841" s="3" t="s">
        <v>100</v>
      </c>
      <c r="H1841" s="3" t="s">
        <v>1421</v>
      </c>
      <c r="I1841" s="3" t="s">
        <v>32</v>
      </c>
      <c r="J1841" s="3" t="s">
        <v>33</v>
      </c>
      <c r="K1841" s="3" t="s">
        <v>28</v>
      </c>
      <c r="L1841" s="3" t="s">
        <v>28</v>
      </c>
      <c r="M1841" s="3" t="s">
        <v>28</v>
      </c>
      <c r="N1841" s="3" t="s">
        <v>28</v>
      </c>
      <c r="O1841" s="3" t="s">
        <v>28</v>
      </c>
      <c r="P1841" s="3" t="s">
        <v>28</v>
      </c>
      <c r="Q1841" s="3" t="s">
        <v>28</v>
      </c>
      <c r="R1841" s="3" t="s">
        <v>28</v>
      </c>
      <c r="S1841" s="3" t="s">
        <v>28</v>
      </c>
      <c r="T1841" s="3" t="s">
        <v>28</v>
      </c>
    </row>
    <row r="1842" spans="1:20" ht="409.6">
      <c r="A1842" s="3">
        <v>2710987</v>
      </c>
      <c r="B1842" s="3">
        <f>HYPERLINK("https://platform.v2.vetology.net/cases/2710987/screening-report/6?type=pdf&amp;v=v6&amp;scorecard=1&amp;secret_key=BX%25IJ%24%2F65ieZ%29f6", 2710987)</f>
        <v>2710987</v>
      </c>
      <c r="C1842" s="3">
        <f>HYPERLINK("https://platform.v2.vetology.net/report/v/final/"&amp;2710987, 2710987)</f>
        <v>2710987</v>
      </c>
      <c r="D1842" s="3" t="s">
        <v>6470</v>
      </c>
      <c r="E1842" s="3" t="s">
        <v>6471</v>
      </c>
      <c r="F1842" s="3" t="s">
        <v>6472</v>
      </c>
      <c r="G1842" s="3" t="s">
        <v>64</v>
      </c>
      <c r="H1842" s="3" t="s">
        <v>141</v>
      </c>
      <c r="I1842" s="3" t="s">
        <v>142</v>
      </c>
      <c r="J1842" s="3" t="s">
        <v>143</v>
      </c>
      <c r="K1842" s="3" t="s">
        <v>28</v>
      </c>
      <c r="L1842" s="3" t="s">
        <v>28</v>
      </c>
      <c r="M1842" s="3" t="s">
        <v>27</v>
      </c>
      <c r="N1842" s="3" t="s">
        <v>28</v>
      </c>
      <c r="O1842" s="3" t="s">
        <v>27</v>
      </c>
      <c r="P1842" s="3" t="s">
        <v>28</v>
      </c>
      <c r="Q1842" s="3" t="s">
        <v>28</v>
      </c>
      <c r="R1842" s="3" t="s">
        <v>28</v>
      </c>
      <c r="S1842" s="3" t="s">
        <v>28</v>
      </c>
      <c r="T1842" s="3" t="s">
        <v>27</v>
      </c>
    </row>
    <row r="1843" spans="1:20" ht="321">
      <c r="A1843" s="3">
        <v>2710985</v>
      </c>
      <c r="B1843" s="3">
        <f>HYPERLINK("https://platform.v2.vetology.net/cases/2710985/screening-report/6?type=pdf&amp;v=v6&amp;scorecard=1&amp;secret_key=BX%25IJ%24%2F65ieZ%29f6", 2710985)</f>
        <v>2710985</v>
      </c>
      <c r="C1843" s="3">
        <f>HYPERLINK("https://platform.v2.vetology.net/report/v/final/"&amp;2710985, 2710985)</f>
        <v>2710985</v>
      </c>
      <c r="D1843" s="3" t="s">
        <v>6473</v>
      </c>
      <c r="E1843" s="3" t="s">
        <v>6474</v>
      </c>
      <c r="F1843" s="3" t="s">
        <v>6475</v>
      </c>
      <c r="G1843" s="3" t="s">
        <v>496</v>
      </c>
      <c r="H1843" s="3" t="s">
        <v>6476</v>
      </c>
      <c r="I1843" s="3" t="s">
        <v>5235</v>
      </c>
      <c r="J1843" s="3" t="s">
        <v>2626</v>
      </c>
      <c r="K1843" s="3" t="s">
        <v>28</v>
      </c>
      <c r="L1843" s="3" t="s">
        <v>28</v>
      </c>
      <c r="M1843" s="3" t="s">
        <v>28</v>
      </c>
      <c r="N1843" s="3" t="s">
        <v>27</v>
      </c>
      <c r="O1843" s="3" t="s">
        <v>27</v>
      </c>
      <c r="P1843" s="3" t="s">
        <v>28</v>
      </c>
      <c r="Q1843" s="3" t="s">
        <v>28</v>
      </c>
      <c r="R1843" s="3" t="s">
        <v>27</v>
      </c>
      <c r="S1843" s="3" t="s">
        <v>28</v>
      </c>
      <c r="T1843" s="3" t="s">
        <v>27</v>
      </c>
    </row>
    <row r="1844" spans="1:20" ht="409.6">
      <c r="A1844" s="3">
        <v>2710980</v>
      </c>
      <c r="B1844" s="3">
        <f>HYPERLINK("https://platform.v2.vetology.net/cases/2710980/screening-report/6?type=pdf&amp;v=v6&amp;scorecard=1&amp;secret_key=BX%25IJ%24%2F65ieZ%29f6", 2710980)</f>
        <v>2710980</v>
      </c>
      <c r="C1844" s="3">
        <f>HYPERLINK("https://platform.v2.vetology.net/report/v/final/"&amp;2710980, 2710980)</f>
        <v>2710980</v>
      </c>
      <c r="D1844" s="3" t="s">
        <v>6477</v>
      </c>
      <c r="E1844" s="3" t="s">
        <v>6478</v>
      </c>
      <c r="F1844" s="3" t="s">
        <v>22</v>
      </c>
      <c r="G1844" s="3" t="s">
        <v>23</v>
      </c>
      <c r="H1844" s="3" t="s">
        <v>135</v>
      </c>
      <c r="I1844" s="3" t="s">
        <v>136</v>
      </c>
      <c r="J1844" s="3" t="s">
        <v>424</v>
      </c>
      <c r="K1844" s="3" t="s">
        <v>28</v>
      </c>
      <c r="L1844" s="3" t="s">
        <v>28</v>
      </c>
      <c r="M1844" s="3" t="s">
        <v>28</v>
      </c>
      <c r="N1844" s="3" t="s">
        <v>27</v>
      </c>
      <c r="O1844" s="3" t="s">
        <v>27</v>
      </c>
      <c r="P1844" s="3" t="s">
        <v>28</v>
      </c>
      <c r="Q1844" s="3" t="s">
        <v>28</v>
      </c>
      <c r="R1844" s="3" t="s">
        <v>28</v>
      </c>
      <c r="S1844" s="3" t="s">
        <v>28</v>
      </c>
      <c r="T1844" s="3" t="s">
        <v>27</v>
      </c>
    </row>
    <row r="1845" spans="1:20" ht="409.6">
      <c r="A1845" s="3">
        <v>2710964</v>
      </c>
      <c r="B1845" s="3">
        <f>HYPERLINK("https://platform.v2.vetology.net/cases/2710964/screening-report/6?type=pdf&amp;v=v6&amp;scorecard=1&amp;secret_key=BX%25IJ%24%2F65ieZ%29f6", 2710964)</f>
        <v>2710964</v>
      </c>
      <c r="C1845" s="3">
        <f>HYPERLINK("https://platform.v2.vetology.net/report/v/final/"&amp;2710964, 2710964)</f>
        <v>2710964</v>
      </c>
      <c r="D1845" s="3" t="s">
        <v>6479</v>
      </c>
      <c r="E1845" s="3" t="s">
        <v>6480</v>
      </c>
      <c r="F1845" s="3" t="s">
        <v>6481</v>
      </c>
      <c r="G1845" s="3" t="s">
        <v>57</v>
      </c>
      <c r="H1845" s="3" t="s">
        <v>6482</v>
      </c>
      <c r="I1845" s="3" t="s">
        <v>981</v>
      </c>
      <c r="J1845" s="3" t="s">
        <v>982</v>
      </c>
      <c r="K1845" s="3" t="s">
        <v>27</v>
      </c>
      <c r="L1845" s="3" t="s">
        <v>28</v>
      </c>
      <c r="M1845" s="3" t="s">
        <v>28</v>
      </c>
      <c r="N1845" s="3" t="s">
        <v>28</v>
      </c>
      <c r="O1845" s="3" t="s">
        <v>27</v>
      </c>
      <c r="P1845" s="3" t="s">
        <v>28</v>
      </c>
      <c r="Q1845" s="3" t="s">
        <v>27</v>
      </c>
      <c r="R1845" s="3" t="s">
        <v>28</v>
      </c>
      <c r="S1845" s="3" t="s">
        <v>28</v>
      </c>
      <c r="T1845" s="3" t="s">
        <v>28</v>
      </c>
    </row>
    <row r="1846" spans="1:20" ht="409.6">
      <c r="A1846" s="3">
        <v>2710961</v>
      </c>
      <c r="B1846" s="3">
        <f>HYPERLINK("https://platform.v2.vetology.net/cases/2710961/screening-report/6?type=pdf&amp;v=v6&amp;scorecard=1&amp;secret_key=BX%25IJ%24%2F65ieZ%29f6", 2710961)</f>
        <v>2710961</v>
      </c>
      <c r="C1846" s="3">
        <f>HYPERLINK("https://platform.v2.vetology.net/report/v/final/"&amp;2710961, 2710961)</f>
        <v>2710961</v>
      </c>
      <c r="D1846" s="3" t="s">
        <v>3124</v>
      </c>
      <c r="E1846" s="3" t="s">
        <v>955</v>
      </c>
      <c r="F1846" s="3" t="s">
        <v>956</v>
      </c>
      <c r="G1846" s="3" t="s">
        <v>100</v>
      </c>
      <c r="H1846" s="3" t="s">
        <v>6483</v>
      </c>
      <c r="I1846" s="3" t="s">
        <v>5214</v>
      </c>
      <c r="J1846" s="3" t="s">
        <v>5215</v>
      </c>
      <c r="K1846" s="3" t="s">
        <v>27</v>
      </c>
      <c r="L1846" s="3" t="s">
        <v>27</v>
      </c>
      <c r="M1846" s="3" t="s">
        <v>27</v>
      </c>
      <c r="N1846" s="3" t="s">
        <v>27</v>
      </c>
      <c r="O1846" s="3" t="s">
        <v>27</v>
      </c>
      <c r="P1846" s="3" t="s">
        <v>28</v>
      </c>
      <c r="Q1846" s="3" t="s">
        <v>27</v>
      </c>
      <c r="R1846" s="3" t="s">
        <v>28</v>
      </c>
      <c r="S1846" s="3" t="s">
        <v>27</v>
      </c>
      <c r="T1846" s="3" t="s">
        <v>28</v>
      </c>
    </row>
    <row r="1847" spans="1:20" ht="366">
      <c r="A1847" s="3">
        <v>2710941</v>
      </c>
      <c r="B1847" s="3">
        <f>HYPERLINK("https://platform.v2.vetology.net/cases/2710941/screening-report/6?type=pdf&amp;v=v6&amp;scorecard=1&amp;secret_key=BX%25IJ%24%2F65ieZ%29f6", 2710941)</f>
        <v>2710941</v>
      </c>
      <c r="C1847" s="3">
        <f>HYPERLINK("https://platform.v2.vetology.net/report/v/final/"&amp;2710941, 2710941)</f>
        <v>2710941</v>
      </c>
      <c r="D1847" s="3" t="s">
        <v>6484</v>
      </c>
      <c r="E1847" s="3" t="s">
        <v>6485</v>
      </c>
      <c r="F1847" s="3" t="s">
        <v>277</v>
      </c>
      <c r="G1847" s="3" t="s">
        <v>186</v>
      </c>
      <c r="H1847" s="3" t="s">
        <v>3992</v>
      </c>
      <c r="I1847" s="3" t="s">
        <v>1034</v>
      </c>
      <c r="J1847" s="3" t="s">
        <v>1035</v>
      </c>
      <c r="K1847" s="3" t="s">
        <v>28</v>
      </c>
      <c r="L1847" s="3" t="s">
        <v>28</v>
      </c>
      <c r="M1847" s="3" t="s">
        <v>28</v>
      </c>
      <c r="N1847" s="3" t="s">
        <v>28</v>
      </c>
      <c r="O1847" s="3" t="s">
        <v>27</v>
      </c>
      <c r="P1847" s="3" t="s">
        <v>28</v>
      </c>
      <c r="Q1847" s="3" t="s">
        <v>28</v>
      </c>
      <c r="R1847" s="3" t="s">
        <v>27</v>
      </c>
      <c r="S1847" s="3" t="s">
        <v>28</v>
      </c>
      <c r="T1847" s="3" t="s">
        <v>27</v>
      </c>
    </row>
    <row r="1848" spans="1:20" ht="305.25">
      <c r="A1848" s="3">
        <v>2710939</v>
      </c>
      <c r="B1848" s="3">
        <f>HYPERLINK("https://platform.v2.vetology.net/cases/2710939/screening-report/6?type=pdf&amp;v=v6&amp;scorecard=1&amp;secret_key=BX%25IJ%24%2F65ieZ%29f6", 2710939)</f>
        <v>2710939</v>
      </c>
      <c r="C1848" s="3">
        <f>HYPERLINK("https://platform.v2.vetology.net/report/v/final/"&amp;2710939, 2710939)</f>
        <v>2710939</v>
      </c>
      <c r="D1848" s="3" t="s">
        <v>6486</v>
      </c>
      <c r="E1848" s="3" t="s">
        <v>6487</v>
      </c>
      <c r="F1848" s="3" t="s">
        <v>6488</v>
      </c>
      <c r="G1848" s="3" t="s">
        <v>496</v>
      </c>
      <c r="H1848" s="3" t="s">
        <v>419</v>
      </c>
      <c r="I1848" s="3" t="s">
        <v>316</v>
      </c>
      <c r="J1848" s="3" t="s">
        <v>317</v>
      </c>
      <c r="K1848" s="3" t="s">
        <v>27</v>
      </c>
      <c r="L1848" s="3" t="s">
        <v>28</v>
      </c>
      <c r="M1848" s="3" t="s">
        <v>28</v>
      </c>
      <c r="N1848" s="3" t="s">
        <v>28</v>
      </c>
      <c r="O1848" s="3" t="s">
        <v>27</v>
      </c>
      <c r="P1848" s="3" t="s">
        <v>28</v>
      </c>
      <c r="Q1848" s="3" t="s">
        <v>28</v>
      </c>
      <c r="R1848" s="3" t="s">
        <v>28</v>
      </c>
      <c r="S1848" s="3" t="s">
        <v>28</v>
      </c>
      <c r="T1848" s="3" t="s">
        <v>28</v>
      </c>
    </row>
    <row r="1849" spans="1:20" ht="305.25">
      <c r="A1849" s="3">
        <v>2710936</v>
      </c>
      <c r="B1849" s="3">
        <f>HYPERLINK("https://platform.v2.vetology.net/cases/2710936/screening-report/6?type=pdf&amp;v=v6&amp;scorecard=1&amp;secret_key=BX%25IJ%24%2F65ieZ%29f6", 2710936)</f>
        <v>2710936</v>
      </c>
      <c r="C1849" s="3">
        <f>HYPERLINK("https://platform.v2.vetology.net/report/v/final/"&amp;2710936, 2710936)</f>
        <v>2710936</v>
      </c>
      <c r="D1849" s="3" t="s">
        <v>6489</v>
      </c>
      <c r="E1849" s="3" t="s">
        <v>6490</v>
      </c>
      <c r="F1849" s="3" t="s">
        <v>6491</v>
      </c>
      <c r="G1849" s="3" t="s">
        <v>186</v>
      </c>
      <c r="H1849" s="3" t="s">
        <v>2602</v>
      </c>
      <c r="I1849" s="3" t="s">
        <v>1070</v>
      </c>
      <c r="J1849" s="3" t="s">
        <v>207</v>
      </c>
      <c r="K1849" s="3" t="s">
        <v>27</v>
      </c>
      <c r="L1849" s="3" t="s">
        <v>28</v>
      </c>
      <c r="M1849" s="3" t="s">
        <v>28</v>
      </c>
      <c r="N1849" s="3" t="s">
        <v>28</v>
      </c>
      <c r="O1849" s="3" t="s">
        <v>27</v>
      </c>
      <c r="P1849" s="3" t="s">
        <v>28</v>
      </c>
      <c r="Q1849" s="3" t="s">
        <v>28</v>
      </c>
      <c r="R1849" s="3" t="s">
        <v>28</v>
      </c>
      <c r="S1849" s="3" t="s">
        <v>28</v>
      </c>
      <c r="T1849" s="3" t="s">
        <v>28</v>
      </c>
    </row>
    <row r="1850" spans="1:20" ht="305.25">
      <c r="A1850" s="3">
        <v>2710935</v>
      </c>
      <c r="B1850" s="3">
        <f>HYPERLINK("https://platform.v2.vetology.net/cases/2710935/screening-report/6?type=pdf&amp;v=v6&amp;scorecard=1&amp;secret_key=BX%25IJ%24%2F65ieZ%29f6", 2710935)</f>
        <v>2710935</v>
      </c>
      <c r="C1850" s="3">
        <f>HYPERLINK("https://platform.v2.vetology.net/report/v/final/"&amp;2710935, 2710935)</f>
        <v>2710935</v>
      </c>
      <c r="D1850" s="3" t="s">
        <v>6492</v>
      </c>
      <c r="E1850" s="3" t="s">
        <v>1690</v>
      </c>
      <c r="F1850" s="3"/>
      <c r="G1850" s="3" t="s">
        <v>100</v>
      </c>
      <c r="H1850" s="3" t="s">
        <v>702</v>
      </c>
      <c r="I1850" s="3" t="s">
        <v>32</v>
      </c>
      <c r="J1850" s="3" t="s">
        <v>33</v>
      </c>
      <c r="K1850" s="3" t="s">
        <v>28</v>
      </c>
      <c r="L1850" s="3" t="s">
        <v>28</v>
      </c>
      <c r="M1850" s="3" t="s">
        <v>28</v>
      </c>
      <c r="N1850" s="3" t="s">
        <v>28</v>
      </c>
      <c r="O1850" s="3" t="s">
        <v>27</v>
      </c>
      <c r="P1850" s="3" t="s">
        <v>28</v>
      </c>
      <c r="Q1850" s="3" t="s">
        <v>28</v>
      </c>
      <c r="R1850" s="3" t="s">
        <v>28</v>
      </c>
      <c r="S1850" s="3" t="s">
        <v>28</v>
      </c>
      <c r="T1850" s="3" t="s">
        <v>28</v>
      </c>
    </row>
    <row r="1851" spans="1:20" ht="409.6">
      <c r="A1851" s="3">
        <v>2710923</v>
      </c>
      <c r="B1851" s="3">
        <f>HYPERLINK("https://platform.v2.vetology.net/cases/2710923/screening-report/6?type=pdf&amp;v=v6&amp;scorecard=1&amp;secret_key=BX%25IJ%24%2F65ieZ%29f6", 2710923)</f>
        <v>2710923</v>
      </c>
      <c r="C1851" s="3">
        <f>HYPERLINK("https://platform.v2.vetology.net/report/v/final/"&amp;2710923, 2710923)</f>
        <v>2710923</v>
      </c>
      <c r="D1851" s="3" t="s">
        <v>6493</v>
      </c>
      <c r="E1851" s="3" t="s">
        <v>6494</v>
      </c>
      <c r="F1851" s="3" t="s">
        <v>6495</v>
      </c>
      <c r="G1851" s="3" t="s">
        <v>179</v>
      </c>
      <c r="H1851" s="3" t="s">
        <v>6353</v>
      </c>
      <c r="I1851" s="3" t="s">
        <v>678</v>
      </c>
      <c r="J1851" s="3" t="s">
        <v>1264</v>
      </c>
      <c r="K1851" s="3" t="s">
        <v>28</v>
      </c>
      <c r="L1851" s="3" t="s">
        <v>27</v>
      </c>
      <c r="M1851" s="3" t="s">
        <v>28</v>
      </c>
      <c r="N1851" s="3" t="s">
        <v>27</v>
      </c>
      <c r="O1851" s="3" t="s">
        <v>27</v>
      </c>
      <c r="P1851" s="3" t="s">
        <v>28</v>
      </c>
      <c r="Q1851" s="3" t="s">
        <v>28</v>
      </c>
      <c r="R1851" s="3" t="s">
        <v>27</v>
      </c>
      <c r="S1851" s="3" t="s">
        <v>27</v>
      </c>
      <c r="T1851" s="3" t="s">
        <v>27</v>
      </c>
    </row>
    <row r="1852" spans="1:20" ht="409.6">
      <c r="A1852" s="3">
        <v>2710894</v>
      </c>
      <c r="B1852" s="3">
        <f>HYPERLINK("https://platform.v2.vetology.net/cases/2710894/screening-report/6?type=pdf&amp;v=v6&amp;scorecard=1&amp;secret_key=BX%25IJ%24%2F65ieZ%29f6", 2710894)</f>
        <v>2710894</v>
      </c>
      <c r="C1852" s="3">
        <f>HYPERLINK("https://platform.v2.vetology.net/report/v/final/"&amp;2710894, 2710894)</f>
        <v>2710894</v>
      </c>
      <c r="D1852" s="3" t="s">
        <v>6496</v>
      </c>
      <c r="E1852" s="3" t="s">
        <v>6497</v>
      </c>
      <c r="F1852" s="3" t="s">
        <v>6498</v>
      </c>
      <c r="G1852" s="3" t="s">
        <v>179</v>
      </c>
      <c r="H1852" s="3" t="s">
        <v>6499</v>
      </c>
      <c r="I1852" s="3" t="s">
        <v>1020</v>
      </c>
      <c r="J1852" s="3" t="s">
        <v>1021</v>
      </c>
      <c r="K1852" s="3" t="s">
        <v>27</v>
      </c>
      <c r="L1852" s="3" t="s">
        <v>28</v>
      </c>
      <c r="M1852" s="3" t="s">
        <v>27</v>
      </c>
      <c r="N1852" s="3" t="s">
        <v>28</v>
      </c>
      <c r="O1852" s="3" t="s">
        <v>27</v>
      </c>
      <c r="P1852" s="3" t="s">
        <v>28</v>
      </c>
      <c r="Q1852" s="3" t="s">
        <v>27</v>
      </c>
      <c r="R1852" s="3" t="s">
        <v>28</v>
      </c>
      <c r="S1852" s="3" t="s">
        <v>28</v>
      </c>
      <c r="T1852" s="3" t="s">
        <v>28</v>
      </c>
    </row>
    <row r="1853" spans="1:20" ht="409.6">
      <c r="A1853" s="3">
        <v>2710886</v>
      </c>
      <c r="B1853" s="3">
        <f>HYPERLINK("https://platform.v2.vetology.net/cases/2710886/screening-report/6?type=pdf&amp;v=v6&amp;scorecard=1&amp;secret_key=BX%25IJ%24%2F65ieZ%29f6", 2710886)</f>
        <v>2710886</v>
      </c>
      <c r="C1853" s="3">
        <f>HYPERLINK("https://platform.v2.vetology.net/report/v/final/"&amp;2710886, 2710886)</f>
        <v>2710886</v>
      </c>
      <c r="D1853" s="3" t="s">
        <v>6500</v>
      </c>
      <c r="E1853" s="3" t="s">
        <v>6501</v>
      </c>
      <c r="F1853" s="3" t="s">
        <v>6502</v>
      </c>
      <c r="G1853" s="3" t="s">
        <v>57</v>
      </c>
      <c r="H1853" s="3" t="s">
        <v>350</v>
      </c>
      <c r="I1853" s="3" t="s">
        <v>351</v>
      </c>
      <c r="J1853" s="3" t="s">
        <v>352</v>
      </c>
      <c r="K1853" s="3" t="s">
        <v>28</v>
      </c>
      <c r="L1853" s="3" t="s">
        <v>28</v>
      </c>
      <c r="M1853" s="3" t="s">
        <v>28</v>
      </c>
      <c r="N1853" s="3" t="s">
        <v>28</v>
      </c>
      <c r="O1853" s="3" t="s">
        <v>27</v>
      </c>
      <c r="P1853" s="3" t="s">
        <v>28</v>
      </c>
      <c r="Q1853" s="3" t="s">
        <v>28</v>
      </c>
      <c r="R1853" s="3" t="s">
        <v>28</v>
      </c>
      <c r="S1853" s="3" t="s">
        <v>28</v>
      </c>
      <c r="T1853" s="3" t="s">
        <v>27</v>
      </c>
    </row>
    <row r="1854" spans="1:20" ht="409.6">
      <c r="A1854" s="3">
        <v>2710855</v>
      </c>
      <c r="B1854" s="3">
        <f>HYPERLINK("https://platform.v2.vetology.net/cases/2710855/screening-report/6?type=pdf&amp;v=v6&amp;scorecard=1&amp;secret_key=BX%25IJ%24%2F65ieZ%29f6", 2710855)</f>
        <v>2710855</v>
      </c>
      <c r="C1854" s="3">
        <f>HYPERLINK("https://platform.v2.vetology.net/report/v/final/"&amp;2710855, 2710855)</f>
        <v>2710855</v>
      </c>
      <c r="D1854" s="3" t="s">
        <v>6503</v>
      </c>
      <c r="E1854" s="3" t="s">
        <v>6504</v>
      </c>
      <c r="F1854" s="3" t="s">
        <v>22</v>
      </c>
      <c r="G1854" s="3" t="s">
        <v>23</v>
      </c>
      <c r="H1854" s="3" t="s">
        <v>6505</v>
      </c>
      <c r="I1854" s="3" t="s">
        <v>1034</v>
      </c>
      <c r="J1854" s="3" t="s">
        <v>1035</v>
      </c>
      <c r="K1854" s="3" t="s">
        <v>28</v>
      </c>
      <c r="L1854" s="3" t="s">
        <v>28</v>
      </c>
      <c r="M1854" s="3" t="s">
        <v>28</v>
      </c>
      <c r="N1854" s="3" t="s">
        <v>27</v>
      </c>
      <c r="O1854" s="3" t="s">
        <v>28</v>
      </c>
      <c r="P1854" s="3" t="s">
        <v>28</v>
      </c>
      <c r="Q1854" s="3" t="s">
        <v>28</v>
      </c>
      <c r="R1854" s="3" t="s">
        <v>28</v>
      </c>
      <c r="S1854" s="3" t="s">
        <v>28</v>
      </c>
      <c r="T1854" s="3" t="s">
        <v>27</v>
      </c>
    </row>
    <row r="1855" spans="1:20" ht="409.6">
      <c r="A1855" s="3">
        <v>2710843</v>
      </c>
      <c r="B1855" s="3">
        <f>HYPERLINK("https://platform.v2.vetology.net/cases/2710843/screening-report/6?type=pdf&amp;v=v6&amp;scorecard=1&amp;secret_key=BX%25IJ%24%2F65ieZ%29f6", 2710843)</f>
        <v>2710843</v>
      </c>
      <c r="C1855" s="3">
        <f>HYPERLINK("https://platform.v2.vetology.net/report/v/final/"&amp;2710843, 2710843)</f>
        <v>2710843</v>
      </c>
      <c r="D1855" s="3" t="s">
        <v>6506</v>
      </c>
      <c r="E1855" s="3" t="s">
        <v>6507</v>
      </c>
      <c r="F1855" s="3" t="s">
        <v>22</v>
      </c>
      <c r="G1855" s="3" t="s">
        <v>23</v>
      </c>
      <c r="H1855" s="3" t="s">
        <v>2991</v>
      </c>
      <c r="I1855" s="3" t="s">
        <v>429</v>
      </c>
      <c r="J1855" s="3" t="s">
        <v>430</v>
      </c>
      <c r="K1855" s="3" t="s">
        <v>27</v>
      </c>
      <c r="L1855" s="3" t="s">
        <v>27</v>
      </c>
      <c r="M1855" s="3" t="s">
        <v>27</v>
      </c>
      <c r="N1855" s="3" t="s">
        <v>27</v>
      </c>
      <c r="O1855" s="3" t="s">
        <v>27</v>
      </c>
      <c r="P1855" s="3" t="s">
        <v>28</v>
      </c>
      <c r="Q1855" s="3" t="s">
        <v>27</v>
      </c>
      <c r="R1855" s="3" t="s">
        <v>27</v>
      </c>
      <c r="S1855" s="3" t="s">
        <v>28</v>
      </c>
      <c r="T1855" s="3" t="s">
        <v>27</v>
      </c>
    </row>
    <row r="1856" spans="1:20" ht="229.5">
      <c r="A1856" s="3">
        <v>2710683</v>
      </c>
      <c r="B1856" s="3">
        <f>HYPERLINK("https://platform.v2.vetology.net/cases/2710683/screening-report/6?type=pdf&amp;v=v6&amp;scorecard=1&amp;secret_key=BX%25IJ%24%2F65ieZ%29f6", 2710683)</f>
        <v>2710683</v>
      </c>
      <c r="C1856" s="3">
        <f>HYPERLINK("https://platform.v2.vetology.net/report/v/final/"&amp;2710683, 2710683)</f>
        <v>2710683</v>
      </c>
      <c r="D1856" s="3" t="s">
        <v>6508</v>
      </c>
      <c r="E1856" s="3" t="s">
        <v>6509</v>
      </c>
      <c r="F1856" s="3" t="s">
        <v>6510</v>
      </c>
      <c r="G1856" s="3" t="s">
        <v>186</v>
      </c>
      <c r="H1856" s="3" t="s">
        <v>31</v>
      </c>
      <c r="I1856" s="3" t="s">
        <v>32</v>
      </c>
      <c r="J1856" s="3" t="s">
        <v>119</v>
      </c>
      <c r="K1856" s="3" t="s">
        <v>27</v>
      </c>
      <c r="L1856" s="3" t="s">
        <v>28</v>
      </c>
      <c r="M1856" s="3" t="s">
        <v>28</v>
      </c>
      <c r="N1856" s="3" t="s">
        <v>28</v>
      </c>
      <c r="O1856" s="3" t="s">
        <v>28</v>
      </c>
      <c r="P1856" s="3" t="s">
        <v>28</v>
      </c>
      <c r="Q1856" s="3" t="s">
        <v>28</v>
      </c>
      <c r="R1856" s="3" t="s">
        <v>28</v>
      </c>
      <c r="S1856" s="3" t="s">
        <v>28</v>
      </c>
      <c r="T1856" s="3" t="s">
        <v>28</v>
      </c>
    </row>
    <row r="1857" spans="1:20" ht="396.75">
      <c r="A1857" s="3">
        <v>2710631</v>
      </c>
      <c r="B1857" s="3">
        <f>HYPERLINK("https://platform.v2.vetology.net/cases/2710631/screening-report/6?type=pdf&amp;v=v6&amp;scorecard=1&amp;secret_key=BX%25IJ%24%2F65ieZ%29f6", 2710631)</f>
        <v>2710631</v>
      </c>
      <c r="C1857" s="3">
        <f>HYPERLINK("https://platform.v2.vetology.net/report/v/final/"&amp;2710631, 2710631)</f>
        <v>2710631</v>
      </c>
      <c r="D1857" s="3" t="s">
        <v>6511</v>
      </c>
      <c r="E1857" s="3" t="s">
        <v>6512</v>
      </c>
      <c r="F1857" s="3" t="s">
        <v>6513</v>
      </c>
      <c r="G1857" s="3" t="s">
        <v>179</v>
      </c>
      <c r="H1857" s="3" t="s">
        <v>595</v>
      </c>
      <c r="I1857" s="3" t="s">
        <v>596</v>
      </c>
      <c r="J1857" s="3" t="s">
        <v>597</v>
      </c>
      <c r="K1857" s="3" t="s">
        <v>28</v>
      </c>
      <c r="L1857" s="3" t="s">
        <v>27</v>
      </c>
      <c r="M1857" s="3" t="s">
        <v>28</v>
      </c>
      <c r="N1857" s="3" t="s">
        <v>27</v>
      </c>
      <c r="O1857" s="3" t="s">
        <v>28</v>
      </c>
      <c r="P1857" s="3" t="s">
        <v>28</v>
      </c>
      <c r="Q1857" s="3" t="s">
        <v>28</v>
      </c>
      <c r="R1857" s="3" t="s">
        <v>27</v>
      </c>
      <c r="S1857" s="3" t="s">
        <v>28</v>
      </c>
      <c r="T1857" s="3" t="s">
        <v>27</v>
      </c>
    </row>
    <row r="1858" spans="1:20" ht="290.25">
      <c r="A1858" s="3">
        <v>2710627</v>
      </c>
      <c r="B1858" s="3">
        <f>HYPERLINK("https://platform.v2.vetology.net/cases/2710627/screening-report/6?type=pdf&amp;v=v6&amp;scorecard=1&amp;secret_key=BX%25IJ%24%2F65ieZ%29f6", 2710627)</f>
        <v>2710627</v>
      </c>
      <c r="C1858" s="3">
        <f>HYPERLINK("https://platform.v2.vetology.net/report/v/final/"&amp;2710627, 2710627)</f>
        <v>2710627</v>
      </c>
      <c r="D1858" s="3" t="s">
        <v>6514</v>
      </c>
      <c r="E1858" s="3" t="s">
        <v>6515</v>
      </c>
      <c r="F1858" s="3" t="s">
        <v>6516</v>
      </c>
      <c r="G1858" s="3" t="s">
        <v>186</v>
      </c>
      <c r="H1858" s="3" t="s">
        <v>6517</v>
      </c>
      <c r="I1858" s="3"/>
      <c r="J1858" s="3" t="s">
        <v>207</v>
      </c>
      <c r="K1858" s="3" t="s">
        <v>28</v>
      </c>
      <c r="L1858" s="3" t="s">
        <v>28</v>
      </c>
      <c r="M1858" s="3" t="s">
        <v>28</v>
      </c>
      <c r="N1858" s="3" t="s">
        <v>28</v>
      </c>
      <c r="O1858" s="3" t="s">
        <v>28</v>
      </c>
      <c r="P1858" s="3" t="s">
        <v>28</v>
      </c>
      <c r="Q1858" s="3" t="s">
        <v>28</v>
      </c>
      <c r="R1858" s="3" t="s">
        <v>28</v>
      </c>
      <c r="S1858" s="3" t="s">
        <v>28</v>
      </c>
      <c r="T1858" s="3" t="s">
        <v>27</v>
      </c>
    </row>
    <row r="1859" spans="1:20" ht="336">
      <c r="A1859" s="3">
        <v>2710613</v>
      </c>
      <c r="B1859" s="3">
        <f>HYPERLINK("https://platform.v2.vetology.net/cases/2710613/screening-report/6?type=pdf&amp;v=v6&amp;scorecard=1&amp;secret_key=BX%25IJ%24%2F65ieZ%29f6", 2710613)</f>
        <v>2710613</v>
      </c>
      <c r="C1859" s="3">
        <f>HYPERLINK("https://platform.v2.vetology.net/report/v/final/"&amp;2710613, 2710613)</f>
        <v>2710613</v>
      </c>
      <c r="D1859" s="3" t="s">
        <v>6518</v>
      </c>
      <c r="E1859" s="3" t="s">
        <v>6519</v>
      </c>
      <c r="F1859" s="3" t="s">
        <v>6520</v>
      </c>
      <c r="G1859" s="3" t="s">
        <v>23</v>
      </c>
      <c r="H1859" s="3" t="s">
        <v>135</v>
      </c>
      <c r="I1859" s="3" t="s">
        <v>136</v>
      </c>
      <c r="J1859" s="3" t="s">
        <v>424</v>
      </c>
      <c r="K1859" s="3" t="s">
        <v>28</v>
      </c>
      <c r="L1859" s="3" t="s">
        <v>28</v>
      </c>
      <c r="M1859" s="3" t="s">
        <v>28</v>
      </c>
      <c r="N1859" s="3" t="s">
        <v>28</v>
      </c>
      <c r="O1859" s="3" t="s">
        <v>27</v>
      </c>
      <c r="P1859" s="3" t="s">
        <v>28</v>
      </c>
      <c r="Q1859" s="3" t="s">
        <v>28</v>
      </c>
      <c r="R1859" s="3" t="s">
        <v>28</v>
      </c>
      <c r="S1859" s="3" t="s">
        <v>28</v>
      </c>
      <c r="T1859" s="3" t="s">
        <v>27</v>
      </c>
    </row>
    <row r="1860" spans="1:20" ht="336">
      <c r="A1860" s="3">
        <v>2710588</v>
      </c>
      <c r="B1860" s="3">
        <f>HYPERLINK("https://platform.v2.vetology.net/cases/2710588/screening-report/6?type=pdf&amp;v=v6&amp;scorecard=1&amp;secret_key=BX%25IJ%24%2F65ieZ%29f6", 2710588)</f>
        <v>2710588</v>
      </c>
      <c r="C1860" s="3">
        <f>HYPERLINK("https://platform.v2.vetology.net/report/v/final/"&amp;2710588, 2710588)</f>
        <v>2710588</v>
      </c>
      <c r="D1860" s="3" t="s">
        <v>6521</v>
      </c>
      <c r="E1860" s="3" t="s">
        <v>6522</v>
      </c>
      <c r="F1860" s="3" t="s">
        <v>6523</v>
      </c>
      <c r="G1860" s="3" t="s">
        <v>186</v>
      </c>
      <c r="H1860" s="3" t="s">
        <v>6524</v>
      </c>
      <c r="I1860" s="3" t="s">
        <v>25</v>
      </c>
      <c r="J1860" s="3" t="s">
        <v>26</v>
      </c>
      <c r="K1860" s="3" t="s">
        <v>27</v>
      </c>
      <c r="L1860" s="3" t="s">
        <v>27</v>
      </c>
      <c r="M1860" s="3" t="s">
        <v>28</v>
      </c>
      <c r="N1860" s="3" t="s">
        <v>28</v>
      </c>
      <c r="O1860" s="3" t="s">
        <v>27</v>
      </c>
      <c r="P1860" s="3" t="s">
        <v>28</v>
      </c>
      <c r="Q1860" s="3" t="s">
        <v>27</v>
      </c>
      <c r="R1860" s="3" t="s">
        <v>28</v>
      </c>
      <c r="S1860" s="3" t="s">
        <v>28</v>
      </c>
      <c r="T1860" s="3" t="s">
        <v>28</v>
      </c>
    </row>
    <row r="1861" spans="1:20" ht="409.6">
      <c r="A1861" s="3">
        <v>2710433</v>
      </c>
      <c r="B1861" s="3">
        <f>HYPERLINK("https://platform.v2.vetology.net/cases/2710433/screening-report/6?type=pdf&amp;v=v6&amp;scorecard=1&amp;secret_key=BX%25IJ%24%2F65ieZ%29f6", 2710433)</f>
        <v>2710433</v>
      </c>
      <c r="C1861" s="3">
        <f>HYPERLINK("https://platform.v2.vetology.net/report/v/final/"&amp;2710433, 2710433)</f>
        <v>2710433</v>
      </c>
      <c r="D1861" s="3" t="s">
        <v>6525</v>
      </c>
      <c r="E1861" s="3" t="s">
        <v>294</v>
      </c>
      <c r="F1861" s="3" t="s">
        <v>22</v>
      </c>
      <c r="G1861" s="3" t="s">
        <v>23</v>
      </c>
      <c r="H1861" s="3" t="s">
        <v>4215</v>
      </c>
      <c r="I1861" s="3" t="s">
        <v>1404</v>
      </c>
      <c r="J1861" s="3" t="s">
        <v>1405</v>
      </c>
      <c r="K1861" s="3" t="s">
        <v>27</v>
      </c>
      <c r="L1861" s="3" t="s">
        <v>28</v>
      </c>
      <c r="M1861" s="3" t="s">
        <v>27</v>
      </c>
      <c r="N1861" s="3" t="s">
        <v>28</v>
      </c>
      <c r="O1861" s="3" t="s">
        <v>27</v>
      </c>
      <c r="P1861" s="3" t="s">
        <v>28</v>
      </c>
      <c r="Q1861" s="3" t="s">
        <v>27</v>
      </c>
      <c r="R1861" s="3" t="s">
        <v>28</v>
      </c>
      <c r="S1861" s="3" t="s">
        <v>28</v>
      </c>
      <c r="T1861" s="3" t="s">
        <v>28</v>
      </c>
    </row>
    <row r="1862" spans="1:20" ht="396.75">
      <c r="A1862" s="3">
        <v>2710383</v>
      </c>
      <c r="B1862" s="3">
        <f>HYPERLINK("https://platform.v2.vetology.net/cases/2710383/screening-report/6?type=pdf&amp;v=v6&amp;scorecard=1&amp;secret_key=BX%25IJ%24%2F65ieZ%29f6", 2710383)</f>
        <v>2710383</v>
      </c>
      <c r="C1862" s="3">
        <f>HYPERLINK("https://platform.v2.vetology.net/report/v/final/"&amp;2710383, 2710383)</f>
        <v>2710383</v>
      </c>
      <c r="D1862" s="3" t="s">
        <v>6526</v>
      </c>
      <c r="E1862" s="3" t="s">
        <v>6527</v>
      </c>
      <c r="F1862" s="3" t="s">
        <v>6528</v>
      </c>
      <c r="G1862" s="3" t="s">
        <v>64</v>
      </c>
      <c r="H1862" s="3" t="s">
        <v>6529</v>
      </c>
      <c r="I1862" s="3" t="s">
        <v>6530</v>
      </c>
      <c r="J1862" s="3" t="s">
        <v>6531</v>
      </c>
      <c r="K1862" s="3" t="s">
        <v>27</v>
      </c>
      <c r="L1862" s="3" t="s">
        <v>28</v>
      </c>
      <c r="M1862" s="3" t="s">
        <v>28</v>
      </c>
      <c r="N1862" s="3" t="s">
        <v>27</v>
      </c>
      <c r="O1862" s="3" t="s">
        <v>27</v>
      </c>
      <c r="P1862" s="3" t="s">
        <v>28</v>
      </c>
      <c r="Q1862" s="3" t="s">
        <v>28</v>
      </c>
      <c r="R1862" s="3" t="s">
        <v>27</v>
      </c>
      <c r="S1862" s="3" t="s">
        <v>28</v>
      </c>
      <c r="T1862" s="3" t="s">
        <v>27</v>
      </c>
    </row>
    <row r="1863" spans="1:20" ht="366">
      <c r="A1863" s="3">
        <v>2710349</v>
      </c>
      <c r="B1863" s="3">
        <f>HYPERLINK("https://platform.v2.vetology.net/cases/2710349/screening-report/6?type=pdf&amp;v=v6&amp;scorecard=1&amp;secret_key=BX%25IJ%24%2F65ieZ%29f6", 2710349)</f>
        <v>2710349</v>
      </c>
      <c r="C1863" s="3">
        <f>HYPERLINK("https://platform.v2.vetology.net/report/v/final/"&amp;2710349, 2710349)</f>
        <v>2710349</v>
      </c>
      <c r="D1863" s="3" t="s">
        <v>6532</v>
      </c>
      <c r="E1863" s="3" t="s">
        <v>6533</v>
      </c>
      <c r="F1863" s="3" t="s">
        <v>22</v>
      </c>
      <c r="G1863" s="3" t="s">
        <v>23</v>
      </c>
      <c r="H1863" s="3" t="s">
        <v>6534</v>
      </c>
      <c r="I1863" s="3" t="s">
        <v>993</v>
      </c>
      <c r="J1863" s="3" t="s">
        <v>994</v>
      </c>
      <c r="K1863" s="3" t="s">
        <v>28</v>
      </c>
      <c r="L1863" s="3" t="s">
        <v>28</v>
      </c>
      <c r="M1863" s="3" t="s">
        <v>28</v>
      </c>
      <c r="N1863" s="3" t="s">
        <v>28</v>
      </c>
      <c r="O1863" s="3" t="s">
        <v>28</v>
      </c>
      <c r="P1863" s="3" t="s">
        <v>28</v>
      </c>
      <c r="Q1863" s="3" t="s">
        <v>28</v>
      </c>
      <c r="R1863" s="3" t="s">
        <v>28</v>
      </c>
      <c r="S1863" s="3" t="s">
        <v>28</v>
      </c>
      <c r="T1863" s="3" t="s">
        <v>28</v>
      </c>
    </row>
    <row r="1864" spans="1:20" ht="366">
      <c r="A1864" s="3">
        <v>2710325</v>
      </c>
      <c r="B1864" s="3">
        <f>HYPERLINK("https://platform.v2.vetology.net/cases/2710325/screening-report/6?type=pdf&amp;v=v6&amp;scorecard=1&amp;secret_key=BX%25IJ%24%2F65ieZ%29f6", 2710325)</f>
        <v>2710325</v>
      </c>
      <c r="C1864" s="3">
        <f>HYPERLINK("https://platform.v2.vetology.net/report/v/final/"&amp;2710325, 2710325)</f>
        <v>2710325</v>
      </c>
      <c r="D1864" s="3" t="s">
        <v>6535</v>
      </c>
      <c r="E1864" s="3" t="s">
        <v>6536</v>
      </c>
      <c r="F1864" s="3" t="s">
        <v>56</v>
      </c>
      <c r="G1864" s="3" t="s">
        <v>57</v>
      </c>
      <c r="H1864" s="3" t="s">
        <v>123</v>
      </c>
      <c r="I1864" s="3" t="s">
        <v>124</v>
      </c>
      <c r="J1864" s="3" t="s">
        <v>125</v>
      </c>
      <c r="K1864" s="3" t="s">
        <v>27</v>
      </c>
      <c r="L1864" s="3" t="s">
        <v>28</v>
      </c>
      <c r="M1864" s="3" t="s">
        <v>27</v>
      </c>
      <c r="N1864" s="3" t="s">
        <v>28</v>
      </c>
      <c r="O1864" s="3" t="s">
        <v>27</v>
      </c>
      <c r="P1864" s="3" t="s">
        <v>28</v>
      </c>
      <c r="Q1864" s="3" t="s">
        <v>27</v>
      </c>
      <c r="R1864" s="3" t="s">
        <v>28</v>
      </c>
      <c r="S1864" s="3" t="s">
        <v>28</v>
      </c>
      <c r="T1864" s="3" t="s">
        <v>28</v>
      </c>
    </row>
    <row r="1865" spans="1:20" ht="229.5">
      <c r="A1865" s="3">
        <v>2710246</v>
      </c>
      <c r="B1865" s="3">
        <f>HYPERLINK("https://platform.v2.vetology.net/cases/2710246/screening-report/6?type=pdf&amp;v=v6&amp;scorecard=1&amp;secret_key=BX%25IJ%24%2F65ieZ%29f6", 2710246)</f>
        <v>2710246</v>
      </c>
      <c r="C1865" s="3">
        <f>HYPERLINK("https://platform.v2.vetology.net/report/v/final/"&amp;2710246, 2710246)</f>
        <v>2710246</v>
      </c>
      <c r="D1865" s="3" t="s">
        <v>6537</v>
      </c>
      <c r="E1865" s="3" t="s">
        <v>6538</v>
      </c>
      <c r="F1865" s="3" t="s">
        <v>6539</v>
      </c>
      <c r="G1865" s="3" t="s">
        <v>64</v>
      </c>
      <c r="H1865" s="3" t="s">
        <v>304</v>
      </c>
      <c r="I1865" s="3" t="s">
        <v>305</v>
      </c>
      <c r="J1865" s="3" t="s">
        <v>119</v>
      </c>
      <c r="K1865" s="3" t="s">
        <v>28</v>
      </c>
      <c r="L1865" s="3" t="s">
        <v>28</v>
      </c>
      <c r="M1865" s="3" t="s">
        <v>28</v>
      </c>
      <c r="N1865" s="3" t="s">
        <v>28</v>
      </c>
      <c r="O1865" s="3" t="s">
        <v>28</v>
      </c>
      <c r="P1865" s="3" t="s">
        <v>28</v>
      </c>
      <c r="Q1865" s="3" t="s">
        <v>28</v>
      </c>
      <c r="R1865" s="3" t="s">
        <v>28</v>
      </c>
      <c r="S1865" s="3" t="s">
        <v>28</v>
      </c>
      <c r="T1865" s="3" t="s">
        <v>28</v>
      </c>
    </row>
    <row r="1866" spans="1:20" ht="409.6">
      <c r="A1866" s="3">
        <v>2710199</v>
      </c>
      <c r="B1866" s="3">
        <f>HYPERLINK("https://platform.v2.vetology.net/cases/2710199/screening-report/6?type=pdf&amp;v=v6&amp;scorecard=1&amp;secret_key=BX%25IJ%24%2F65ieZ%29f6", 2710199)</f>
        <v>2710199</v>
      </c>
      <c r="C1866" s="3">
        <f>HYPERLINK("https://platform.v2.vetology.net/report/v/final/"&amp;2710199, 2710199)</f>
        <v>2710199</v>
      </c>
      <c r="D1866" s="3" t="s">
        <v>6540</v>
      </c>
      <c r="E1866" s="3" t="s">
        <v>6541</v>
      </c>
      <c r="F1866" s="3"/>
      <c r="G1866" s="3" t="s">
        <v>122</v>
      </c>
      <c r="H1866" s="3" t="s">
        <v>658</v>
      </c>
      <c r="I1866" s="3" t="s">
        <v>659</v>
      </c>
      <c r="J1866" s="3" t="s">
        <v>660</v>
      </c>
      <c r="K1866" s="3" t="s">
        <v>28</v>
      </c>
      <c r="L1866" s="3" t="s">
        <v>28</v>
      </c>
      <c r="M1866" s="3" t="s">
        <v>28</v>
      </c>
      <c r="N1866" s="3" t="s">
        <v>28</v>
      </c>
      <c r="O1866" s="3" t="s">
        <v>27</v>
      </c>
      <c r="P1866" s="3" t="s">
        <v>28</v>
      </c>
      <c r="Q1866" s="3" t="s">
        <v>28</v>
      </c>
      <c r="R1866" s="3" t="s">
        <v>28</v>
      </c>
      <c r="S1866" s="3" t="s">
        <v>27</v>
      </c>
      <c r="T1866" s="3" t="s">
        <v>28</v>
      </c>
    </row>
    <row r="1867" spans="1:20" ht="409.6">
      <c r="A1867" s="3">
        <v>2710144</v>
      </c>
      <c r="B1867" s="3">
        <f>HYPERLINK("https://platform.v2.vetology.net/cases/2710144/screening-report/6?type=pdf&amp;v=v6&amp;scorecard=1&amp;secret_key=BX%25IJ%24%2F65ieZ%29f6", 2710144)</f>
        <v>2710144</v>
      </c>
      <c r="C1867" s="3">
        <f>HYPERLINK("https://platform.v2.vetology.net/report/v/final/"&amp;2710144, 2710144)</f>
        <v>2710144</v>
      </c>
      <c r="D1867" s="3" t="s">
        <v>6542</v>
      </c>
      <c r="E1867" s="3" t="s">
        <v>6543</v>
      </c>
      <c r="F1867" s="3" t="s">
        <v>6544</v>
      </c>
      <c r="G1867" s="3" t="s">
        <v>64</v>
      </c>
      <c r="H1867" s="3" t="s">
        <v>6545</v>
      </c>
      <c r="I1867" s="3" t="s">
        <v>6546</v>
      </c>
      <c r="J1867" s="3" t="s">
        <v>6547</v>
      </c>
      <c r="K1867" s="3" t="s">
        <v>28</v>
      </c>
      <c r="L1867" s="3" t="s">
        <v>28</v>
      </c>
      <c r="M1867" s="3" t="s">
        <v>27</v>
      </c>
      <c r="N1867" s="3" t="s">
        <v>28</v>
      </c>
      <c r="O1867" s="3" t="s">
        <v>27</v>
      </c>
      <c r="P1867" s="3" t="s">
        <v>28</v>
      </c>
      <c r="Q1867" s="3" t="s">
        <v>27</v>
      </c>
      <c r="R1867" s="3" t="s">
        <v>28</v>
      </c>
      <c r="S1867" s="3" t="s">
        <v>28</v>
      </c>
      <c r="T1867" s="3" t="s">
        <v>28</v>
      </c>
    </row>
    <row r="1868" spans="1:20" ht="409.6">
      <c r="A1868" s="3">
        <v>2710111</v>
      </c>
      <c r="B1868" s="3">
        <f>HYPERLINK("https://platform.v2.vetology.net/cases/2710111/screening-report/6?type=pdf&amp;v=v6&amp;scorecard=1&amp;secret_key=BX%25IJ%24%2F65ieZ%29f6", 2710111)</f>
        <v>2710111</v>
      </c>
      <c r="C1868" s="3">
        <f>HYPERLINK("https://platform.v2.vetology.net/report/v/final/"&amp;2710111, 2710111)</f>
        <v>2710111</v>
      </c>
      <c r="D1868" s="3" t="s">
        <v>6548</v>
      </c>
      <c r="E1868" s="3" t="s">
        <v>6549</v>
      </c>
      <c r="F1868" s="3" t="s">
        <v>6550</v>
      </c>
      <c r="G1868" s="3" t="s">
        <v>64</v>
      </c>
      <c r="H1868" s="3" t="s">
        <v>6551</v>
      </c>
      <c r="I1868" s="3" t="s">
        <v>6552</v>
      </c>
      <c r="J1868" s="3" t="s">
        <v>6553</v>
      </c>
      <c r="K1868" s="3" t="s">
        <v>27</v>
      </c>
      <c r="L1868" s="3" t="s">
        <v>27</v>
      </c>
      <c r="M1868" s="3" t="s">
        <v>27</v>
      </c>
      <c r="N1868" s="3" t="s">
        <v>27</v>
      </c>
      <c r="O1868" s="3" t="s">
        <v>27</v>
      </c>
      <c r="P1868" s="3" t="s">
        <v>28</v>
      </c>
      <c r="Q1868" s="3" t="s">
        <v>27</v>
      </c>
      <c r="R1868" s="3" t="s">
        <v>28</v>
      </c>
      <c r="S1868" s="3" t="s">
        <v>27</v>
      </c>
      <c r="T1868" s="3" t="s">
        <v>28</v>
      </c>
    </row>
    <row r="1869" spans="1:20" ht="229.5">
      <c r="A1869" s="3">
        <v>2710069</v>
      </c>
      <c r="B1869" s="3">
        <f>HYPERLINK("https://platform.v2.vetology.net/cases/2710069/screening-report/6?type=pdf&amp;v=v6&amp;scorecard=1&amp;secret_key=BX%25IJ%24%2F65ieZ%29f6", 2710069)</f>
        <v>2710069</v>
      </c>
      <c r="C1869" s="3">
        <f>HYPERLINK("https://platform.v2.vetology.net/report/v/final/"&amp;2710069, 2710069)</f>
        <v>2710069</v>
      </c>
      <c r="D1869" s="3" t="s">
        <v>6554</v>
      </c>
      <c r="E1869" s="3" t="s">
        <v>6555</v>
      </c>
      <c r="F1869" s="3"/>
      <c r="G1869" s="3" t="s">
        <v>122</v>
      </c>
      <c r="H1869" s="3" t="s">
        <v>6556</v>
      </c>
      <c r="I1869" s="3" t="s">
        <v>305</v>
      </c>
      <c r="J1869" s="3" t="s">
        <v>119</v>
      </c>
      <c r="K1869" s="3" t="s">
        <v>28</v>
      </c>
      <c r="L1869" s="3" t="s">
        <v>28</v>
      </c>
      <c r="M1869" s="3" t="s">
        <v>28</v>
      </c>
      <c r="N1869" s="3" t="s">
        <v>28</v>
      </c>
      <c r="O1869" s="3" t="s">
        <v>28</v>
      </c>
      <c r="P1869" s="3" t="s">
        <v>28</v>
      </c>
      <c r="Q1869" s="3" t="s">
        <v>28</v>
      </c>
      <c r="R1869" s="3" t="s">
        <v>28</v>
      </c>
      <c r="S1869" s="3" t="s">
        <v>28</v>
      </c>
      <c r="T1869" s="3" t="s">
        <v>28</v>
      </c>
    </row>
    <row r="1870" spans="1:20" ht="409.6">
      <c r="A1870" s="3">
        <v>2710040</v>
      </c>
      <c r="B1870" s="3">
        <f>HYPERLINK("https://platform.v2.vetology.net/cases/2710040/screening-report/6?type=pdf&amp;v=v6&amp;scorecard=1&amp;secret_key=BX%25IJ%24%2F65ieZ%29f6", 2710040)</f>
        <v>2710040</v>
      </c>
      <c r="C1870" s="3">
        <f>HYPERLINK("https://platform.v2.vetology.net/report/v/final/"&amp;2710040, 2710040)</f>
        <v>2710040</v>
      </c>
      <c r="D1870" s="3" t="s">
        <v>6557</v>
      </c>
      <c r="E1870" s="3" t="s">
        <v>6558</v>
      </c>
      <c r="F1870" s="3" t="s">
        <v>6559</v>
      </c>
      <c r="G1870" s="3" t="s">
        <v>186</v>
      </c>
      <c r="H1870" s="3" t="s">
        <v>6560</v>
      </c>
      <c r="I1870" s="3" t="s">
        <v>279</v>
      </c>
      <c r="J1870" s="3" t="s">
        <v>280</v>
      </c>
      <c r="K1870" s="3" t="s">
        <v>28</v>
      </c>
      <c r="L1870" s="3" t="s">
        <v>28</v>
      </c>
      <c r="M1870" s="3" t="s">
        <v>28</v>
      </c>
      <c r="N1870" s="3" t="s">
        <v>28</v>
      </c>
      <c r="O1870" s="3" t="s">
        <v>27</v>
      </c>
      <c r="P1870" s="3" t="s">
        <v>28</v>
      </c>
      <c r="Q1870" s="3" t="s">
        <v>28</v>
      </c>
      <c r="R1870" s="3" t="s">
        <v>28</v>
      </c>
      <c r="S1870" s="3" t="s">
        <v>28</v>
      </c>
      <c r="T1870" s="3" t="s">
        <v>27</v>
      </c>
    </row>
    <row r="1871" spans="1:20" ht="409.6">
      <c r="A1871" s="3">
        <v>2710030</v>
      </c>
      <c r="B1871" s="3">
        <f>HYPERLINK("https://platform.v2.vetology.net/cases/2710030/screening-report/6?type=pdf&amp;v=v6&amp;scorecard=1&amp;secret_key=BX%25IJ%24%2F65ieZ%29f6", 2710030)</f>
        <v>2710030</v>
      </c>
      <c r="C1871" s="3">
        <f>HYPERLINK("https://platform.v2.vetology.net/report/v/final/"&amp;2710030, 2710030)</f>
        <v>2710030</v>
      </c>
      <c r="D1871" s="3" t="s">
        <v>6561</v>
      </c>
      <c r="E1871" s="3" t="s">
        <v>6562</v>
      </c>
      <c r="F1871" s="3" t="s">
        <v>22</v>
      </c>
      <c r="G1871" s="3" t="s">
        <v>23</v>
      </c>
      <c r="H1871" s="3" t="s">
        <v>1271</v>
      </c>
      <c r="I1871" s="3" t="s">
        <v>883</v>
      </c>
      <c r="J1871" s="3" t="s">
        <v>884</v>
      </c>
      <c r="K1871" s="3" t="s">
        <v>28</v>
      </c>
      <c r="L1871" s="3" t="s">
        <v>28</v>
      </c>
      <c r="M1871" s="3" t="s">
        <v>28</v>
      </c>
      <c r="N1871" s="3" t="s">
        <v>28</v>
      </c>
      <c r="O1871" s="3" t="s">
        <v>28</v>
      </c>
      <c r="P1871" s="3" t="s">
        <v>28</v>
      </c>
      <c r="Q1871" s="3" t="s">
        <v>28</v>
      </c>
      <c r="R1871" s="3" t="s">
        <v>28</v>
      </c>
      <c r="S1871" s="3" t="s">
        <v>28</v>
      </c>
      <c r="T1871" s="3" t="s">
        <v>28</v>
      </c>
    </row>
    <row r="1872" spans="1:20" ht="409.6">
      <c r="A1872" s="3">
        <v>2710024</v>
      </c>
      <c r="B1872" s="3">
        <f>HYPERLINK("https://platform.v2.vetology.net/cases/2710024/screening-report/6?type=pdf&amp;v=v6&amp;scorecard=1&amp;secret_key=BX%25IJ%24%2F65ieZ%29f6", 2710024)</f>
        <v>2710024</v>
      </c>
      <c r="C1872" s="3">
        <f>HYPERLINK("https://platform.v2.vetology.net/report/v/final/"&amp;2710024, 2710024)</f>
        <v>2710024</v>
      </c>
      <c r="D1872" s="3" t="s">
        <v>6563</v>
      </c>
      <c r="E1872" s="3" t="s">
        <v>6564</v>
      </c>
      <c r="F1872" s="3" t="s">
        <v>4928</v>
      </c>
      <c r="G1872" s="3" t="s">
        <v>186</v>
      </c>
      <c r="H1872" s="3" t="s">
        <v>6565</v>
      </c>
      <c r="I1872" s="3" t="s">
        <v>582</v>
      </c>
      <c r="J1872" s="3" t="s">
        <v>583</v>
      </c>
      <c r="K1872" s="3" t="s">
        <v>28</v>
      </c>
      <c r="L1872" s="3" t="s">
        <v>28</v>
      </c>
      <c r="M1872" s="3" t="s">
        <v>28</v>
      </c>
      <c r="N1872" s="3" t="s">
        <v>28</v>
      </c>
      <c r="O1872" s="3" t="s">
        <v>28</v>
      </c>
      <c r="P1872" s="3" t="s">
        <v>28</v>
      </c>
      <c r="Q1872" s="3" t="s">
        <v>28</v>
      </c>
      <c r="R1872" s="3" t="s">
        <v>28</v>
      </c>
      <c r="S1872" s="3" t="s">
        <v>28</v>
      </c>
      <c r="T1872" s="3" t="s">
        <v>28</v>
      </c>
    </row>
    <row r="1873" spans="1:20" ht="336">
      <c r="A1873" s="3">
        <v>2710009</v>
      </c>
      <c r="B1873" s="3">
        <f>HYPERLINK("https://platform.v2.vetology.net/cases/2710009/screening-report/6?type=pdf&amp;v=v6&amp;scorecard=1&amp;secret_key=BX%25IJ%24%2F65ieZ%29f6", 2710009)</f>
        <v>2710009</v>
      </c>
      <c r="C1873" s="3">
        <f>HYPERLINK("https://platform.v2.vetology.net/report/v/final/"&amp;2710009, 2710009)</f>
        <v>2710009</v>
      </c>
      <c r="D1873" s="3" t="s">
        <v>6566</v>
      </c>
      <c r="E1873" s="3" t="s">
        <v>6567</v>
      </c>
      <c r="F1873" s="3"/>
      <c r="G1873" s="3" t="s">
        <v>122</v>
      </c>
      <c r="H1873" s="3" t="s">
        <v>6568</v>
      </c>
      <c r="I1873" s="3" t="s">
        <v>2506</v>
      </c>
      <c r="J1873" s="3" t="s">
        <v>2507</v>
      </c>
      <c r="K1873" s="3" t="s">
        <v>27</v>
      </c>
      <c r="L1873" s="3" t="s">
        <v>27</v>
      </c>
      <c r="M1873" s="3" t="s">
        <v>27</v>
      </c>
      <c r="N1873" s="3" t="s">
        <v>28</v>
      </c>
      <c r="O1873" s="3" t="s">
        <v>28</v>
      </c>
      <c r="P1873" s="3" t="s">
        <v>27</v>
      </c>
      <c r="Q1873" s="3" t="s">
        <v>27</v>
      </c>
      <c r="R1873" s="3" t="s">
        <v>28</v>
      </c>
      <c r="S1873" s="3" t="s">
        <v>28</v>
      </c>
      <c r="T1873" s="3" t="s">
        <v>28</v>
      </c>
    </row>
    <row r="1874" spans="1:20" ht="409.6">
      <c r="A1874" s="3">
        <v>2709956</v>
      </c>
      <c r="B1874" s="3">
        <f>HYPERLINK("https://platform.v2.vetology.net/cases/2709956/screening-report/6?type=pdf&amp;v=v6&amp;scorecard=1&amp;secret_key=BX%25IJ%24%2F65ieZ%29f6", 2709956)</f>
        <v>2709956</v>
      </c>
      <c r="C1874" s="3">
        <f>HYPERLINK("https://platform.v2.vetology.net/report/v/final/"&amp;2709956, 2709956)</f>
        <v>2709956</v>
      </c>
      <c r="D1874" s="3" t="s">
        <v>6569</v>
      </c>
      <c r="E1874" s="3" t="s">
        <v>6570</v>
      </c>
      <c r="F1874" s="3" t="s">
        <v>6571</v>
      </c>
      <c r="G1874" s="3" t="s">
        <v>57</v>
      </c>
      <c r="H1874" s="3" t="s">
        <v>146</v>
      </c>
      <c r="I1874" s="3" t="s">
        <v>147</v>
      </c>
      <c r="J1874" s="3" t="s">
        <v>148</v>
      </c>
      <c r="K1874" s="3" t="s">
        <v>28</v>
      </c>
      <c r="L1874" s="3" t="s">
        <v>28</v>
      </c>
      <c r="M1874" s="3" t="s">
        <v>28</v>
      </c>
      <c r="N1874" s="3" t="s">
        <v>28</v>
      </c>
      <c r="O1874" s="3" t="s">
        <v>27</v>
      </c>
      <c r="P1874" s="3" t="s">
        <v>28</v>
      </c>
      <c r="Q1874" s="3" t="s">
        <v>28</v>
      </c>
      <c r="R1874" s="3" t="s">
        <v>28</v>
      </c>
      <c r="S1874" s="3" t="s">
        <v>28</v>
      </c>
      <c r="T1874" s="3" t="s">
        <v>28</v>
      </c>
    </row>
    <row r="1875" spans="1:20" ht="336">
      <c r="A1875" s="3">
        <v>2709939</v>
      </c>
      <c r="B1875" s="3">
        <f>HYPERLINK("https://platform.v2.vetology.net/cases/2709939/screening-report/6?type=pdf&amp;v=v6&amp;scorecard=1&amp;secret_key=BX%25IJ%24%2F65ieZ%29f6", 2709939)</f>
        <v>2709939</v>
      </c>
      <c r="C1875" s="3">
        <f>HYPERLINK("https://platform.v2.vetology.net/report/v/final/"&amp;2709939, 2709939)</f>
        <v>2709939</v>
      </c>
      <c r="D1875" s="3" t="s">
        <v>6572</v>
      </c>
      <c r="E1875" s="3" t="s">
        <v>6573</v>
      </c>
      <c r="F1875" s="3" t="s">
        <v>6574</v>
      </c>
      <c r="G1875" s="3" t="s">
        <v>211</v>
      </c>
      <c r="H1875" s="3" t="s">
        <v>123</v>
      </c>
      <c r="I1875" s="3" t="s">
        <v>124</v>
      </c>
      <c r="J1875" s="3" t="s">
        <v>125</v>
      </c>
      <c r="K1875" s="3" t="s">
        <v>27</v>
      </c>
      <c r="L1875" s="3" t="s">
        <v>28</v>
      </c>
      <c r="M1875" s="3" t="s">
        <v>27</v>
      </c>
      <c r="N1875" s="3" t="s">
        <v>28</v>
      </c>
      <c r="O1875" s="3" t="s">
        <v>27</v>
      </c>
      <c r="P1875" s="3" t="s">
        <v>28</v>
      </c>
      <c r="Q1875" s="3" t="s">
        <v>27</v>
      </c>
      <c r="R1875" s="3" t="s">
        <v>28</v>
      </c>
      <c r="S1875" s="3" t="s">
        <v>28</v>
      </c>
      <c r="T1875" s="3" t="s">
        <v>28</v>
      </c>
    </row>
    <row r="1876" spans="1:20" ht="409.6">
      <c r="A1876" s="3">
        <v>2709906</v>
      </c>
      <c r="B1876" s="3">
        <f>HYPERLINK("https://platform.v2.vetology.net/cases/2709906/screening-report/6?type=pdf&amp;v=v6&amp;scorecard=1&amp;secret_key=BX%25IJ%24%2F65ieZ%29f6", 2709906)</f>
        <v>2709906</v>
      </c>
      <c r="C1876" s="3">
        <f>HYPERLINK("https://platform.v2.vetology.net/report/v/final/"&amp;2709906, 2709906)</f>
        <v>2709906</v>
      </c>
      <c r="D1876" s="3" t="s">
        <v>6575</v>
      </c>
      <c r="E1876" s="3" t="s">
        <v>6576</v>
      </c>
      <c r="F1876" s="3" t="s">
        <v>6577</v>
      </c>
      <c r="G1876" s="3" t="s">
        <v>64</v>
      </c>
      <c r="H1876" s="3" t="s">
        <v>6578</v>
      </c>
      <c r="I1876" s="3" t="s">
        <v>4827</v>
      </c>
      <c r="J1876" s="3" t="s">
        <v>4700</v>
      </c>
      <c r="K1876" s="3" t="s">
        <v>27</v>
      </c>
      <c r="L1876" s="3" t="s">
        <v>28</v>
      </c>
      <c r="M1876" s="3" t="s">
        <v>27</v>
      </c>
      <c r="N1876" s="3" t="s">
        <v>28</v>
      </c>
      <c r="O1876" s="3" t="s">
        <v>27</v>
      </c>
      <c r="P1876" s="3" t="s">
        <v>28</v>
      </c>
      <c r="Q1876" s="3" t="s">
        <v>27</v>
      </c>
      <c r="R1876" s="3" t="s">
        <v>28</v>
      </c>
      <c r="S1876" s="3" t="s">
        <v>28</v>
      </c>
      <c r="T1876" s="3" t="s">
        <v>28</v>
      </c>
    </row>
    <row r="1877" spans="1:20" ht="409.6">
      <c r="A1877" s="3">
        <v>2709904</v>
      </c>
      <c r="B1877" s="3">
        <f>HYPERLINK("https://platform.v2.vetology.net/cases/2709904/screening-report/6?type=pdf&amp;v=v6&amp;scorecard=1&amp;secret_key=BX%25IJ%24%2F65ieZ%29f6", 2709904)</f>
        <v>2709904</v>
      </c>
      <c r="C1877" s="3">
        <f>HYPERLINK("https://platform.v2.vetology.net/report/v/final/"&amp;2709904, 2709904)</f>
        <v>2709904</v>
      </c>
      <c r="D1877" s="3" t="s">
        <v>6579</v>
      </c>
      <c r="E1877" s="3" t="s">
        <v>6580</v>
      </c>
      <c r="F1877" s="3" t="s">
        <v>260</v>
      </c>
      <c r="G1877" s="3" t="s">
        <v>186</v>
      </c>
      <c r="H1877" s="3" t="s">
        <v>6581</v>
      </c>
      <c r="I1877" s="3" t="s">
        <v>6582</v>
      </c>
      <c r="J1877" s="3" t="s">
        <v>6583</v>
      </c>
      <c r="K1877" s="3" t="s">
        <v>27</v>
      </c>
      <c r="L1877" s="3" t="s">
        <v>28</v>
      </c>
      <c r="M1877" s="3" t="s">
        <v>27</v>
      </c>
      <c r="N1877" s="3" t="s">
        <v>28</v>
      </c>
      <c r="O1877" s="3" t="s">
        <v>27</v>
      </c>
      <c r="P1877" s="3" t="s">
        <v>28</v>
      </c>
      <c r="Q1877" s="3" t="s">
        <v>27</v>
      </c>
      <c r="R1877" s="3" t="s">
        <v>28</v>
      </c>
      <c r="S1877" s="3" t="s">
        <v>28</v>
      </c>
      <c r="T1877" s="3" t="s">
        <v>28</v>
      </c>
    </row>
    <row r="1878" spans="1:20" ht="229.5">
      <c r="A1878" s="3">
        <v>2709901</v>
      </c>
      <c r="B1878" s="3">
        <f>HYPERLINK("https://platform.v2.vetology.net/cases/2709901/screening-report/6?type=pdf&amp;v=v6&amp;scorecard=1&amp;secret_key=BX%25IJ%24%2F65ieZ%29f6", 2709901)</f>
        <v>2709901</v>
      </c>
      <c r="C1878" s="3">
        <f>HYPERLINK("https://platform.v2.vetology.net/report/v/final/"&amp;2709901, 2709901)</f>
        <v>2709901</v>
      </c>
      <c r="D1878" s="3" t="s">
        <v>6584</v>
      </c>
      <c r="E1878" s="3" t="s">
        <v>6585</v>
      </c>
      <c r="F1878" s="3" t="s">
        <v>277</v>
      </c>
      <c r="G1878" s="3" t="s">
        <v>186</v>
      </c>
      <c r="H1878" s="3" t="s">
        <v>2629</v>
      </c>
      <c r="I1878" s="3" t="s">
        <v>32</v>
      </c>
      <c r="J1878" s="3" t="s">
        <v>119</v>
      </c>
      <c r="K1878" s="3" t="s">
        <v>28</v>
      </c>
      <c r="L1878" s="3" t="s">
        <v>28</v>
      </c>
      <c r="M1878" s="3" t="s">
        <v>28</v>
      </c>
      <c r="N1878" s="3" t="s">
        <v>28</v>
      </c>
      <c r="O1878" s="3" t="s">
        <v>28</v>
      </c>
      <c r="P1878" s="3" t="s">
        <v>28</v>
      </c>
      <c r="Q1878" s="3" t="s">
        <v>28</v>
      </c>
      <c r="R1878" s="3" t="s">
        <v>28</v>
      </c>
      <c r="S1878" s="3" t="s">
        <v>28</v>
      </c>
      <c r="T1878" s="3" t="s">
        <v>28</v>
      </c>
    </row>
    <row r="1879" spans="1:20" ht="381.75">
      <c r="A1879" s="3">
        <v>2709886</v>
      </c>
      <c r="B1879" s="3">
        <f>HYPERLINK("https://platform.v2.vetology.net/cases/2709886/screening-report/6?type=pdf&amp;v=v6&amp;scorecard=1&amp;secret_key=BX%25IJ%24%2F65ieZ%29f6", 2709886)</f>
        <v>2709886</v>
      </c>
      <c r="C1879" s="3">
        <f>HYPERLINK("https://platform.v2.vetology.net/report/v/final/"&amp;2709886, 2709886)</f>
        <v>2709886</v>
      </c>
      <c r="D1879" s="3" t="s">
        <v>6586</v>
      </c>
      <c r="E1879" s="3" t="s">
        <v>6587</v>
      </c>
      <c r="F1879" s="3" t="s">
        <v>6588</v>
      </c>
      <c r="G1879" s="3" t="s">
        <v>186</v>
      </c>
      <c r="H1879" s="3" t="s">
        <v>4333</v>
      </c>
      <c r="I1879" s="3" t="s">
        <v>4334</v>
      </c>
      <c r="J1879" s="3" t="s">
        <v>325</v>
      </c>
      <c r="K1879" s="3" t="s">
        <v>28</v>
      </c>
      <c r="L1879" s="3" t="s">
        <v>27</v>
      </c>
      <c r="M1879" s="3" t="s">
        <v>28</v>
      </c>
      <c r="N1879" s="3" t="s">
        <v>28</v>
      </c>
      <c r="O1879" s="3" t="s">
        <v>27</v>
      </c>
      <c r="P1879" s="3" t="s">
        <v>28</v>
      </c>
      <c r="Q1879" s="3" t="s">
        <v>28</v>
      </c>
      <c r="R1879" s="3" t="s">
        <v>28</v>
      </c>
      <c r="S1879" s="3" t="s">
        <v>28</v>
      </c>
      <c r="T1879" s="3" t="s">
        <v>28</v>
      </c>
    </row>
    <row r="1880" spans="1:20" ht="321">
      <c r="A1880" s="3">
        <v>2709785</v>
      </c>
      <c r="B1880" s="3">
        <f>HYPERLINK("https://platform.v2.vetology.net/cases/2709785/screening-report/6?type=pdf&amp;v=v6&amp;scorecard=1&amp;secret_key=BX%25IJ%24%2F65ieZ%29f6", 2709785)</f>
        <v>2709785</v>
      </c>
      <c r="C1880" s="3">
        <f>HYPERLINK("https://platform.v2.vetology.net/report/v/final/"&amp;2709785, 2709785)</f>
        <v>2709785</v>
      </c>
      <c r="D1880" s="3" t="s">
        <v>6589</v>
      </c>
      <c r="E1880" s="3" t="s">
        <v>6590</v>
      </c>
      <c r="F1880" s="3" t="s">
        <v>6591</v>
      </c>
      <c r="G1880" s="3" t="s">
        <v>23</v>
      </c>
      <c r="H1880" s="3" t="s">
        <v>6592</v>
      </c>
      <c r="I1880" s="3" t="s">
        <v>291</v>
      </c>
      <c r="J1880" s="3" t="s">
        <v>207</v>
      </c>
      <c r="K1880" s="3" t="s">
        <v>28</v>
      </c>
      <c r="L1880" s="3" t="s">
        <v>28</v>
      </c>
      <c r="M1880" s="3" t="s">
        <v>28</v>
      </c>
      <c r="N1880" s="3" t="s">
        <v>27</v>
      </c>
      <c r="O1880" s="3" t="s">
        <v>27</v>
      </c>
      <c r="P1880" s="3" t="s">
        <v>28</v>
      </c>
      <c r="Q1880" s="3" t="s">
        <v>28</v>
      </c>
      <c r="R1880" s="3" t="s">
        <v>27</v>
      </c>
      <c r="S1880" s="3" t="s">
        <v>27</v>
      </c>
      <c r="T1880" s="3" t="s">
        <v>27</v>
      </c>
    </row>
    <row r="1881" spans="1:20" ht="381.75">
      <c r="A1881" s="3">
        <v>2709719</v>
      </c>
      <c r="B1881" s="3">
        <f>HYPERLINK("https://platform.v2.vetology.net/cases/2709719/screening-report/6?type=pdf&amp;v=v6&amp;scorecard=1&amp;secret_key=BX%25IJ%24%2F65ieZ%29f6", 2709719)</f>
        <v>2709719</v>
      </c>
      <c r="C1881" s="3">
        <f>HYPERLINK("https://platform.v2.vetology.net/report/v/final/"&amp;2709719, 2709719)</f>
        <v>2709719</v>
      </c>
      <c r="D1881" s="3" t="s">
        <v>6593</v>
      </c>
      <c r="E1881" s="3" t="s">
        <v>6594</v>
      </c>
      <c r="F1881" s="3" t="s">
        <v>6595</v>
      </c>
      <c r="G1881" s="3" t="s">
        <v>23</v>
      </c>
      <c r="H1881" s="3" t="s">
        <v>31</v>
      </c>
      <c r="I1881" s="3" t="s">
        <v>32</v>
      </c>
      <c r="J1881" s="3" t="s">
        <v>119</v>
      </c>
      <c r="K1881" s="3" t="s">
        <v>28</v>
      </c>
      <c r="L1881" s="3" t="s">
        <v>28</v>
      </c>
      <c r="M1881" s="3" t="s">
        <v>28</v>
      </c>
      <c r="N1881" s="3" t="s">
        <v>28</v>
      </c>
      <c r="O1881" s="3" t="s">
        <v>27</v>
      </c>
      <c r="P1881" s="3" t="s">
        <v>28</v>
      </c>
      <c r="Q1881" s="3" t="s">
        <v>28</v>
      </c>
      <c r="R1881" s="3" t="s">
        <v>28</v>
      </c>
      <c r="S1881" s="3" t="s">
        <v>28</v>
      </c>
      <c r="T1881" s="3" t="s">
        <v>28</v>
      </c>
    </row>
    <row r="1882" spans="1:20" ht="259.5">
      <c r="A1882" s="3">
        <v>2709687</v>
      </c>
      <c r="B1882" s="3">
        <f>HYPERLINK("https://platform.v2.vetology.net/cases/2709687/screening-report/6?type=pdf&amp;v=v6&amp;scorecard=1&amp;secret_key=BX%25IJ%24%2F65ieZ%29f6", 2709687)</f>
        <v>2709687</v>
      </c>
      <c r="C1882" s="3">
        <f>HYPERLINK("https://platform.v2.vetology.net/report/v/final/"&amp;2709687, 2709687)</f>
        <v>2709687</v>
      </c>
      <c r="D1882" s="3" t="s">
        <v>6596</v>
      </c>
      <c r="E1882" s="3" t="s">
        <v>6597</v>
      </c>
      <c r="F1882" s="3" t="s">
        <v>3400</v>
      </c>
      <c r="G1882" s="3" t="s">
        <v>211</v>
      </c>
      <c r="H1882" s="3" t="s">
        <v>338</v>
      </c>
      <c r="I1882" s="3" t="s">
        <v>339</v>
      </c>
      <c r="J1882" s="3" t="s">
        <v>340</v>
      </c>
      <c r="K1882" s="3" t="s">
        <v>28</v>
      </c>
      <c r="L1882" s="3" t="s">
        <v>28</v>
      </c>
      <c r="M1882" s="3" t="s">
        <v>28</v>
      </c>
      <c r="N1882" s="3" t="s">
        <v>28</v>
      </c>
      <c r="O1882" s="3" t="s">
        <v>27</v>
      </c>
      <c r="P1882" s="3" t="s">
        <v>28</v>
      </c>
      <c r="Q1882" s="3" t="s">
        <v>28</v>
      </c>
      <c r="R1882" s="3" t="s">
        <v>28</v>
      </c>
      <c r="S1882" s="3" t="s">
        <v>28</v>
      </c>
      <c r="T1882" s="3" t="s">
        <v>27</v>
      </c>
    </row>
    <row r="1883" spans="1:20" ht="381.75">
      <c r="A1883" s="3">
        <v>2709678</v>
      </c>
      <c r="B1883" s="3">
        <f>HYPERLINK("https://platform.v2.vetology.net/cases/2709678/screening-report/6?type=pdf&amp;v=v6&amp;scorecard=1&amp;secret_key=BX%25IJ%24%2F65ieZ%29f6", 2709678)</f>
        <v>2709678</v>
      </c>
      <c r="C1883" s="3">
        <f>HYPERLINK("https://platform.v2.vetology.net/report/v/final/"&amp;2709678, 2709678)</f>
        <v>2709678</v>
      </c>
      <c r="D1883" s="3" t="s">
        <v>6598</v>
      </c>
      <c r="E1883" s="3" t="s">
        <v>6599</v>
      </c>
      <c r="F1883" s="3" t="s">
        <v>6600</v>
      </c>
      <c r="G1883" s="3" t="s">
        <v>211</v>
      </c>
      <c r="H1883" s="3" t="s">
        <v>6601</v>
      </c>
      <c r="I1883" s="3" t="s">
        <v>72</v>
      </c>
      <c r="J1883" s="3" t="s">
        <v>73</v>
      </c>
      <c r="K1883" s="3" t="s">
        <v>28</v>
      </c>
      <c r="L1883" s="3" t="s">
        <v>28</v>
      </c>
      <c r="M1883" s="3" t="s">
        <v>28</v>
      </c>
      <c r="N1883" s="3" t="s">
        <v>28</v>
      </c>
      <c r="O1883" s="3" t="s">
        <v>27</v>
      </c>
      <c r="P1883" s="3" t="s">
        <v>28</v>
      </c>
      <c r="Q1883" s="3" t="s">
        <v>28</v>
      </c>
      <c r="R1883" s="3" t="s">
        <v>28</v>
      </c>
      <c r="S1883" s="3" t="s">
        <v>28</v>
      </c>
      <c r="T1883" s="3" t="s">
        <v>27</v>
      </c>
    </row>
    <row r="1884" spans="1:20" ht="409.6">
      <c r="A1884" s="3">
        <v>2709643</v>
      </c>
      <c r="B1884" s="3">
        <f>HYPERLINK("https://platform.v2.vetology.net/cases/2709643/screening-report/6?type=pdf&amp;v=v6&amp;scorecard=1&amp;secret_key=BX%25IJ%24%2F65ieZ%29f6", 2709643)</f>
        <v>2709643</v>
      </c>
      <c r="C1884" s="3">
        <f>HYPERLINK("https://platform.v2.vetology.net/report/v/final/"&amp;2709643, 2709643)</f>
        <v>2709643</v>
      </c>
      <c r="D1884" s="3" t="s">
        <v>6602</v>
      </c>
      <c r="E1884" s="3" t="s">
        <v>6603</v>
      </c>
      <c r="F1884" s="3" t="s">
        <v>3000</v>
      </c>
      <c r="G1884" s="3" t="s">
        <v>64</v>
      </c>
      <c r="H1884" s="3" t="s">
        <v>4750</v>
      </c>
      <c r="I1884" s="3" t="s">
        <v>469</v>
      </c>
      <c r="J1884" s="3" t="s">
        <v>470</v>
      </c>
      <c r="K1884" s="3" t="s">
        <v>28</v>
      </c>
      <c r="L1884" s="3" t="s">
        <v>28</v>
      </c>
      <c r="M1884" s="3" t="s">
        <v>28</v>
      </c>
      <c r="N1884" s="3" t="s">
        <v>28</v>
      </c>
      <c r="O1884" s="3" t="s">
        <v>27</v>
      </c>
      <c r="P1884" s="3" t="s">
        <v>28</v>
      </c>
      <c r="Q1884" s="3" t="s">
        <v>28</v>
      </c>
      <c r="R1884" s="3" t="s">
        <v>28</v>
      </c>
      <c r="S1884" s="3" t="s">
        <v>28</v>
      </c>
      <c r="T1884" s="3" t="s">
        <v>28</v>
      </c>
    </row>
    <row r="1885" spans="1:20" ht="409.6">
      <c r="A1885" s="3">
        <v>2709623</v>
      </c>
      <c r="B1885" s="3">
        <f>HYPERLINK("https://platform.v2.vetology.net/cases/2709623/screening-report/6?type=pdf&amp;v=v6&amp;scorecard=1&amp;secret_key=BX%25IJ%24%2F65ieZ%29f6", 2709623)</f>
        <v>2709623</v>
      </c>
      <c r="C1885" s="3">
        <f>HYPERLINK("https://platform.v2.vetology.net/report/v/final/"&amp;2709623, 2709623)</f>
        <v>2709623</v>
      </c>
      <c r="D1885" s="3" t="s">
        <v>6604</v>
      </c>
      <c r="E1885" s="3" t="s">
        <v>6605</v>
      </c>
      <c r="F1885" s="3" t="s">
        <v>6606</v>
      </c>
      <c r="G1885" s="3" t="s">
        <v>211</v>
      </c>
      <c r="H1885" s="3" t="s">
        <v>6607</v>
      </c>
      <c r="I1885" s="3" t="s">
        <v>279</v>
      </c>
      <c r="J1885" s="3" t="s">
        <v>280</v>
      </c>
      <c r="K1885" s="3" t="s">
        <v>28</v>
      </c>
      <c r="L1885" s="3" t="s">
        <v>28</v>
      </c>
      <c r="M1885" s="3" t="s">
        <v>28</v>
      </c>
      <c r="N1885" s="3" t="s">
        <v>28</v>
      </c>
      <c r="O1885" s="3" t="s">
        <v>28</v>
      </c>
      <c r="P1885" s="3" t="s">
        <v>28</v>
      </c>
      <c r="Q1885" s="3" t="s">
        <v>28</v>
      </c>
      <c r="R1885" s="3" t="s">
        <v>28</v>
      </c>
      <c r="S1885" s="3" t="s">
        <v>28</v>
      </c>
      <c r="T1885" s="3" t="s">
        <v>27</v>
      </c>
    </row>
    <row r="1886" spans="1:20" ht="290.25">
      <c r="A1886" s="3">
        <v>2709595</v>
      </c>
      <c r="B1886" s="3">
        <f>HYPERLINK("https://platform.v2.vetology.net/cases/2709595/screening-report/6?type=pdf&amp;v=v6&amp;scorecard=1&amp;secret_key=BX%25IJ%24%2F65ieZ%29f6", 2709595)</f>
        <v>2709595</v>
      </c>
      <c r="C1886" s="3">
        <f>HYPERLINK("https://platform.v2.vetology.net/report/v/final/"&amp;2709595, 2709595)</f>
        <v>2709595</v>
      </c>
      <c r="D1886" s="3" t="s">
        <v>6608</v>
      </c>
      <c r="E1886" s="3" t="s">
        <v>6609</v>
      </c>
      <c r="F1886" s="3" t="s">
        <v>6610</v>
      </c>
      <c r="G1886" s="3" t="s">
        <v>186</v>
      </c>
      <c r="H1886" s="3" t="s">
        <v>590</v>
      </c>
      <c r="I1886" s="3" t="s">
        <v>291</v>
      </c>
      <c r="J1886" s="3" t="s">
        <v>225</v>
      </c>
      <c r="K1886" s="3" t="s">
        <v>28</v>
      </c>
      <c r="L1886" s="3" t="s">
        <v>27</v>
      </c>
      <c r="M1886" s="3" t="s">
        <v>28</v>
      </c>
      <c r="N1886" s="3" t="s">
        <v>27</v>
      </c>
      <c r="O1886" s="3" t="s">
        <v>27</v>
      </c>
      <c r="P1886" s="3" t="s">
        <v>28</v>
      </c>
      <c r="Q1886" s="3" t="s">
        <v>28</v>
      </c>
      <c r="R1886" s="3" t="s">
        <v>27</v>
      </c>
      <c r="S1886" s="3" t="s">
        <v>27</v>
      </c>
      <c r="T1886" s="3" t="s">
        <v>27</v>
      </c>
    </row>
    <row r="1887" spans="1:20" ht="409.6">
      <c r="A1887" s="3">
        <v>2709564</v>
      </c>
      <c r="B1887" s="3">
        <f>HYPERLINK("https://platform.v2.vetology.net/cases/2709564/screening-report/6?type=pdf&amp;v=v6&amp;scorecard=1&amp;secret_key=BX%25IJ%24%2F65ieZ%29f6", 2709564)</f>
        <v>2709564</v>
      </c>
      <c r="C1887" s="3">
        <f>HYPERLINK("https://platform.v2.vetology.net/report/v/final/"&amp;2709564, 2709564)</f>
        <v>2709564</v>
      </c>
      <c r="D1887" s="3" t="s">
        <v>6611</v>
      </c>
      <c r="E1887" s="3" t="s">
        <v>6612</v>
      </c>
      <c r="F1887" s="3" t="s">
        <v>6613</v>
      </c>
      <c r="G1887" s="3" t="s">
        <v>64</v>
      </c>
      <c r="H1887" s="3" t="s">
        <v>41</v>
      </c>
      <c r="I1887" s="3" t="s">
        <v>42</v>
      </c>
      <c r="J1887" s="3" t="s">
        <v>43</v>
      </c>
      <c r="K1887" s="3" t="s">
        <v>27</v>
      </c>
      <c r="L1887" s="3" t="s">
        <v>28</v>
      </c>
      <c r="M1887" s="3" t="s">
        <v>28</v>
      </c>
      <c r="N1887" s="3" t="s">
        <v>27</v>
      </c>
      <c r="O1887" s="3" t="s">
        <v>27</v>
      </c>
      <c r="P1887" s="3" t="s">
        <v>28</v>
      </c>
      <c r="Q1887" s="3" t="s">
        <v>27</v>
      </c>
      <c r="R1887" s="3" t="s">
        <v>27</v>
      </c>
      <c r="S1887" s="3" t="s">
        <v>27</v>
      </c>
      <c r="T1887" s="3" t="s">
        <v>27</v>
      </c>
    </row>
    <row r="1888" spans="1:20" ht="409.6">
      <c r="A1888" s="3">
        <v>2709531</v>
      </c>
      <c r="B1888" s="3">
        <f>HYPERLINK("https://platform.v2.vetology.net/cases/2709531/screening-report/6?type=pdf&amp;v=v6&amp;scorecard=1&amp;secret_key=BX%25IJ%24%2F65ieZ%29f6", 2709531)</f>
        <v>2709531</v>
      </c>
      <c r="C1888" s="3">
        <f>HYPERLINK("https://platform.v2.vetology.net/report/v/final/"&amp;2709531, 2709531)</f>
        <v>2709531</v>
      </c>
      <c r="D1888" s="3" t="s">
        <v>6614</v>
      </c>
      <c r="E1888" s="3" t="s">
        <v>6615</v>
      </c>
      <c r="F1888" s="3" t="s">
        <v>6616</v>
      </c>
      <c r="G1888" s="3" t="s">
        <v>372</v>
      </c>
      <c r="H1888" s="3" t="s">
        <v>6195</v>
      </c>
      <c r="I1888" s="3" t="s">
        <v>784</v>
      </c>
      <c r="J1888" s="3" t="s">
        <v>785</v>
      </c>
      <c r="K1888" s="3" t="s">
        <v>28</v>
      </c>
      <c r="L1888" s="3" t="s">
        <v>27</v>
      </c>
      <c r="M1888" s="3" t="s">
        <v>27</v>
      </c>
      <c r="N1888" s="3" t="s">
        <v>27</v>
      </c>
      <c r="O1888" s="3" t="s">
        <v>27</v>
      </c>
      <c r="P1888" s="3" t="s">
        <v>28</v>
      </c>
      <c r="Q1888" s="3" t="s">
        <v>27</v>
      </c>
      <c r="R1888" s="3" t="s">
        <v>27</v>
      </c>
      <c r="S1888" s="3" t="s">
        <v>28</v>
      </c>
      <c r="T1888" s="3" t="s">
        <v>27</v>
      </c>
    </row>
    <row r="1889" spans="1:20" ht="409.6">
      <c r="A1889" s="3">
        <v>2709510</v>
      </c>
      <c r="B1889" s="3">
        <f>HYPERLINK("https://platform.v2.vetology.net/cases/2709510/screening-report/6?type=pdf&amp;v=v6&amp;scorecard=1&amp;secret_key=BX%25IJ%24%2F65ieZ%29f6", 2709510)</f>
        <v>2709510</v>
      </c>
      <c r="C1889" s="3">
        <f>HYPERLINK("https://platform.v2.vetology.net/report/v/final/"&amp;2709510, 2709510)</f>
        <v>2709510</v>
      </c>
      <c r="D1889" s="3" t="s">
        <v>6617</v>
      </c>
      <c r="E1889" s="3" t="s">
        <v>6618</v>
      </c>
      <c r="F1889" s="3" t="s">
        <v>22</v>
      </c>
      <c r="G1889" s="3" t="s">
        <v>100</v>
      </c>
      <c r="H1889" s="3" t="s">
        <v>4195</v>
      </c>
      <c r="I1889" s="3" t="s">
        <v>2771</v>
      </c>
      <c r="J1889" s="3" t="s">
        <v>2772</v>
      </c>
      <c r="K1889" s="3" t="s">
        <v>28</v>
      </c>
      <c r="L1889" s="3" t="s">
        <v>27</v>
      </c>
      <c r="M1889" s="3" t="s">
        <v>28</v>
      </c>
      <c r="N1889" s="3" t="s">
        <v>27</v>
      </c>
      <c r="O1889" s="3" t="s">
        <v>28</v>
      </c>
      <c r="P1889" s="3" t="s">
        <v>28</v>
      </c>
      <c r="Q1889" s="3" t="s">
        <v>28</v>
      </c>
      <c r="R1889" s="3" t="s">
        <v>27</v>
      </c>
      <c r="S1889" s="3" t="s">
        <v>27</v>
      </c>
      <c r="T1889" s="3" t="s">
        <v>27</v>
      </c>
    </row>
    <row r="1890" spans="1:20" ht="305.25">
      <c r="A1890" s="3">
        <v>2709434</v>
      </c>
      <c r="B1890" s="3">
        <f>HYPERLINK("https://platform.v2.vetology.net/cases/2709434/screening-report/6?type=pdf&amp;v=v6&amp;scorecard=1&amp;secret_key=BX%25IJ%24%2F65ieZ%29f6", 2709434)</f>
        <v>2709434</v>
      </c>
      <c r="C1890" s="3">
        <f>HYPERLINK("https://platform.v2.vetology.net/report/v/final/"&amp;2709434, 2709434)</f>
        <v>2709434</v>
      </c>
      <c r="D1890" s="3" t="s">
        <v>6619</v>
      </c>
      <c r="E1890" s="3" t="s">
        <v>6620</v>
      </c>
      <c r="F1890" s="3" t="s">
        <v>6621</v>
      </c>
      <c r="G1890" s="3" t="s">
        <v>186</v>
      </c>
      <c r="H1890" s="3" t="s">
        <v>6622</v>
      </c>
      <c r="I1890" s="3" t="s">
        <v>6623</v>
      </c>
      <c r="J1890" s="3" t="s">
        <v>6624</v>
      </c>
      <c r="K1890" s="3" t="s">
        <v>28</v>
      </c>
      <c r="L1890" s="3" t="s">
        <v>28</v>
      </c>
      <c r="M1890" s="3" t="s">
        <v>28</v>
      </c>
      <c r="N1890" s="3" t="s">
        <v>28</v>
      </c>
      <c r="O1890" s="3" t="s">
        <v>27</v>
      </c>
      <c r="P1890" s="3" t="s">
        <v>28</v>
      </c>
      <c r="Q1890" s="3" t="s">
        <v>27</v>
      </c>
      <c r="R1890" s="3" t="s">
        <v>28</v>
      </c>
      <c r="S1890" s="3" t="s">
        <v>28</v>
      </c>
      <c r="T1890" s="3" t="s">
        <v>28</v>
      </c>
    </row>
    <row r="1891" spans="1:20" ht="409.6">
      <c r="A1891" s="3">
        <v>2709427</v>
      </c>
      <c r="B1891" s="3">
        <f>HYPERLINK("https://platform.v2.vetology.net/cases/2709427/screening-report/6?type=pdf&amp;v=v6&amp;scorecard=1&amp;secret_key=BX%25IJ%24%2F65ieZ%29f6", 2709427)</f>
        <v>2709427</v>
      </c>
      <c r="C1891" s="3">
        <f>HYPERLINK("https://platform.v2.vetology.net/report/v/final/"&amp;2709427, 2709427)</f>
        <v>2709427</v>
      </c>
      <c r="D1891" s="3" t="s">
        <v>6625</v>
      </c>
      <c r="E1891" s="3" t="s">
        <v>6626</v>
      </c>
      <c r="F1891" s="3" t="s">
        <v>6627</v>
      </c>
      <c r="G1891" s="3" t="s">
        <v>179</v>
      </c>
      <c r="H1891" s="3" t="s">
        <v>6628</v>
      </c>
      <c r="I1891" s="3" t="s">
        <v>659</v>
      </c>
      <c r="J1891" s="3" t="s">
        <v>660</v>
      </c>
      <c r="K1891" s="3" t="s">
        <v>27</v>
      </c>
      <c r="L1891" s="3" t="s">
        <v>28</v>
      </c>
      <c r="M1891" s="3" t="s">
        <v>28</v>
      </c>
      <c r="N1891" s="3" t="s">
        <v>28</v>
      </c>
      <c r="O1891" s="3" t="s">
        <v>27</v>
      </c>
      <c r="P1891" s="3" t="s">
        <v>28</v>
      </c>
      <c r="Q1891" s="3" t="s">
        <v>28</v>
      </c>
      <c r="R1891" s="3" t="s">
        <v>28</v>
      </c>
      <c r="S1891" s="3" t="s">
        <v>28</v>
      </c>
      <c r="T1891" s="3" t="s">
        <v>28</v>
      </c>
    </row>
    <row r="1892" spans="1:20" ht="409.6">
      <c r="A1892" s="3">
        <v>2709422</v>
      </c>
      <c r="B1892" s="3">
        <f>HYPERLINK("https://platform.v2.vetology.net/cases/2709422/screening-report/6?type=pdf&amp;v=v6&amp;scorecard=1&amp;secret_key=BX%25IJ%24%2F65ieZ%29f6", 2709422)</f>
        <v>2709422</v>
      </c>
      <c r="C1892" s="3">
        <f>HYPERLINK("https://platform.v2.vetology.net/report/v/final/"&amp;2709422, 2709422)</f>
        <v>2709422</v>
      </c>
      <c r="D1892" s="3" t="s">
        <v>6629</v>
      </c>
      <c r="E1892" s="3" t="s">
        <v>6630</v>
      </c>
      <c r="F1892" s="3" t="s">
        <v>6631</v>
      </c>
      <c r="G1892" s="3" t="s">
        <v>179</v>
      </c>
      <c r="H1892" s="3" t="s">
        <v>6632</v>
      </c>
      <c r="I1892" s="3" t="s">
        <v>1373</v>
      </c>
      <c r="J1892" s="3" t="s">
        <v>1374</v>
      </c>
      <c r="K1892" s="3" t="s">
        <v>27</v>
      </c>
      <c r="L1892" s="3" t="s">
        <v>28</v>
      </c>
      <c r="M1892" s="3" t="s">
        <v>27</v>
      </c>
      <c r="N1892" s="3" t="s">
        <v>27</v>
      </c>
      <c r="O1892" s="3" t="s">
        <v>27</v>
      </c>
      <c r="P1892" s="3" t="s">
        <v>28</v>
      </c>
      <c r="Q1892" s="3" t="s">
        <v>28</v>
      </c>
      <c r="R1892" s="3" t="s">
        <v>27</v>
      </c>
      <c r="S1892" s="3" t="s">
        <v>28</v>
      </c>
      <c r="T1892" s="3" t="s">
        <v>27</v>
      </c>
    </row>
    <row r="1893" spans="1:20" ht="336">
      <c r="A1893" s="3">
        <v>2709419</v>
      </c>
      <c r="B1893" s="3">
        <f>HYPERLINK("https://platform.v2.vetology.net/cases/2709419/screening-report/6?type=pdf&amp;v=v6&amp;scorecard=1&amp;secret_key=BX%25IJ%24%2F65ieZ%29f6", 2709419)</f>
        <v>2709419</v>
      </c>
      <c r="C1893" s="3">
        <f>HYPERLINK("https://platform.v2.vetology.net/report/v/final/"&amp;2709419, 2709419)</f>
        <v>2709419</v>
      </c>
      <c r="D1893" s="3" t="s">
        <v>6633</v>
      </c>
      <c r="E1893" s="3" t="s">
        <v>6634</v>
      </c>
      <c r="F1893" s="3" t="s">
        <v>6635</v>
      </c>
      <c r="G1893" s="3" t="s">
        <v>64</v>
      </c>
      <c r="H1893" s="3" t="s">
        <v>6636</v>
      </c>
      <c r="I1893" s="3" t="s">
        <v>2226</v>
      </c>
      <c r="J1893" s="3" t="s">
        <v>2227</v>
      </c>
      <c r="K1893" s="3" t="s">
        <v>27</v>
      </c>
      <c r="L1893" s="3" t="s">
        <v>28</v>
      </c>
      <c r="M1893" s="3" t="s">
        <v>28</v>
      </c>
      <c r="N1893" s="3" t="s">
        <v>28</v>
      </c>
      <c r="O1893" s="3" t="s">
        <v>27</v>
      </c>
      <c r="P1893" s="3" t="s">
        <v>28</v>
      </c>
      <c r="Q1893" s="3" t="s">
        <v>28</v>
      </c>
      <c r="R1893" s="3" t="s">
        <v>28</v>
      </c>
      <c r="S1893" s="3" t="s">
        <v>28</v>
      </c>
      <c r="T1893" s="3" t="s">
        <v>27</v>
      </c>
    </row>
    <row r="1894" spans="1:20" ht="336">
      <c r="A1894" s="3">
        <v>2709389</v>
      </c>
      <c r="B1894" s="3">
        <f>HYPERLINK("https://platform.v2.vetology.net/cases/2709389/screening-report/6?type=pdf&amp;v=v6&amp;scorecard=1&amp;secret_key=BX%25IJ%24%2F65ieZ%29f6", 2709389)</f>
        <v>2709389</v>
      </c>
      <c r="C1894" s="3">
        <f>HYPERLINK("https://platform.v2.vetology.net/report/v/final/"&amp;2709389, 2709389)</f>
        <v>2709389</v>
      </c>
      <c r="D1894" s="3" t="s">
        <v>6637</v>
      </c>
      <c r="E1894" s="3" t="s">
        <v>6638</v>
      </c>
      <c r="F1894" s="3"/>
      <c r="G1894" s="3" t="s">
        <v>122</v>
      </c>
      <c r="H1894" s="3" t="s">
        <v>6639</v>
      </c>
      <c r="I1894" s="3" t="s">
        <v>6640</v>
      </c>
      <c r="J1894" s="3" t="s">
        <v>6641</v>
      </c>
      <c r="K1894" s="3" t="s">
        <v>28</v>
      </c>
      <c r="L1894" s="3" t="s">
        <v>28</v>
      </c>
      <c r="M1894" s="3" t="s">
        <v>28</v>
      </c>
      <c r="N1894" s="3" t="s">
        <v>28</v>
      </c>
      <c r="O1894" s="3" t="s">
        <v>27</v>
      </c>
      <c r="P1894" s="3" t="s">
        <v>27</v>
      </c>
      <c r="Q1894" s="3" t="s">
        <v>28</v>
      </c>
      <c r="R1894" s="3" t="s">
        <v>28</v>
      </c>
      <c r="S1894" s="3" t="s">
        <v>28</v>
      </c>
      <c r="T1894" s="3" t="s">
        <v>28</v>
      </c>
    </row>
    <row r="1895" spans="1:20" ht="409.6">
      <c r="A1895" s="3">
        <v>2709388</v>
      </c>
      <c r="B1895" s="3">
        <f>HYPERLINK("https://platform.v2.vetology.net/cases/2709388/screening-report/6?type=pdf&amp;v=v6&amp;scorecard=1&amp;secret_key=BX%25IJ%24%2F65ieZ%29f6", 2709388)</f>
        <v>2709388</v>
      </c>
      <c r="C1895" s="3">
        <f>HYPERLINK("https://platform.v2.vetology.net/report/v/final/"&amp;2709388, 2709388)</f>
        <v>2709388</v>
      </c>
      <c r="D1895" s="3" t="s">
        <v>6642</v>
      </c>
      <c r="E1895" s="3" t="s">
        <v>6643</v>
      </c>
      <c r="F1895" s="3" t="s">
        <v>6644</v>
      </c>
      <c r="G1895" s="3" t="s">
        <v>64</v>
      </c>
      <c r="H1895" s="3" t="s">
        <v>6645</v>
      </c>
      <c r="I1895" s="3" t="s">
        <v>72</v>
      </c>
      <c r="J1895" s="3" t="s">
        <v>363</v>
      </c>
      <c r="K1895" s="3" t="s">
        <v>28</v>
      </c>
      <c r="L1895" s="3" t="s">
        <v>28</v>
      </c>
      <c r="M1895" s="3" t="s">
        <v>28</v>
      </c>
      <c r="N1895" s="3" t="s">
        <v>28</v>
      </c>
      <c r="O1895" s="3" t="s">
        <v>28</v>
      </c>
      <c r="P1895" s="3" t="s">
        <v>28</v>
      </c>
      <c r="Q1895" s="3" t="s">
        <v>28</v>
      </c>
      <c r="R1895" s="3" t="s">
        <v>28</v>
      </c>
      <c r="S1895" s="3" t="s">
        <v>28</v>
      </c>
      <c r="T1895" s="3" t="s">
        <v>27</v>
      </c>
    </row>
    <row r="1896" spans="1:20" ht="409.6">
      <c r="A1896" s="3">
        <v>2709380</v>
      </c>
      <c r="B1896" s="3">
        <f>HYPERLINK("https://platform.v2.vetology.net/cases/2709380/screening-report/6?type=pdf&amp;v=v6&amp;scorecard=1&amp;secret_key=BX%25IJ%24%2F65ieZ%29f6", 2709380)</f>
        <v>2709380</v>
      </c>
      <c r="C1896" s="3">
        <f>HYPERLINK("https://platform.v2.vetology.net/report/v/final/"&amp;2709380, 2709380)</f>
        <v>2709380</v>
      </c>
      <c r="D1896" s="3" t="s">
        <v>6646</v>
      </c>
      <c r="E1896" s="3" t="s">
        <v>6647</v>
      </c>
      <c r="F1896" s="3" t="s">
        <v>6648</v>
      </c>
      <c r="G1896" s="3" t="s">
        <v>64</v>
      </c>
      <c r="H1896" s="3" t="s">
        <v>947</v>
      </c>
      <c r="I1896" s="3" t="s">
        <v>273</v>
      </c>
      <c r="J1896" s="3" t="s">
        <v>274</v>
      </c>
      <c r="K1896" s="3" t="s">
        <v>28</v>
      </c>
      <c r="L1896" s="3" t="s">
        <v>28</v>
      </c>
      <c r="M1896" s="3" t="s">
        <v>28</v>
      </c>
      <c r="N1896" s="3" t="s">
        <v>28</v>
      </c>
      <c r="O1896" s="3" t="s">
        <v>28</v>
      </c>
      <c r="P1896" s="3" t="s">
        <v>28</v>
      </c>
      <c r="Q1896" s="3" t="s">
        <v>28</v>
      </c>
      <c r="R1896" s="3" t="s">
        <v>28</v>
      </c>
      <c r="S1896" s="3" t="s">
        <v>27</v>
      </c>
      <c r="T1896" s="3" t="s">
        <v>27</v>
      </c>
    </row>
    <row r="1897" spans="1:20" ht="409.6">
      <c r="A1897" s="3">
        <v>2709347</v>
      </c>
      <c r="B1897" s="3">
        <f>HYPERLINK("https://platform.v2.vetology.net/cases/2709347/screening-report/6?type=pdf&amp;v=v6&amp;scorecard=1&amp;secret_key=BX%25IJ%24%2F65ieZ%29f6", 2709347)</f>
        <v>2709347</v>
      </c>
      <c r="C1897" s="3">
        <f>HYPERLINK("https://platform.v2.vetology.net/report/v/final/"&amp;2709347, 2709347)</f>
        <v>2709347</v>
      </c>
      <c r="D1897" s="3" t="s">
        <v>6649</v>
      </c>
      <c r="E1897" s="3" t="s">
        <v>6650</v>
      </c>
      <c r="F1897" s="3"/>
      <c r="G1897" s="3" t="s">
        <v>122</v>
      </c>
      <c r="H1897" s="3" t="s">
        <v>548</v>
      </c>
      <c r="I1897" s="3" t="s">
        <v>549</v>
      </c>
      <c r="J1897" s="3" t="s">
        <v>550</v>
      </c>
      <c r="K1897" s="3" t="s">
        <v>28</v>
      </c>
      <c r="L1897" s="3" t="s">
        <v>27</v>
      </c>
      <c r="M1897" s="3" t="s">
        <v>28</v>
      </c>
      <c r="N1897" s="3" t="s">
        <v>27</v>
      </c>
      <c r="O1897" s="3" t="s">
        <v>27</v>
      </c>
      <c r="P1897" s="3" t="s">
        <v>28</v>
      </c>
      <c r="Q1897" s="3" t="s">
        <v>28</v>
      </c>
      <c r="R1897" s="3" t="s">
        <v>27</v>
      </c>
      <c r="S1897" s="3" t="s">
        <v>27</v>
      </c>
      <c r="T1897" s="3" t="s">
        <v>27</v>
      </c>
    </row>
    <row r="1898" spans="1:20" ht="409.6">
      <c r="A1898" s="3">
        <v>2709340</v>
      </c>
      <c r="B1898" s="3">
        <f>HYPERLINK("https://platform.v2.vetology.net/cases/2709340/screening-report/6?type=pdf&amp;v=v6&amp;scorecard=1&amp;secret_key=BX%25IJ%24%2F65ieZ%29f6", 2709340)</f>
        <v>2709340</v>
      </c>
      <c r="C1898" s="3">
        <f>HYPERLINK("https://platform.v2.vetology.net/report/v/final/"&amp;2709340, 2709340)</f>
        <v>2709340</v>
      </c>
      <c r="D1898" s="3" t="s">
        <v>6651</v>
      </c>
      <c r="E1898" s="3" t="s">
        <v>6652</v>
      </c>
      <c r="F1898" s="3" t="s">
        <v>6653</v>
      </c>
      <c r="G1898" s="3" t="s">
        <v>64</v>
      </c>
      <c r="H1898" s="3" t="s">
        <v>6654</v>
      </c>
      <c r="I1898" s="3" t="s">
        <v>6655</v>
      </c>
      <c r="J1898" s="3" t="s">
        <v>6656</v>
      </c>
      <c r="K1898" s="3" t="s">
        <v>28</v>
      </c>
      <c r="L1898" s="3" t="s">
        <v>28</v>
      </c>
      <c r="M1898" s="3" t="s">
        <v>27</v>
      </c>
      <c r="N1898" s="3" t="s">
        <v>28</v>
      </c>
      <c r="O1898" s="3" t="s">
        <v>27</v>
      </c>
      <c r="P1898" s="3" t="s">
        <v>27</v>
      </c>
      <c r="Q1898" s="3" t="s">
        <v>27</v>
      </c>
      <c r="R1898" s="3" t="s">
        <v>28</v>
      </c>
      <c r="S1898" s="3" t="s">
        <v>27</v>
      </c>
      <c r="T1898" s="3" t="s">
        <v>27</v>
      </c>
    </row>
    <row r="1899" spans="1:20" ht="229.5">
      <c r="A1899" s="3">
        <v>2709328</v>
      </c>
      <c r="B1899" s="3">
        <f>HYPERLINK("https://platform.v2.vetology.net/cases/2709328/screening-report/6?type=pdf&amp;v=v6&amp;scorecard=1&amp;secret_key=BX%25IJ%24%2F65ieZ%29f6", 2709328)</f>
        <v>2709328</v>
      </c>
      <c r="C1899" s="3">
        <f>HYPERLINK("https://platform.v2.vetology.net/report/v/final/"&amp;2709328, 2709328)</f>
        <v>2709328</v>
      </c>
      <c r="D1899" s="3" t="s">
        <v>6657</v>
      </c>
      <c r="E1899" s="3" t="s">
        <v>6658</v>
      </c>
      <c r="F1899" s="3" t="s">
        <v>6659</v>
      </c>
      <c r="G1899" s="3" t="s">
        <v>186</v>
      </c>
      <c r="H1899" s="3" t="s">
        <v>31</v>
      </c>
      <c r="I1899" s="3" t="s">
        <v>32</v>
      </c>
      <c r="J1899" s="3" t="s">
        <v>119</v>
      </c>
      <c r="K1899" s="3" t="s">
        <v>28</v>
      </c>
      <c r="L1899" s="3" t="s">
        <v>28</v>
      </c>
      <c r="M1899" s="3" t="s">
        <v>28</v>
      </c>
      <c r="N1899" s="3" t="s">
        <v>28</v>
      </c>
      <c r="O1899" s="3" t="s">
        <v>27</v>
      </c>
      <c r="P1899" s="3" t="s">
        <v>28</v>
      </c>
      <c r="Q1899" s="3" t="s">
        <v>28</v>
      </c>
      <c r="R1899" s="3" t="s">
        <v>28</v>
      </c>
      <c r="S1899" s="3" t="s">
        <v>28</v>
      </c>
      <c r="T1899" s="3" t="s">
        <v>28</v>
      </c>
    </row>
    <row r="1900" spans="1:20" ht="409.6">
      <c r="A1900" s="3">
        <v>2709240</v>
      </c>
      <c r="B1900" s="3">
        <f>HYPERLINK("https://platform.v2.vetology.net/cases/2709240/screening-report/6?type=pdf&amp;v=v6&amp;scorecard=1&amp;secret_key=BX%25IJ%24%2F65ieZ%29f6", 2709240)</f>
        <v>2709240</v>
      </c>
      <c r="C1900" s="3">
        <f>HYPERLINK("https://platform.v2.vetology.net/report/v/final/"&amp;2709240, 2709240)</f>
        <v>2709240</v>
      </c>
      <c r="D1900" s="3" t="s">
        <v>6660</v>
      </c>
      <c r="E1900" s="3" t="s">
        <v>6661</v>
      </c>
      <c r="F1900" s="3" t="s">
        <v>6662</v>
      </c>
      <c r="G1900" s="3" t="s">
        <v>496</v>
      </c>
      <c r="H1900" s="3" t="s">
        <v>6663</v>
      </c>
      <c r="I1900" s="3" t="s">
        <v>3840</v>
      </c>
      <c r="J1900" s="3" t="s">
        <v>286</v>
      </c>
      <c r="K1900" s="3" t="s">
        <v>27</v>
      </c>
      <c r="L1900" s="3" t="s">
        <v>28</v>
      </c>
      <c r="M1900" s="3" t="s">
        <v>28</v>
      </c>
      <c r="N1900" s="3" t="s">
        <v>28</v>
      </c>
      <c r="O1900" s="3" t="s">
        <v>27</v>
      </c>
      <c r="P1900" s="3" t="s">
        <v>28</v>
      </c>
      <c r="Q1900" s="3" t="s">
        <v>27</v>
      </c>
      <c r="R1900" s="3" t="s">
        <v>28</v>
      </c>
      <c r="S1900" s="3" t="s">
        <v>28</v>
      </c>
      <c r="T1900" s="3" t="s">
        <v>28</v>
      </c>
    </row>
    <row r="1901" spans="1:20" ht="409.6">
      <c r="A1901" s="3">
        <v>2709224</v>
      </c>
      <c r="B1901" s="3">
        <f>HYPERLINK("https://platform.v2.vetology.net/cases/2709224/screening-report/6?type=pdf&amp;v=v6&amp;scorecard=1&amp;secret_key=BX%25IJ%24%2F65ieZ%29f6", 2709224)</f>
        <v>2709224</v>
      </c>
      <c r="C1901" s="3">
        <f>HYPERLINK("https://platform.v2.vetology.net/report/v/final/"&amp;2709224, 2709224)</f>
        <v>2709224</v>
      </c>
      <c r="D1901" s="3" t="s">
        <v>6664</v>
      </c>
      <c r="E1901" s="3" t="s">
        <v>6665</v>
      </c>
      <c r="F1901" s="3" t="s">
        <v>6666</v>
      </c>
      <c r="G1901" s="3" t="s">
        <v>211</v>
      </c>
      <c r="H1901" s="3" t="s">
        <v>58</v>
      </c>
      <c r="I1901" s="3" t="s">
        <v>59</v>
      </c>
      <c r="J1901" s="3" t="s">
        <v>60</v>
      </c>
      <c r="K1901" s="3" t="s">
        <v>28</v>
      </c>
      <c r="L1901" s="3" t="s">
        <v>28</v>
      </c>
      <c r="M1901" s="3" t="s">
        <v>28</v>
      </c>
      <c r="N1901" s="3" t="s">
        <v>28</v>
      </c>
      <c r="O1901" s="3" t="s">
        <v>28</v>
      </c>
      <c r="P1901" s="3" t="s">
        <v>28</v>
      </c>
      <c r="Q1901" s="3" t="s">
        <v>28</v>
      </c>
      <c r="R1901" s="3" t="s">
        <v>28</v>
      </c>
      <c r="S1901" s="3" t="s">
        <v>28</v>
      </c>
      <c r="T1901" s="3" t="s">
        <v>27</v>
      </c>
    </row>
    <row r="1902" spans="1:20" ht="409.6">
      <c r="A1902" s="3">
        <v>2709167</v>
      </c>
      <c r="B1902" s="3">
        <f>HYPERLINK("https://platform.v2.vetology.net/cases/2709167/screening-report/6?type=pdf&amp;v=v6&amp;scorecard=1&amp;secret_key=BX%25IJ%24%2F65ieZ%29f6", 2709167)</f>
        <v>2709167</v>
      </c>
      <c r="C1902" s="3">
        <f>HYPERLINK("https://platform.v2.vetology.net/report/v/final/"&amp;2709167, 2709167)</f>
        <v>2709167</v>
      </c>
      <c r="D1902" s="3" t="s">
        <v>6667</v>
      </c>
      <c r="E1902" s="3" t="s">
        <v>6668</v>
      </c>
      <c r="F1902" s="3" t="s">
        <v>6669</v>
      </c>
      <c r="G1902" s="3" t="s">
        <v>64</v>
      </c>
      <c r="H1902" s="3" t="s">
        <v>118</v>
      </c>
      <c r="I1902" s="3" t="s">
        <v>32</v>
      </c>
      <c r="J1902" s="3" t="s">
        <v>119</v>
      </c>
      <c r="K1902" s="3" t="s">
        <v>28</v>
      </c>
      <c r="L1902" s="3" t="s">
        <v>28</v>
      </c>
      <c r="M1902" s="3" t="s">
        <v>28</v>
      </c>
      <c r="N1902" s="3" t="s">
        <v>28</v>
      </c>
      <c r="O1902" s="3" t="s">
        <v>28</v>
      </c>
      <c r="P1902" s="3" t="s">
        <v>28</v>
      </c>
      <c r="Q1902" s="3" t="s">
        <v>28</v>
      </c>
      <c r="R1902" s="3" t="s">
        <v>28</v>
      </c>
      <c r="S1902" s="3" t="s">
        <v>28</v>
      </c>
      <c r="T1902" s="3" t="s">
        <v>28</v>
      </c>
    </row>
    <row r="1903" spans="1:20" ht="366">
      <c r="A1903" s="3">
        <v>2709122</v>
      </c>
      <c r="B1903" s="3">
        <f>HYPERLINK("https://platform.v2.vetology.net/cases/2709122/screening-report/6?type=pdf&amp;v=v6&amp;scorecard=1&amp;secret_key=BX%25IJ%24%2F65ieZ%29f6", 2709122)</f>
        <v>2709122</v>
      </c>
      <c r="C1903" s="3">
        <f>HYPERLINK("https://platform.v2.vetology.net/report/v/final/"&amp;2709122, 2709122)</f>
        <v>2709122</v>
      </c>
      <c r="D1903" s="3" t="s">
        <v>6670</v>
      </c>
      <c r="E1903" s="3" t="s">
        <v>6671</v>
      </c>
      <c r="F1903" s="3" t="s">
        <v>22</v>
      </c>
      <c r="G1903" s="3" t="s">
        <v>372</v>
      </c>
      <c r="H1903" s="3" t="s">
        <v>6672</v>
      </c>
      <c r="I1903" s="3" t="s">
        <v>6673</v>
      </c>
      <c r="J1903" s="3" t="s">
        <v>6674</v>
      </c>
      <c r="K1903" s="3" t="s">
        <v>28</v>
      </c>
      <c r="L1903" s="3" t="s">
        <v>28</v>
      </c>
      <c r="M1903" s="3" t="s">
        <v>27</v>
      </c>
      <c r="N1903" s="3" t="s">
        <v>28</v>
      </c>
      <c r="O1903" s="3" t="s">
        <v>27</v>
      </c>
      <c r="P1903" s="3" t="s">
        <v>28</v>
      </c>
      <c r="Q1903" s="3" t="s">
        <v>28</v>
      </c>
      <c r="R1903" s="3" t="s">
        <v>28</v>
      </c>
      <c r="S1903" s="3" t="s">
        <v>28</v>
      </c>
      <c r="T1903" s="3" t="s">
        <v>28</v>
      </c>
    </row>
    <row r="1904" spans="1:20" ht="351">
      <c r="A1904" s="3">
        <v>2709047</v>
      </c>
      <c r="B1904" s="3">
        <f>HYPERLINK("https://platform.v2.vetology.net/cases/2709047/screening-report/6?type=pdf&amp;v=v6&amp;scorecard=1&amp;secret_key=BX%25IJ%24%2F65ieZ%29f6", 2709047)</f>
        <v>2709047</v>
      </c>
      <c r="C1904" s="3">
        <f>HYPERLINK("https://platform.v2.vetology.net/report/v/final/"&amp;2709047, 2709047)</f>
        <v>2709047</v>
      </c>
      <c r="D1904" s="3" t="s">
        <v>6675</v>
      </c>
      <c r="E1904" s="3" t="s">
        <v>6676</v>
      </c>
      <c r="F1904" s="3" t="s">
        <v>6677</v>
      </c>
      <c r="G1904" s="3" t="s">
        <v>100</v>
      </c>
      <c r="H1904" s="3" t="s">
        <v>6678</v>
      </c>
      <c r="I1904" s="3" t="s">
        <v>4052</v>
      </c>
      <c r="J1904" s="3" t="s">
        <v>4053</v>
      </c>
      <c r="K1904" s="3" t="s">
        <v>28</v>
      </c>
      <c r="L1904" s="3" t="s">
        <v>28</v>
      </c>
      <c r="M1904" s="3" t="s">
        <v>27</v>
      </c>
      <c r="N1904" s="3" t="s">
        <v>28</v>
      </c>
      <c r="O1904" s="3" t="s">
        <v>27</v>
      </c>
      <c r="P1904" s="3" t="s">
        <v>28</v>
      </c>
      <c r="Q1904" s="3" t="s">
        <v>27</v>
      </c>
      <c r="R1904" s="3" t="s">
        <v>28</v>
      </c>
      <c r="S1904" s="3" t="s">
        <v>27</v>
      </c>
      <c r="T1904" s="3" t="s">
        <v>28</v>
      </c>
    </row>
    <row r="1905" spans="1:20" ht="305.25">
      <c r="A1905" s="3">
        <v>2709033</v>
      </c>
      <c r="B1905" s="3">
        <f>HYPERLINK("https://platform.v2.vetology.net/cases/2709033/screening-report/6?type=pdf&amp;v=v6&amp;scorecard=1&amp;secret_key=BX%25IJ%24%2F65ieZ%29f6", 2709033)</f>
        <v>2709033</v>
      </c>
      <c r="C1905" s="3">
        <f>HYPERLINK("https://platform.v2.vetology.net/report/v/final/"&amp;2709033, 2709033)</f>
        <v>2709033</v>
      </c>
      <c r="D1905" s="3" t="s">
        <v>6679</v>
      </c>
      <c r="E1905" s="3" t="s">
        <v>6680</v>
      </c>
      <c r="F1905" s="3" t="s">
        <v>6681</v>
      </c>
      <c r="G1905" s="3" t="s">
        <v>186</v>
      </c>
      <c r="H1905" s="3" t="s">
        <v>6682</v>
      </c>
      <c r="I1905" s="3" t="s">
        <v>793</v>
      </c>
      <c r="J1905" s="3" t="s">
        <v>794</v>
      </c>
      <c r="K1905" s="3" t="s">
        <v>28</v>
      </c>
      <c r="L1905" s="3" t="s">
        <v>28</v>
      </c>
      <c r="M1905" s="3" t="s">
        <v>28</v>
      </c>
      <c r="N1905" s="3" t="s">
        <v>28</v>
      </c>
      <c r="O1905" s="3" t="s">
        <v>28</v>
      </c>
      <c r="P1905" s="3" t="s">
        <v>28</v>
      </c>
      <c r="Q1905" s="3" t="s">
        <v>28</v>
      </c>
      <c r="R1905" s="3" t="s">
        <v>28</v>
      </c>
      <c r="S1905" s="3" t="s">
        <v>28</v>
      </c>
      <c r="T1905" s="3" t="s">
        <v>28</v>
      </c>
    </row>
    <row r="1906" spans="1:20" ht="409.6">
      <c r="A1906" s="3">
        <v>2709025</v>
      </c>
      <c r="B1906" s="3">
        <f>HYPERLINK("https://platform.v2.vetology.net/cases/2709025/screening-report/6?type=pdf&amp;v=v6&amp;scorecard=1&amp;secret_key=BX%25IJ%24%2F65ieZ%29f6", 2709025)</f>
        <v>2709025</v>
      </c>
      <c r="C1906" s="3">
        <f>HYPERLINK("https://platform.v2.vetology.net/report/v/final/"&amp;2709025, 2709025)</f>
        <v>2709025</v>
      </c>
      <c r="D1906" s="3" t="s">
        <v>6683</v>
      </c>
      <c r="E1906" s="3" t="s">
        <v>6684</v>
      </c>
      <c r="F1906" s="3" t="s">
        <v>6685</v>
      </c>
      <c r="G1906" s="3" t="s">
        <v>64</v>
      </c>
      <c r="H1906" s="3" t="s">
        <v>6033</v>
      </c>
      <c r="I1906" s="3" t="s">
        <v>59</v>
      </c>
      <c r="J1906" s="3" t="s">
        <v>60</v>
      </c>
      <c r="K1906" s="3" t="s">
        <v>28</v>
      </c>
      <c r="L1906" s="3" t="s">
        <v>28</v>
      </c>
      <c r="M1906" s="3" t="s">
        <v>28</v>
      </c>
      <c r="N1906" s="3" t="s">
        <v>28</v>
      </c>
      <c r="O1906" s="3" t="s">
        <v>28</v>
      </c>
      <c r="P1906" s="3" t="s">
        <v>28</v>
      </c>
      <c r="Q1906" s="3" t="s">
        <v>28</v>
      </c>
      <c r="R1906" s="3" t="s">
        <v>28</v>
      </c>
      <c r="S1906" s="3" t="s">
        <v>28</v>
      </c>
      <c r="T1906" s="3" t="s">
        <v>27</v>
      </c>
    </row>
    <row r="1907" spans="1:20" ht="244.5">
      <c r="A1907" s="3">
        <v>2708998</v>
      </c>
      <c r="B1907" s="3">
        <f>HYPERLINK("https://platform.v2.vetology.net/cases/2708998/screening-report/6?type=pdf&amp;v=v6&amp;scorecard=1&amp;secret_key=BX%25IJ%24%2F65ieZ%29f6", 2708998)</f>
        <v>2708998</v>
      </c>
      <c r="C1907" s="3">
        <f>HYPERLINK("https://platform.v2.vetology.net/report/v/final/"&amp;2708998, 2708998)</f>
        <v>2708998</v>
      </c>
      <c r="D1907" s="3" t="s">
        <v>6686</v>
      </c>
      <c r="E1907" s="3" t="s">
        <v>6687</v>
      </c>
      <c r="F1907" s="3" t="s">
        <v>6688</v>
      </c>
      <c r="G1907" s="3" t="s">
        <v>186</v>
      </c>
      <c r="H1907" s="3" t="s">
        <v>158</v>
      </c>
      <c r="I1907" s="3" t="s">
        <v>32</v>
      </c>
      <c r="J1907" s="3" t="s">
        <v>847</v>
      </c>
      <c r="K1907" s="3" t="s">
        <v>28</v>
      </c>
      <c r="L1907" s="3" t="s">
        <v>28</v>
      </c>
      <c r="M1907" s="3" t="s">
        <v>28</v>
      </c>
      <c r="N1907" s="3" t="s">
        <v>28</v>
      </c>
      <c r="O1907" s="3" t="s">
        <v>27</v>
      </c>
      <c r="P1907" s="3" t="s">
        <v>28</v>
      </c>
      <c r="Q1907" s="3" t="s">
        <v>28</v>
      </c>
      <c r="R1907" s="3" t="s">
        <v>28</v>
      </c>
      <c r="S1907" s="3" t="s">
        <v>28</v>
      </c>
      <c r="T1907" s="3" t="s">
        <v>27</v>
      </c>
    </row>
    <row r="1908" spans="1:20" ht="409.6">
      <c r="A1908" s="3">
        <v>2708994</v>
      </c>
      <c r="B1908" s="3">
        <f>HYPERLINK("https://platform.v2.vetology.net/cases/2708994/screening-report/6?type=pdf&amp;v=v6&amp;scorecard=1&amp;secret_key=BX%25IJ%24%2F65ieZ%29f6", 2708994)</f>
        <v>2708994</v>
      </c>
      <c r="C1908" s="3">
        <f>HYPERLINK("https://platform.v2.vetology.net/report/v/final/"&amp;2708994, 2708994)</f>
        <v>2708994</v>
      </c>
      <c r="D1908" s="3" t="s">
        <v>6689</v>
      </c>
      <c r="E1908" s="3" t="s">
        <v>6690</v>
      </c>
      <c r="F1908" s="3" t="s">
        <v>6691</v>
      </c>
      <c r="G1908" s="3" t="s">
        <v>64</v>
      </c>
      <c r="H1908" s="3" t="s">
        <v>6692</v>
      </c>
      <c r="I1908" s="3" t="s">
        <v>1368</v>
      </c>
      <c r="J1908" s="3" t="s">
        <v>1369</v>
      </c>
      <c r="K1908" s="3" t="s">
        <v>28</v>
      </c>
      <c r="L1908" s="3" t="s">
        <v>28</v>
      </c>
      <c r="M1908" s="3" t="s">
        <v>28</v>
      </c>
      <c r="N1908" s="3" t="s">
        <v>28</v>
      </c>
      <c r="O1908" s="3" t="s">
        <v>28</v>
      </c>
      <c r="P1908" s="3" t="s">
        <v>28</v>
      </c>
      <c r="Q1908" s="3" t="s">
        <v>28</v>
      </c>
      <c r="R1908" s="3" t="s">
        <v>28</v>
      </c>
      <c r="S1908" s="3" t="s">
        <v>28</v>
      </c>
      <c r="T1908" s="3" t="s">
        <v>28</v>
      </c>
    </row>
    <row r="1909" spans="1:20" ht="409.6">
      <c r="A1909" s="3">
        <v>2708948</v>
      </c>
      <c r="B1909" s="3">
        <f>HYPERLINK("https://platform.v2.vetology.net/cases/2708948/screening-report/6?type=pdf&amp;v=v6&amp;scorecard=1&amp;secret_key=BX%25IJ%24%2F65ieZ%29f6", 2708948)</f>
        <v>2708948</v>
      </c>
      <c r="C1909" s="3">
        <f>HYPERLINK("https://platform.v2.vetology.net/report/v/final/"&amp;2708948, 2708948)</f>
        <v>2708948</v>
      </c>
      <c r="D1909" s="3" t="s">
        <v>6693</v>
      </c>
      <c r="E1909" s="3" t="s">
        <v>6694</v>
      </c>
      <c r="F1909" s="3" t="s">
        <v>6695</v>
      </c>
      <c r="G1909" s="3" t="s">
        <v>64</v>
      </c>
      <c r="H1909" s="3" t="s">
        <v>6696</v>
      </c>
      <c r="I1909" s="3" t="s">
        <v>4591</v>
      </c>
      <c r="J1909" s="3" t="s">
        <v>4592</v>
      </c>
      <c r="K1909" s="3" t="s">
        <v>28</v>
      </c>
      <c r="L1909" s="3" t="s">
        <v>28</v>
      </c>
      <c r="M1909" s="3" t="s">
        <v>28</v>
      </c>
      <c r="N1909" s="3" t="s">
        <v>28</v>
      </c>
      <c r="O1909" s="3" t="s">
        <v>27</v>
      </c>
      <c r="P1909" s="3" t="s">
        <v>28</v>
      </c>
      <c r="Q1909" s="3" t="s">
        <v>28</v>
      </c>
      <c r="R1909" s="3" t="s">
        <v>28</v>
      </c>
      <c r="S1909" s="3" t="s">
        <v>27</v>
      </c>
      <c r="T1909" s="3" t="s">
        <v>28</v>
      </c>
    </row>
    <row r="1910" spans="1:20" ht="366">
      <c r="A1910" s="3">
        <v>2708912</v>
      </c>
      <c r="B1910" s="3">
        <f>HYPERLINK("https://platform.v2.vetology.net/cases/2708912/screening-report/6?type=pdf&amp;v=v6&amp;scorecard=1&amp;secret_key=BX%25IJ%24%2F65ieZ%29f6", 2708912)</f>
        <v>2708912</v>
      </c>
      <c r="C1910" s="3">
        <f>HYPERLINK("https://platform.v2.vetology.net/report/v/final/"&amp;2708912, 2708912)</f>
        <v>2708912</v>
      </c>
      <c r="D1910" s="3" t="s">
        <v>6697</v>
      </c>
      <c r="E1910" s="3" t="s">
        <v>6698</v>
      </c>
      <c r="F1910" s="3" t="s">
        <v>6699</v>
      </c>
      <c r="G1910" s="3" t="s">
        <v>64</v>
      </c>
      <c r="H1910" s="3" t="s">
        <v>6700</v>
      </c>
      <c r="I1910" s="3" t="s">
        <v>3433</v>
      </c>
      <c r="J1910" s="3" t="s">
        <v>3434</v>
      </c>
      <c r="K1910" s="3" t="s">
        <v>28</v>
      </c>
      <c r="L1910" s="3" t="s">
        <v>28</v>
      </c>
      <c r="M1910" s="3" t="s">
        <v>27</v>
      </c>
      <c r="N1910" s="3" t="s">
        <v>28</v>
      </c>
      <c r="O1910" s="3" t="s">
        <v>27</v>
      </c>
      <c r="P1910" s="3" t="s">
        <v>28</v>
      </c>
      <c r="Q1910" s="3" t="s">
        <v>28</v>
      </c>
      <c r="R1910" s="3" t="s">
        <v>28</v>
      </c>
      <c r="S1910" s="3" t="s">
        <v>28</v>
      </c>
      <c r="T1910" s="3" t="s">
        <v>28</v>
      </c>
    </row>
    <row r="1911" spans="1:20" ht="290.25">
      <c r="A1911" s="3">
        <v>2708907</v>
      </c>
      <c r="B1911" s="3">
        <f>HYPERLINK("https://platform.v2.vetology.net/cases/2708907/screening-report/6?type=pdf&amp;v=v6&amp;scorecard=1&amp;secret_key=BX%25IJ%24%2F65ieZ%29f6", 2708907)</f>
        <v>2708907</v>
      </c>
      <c r="C1911" s="3">
        <f>HYPERLINK("https://platform.v2.vetology.net/report/v/final/"&amp;2708907, 2708907)</f>
        <v>2708907</v>
      </c>
      <c r="D1911" s="3" t="s">
        <v>6701</v>
      </c>
      <c r="E1911" s="3" t="s">
        <v>6702</v>
      </c>
      <c r="F1911" s="3" t="s">
        <v>6688</v>
      </c>
      <c r="G1911" s="3" t="s">
        <v>186</v>
      </c>
      <c r="H1911" s="3" t="s">
        <v>6703</v>
      </c>
      <c r="I1911" s="3" t="s">
        <v>316</v>
      </c>
      <c r="J1911" s="3" t="s">
        <v>317</v>
      </c>
      <c r="K1911" s="3" t="s">
        <v>28</v>
      </c>
      <c r="L1911" s="3" t="s">
        <v>28</v>
      </c>
      <c r="M1911" s="3" t="s">
        <v>28</v>
      </c>
      <c r="N1911" s="3" t="s">
        <v>28</v>
      </c>
      <c r="O1911" s="3" t="s">
        <v>27</v>
      </c>
      <c r="P1911" s="3" t="s">
        <v>28</v>
      </c>
      <c r="Q1911" s="3" t="s">
        <v>28</v>
      </c>
      <c r="R1911" s="3" t="s">
        <v>28</v>
      </c>
      <c r="S1911" s="3" t="s">
        <v>28</v>
      </c>
      <c r="T1911" s="3" t="s">
        <v>28</v>
      </c>
    </row>
    <row r="1912" spans="1:20" ht="409.6">
      <c r="A1912" s="3">
        <v>2708768</v>
      </c>
      <c r="B1912" s="3">
        <f>HYPERLINK("https://platform.v2.vetology.net/cases/2708768/screening-report/6?type=pdf&amp;v=v6&amp;scorecard=1&amp;secret_key=BX%25IJ%24%2F65ieZ%29f6", 2708768)</f>
        <v>2708768</v>
      </c>
      <c r="C1912" s="3">
        <f>HYPERLINK("https://platform.v2.vetology.net/report/v/final/"&amp;2708768, 2708768)</f>
        <v>2708768</v>
      </c>
      <c r="D1912" s="3" t="s">
        <v>6704</v>
      </c>
      <c r="E1912" s="3" t="s">
        <v>6705</v>
      </c>
      <c r="F1912" s="3" t="s">
        <v>6706</v>
      </c>
      <c r="G1912" s="3" t="s">
        <v>64</v>
      </c>
      <c r="H1912" s="3" t="s">
        <v>595</v>
      </c>
      <c r="I1912" s="3" t="s">
        <v>596</v>
      </c>
      <c r="J1912" s="3" t="s">
        <v>597</v>
      </c>
      <c r="K1912" s="3" t="s">
        <v>28</v>
      </c>
      <c r="L1912" s="3" t="s">
        <v>27</v>
      </c>
      <c r="M1912" s="3" t="s">
        <v>28</v>
      </c>
      <c r="N1912" s="3" t="s">
        <v>27</v>
      </c>
      <c r="O1912" s="3" t="s">
        <v>27</v>
      </c>
      <c r="P1912" s="3" t="s">
        <v>28</v>
      </c>
      <c r="Q1912" s="3" t="s">
        <v>28</v>
      </c>
      <c r="R1912" s="3" t="s">
        <v>27</v>
      </c>
      <c r="S1912" s="3" t="s">
        <v>28</v>
      </c>
      <c r="T1912" s="3" t="s">
        <v>27</v>
      </c>
    </row>
    <row r="1913" spans="1:20" ht="409.6">
      <c r="A1913" s="3">
        <v>2708714</v>
      </c>
      <c r="B1913" s="3">
        <f>HYPERLINK("https://platform.v2.vetology.net/cases/2708714/screening-report/6?type=pdf&amp;v=v6&amp;scorecard=1&amp;secret_key=BX%25IJ%24%2F65ieZ%29f6", 2708714)</f>
        <v>2708714</v>
      </c>
      <c r="C1913" s="3">
        <f>HYPERLINK("https://platform.v2.vetology.net/report/v/final/"&amp;2708714, 2708714)</f>
        <v>2708714</v>
      </c>
      <c r="D1913" s="3" t="s">
        <v>6707</v>
      </c>
      <c r="E1913" s="3" t="s">
        <v>6708</v>
      </c>
      <c r="F1913" s="3" t="s">
        <v>6709</v>
      </c>
      <c r="G1913" s="3" t="s">
        <v>64</v>
      </c>
      <c r="H1913" s="3" t="s">
        <v>6710</v>
      </c>
      <c r="I1913" s="3" t="s">
        <v>1020</v>
      </c>
      <c r="J1913" s="3" t="s">
        <v>1021</v>
      </c>
      <c r="K1913" s="3" t="s">
        <v>27</v>
      </c>
      <c r="L1913" s="3" t="s">
        <v>28</v>
      </c>
      <c r="M1913" s="3" t="s">
        <v>27</v>
      </c>
      <c r="N1913" s="3" t="s">
        <v>28</v>
      </c>
      <c r="O1913" s="3" t="s">
        <v>27</v>
      </c>
      <c r="P1913" s="3" t="s">
        <v>28</v>
      </c>
      <c r="Q1913" s="3" t="s">
        <v>27</v>
      </c>
      <c r="R1913" s="3" t="s">
        <v>28</v>
      </c>
      <c r="S1913" s="3" t="s">
        <v>28</v>
      </c>
      <c r="T1913" s="3" t="s">
        <v>28</v>
      </c>
    </row>
    <row r="1914" spans="1:20" ht="229.5">
      <c r="A1914" s="3">
        <v>2708708</v>
      </c>
      <c r="B1914" s="3">
        <f>HYPERLINK("https://platform.v2.vetology.net/cases/2708708/screening-report/6?type=pdf&amp;v=v6&amp;scorecard=1&amp;secret_key=BX%25IJ%24%2F65ieZ%29f6", 2708708)</f>
        <v>2708708</v>
      </c>
      <c r="C1914" s="3">
        <f>HYPERLINK("https://platform.v2.vetology.net/report/v/final/"&amp;2708708, 2708708)</f>
        <v>2708708</v>
      </c>
      <c r="D1914" s="3" t="s">
        <v>6711</v>
      </c>
      <c r="E1914" s="3" t="s">
        <v>6712</v>
      </c>
      <c r="F1914" s="3"/>
      <c r="G1914" s="3" t="s">
        <v>122</v>
      </c>
      <c r="H1914" s="3" t="s">
        <v>2267</v>
      </c>
      <c r="I1914" s="3" t="s">
        <v>305</v>
      </c>
      <c r="J1914" s="3" t="s">
        <v>119</v>
      </c>
      <c r="K1914" s="3" t="s">
        <v>28</v>
      </c>
      <c r="L1914" s="3" t="s">
        <v>28</v>
      </c>
      <c r="M1914" s="3" t="s">
        <v>28</v>
      </c>
      <c r="N1914" s="3" t="s">
        <v>28</v>
      </c>
      <c r="O1914" s="3" t="s">
        <v>28</v>
      </c>
      <c r="P1914" s="3" t="s">
        <v>28</v>
      </c>
      <c r="Q1914" s="3" t="s">
        <v>28</v>
      </c>
      <c r="R1914" s="3" t="s">
        <v>28</v>
      </c>
      <c r="S1914" s="3" t="s">
        <v>28</v>
      </c>
      <c r="T1914" s="3" t="s">
        <v>28</v>
      </c>
    </row>
    <row r="1915" spans="1:20" ht="229.5">
      <c r="A1915" s="3">
        <v>2708706</v>
      </c>
      <c r="B1915" s="3">
        <f>HYPERLINK("https://platform.v2.vetology.net/cases/2708706/screening-report/6?type=pdf&amp;v=v6&amp;scorecard=1&amp;secret_key=BX%25IJ%24%2F65ieZ%29f6", 2708706)</f>
        <v>2708706</v>
      </c>
      <c r="C1915" s="3">
        <f>HYPERLINK("https://platform.v2.vetology.net/report/v/final/"&amp;2708706, 2708706)</f>
        <v>2708706</v>
      </c>
      <c r="D1915" s="3" t="s">
        <v>6713</v>
      </c>
      <c r="E1915" s="3" t="s">
        <v>6714</v>
      </c>
      <c r="F1915" s="3" t="s">
        <v>1668</v>
      </c>
      <c r="G1915" s="3" t="s">
        <v>122</v>
      </c>
      <c r="H1915" s="3" t="s">
        <v>1180</v>
      </c>
      <c r="I1915" s="3" t="s">
        <v>305</v>
      </c>
      <c r="J1915" s="3" t="s">
        <v>119</v>
      </c>
      <c r="K1915" s="3" t="s">
        <v>28</v>
      </c>
      <c r="L1915" s="3" t="s">
        <v>28</v>
      </c>
      <c r="M1915" s="3" t="s">
        <v>28</v>
      </c>
      <c r="N1915" s="3" t="s">
        <v>28</v>
      </c>
      <c r="O1915" s="3" t="s">
        <v>28</v>
      </c>
      <c r="P1915" s="3" t="s">
        <v>28</v>
      </c>
      <c r="Q1915" s="3" t="s">
        <v>28</v>
      </c>
      <c r="R1915" s="3" t="s">
        <v>28</v>
      </c>
      <c r="S1915" s="3" t="s">
        <v>28</v>
      </c>
      <c r="T1915" s="3" t="s">
        <v>28</v>
      </c>
    </row>
    <row r="1916" spans="1:20" ht="366">
      <c r="A1916" s="3">
        <v>2708699</v>
      </c>
      <c r="B1916" s="3">
        <f>HYPERLINK("https://platform.v2.vetology.net/cases/2708699/screening-report/6?type=pdf&amp;v=v6&amp;scorecard=1&amp;secret_key=BX%25IJ%24%2F65ieZ%29f6", 2708699)</f>
        <v>2708699</v>
      </c>
      <c r="C1916" s="3">
        <f>HYPERLINK("https://platform.v2.vetology.net/report/v/final/"&amp;2708699, 2708699)</f>
        <v>2708699</v>
      </c>
      <c r="D1916" s="3" t="s">
        <v>6715</v>
      </c>
      <c r="E1916" s="3" t="s">
        <v>6716</v>
      </c>
      <c r="F1916" s="3" t="s">
        <v>6717</v>
      </c>
      <c r="G1916" s="3" t="s">
        <v>211</v>
      </c>
      <c r="H1916" s="3" t="s">
        <v>419</v>
      </c>
      <c r="I1916" s="3" t="s">
        <v>316</v>
      </c>
      <c r="J1916" s="3" t="s">
        <v>317</v>
      </c>
      <c r="K1916" s="3" t="s">
        <v>28</v>
      </c>
      <c r="L1916" s="3" t="s">
        <v>28</v>
      </c>
      <c r="M1916" s="3" t="s">
        <v>28</v>
      </c>
      <c r="N1916" s="3" t="s">
        <v>28</v>
      </c>
      <c r="O1916" s="3" t="s">
        <v>27</v>
      </c>
      <c r="P1916" s="3" t="s">
        <v>28</v>
      </c>
      <c r="Q1916" s="3" t="s">
        <v>28</v>
      </c>
      <c r="R1916" s="3" t="s">
        <v>28</v>
      </c>
      <c r="S1916" s="3" t="s">
        <v>28</v>
      </c>
      <c r="T1916" s="3" t="s">
        <v>28</v>
      </c>
    </row>
    <row r="1917" spans="1:20" ht="396.75">
      <c r="A1917" s="3">
        <v>2708652</v>
      </c>
      <c r="B1917" s="3">
        <f>HYPERLINK("https://platform.v2.vetology.net/cases/2708652/screening-report/6?type=pdf&amp;v=v6&amp;scorecard=1&amp;secret_key=BX%25IJ%24%2F65ieZ%29f6", 2708652)</f>
        <v>2708652</v>
      </c>
      <c r="C1917" s="3">
        <f>HYPERLINK("https://platform.v2.vetology.net/report/v/final/"&amp;2708652, 2708652)</f>
        <v>2708652</v>
      </c>
      <c r="D1917" s="3" t="s">
        <v>6718</v>
      </c>
      <c r="E1917" s="3" t="s">
        <v>6719</v>
      </c>
      <c r="F1917" s="3" t="s">
        <v>22</v>
      </c>
      <c r="G1917" s="3" t="s">
        <v>23</v>
      </c>
      <c r="H1917" s="3" t="s">
        <v>249</v>
      </c>
      <c r="I1917" s="3" t="s">
        <v>250</v>
      </c>
      <c r="J1917" s="3" t="s">
        <v>251</v>
      </c>
      <c r="K1917" s="3" t="s">
        <v>28</v>
      </c>
      <c r="L1917" s="3" t="s">
        <v>28</v>
      </c>
      <c r="M1917" s="3" t="s">
        <v>28</v>
      </c>
      <c r="N1917" s="3" t="s">
        <v>28</v>
      </c>
      <c r="O1917" s="3" t="s">
        <v>27</v>
      </c>
      <c r="P1917" s="3" t="s">
        <v>28</v>
      </c>
      <c r="Q1917" s="3" t="s">
        <v>28</v>
      </c>
      <c r="R1917" s="3" t="s">
        <v>28</v>
      </c>
      <c r="S1917" s="3" t="s">
        <v>28</v>
      </c>
      <c r="T1917" s="3" t="s">
        <v>27</v>
      </c>
    </row>
    <row r="1918" spans="1:20" ht="409.6">
      <c r="A1918" s="3">
        <v>2708651</v>
      </c>
      <c r="B1918" s="3">
        <f>HYPERLINK("https://platform.v2.vetology.net/cases/2708651/screening-report/6?type=pdf&amp;v=v6&amp;scorecard=1&amp;secret_key=BX%25IJ%24%2F65ieZ%29f6", 2708651)</f>
        <v>2708651</v>
      </c>
      <c r="C1918" s="3">
        <f>HYPERLINK("https://platform.v2.vetology.net/report/v/final/"&amp;2708651, 2708651)</f>
        <v>2708651</v>
      </c>
      <c r="D1918" s="3" t="s">
        <v>6720</v>
      </c>
      <c r="E1918" s="3" t="s">
        <v>2332</v>
      </c>
      <c r="F1918" s="3" t="s">
        <v>6324</v>
      </c>
      <c r="G1918" s="3" t="s">
        <v>211</v>
      </c>
      <c r="H1918" s="3" t="s">
        <v>6721</v>
      </c>
      <c r="I1918" s="3" t="s">
        <v>72</v>
      </c>
      <c r="J1918" s="3" t="s">
        <v>73</v>
      </c>
      <c r="K1918" s="3" t="s">
        <v>28</v>
      </c>
      <c r="L1918" s="3" t="s">
        <v>28</v>
      </c>
      <c r="M1918" s="3" t="s">
        <v>28</v>
      </c>
      <c r="N1918" s="3" t="s">
        <v>27</v>
      </c>
      <c r="O1918" s="3" t="s">
        <v>27</v>
      </c>
      <c r="P1918" s="3" t="s">
        <v>28</v>
      </c>
      <c r="Q1918" s="3" t="s">
        <v>28</v>
      </c>
      <c r="R1918" s="3" t="s">
        <v>27</v>
      </c>
      <c r="S1918" s="3" t="s">
        <v>28</v>
      </c>
      <c r="T1918" s="3" t="s">
        <v>27</v>
      </c>
    </row>
    <row r="1919" spans="1:20" ht="336">
      <c r="A1919" s="3">
        <v>2708650</v>
      </c>
      <c r="B1919" s="3">
        <f>HYPERLINK("https://platform.v2.vetology.net/cases/2708650/screening-report/6?type=pdf&amp;v=v6&amp;scorecard=1&amp;secret_key=BX%25IJ%24%2F65ieZ%29f6", 2708650)</f>
        <v>2708650</v>
      </c>
      <c r="C1919" s="3">
        <f>HYPERLINK("https://platform.v2.vetology.net/report/v/final/"&amp;2708650, 2708650)</f>
        <v>2708650</v>
      </c>
      <c r="D1919" s="3" t="s">
        <v>6722</v>
      </c>
      <c r="E1919" s="3" t="s">
        <v>6723</v>
      </c>
      <c r="F1919" s="3" t="s">
        <v>22</v>
      </c>
      <c r="G1919" s="3" t="s">
        <v>372</v>
      </c>
      <c r="H1919" s="3" t="s">
        <v>2077</v>
      </c>
      <c r="I1919" s="3" t="s">
        <v>2078</v>
      </c>
      <c r="J1919" s="3" t="s">
        <v>2079</v>
      </c>
      <c r="K1919" s="3" t="s">
        <v>28</v>
      </c>
      <c r="L1919" s="3" t="s">
        <v>28</v>
      </c>
      <c r="M1919" s="3" t="s">
        <v>28</v>
      </c>
      <c r="N1919" s="3" t="s">
        <v>28</v>
      </c>
      <c r="O1919" s="3" t="s">
        <v>27</v>
      </c>
      <c r="P1919" s="3" t="s">
        <v>28</v>
      </c>
      <c r="Q1919" s="3" t="s">
        <v>28</v>
      </c>
      <c r="R1919" s="3" t="s">
        <v>28</v>
      </c>
      <c r="S1919" s="3" t="s">
        <v>28</v>
      </c>
      <c r="T1919" s="3" t="s">
        <v>27</v>
      </c>
    </row>
    <row r="1920" spans="1:20" ht="366">
      <c r="A1920" s="3">
        <v>2708639</v>
      </c>
      <c r="B1920" s="3">
        <f>HYPERLINK("https://platform.v2.vetology.net/cases/2708639/screening-report/6?type=pdf&amp;v=v6&amp;scorecard=1&amp;secret_key=BX%25IJ%24%2F65ieZ%29f6", 2708639)</f>
        <v>2708639</v>
      </c>
      <c r="C1920" s="3">
        <f>HYPERLINK("https://platform.v2.vetology.net/report/v/final/"&amp;2708639, 2708639)</f>
        <v>2708639</v>
      </c>
      <c r="D1920" s="3" t="s">
        <v>6724</v>
      </c>
      <c r="E1920" s="3" t="s">
        <v>6725</v>
      </c>
      <c r="F1920" s="3" t="s">
        <v>6726</v>
      </c>
      <c r="G1920" s="3" t="s">
        <v>64</v>
      </c>
      <c r="H1920" s="3" t="s">
        <v>1271</v>
      </c>
      <c r="I1920" s="3" t="s">
        <v>883</v>
      </c>
      <c r="J1920" s="3" t="s">
        <v>884</v>
      </c>
      <c r="K1920" s="3" t="s">
        <v>28</v>
      </c>
      <c r="L1920" s="3" t="s">
        <v>28</v>
      </c>
      <c r="M1920" s="3" t="s">
        <v>28</v>
      </c>
      <c r="N1920" s="3" t="s">
        <v>28</v>
      </c>
      <c r="O1920" s="3" t="s">
        <v>28</v>
      </c>
      <c r="P1920" s="3" t="s">
        <v>28</v>
      </c>
      <c r="Q1920" s="3" t="s">
        <v>28</v>
      </c>
      <c r="R1920" s="3" t="s">
        <v>28</v>
      </c>
      <c r="S1920" s="3" t="s">
        <v>28</v>
      </c>
      <c r="T1920" s="3" t="s">
        <v>28</v>
      </c>
    </row>
    <row r="1921" spans="1:20" ht="409.6">
      <c r="A1921" s="3">
        <v>2708638</v>
      </c>
      <c r="B1921" s="3">
        <f>HYPERLINK("https://platform.v2.vetology.net/cases/2708638/screening-report/6?type=pdf&amp;v=v6&amp;scorecard=1&amp;secret_key=BX%25IJ%24%2F65ieZ%29f6", 2708638)</f>
        <v>2708638</v>
      </c>
      <c r="C1921" s="3">
        <f>HYPERLINK("https://platform.v2.vetology.net/report/v/final/"&amp;2708638, 2708638)</f>
        <v>2708638</v>
      </c>
      <c r="D1921" s="3" t="s">
        <v>6727</v>
      </c>
      <c r="E1921" s="3" t="s">
        <v>6728</v>
      </c>
      <c r="F1921" s="3" t="s">
        <v>6729</v>
      </c>
      <c r="G1921" s="3" t="s">
        <v>186</v>
      </c>
      <c r="H1921" s="3" t="s">
        <v>6730</v>
      </c>
      <c r="I1921" s="3" t="s">
        <v>351</v>
      </c>
      <c r="J1921" s="3" t="s">
        <v>352</v>
      </c>
      <c r="K1921" s="3" t="s">
        <v>28</v>
      </c>
      <c r="L1921" s="3" t="s">
        <v>28</v>
      </c>
      <c r="M1921" s="3" t="s">
        <v>28</v>
      </c>
      <c r="N1921" s="3" t="s">
        <v>28</v>
      </c>
      <c r="O1921" s="3" t="s">
        <v>28</v>
      </c>
      <c r="P1921" s="3" t="s">
        <v>28</v>
      </c>
      <c r="Q1921" s="3" t="s">
        <v>28</v>
      </c>
      <c r="R1921" s="3" t="s">
        <v>28</v>
      </c>
      <c r="S1921" s="3" t="s">
        <v>28</v>
      </c>
      <c r="T1921" s="3" t="s">
        <v>27</v>
      </c>
    </row>
    <row r="1922" spans="1:20" ht="244.5">
      <c r="A1922" s="3">
        <v>2708597</v>
      </c>
      <c r="B1922" s="3">
        <f>HYPERLINK("https://platform.v2.vetology.net/cases/2708597/screening-report/6?type=pdf&amp;v=v6&amp;scorecard=1&amp;secret_key=BX%25IJ%24%2F65ieZ%29f6", 2708597)</f>
        <v>2708597</v>
      </c>
      <c r="C1922" s="3">
        <f>HYPERLINK("https://platform.v2.vetology.net/report/v/final/"&amp;2708597, 2708597)</f>
        <v>2708597</v>
      </c>
      <c r="D1922" s="3" t="s">
        <v>6731</v>
      </c>
      <c r="E1922" s="3" t="s">
        <v>2582</v>
      </c>
      <c r="F1922" s="3" t="s">
        <v>22</v>
      </c>
      <c r="G1922" s="3" t="s">
        <v>23</v>
      </c>
      <c r="H1922" s="3" t="s">
        <v>2034</v>
      </c>
      <c r="I1922" s="3" t="s">
        <v>1497</v>
      </c>
      <c r="J1922" s="3" t="s">
        <v>847</v>
      </c>
      <c r="K1922" s="3" t="s">
        <v>28</v>
      </c>
      <c r="L1922" s="3" t="s">
        <v>28</v>
      </c>
      <c r="M1922" s="3" t="s">
        <v>28</v>
      </c>
      <c r="N1922" s="3" t="s">
        <v>28</v>
      </c>
      <c r="O1922" s="3" t="s">
        <v>27</v>
      </c>
      <c r="P1922" s="3" t="s">
        <v>28</v>
      </c>
      <c r="Q1922" s="3" t="s">
        <v>28</v>
      </c>
      <c r="R1922" s="3" t="s">
        <v>28</v>
      </c>
      <c r="S1922" s="3" t="s">
        <v>28</v>
      </c>
      <c r="T1922" s="3" t="s">
        <v>28</v>
      </c>
    </row>
    <row r="1923" spans="1:20" ht="409.6">
      <c r="A1923" s="3">
        <v>2708541</v>
      </c>
      <c r="B1923" s="3">
        <f>HYPERLINK("https://platform.v2.vetology.net/cases/2708541/screening-report/6?type=pdf&amp;v=v6&amp;scorecard=1&amp;secret_key=BX%25IJ%24%2F65ieZ%29f6", 2708541)</f>
        <v>2708541</v>
      </c>
      <c r="C1923" s="3">
        <f>HYPERLINK("https://platform.v2.vetology.net/report/v/final/"&amp;2708541, 2708541)</f>
        <v>2708541</v>
      </c>
      <c r="D1923" s="3" t="s">
        <v>6732</v>
      </c>
      <c r="E1923" s="3" t="s">
        <v>6733</v>
      </c>
      <c r="F1923" s="3" t="s">
        <v>22</v>
      </c>
      <c r="G1923" s="3" t="s">
        <v>23</v>
      </c>
      <c r="H1923" s="3" t="s">
        <v>6734</v>
      </c>
      <c r="I1923" s="3" t="s">
        <v>2078</v>
      </c>
      <c r="J1923" s="3" t="s">
        <v>2079</v>
      </c>
      <c r="K1923" s="3" t="s">
        <v>28</v>
      </c>
      <c r="L1923" s="3" t="s">
        <v>28</v>
      </c>
      <c r="M1923" s="3" t="s">
        <v>28</v>
      </c>
      <c r="N1923" s="3" t="s">
        <v>28</v>
      </c>
      <c r="O1923" s="3" t="s">
        <v>27</v>
      </c>
      <c r="P1923" s="3" t="s">
        <v>28</v>
      </c>
      <c r="Q1923" s="3" t="s">
        <v>28</v>
      </c>
      <c r="R1923" s="3" t="s">
        <v>28</v>
      </c>
      <c r="S1923" s="3" t="s">
        <v>28</v>
      </c>
      <c r="T1923" s="3" t="s">
        <v>27</v>
      </c>
    </row>
    <row r="1924" spans="1:20" ht="409.6">
      <c r="A1924" s="3">
        <v>2708538</v>
      </c>
      <c r="B1924" s="3">
        <f>HYPERLINK("https://platform.v2.vetology.net/cases/2708538/screening-report/6?type=pdf&amp;v=v6&amp;scorecard=1&amp;secret_key=BX%25IJ%24%2F65ieZ%29f6", 2708538)</f>
        <v>2708538</v>
      </c>
      <c r="C1924" s="3">
        <f>HYPERLINK("https://platform.v2.vetology.net/report/v/final/"&amp;2708538, 2708538)</f>
        <v>2708538</v>
      </c>
      <c r="D1924" s="3" t="s">
        <v>6735</v>
      </c>
      <c r="E1924" s="3" t="s">
        <v>6736</v>
      </c>
      <c r="F1924" s="3" t="s">
        <v>6737</v>
      </c>
      <c r="G1924" s="3" t="s">
        <v>566</v>
      </c>
      <c r="H1924" s="3" t="s">
        <v>4884</v>
      </c>
      <c r="I1924" s="3" t="s">
        <v>4885</v>
      </c>
      <c r="J1924" s="3" t="s">
        <v>1021</v>
      </c>
      <c r="K1924" s="3" t="s">
        <v>27</v>
      </c>
      <c r="L1924" s="3" t="s">
        <v>28</v>
      </c>
      <c r="M1924" s="3" t="s">
        <v>27</v>
      </c>
      <c r="N1924" s="3" t="s">
        <v>28</v>
      </c>
      <c r="O1924" s="3" t="s">
        <v>28</v>
      </c>
      <c r="P1924" s="3" t="s">
        <v>28</v>
      </c>
      <c r="Q1924" s="3" t="s">
        <v>28</v>
      </c>
      <c r="R1924" s="3" t="s">
        <v>28</v>
      </c>
      <c r="S1924" s="3" t="s">
        <v>28</v>
      </c>
      <c r="T1924" s="3" t="s">
        <v>28</v>
      </c>
    </row>
    <row r="1925" spans="1:20" ht="351">
      <c r="A1925" s="3">
        <v>2708531</v>
      </c>
      <c r="B1925" s="3">
        <f>HYPERLINK("https://platform.v2.vetology.net/cases/2708531/screening-report/6?type=pdf&amp;v=v6&amp;scorecard=1&amp;secret_key=BX%25IJ%24%2F65ieZ%29f6", 2708531)</f>
        <v>2708531</v>
      </c>
      <c r="C1925" s="3">
        <f>HYPERLINK("https://platform.v2.vetology.net/report/v/final/"&amp;2708531, 2708531)</f>
        <v>2708531</v>
      </c>
      <c r="D1925" s="3" t="s">
        <v>6738</v>
      </c>
      <c r="E1925" s="3" t="s">
        <v>6739</v>
      </c>
      <c r="F1925" s="3" t="s">
        <v>22</v>
      </c>
      <c r="G1925" s="3" t="s">
        <v>372</v>
      </c>
      <c r="H1925" s="3" t="s">
        <v>4632</v>
      </c>
      <c r="I1925" s="3" t="s">
        <v>273</v>
      </c>
      <c r="J1925" s="3" t="s">
        <v>274</v>
      </c>
      <c r="K1925" s="3" t="s">
        <v>28</v>
      </c>
      <c r="L1925" s="3" t="s">
        <v>28</v>
      </c>
      <c r="M1925" s="3" t="s">
        <v>28</v>
      </c>
      <c r="N1925" s="3" t="s">
        <v>28</v>
      </c>
      <c r="O1925" s="3" t="s">
        <v>27</v>
      </c>
      <c r="P1925" s="3" t="s">
        <v>28</v>
      </c>
      <c r="Q1925" s="3" t="s">
        <v>28</v>
      </c>
      <c r="R1925" s="3" t="s">
        <v>27</v>
      </c>
      <c r="S1925" s="3" t="s">
        <v>27</v>
      </c>
      <c r="T1925" s="3" t="s">
        <v>27</v>
      </c>
    </row>
    <row r="1926" spans="1:20" ht="336">
      <c r="A1926" s="3">
        <v>2708519</v>
      </c>
      <c r="B1926" s="3">
        <f>HYPERLINK("https://platform.v2.vetology.net/cases/2708519/screening-report/6?type=pdf&amp;v=v6&amp;scorecard=1&amp;secret_key=BX%25IJ%24%2F65ieZ%29f6", 2708519)</f>
        <v>2708519</v>
      </c>
      <c r="C1926" s="3">
        <f>HYPERLINK("https://platform.v2.vetology.net/report/v/final/"&amp;2708519, 2708519)</f>
        <v>2708519</v>
      </c>
      <c r="D1926" s="3" t="s">
        <v>6740</v>
      </c>
      <c r="E1926" s="3" t="s">
        <v>6741</v>
      </c>
      <c r="F1926" s="3" t="s">
        <v>1154</v>
      </c>
      <c r="G1926" s="3" t="s">
        <v>23</v>
      </c>
      <c r="H1926" s="3" t="s">
        <v>6742</v>
      </c>
      <c r="I1926" s="3" t="s">
        <v>1565</v>
      </c>
      <c r="J1926" s="3" t="s">
        <v>1566</v>
      </c>
      <c r="K1926" s="3" t="s">
        <v>28</v>
      </c>
      <c r="L1926" s="3" t="s">
        <v>28</v>
      </c>
      <c r="M1926" s="3" t="s">
        <v>28</v>
      </c>
      <c r="N1926" s="3" t="s">
        <v>28</v>
      </c>
      <c r="O1926" s="3" t="s">
        <v>27</v>
      </c>
      <c r="P1926" s="3" t="s">
        <v>28</v>
      </c>
      <c r="Q1926" s="3" t="s">
        <v>28</v>
      </c>
      <c r="R1926" s="3" t="s">
        <v>28</v>
      </c>
      <c r="S1926" s="3" t="s">
        <v>28</v>
      </c>
      <c r="T1926" s="3" t="s">
        <v>28</v>
      </c>
    </row>
    <row r="1927" spans="1:20" ht="366">
      <c r="A1927" s="3">
        <v>2708496</v>
      </c>
      <c r="B1927" s="3">
        <f>HYPERLINK("https://platform.v2.vetology.net/cases/2708496/screening-report/6?type=pdf&amp;v=v6&amp;scorecard=1&amp;secret_key=BX%25IJ%24%2F65ieZ%29f6", 2708496)</f>
        <v>2708496</v>
      </c>
      <c r="C1927" s="3">
        <f>HYPERLINK("https://platform.v2.vetology.net/report/v/final/"&amp;2708496, 2708496)</f>
        <v>2708496</v>
      </c>
      <c r="D1927" s="3" t="s">
        <v>6743</v>
      </c>
      <c r="E1927" s="3" t="s">
        <v>6744</v>
      </c>
      <c r="F1927" s="3" t="s">
        <v>22</v>
      </c>
      <c r="G1927" s="3" t="s">
        <v>372</v>
      </c>
      <c r="H1927" s="3" t="s">
        <v>199</v>
      </c>
      <c r="I1927" s="3" t="s">
        <v>200</v>
      </c>
      <c r="J1927" s="3" t="s">
        <v>201</v>
      </c>
      <c r="K1927" s="3" t="s">
        <v>28</v>
      </c>
      <c r="L1927" s="3" t="s">
        <v>28</v>
      </c>
      <c r="M1927" s="3" t="s">
        <v>28</v>
      </c>
      <c r="N1927" s="3" t="s">
        <v>28</v>
      </c>
      <c r="O1927" s="3" t="s">
        <v>27</v>
      </c>
      <c r="P1927" s="3" t="s">
        <v>28</v>
      </c>
      <c r="Q1927" s="3" t="s">
        <v>28</v>
      </c>
      <c r="R1927" s="3" t="s">
        <v>28</v>
      </c>
      <c r="S1927" s="3" t="s">
        <v>28</v>
      </c>
      <c r="T1927" s="3" t="s">
        <v>28</v>
      </c>
    </row>
    <row r="1928" spans="1:20" ht="305.25">
      <c r="A1928" s="3">
        <v>2708456</v>
      </c>
      <c r="B1928" s="3">
        <f>HYPERLINK("https://platform.v2.vetology.net/cases/2708456/screening-report/6?type=pdf&amp;v=v6&amp;scorecard=1&amp;secret_key=BX%25IJ%24%2F65ieZ%29f6", 2708456)</f>
        <v>2708456</v>
      </c>
      <c r="C1928" s="3">
        <f>HYPERLINK("https://platform.v2.vetology.net/report/v/final/"&amp;2708456, 2708456)</f>
        <v>2708456</v>
      </c>
      <c r="D1928" s="3" t="s">
        <v>6745</v>
      </c>
      <c r="E1928" s="3" t="s">
        <v>6746</v>
      </c>
      <c r="F1928" s="3" t="s">
        <v>6747</v>
      </c>
      <c r="G1928" s="3" t="s">
        <v>23</v>
      </c>
      <c r="H1928" s="3" t="s">
        <v>6748</v>
      </c>
      <c r="I1928" s="3" t="s">
        <v>1082</v>
      </c>
      <c r="J1928" s="3" t="s">
        <v>1083</v>
      </c>
      <c r="K1928" s="3" t="s">
        <v>27</v>
      </c>
      <c r="L1928" s="3" t="s">
        <v>28</v>
      </c>
      <c r="M1928" s="3" t="s">
        <v>27</v>
      </c>
      <c r="N1928" s="3" t="s">
        <v>28</v>
      </c>
      <c r="O1928" s="3" t="s">
        <v>27</v>
      </c>
      <c r="P1928" s="3" t="s">
        <v>28</v>
      </c>
      <c r="Q1928" s="3" t="s">
        <v>28</v>
      </c>
      <c r="R1928" s="3" t="s">
        <v>28</v>
      </c>
      <c r="S1928" s="3" t="s">
        <v>28</v>
      </c>
      <c r="T1928" s="3" t="s">
        <v>27</v>
      </c>
    </row>
    <row r="1929" spans="1:20" ht="366">
      <c r="A1929" s="3">
        <v>2708432</v>
      </c>
      <c r="B1929" s="3">
        <f>HYPERLINK("https://platform.v2.vetology.net/cases/2708432/screening-report/6?type=pdf&amp;v=v6&amp;scorecard=1&amp;secret_key=BX%25IJ%24%2F65ieZ%29f6", 2708432)</f>
        <v>2708432</v>
      </c>
      <c r="C1929" s="3">
        <f>HYPERLINK("https://platform.v2.vetology.net/report/v/final/"&amp;2708432, 2708432)</f>
        <v>2708432</v>
      </c>
      <c r="D1929" s="3" t="s">
        <v>6749</v>
      </c>
      <c r="E1929" s="3" t="s">
        <v>6750</v>
      </c>
      <c r="F1929" s="3" t="s">
        <v>6751</v>
      </c>
      <c r="G1929" s="3" t="s">
        <v>23</v>
      </c>
      <c r="H1929" s="3" t="s">
        <v>1271</v>
      </c>
      <c r="I1929" s="3" t="s">
        <v>883</v>
      </c>
      <c r="J1929" s="3" t="s">
        <v>884</v>
      </c>
      <c r="K1929" s="3" t="s">
        <v>27</v>
      </c>
      <c r="L1929" s="3" t="s">
        <v>28</v>
      </c>
      <c r="M1929" s="3" t="s">
        <v>28</v>
      </c>
      <c r="N1929" s="3" t="s">
        <v>28</v>
      </c>
      <c r="O1929" s="3" t="s">
        <v>28</v>
      </c>
      <c r="P1929" s="3" t="s">
        <v>28</v>
      </c>
      <c r="Q1929" s="3" t="s">
        <v>28</v>
      </c>
      <c r="R1929" s="3" t="s">
        <v>28</v>
      </c>
      <c r="S1929" s="3" t="s">
        <v>28</v>
      </c>
      <c r="T1929" s="3" t="s">
        <v>28</v>
      </c>
    </row>
    <row r="1930" spans="1:20" ht="409.6">
      <c r="A1930" s="3">
        <v>2708287</v>
      </c>
      <c r="B1930" s="3">
        <f>HYPERLINK("https://platform.v2.vetology.net/cases/2708287/screening-report/6?type=pdf&amp;v=v6&amp;scorecard=1&amp;secret_key=BX%25IJ%24%2F65ieZ%29f6", 2708287)</f>
        <v>2708287</v>
      </c>
      <c r="C1930" s="3">
        <f>HYPERLINK("https://platform.v2.vetology.net/report/v/final/"&amp;2708287, 2708287)</f>
        <v>2708287</v>
      </c>
      <c r="D1930" s="3" t="s">
        <v>6752</v>
      </c>
      <c r="E1930" s="3" t="s">
        <v>6753</v>
      </c>
      <c r="F1930" s="3" t="s">
        <v>6754</v>
      </c>
      <c r="G1930" s="3" t="s">
        <v>566</v>
      </c>
      <c r="H1930" s="3" t="s">
        <v>6755</v>
      </c>
      <c r="I1930" s="3" t="s">
        <v>1368</v>
      </c>
      <c r="J1930" s="3" t="s">
        <v>1369</v>
      </c>
      <c r="K1930" s="3" t="s">
        <v>28</v>
      </c>
      <c r="L1930" s="3" t="s">
        <v>28</v>
      </c>
      <c r="M1930" s="3" t="s">
        <v>28</v>
      </c>
      <c r="N1930" s="3" t="s">
        <v>28</v>
      </c>
      <c r="O1930" s="3" t="s">
        <v>27</v>
      </c>
      <c r="P1930" s="3" t="s">
        <v>28</v>
      </c>
      <c r="Q1930" s="3" t="s">
        <v>28</v>
      </c>
      <c r="R1930" s="3" t="s">
        <v>28</v>
      </c>
      <c r="S1930" s="3" t="s">
        <v>28</v>
      </c>
      <c r="T1930" s="3" t="s">
        <v>27</v>
      </c>
    </row>
    <row r="1931" spans="1:20" ht="381.75">
      <c r="A1931" s="3">
        <v>2708263</v>
      </c>
      <c r="B1931" s="3">
        <f>HYPERLINK("https://platform.v2.vetology.net/cases/2708263/screening-report/6?type=pdf&amp;v=v6&amp;scorecard=1&amp;secret_key=BX%25IJ%24%2F65ieZ%29f6", 2708263)</f>
        <v>2708263</v>
      </c>
      <c r="C1931" s="3">
        <f>HYPERLINK("https://platform.v2.vetology.net/report/v/final/"&amp;2708263, 2708263)</f>
        <v>2708263</v>
      </c>
      <c r="D1931" s="3" t="s">
        <v>6756</v>
      </c>
      <c r="E1931" s="3" t="s">
        <v>6757</v>
      </c>
      <c r="F1931" s="3" t="s">
        <v>6758</v>
      </c>
      <c r="G1931" s="3" t="s">
        <v>186</v>
      </c>
      <c r="H1931" s="3" t="s">
        <v>6759</v>
      </c>
      <c r="I1931" s="3" t="s">
        <v>37</v>
      </c>
      <c r="J1931" s="3" t="s">
        <v>38</v>
      </c>
      <c r="K1931" s="3" t="s">
        <v>28</v>
      </c>
      <c r="L1931" s="3" t="s">
        <v>28</v>
      </c>
      <c r="M1931" s="3" t="s">
        <v>28</v>
      </c>
      <c r="N1931" s="3" t="s">
        <v>28</v>
      </c>
      <c r="O1931" s="3" t="s">
        <v>27</v>
      </c>
      <c r="P1931" s="3" t="s">
        <v>28</v>
      </c>
      <c r="Q1931" s="3" t="s">
        <v>28</v>
      </c>
      <c r="R1931" s="3" t="s">
        <v>28</v>
      </c>
      <c r="S1931" s="3" t="s">
        <v>28</v>
      </c>
      <c r="T1931" s="3" t="s">
        <v>28</v>
      </c>
    </row>
    <row r="1932" spans="1:20" ht="396.75">
      <c r="A1932" s="3">
        <v>2708249</v>
      </c>
      <c r="B1932" s="3">
        <f>HYPERLINK("https://platform.v2.vetology.net/cases/2708249/screening-report/6?type=pdf&amp;v=v6&amp;scorecard=1&amp;secret_key=BX%25IJ%24%2F65ieZ%29f6", 2708249)</f>
        <v>2708249</v>
      </c>
      <c r="C1932" s="3">
        <f>HYPERLINK("https://platform.v2.vetology.net/report/v/final/"&amp;2708249, 2708249)</f>
        <v>2708249</v>
      </c>
      <c r="D1932" s="3" t="s">
        <v>6760</v>
      </c>
      <c r="E1932" s="3" t="s">
        <v>6761</v>
      </c>
      <c r="F1932" s="3" t="s">
        <v>6762</v>
      </c>
      <c r="G1932" s="3" t="s">
        <v>179</v>
      </c>
      <c r="H1932" s="3" t="s">
        <v>6763</v>
      </c>
      <c r="I1932" s="3" t="s">
        <v>1004</v>
      </c>
      <c r="J1932" s="3" t="s">
        <v>297</v>
      </c>
      <c r="K1932" s="3" t="s">
        <v>28</v>
      </c>
      <c r="L1932" s="3" t="s">
        <v>28</v>
      </c>
      <c r="M1932" s="3" t="s">
        <v>28</v>
      </c>
      <c r="N1932" s="3" t="s">
        <v>28</v>
      </c>
      <c r="O1932" s="3" t="s">
        <v>28</v>
      </c>
      <c r="P1932" s="3" t="s">
        <v>27</v>
      </c>
      <c r="Q1932" s="3" t="s">
        <v>28</v>
      </c>
      <c r="R1932" s="3" t="s">
        <v>28</v>
      </c>
      <c r="S1932" s="3" t="s">
        <v>28</v>
      </c>
      <c r="T1932" s="3" t="s">
        <v>28</v>
      </c>
    </row>
    <row r="1933" spans="1:20" ht="229.5">
      <c r="A1933" s="3">
        <v>2708229</v>
      </c>
      <c r="B1933" s="3">
        <f>HYPERLINK("https://platform.v2.vetology.net/cases/2708229/screening-report/6?type=pdf&amp;v=v6&amp;scorecard=1&amp;secret_key=BX%25IJ%24%2F65ieZ%29f6", 2708229)</f>
        <v>2708229</v>
      </c>
      <c r="C1933" s="3">
        <f>HYPERLINK("https://platform.v2.vetology.net/report/v/final/"&amp;2708229, 2708229)</f>
        <v>2708229</v>
      </c>
      <c r="D1933" s="3" t="s">
        <v>6764</v>
      </c>
      <c r="E1933" s="3" t="s">
        <v>6765</v>
      </c>
      <c r="F1933" s="3" t="s">
        <v>6766</v>
      </c>
      <c r="G1933" s="3" t="s">
        <v>186</v>
      </c>
      <c r="H1933" s="3" t="s">
        <v>31</v>
      </c>
      <c r="I1933" s="3" t="s">
        <v>32</v>
      </c>
      <c r="J1933" s="3" t="s">
        <v>119</v>
      </c>
      <c r="K1933" s="3" t="s">
        <v>28</v>
      </c>
      <c r="L1933" s="3" t="s">
        <v>28</v>
      </c>
      <c r="M1933" s="3" t="s">
        <v>28</v>
      </c>
      <c r="N1933" s="3" t="s">
        <v>28</v>
      </c>
      <c r="O1933" s="3" t="s">
        <v>27</v>
      </c>
      <c r="P1933" s="3" t="s">
        <v>28</v>
      </c>
      <c r="Q1933" s="3" t="s">
        <v>28</v>
      </c>
      <c r="R1933" s="3" t="s">
        <v>28</v>
      </c>
      <c r="S1933" s="3" t="s">
        <v>28</v>
      </c>
      <c r="T1933" s="3" t="s">
        <v>28</v>
      </c>
    </row>
    <row r="1934" spans="1:20" ht="244.5">
      <c r="A1934" s="3">
        <v>2708186</v>
      </c>
      <c r="B1934" s="3">
        <f>HYPERLINK("https://platform.v2.vetology.net/cases/2708186/screening-report/6?type=pdf&amp;v=v6&amp;scorecard=1&amp;secret_key=BX%25IJ%24%2F65ieZ%29f6", 2708186)</f>
        <v>2708186</v>
      </c>
      <c r="C1934" s="3">
        <f>HYPERLINK("https://platform.v2.vetology.net/report/v/final/"&amp;2708186, 2708186)</f>
        <v>2708186</v>
      </c>
      <c r="D1934" s="3" t="s">
        <v>6767</v>
      </c>
      <c r="E1934" s="3" t="s">
        <v>6768</v>
      </c>
      <c r="F1934" s="3" t="s">
        <v>6769</v>
      </c>
      <c r="G1934" s="3" t="s">
        <v>179</v>
      </c>
      <c r="H1934" s="3" t="s">
        <v>205</v>
      </c>
      <c r="I1934" s="3" t="s">
        <v>206</v>
      </c>
      <c r="J1934" s="3" t="s">
        <v>207</v>
      </c>
      <c r="K1934" s="3" t="s">
        <v>28</v>
      </c>
      <c r="L1934" s="3" t="s">
        <v>28</v>
      </c>
      <c r="M1934" s="3" t="s">
        <v>27</v>
      </c>
      <c r="N1934" s="3" t="s">
        <v>28</v>
      </c>
      <c r="O1934" s="3" t="s">
        <v>27</v>
      </c>
      <c r="P1934" s="3" t="s">
        <v>28</v>
      </c>
      <c r="Q1934" s="3" t="s">
        <v>27</v>
      </c>
      <c r="R1934" s="3" t="s">
        <v>28</v>
      </c>
      <c r="S1934" s="3" t="s">
        <v>28</v>
      </c>
      <c r="T1934" s="3" t="s">
        <v>28</v>
      </c>
    </row>
    <row r="1935" spans="1:20" ht="409.6">
      <c r="A1935" s="3">
        <v>2708173</v>
      </c>
      <c r="B1935" s="3">
        <f>HYPERLINK("https://platform.v2.vetology.net/cases/2708173/screening-report/6?type=pdf&amp;v=v6&amp;scorecard=1&amp;secret_key=BX%25IJ%24%2F65ieZ%29f6", 2708173)</f>
        <v>2708173</v>
      </c>
      <c r="C1935" s="3">
        <f>HYPERLINK("https://platform.v2.vetology.net/report/v/final/"&amp;2708173, 2708173)</f>
        <v>2708173</v>
      </c>
      <c r="D1935" s="3" t="s">
        <v>6770</v>
      </c>
      <c r="E1935" s="3" t="s">
        <v>6771</v>
      </c>
      <c r="F1935" s="3" t="s">
        <v>6772</v>
      </c>
      <c r="G1935" s="3" t="s">
        <v>179</v>
      </c>
      <c r="H1935" s="3" t="s">
        <v>6773</v>
      </c>
      <c r="I1935" s="3" t="s">
        <v>78</v>
      </c>
      <c r="J1935" s="3" t="s">
        <v>79</v>
      </c>
      <c r="K1935" s="3" t="s">
        <v>27</v>
      </c>
      <c r="L1935" s="3" t="s">
        <v>28</v>
      </c>
      <c r="M1935" s="3" t="s">
        <v>28</v>
      </c>
      <c r="N1935" s="3" t="s">
        <v>28</v>
      </c>
      <c r="O1935" s="3" t="s">
        <v>27</v>
      </c>
      <c r="P1935" s="3" t="s">
        <v>27</v>
      </c>
      <c r="Q1935" s="3" t="s">
        <v>28</v>
      </c>
      <c r="R1935" s="3" t="s">
        <v>28</v>
      </c>
      <c r="S1935" s="3" t="s">
        <v>28</v>
      </c>
      <c r="T1935" s="3" t="s">
        <v>28</v>
      </c>
    </row>
    <row r="1936" spans="1:20" ht="244.5">
      <c r="A1936" s="3">
        <v>2708142</v>
      </c>
      <c r="B1936" s="3">
        <f>HYPERLINK("https://platform.v2.vetology.net/cases/2708142/screening-report/6?type=pdf&amp;v=v6&amp;scorecard=1&amp;secret_key=BX%25IJ%24%2F65ieZ%29f6", 2708142)</f>
        <v>2708142</v>
      </c>
      <c r="C1936" s="3">
        <f>HYPERLINK("https://platform.v2.vetology.net/report/v/final/"&amp;2708142, 2708142)</f>
        <v>2708142</v>
      </c>
      <c r="D1936" s="3" t="s">
        <v>6774</v>
      </c>
      <c r="E1936" s="3" t="s">
        <v>1230</v>
      </c>
      <c r="F1936" s="3" t="s">
        <v>1049</v>
      </c>
      <c r="G1936" s="3" t="s">
        <v>100</v>
      </c>
      <c r="H1936" s="3" t="s">
        <v>6775</v>
      </c>
      <c r="I1936" s="3" t="s">
        <v>206</v>
      </c>
      <c r="J1936" s="3" t="s">
        <v>207</v>
      </c>
      <c r="K1936" s="3" t="s">
        <v>28</v>
      </c>
      <c r="L1936" s="3" t="s">
        <v>28</v>
      </c>
      <c r="M1936" s="3" t="s">
        <v>27</v>
      </c>
      <c r="N1936" s="3" t="s">
        <v>28</v>
      </c>
      <c r="O1936" s="3" t="s">
        <v>27</v>
      </c>
      <c r="P1936" s="3" t="s">
        <v>28</v>
      </c>
      <c r="Q1936" s="3" t="s">
        <v>27</v>
      </c>
      <c r="R1936" s="3" t="s">
        <v>28</v>
      </c>
      <c r="S1936" s="3" t="s">
        <v>28</v>
      </c>
      <c r="T1936" s="3" t="s">
        <v>28</v>
      </c>
    </row>
    <row r="1937" spans="1:20" ht="409.6">
      <c r="A1937" s="3">
        <v>2708109</v>
      </c>
      <c r="B1937" s="3">
        <f>HYPERLINK("https://platform.v2.vetology.net/cases/2708109/screening-report/6?type=pdf&amp;v=v6&amp;scorecard=1&amp;secret_key=BX%25IJ%24%2F65ieZ%29f6", 2708109)</f>
        <v>2708109</v>
      </c>
      <c r="C1937" s="3">
        <f>HYPERLINK("https://platform.v2.vetology.net/report/v/final/"&amp;2708109, 2708109)</f>
        <v>2708109</v>
      </c>
      <c r="D1937" s="3" t="s">
        <v>6776</v>
      </c>
      <c r="E1937" s="3" t="s">
        <v>6777</v>
      </c>
      <c r="F1937" s="3" t="s">
        <v>6778</v>
      </c>
      <c r="G1937" s="3" t="s">
        <v>186</v>
      </c>
      <c r="H1937" s="3" t="s">
        <v>2685</v>
      </c>
      <c r="I1937" s="3" t="s">
        <v>2686</v>
      </c>
      <c r="J1937" s="3" t="s">
        <v>2687</v>
      </c>
      <c r="K1937" s="3" t="s">
        <v>27</v>
      </c>
      <c r="L1937" s="3" t="s">
        <v>27</v>
      </c>
      <c r="M1937" s="3" t="s">
        <v>27</v>
      </c>
      <c r="N1937" s="3" t="s">
        <v>27</v>
      </c>
      <c r="O1937" s="3" t="s">
        <v>27</v>
      </c>
      <c r="P1937" s="3" t="s">
        <v>28</v>
      </c>
      <c r="Q1937" s="3" t="s">
        <v>27</v>
      </c>
      <c r="R1937" s="3" t="s">
        <v>27</v>
      </c>
      <c r="S1937" s="3" t="s">
        <v>27</v>
      </c>
      <c r="T1937" s="3" t="s">
        <v>27</v>
      </c>
    </row>
    <row r="1938" spans="1:20" ht="396.75">
      <c r="A1938" s="3">
        <v>2708088</v>
      </c>
      <c r="B1938" s="3">
        <f>HYPERLINK("https://platform.v2.vetology.net/cases/2708088/screening-report/6?type=pdf&amp;v=v6&amp;scorecard=1&amp;secret_key=BX%25IJ%24%2F65ieZ%29f6", 2708088)</f>
        <v>2708088</v>
      </c>
      <c r="C1938" s="3">
        <f>HYPERLINK("https://platform.v2.vetology.net/report/v/final/"&amp;2708088, 2708088)</f>
        <v>2708088</v>
      </c>
      <c r="D1938" s="3" t="s">
        <v>6779</v>
      </c>
      <c r="E1938" s="3" t="s">
        <v>6780</v>
      </c>
      <c r="F1938" s="3" t="s">
        <v>6781</v>
      </c>
      <c r="G1938" s="3" t="s">
        <v>64</v>
      </c>
      <c r="H1938" s="3" t="s">
        <v>6782</v>
      </c>
      <c r="I1938" s="3" t="s">
        <v>351</v>
      </c>
      <c r="J1938" s="3" t="s">
        <v>352</v>
      </c>
      <c r="K1938" s="3" t="s">
        <v>28</v>
      </c>
      <c r="L1938" s="3" t="s">
        <v>28</v>
      </c>
      <c r="M1938" s="3" t="s">
        <v>28</v>
      </c>
      <c r="N1938" s="3" t="s">
        <v>28</v>
      </c>
      <c r="O1938" s="3" t="s">
        <v>28</v>
      </c>
      <c r="P1938" s="3" t="s">
        <v>28</v>
      </c>
      <c r="Q1938" s="3" t="s">
        <v>28</v>
      </c>
      <c r="R1938" s="3" t="s">
        <v>28</v>
      </c>
      <c r="S1938" s="3" t="s">
        <v>28</v>
      </c>
      <c r="T1938" s="3" t="s">
        <v>27</v>
      </c>
    </row>
    <row r="1939" spans="1:20" ht="244.5">
      <c r="A1939" s="3">
        <v>2708085</v>
      </c>
      <c r="B1939" s="3">
        <f>HYPERLINK("https://platform.v2.vetology.net/cases/2708085/screening-report/6?type=pdf&amp;v=v6&amp;scorecard=1&amp;secret_key=BX%25IJ%24%2F65ieZ%29f6", 2708085)</f>
        <v>2708085</v>
      </c>
      <c r="C1939" s="3">
        <f>HYPERLINK("https://platform.v2.vetology.net/report/v/final/"&amp;2708085, 2708085)</f>
        <v>2708085</v>
      </c>
      <c r="D1939" s="3" t="s">
        <v>6783</v>
      </c>
      <c r="E1939" s="3" t="s">
        <v>6784</v>
      </c>
      <c r="F1939" s="3" t="s">
        <v>22</v>
      </c>
      <c r="G1939" s="3" t="s">
        <v>23</v>
      </c>
      <c r="H1939" s="3" t="s">
        <v>241</v>
      </c>
      <c r="I1939" s="3"/>
      <c r="J1939" s="3" t="s">
        <v>207</v>
      </c>
      <c r="K1939" s="3" t="s">
        <v>28</v>
      </c>
      <c r="L1939" s="3" t="s">
        <v>28</v>
      </c>
      <c r="M1939" s="3" t="s">
        <v>28</v>
      </c>
      <c r="N1939" s="3" t="s">
        <v>28</v>
      </c>
      <c r="O1939" s="3" t="s">
        <v>28</v>
      </c>
      <c r="P1939" s="3" t="s">
        <v>28</v>
      </c>
      <c r="Q1939" s="3" t="s">
        <v>28</v>
      </c>
      <c r="R1939" s="3" t="s">
        <v>28</v>
      </c>
      <c r="S1939" s="3" t="s">
        <v>28</v>
      </c>
      <c r="T1939" s="3" t="s">
        <v>27</v>
      </c>
    </row>
    <row r="1940" spans="1:20" ht="396.75">
      <c r="A1940" s="3">
        <v>2708075</v>
      </c>
      <c r="B1940" s="3">
        <f>HYPERLINK("https://platform.v2.vetology.net/cases/2708075/screening-report/6?type=pdf&amp;v=v6&amp;scorecard=1&amp;secret_key=BX%25IJ%24%2F65ieZ%29f6", 2708075)</f>
        <v>2708075</v>
      </c>
      <c r="C1940" s="3">
        <f>HYPERLINK("https://platform.v2.vetology.net/report/v/final/"&amp;2708075, 2708075)</f>
        <v>2708075</v>
      </c>
      <c r="D1940" s="3" t="s">
        <v>6785</v>
      </c>
      <c r="E1940" s="3" t="s">
        <v>6786</v>
      </c>
      <c r="F1940" s="3" t="s">
        <v>6787</v>
      </c>
      <c r="G1940" s="3" t="s">
        <v>186</v>
      </c>
      <c r="H1940" s="3" t="s">
        <v>6396</v>
      </c>
      <c r="I1940" s="3" t="s">
        <v>469</v>
      </c>
      <c r="J1940" s="3" t="s">
        <v>470</v>
      </c>
      <c r="K1940" s="3" t="s">
        <v>28</v>
      </c>
      <c r="L1940" s="3" t="s">
        <v>28</v>
      </c>
      <c r="M1940" s="3" t="s">
        <v>28</v>
      </c>
      <c r="N1940" s="3" t="s">
        <v>28</v>
      </c>
      <c r="O1940" s="3" t="s">
        <v>27</v>
      </c>
      <c r="P1940" s="3" t="s">
        <v>28</v>
      </c>
      <c r="Q1940" s="3" t="s">
        <v>28</v>
      </c>
      <c r="R1940" s="3" t="s">
        <v>28</v>
      </c>
      <c r="S1940" s="3" t="s">
        <v>28</v>
      </c>
      <c r="T1940" s="3" t="s">
        <v>28</v>
      </c>
    </row>
    <row r="1941" spans="1:20" ht="409.6">
      <c r="A1941" s="3">
        <v>2708037</v>
      </c>
      <c r="B1941" s="3">
        <f>HYPERLINK("https://platform.v2.vetology.net/cases/2708037/screening-report/6?type=pdf&amp;v=v6&amp;scorecard=1&amp;secret_key=BX%25IJ%24%2F65ieZ%29f6", 2708037)</f>
        <v>2708037</v>
      </c>
      <c r="C1941" s="3">
        <f>HYPERLINK("https://platform.v2.vetology.net/report/v/final/"&amp;2708037, 2708037)</f>
        <v>2708037</v>
      </c>
      <c r="D1941" s="3" t="s">
        <v>6788</v>
      </c>
      <c r="E1941" s="3" t="s">
        <v>6789</v>
      </c>
      <c r="F1941" s="3" t="s">
        <v>22</v>
      </c>
      <c r="G1941" s="3" t="s">
        <v>100</v>
      </c>
      <c r="H1941" s="3" t="s">
        <v>6790</v>
      </c>
      <c r="I1941" s="3" t="s">
        <v>256</v>
      </c>
      <c r="J1941" s="3" t="s">
        <v>257</v>
      </c>
      <c r="K1941" s="3" t="s">
        <v>28</v>
      </c>
      <c r="L1941" s="3" t="s">
        <v>27</v>
      </c>
      <c r="M1941" s="3" t="s">
        <v>28</v>
      </c>
      <c r="N1941" s="3" t="s">
        <v>27</v>
      </c>
      <c r="O1941" s="3" t="s">
        <v>27</v>
      </c>
      <c r="P1941" s="3" t="s">
        <v>28</v>
      </c>
      <c r="Q1941" s="3" t="s">
        <v>28</v>
      </c>
      <c r="R1941" s="3" t="s">
        <v>28</v>
      </c>
      <c r="S1941" s="3" t="s">
        <v>27</v>
      </c>
      <c r="T1941" s="3" t="s">
        <v>27</v>
      </c>
    </row>
    <row r="1942" spans="1:20" ht="366">
      <c r="A1942" s="3">
        <v>2707998</v>
      </c>
      <c r="B1942" s="3">
        <f>HYPERLINK("https://platform.v2.vetology.net/cases/2707998/screening-report/6?type=pdf&amp;v=v6&amp;scorecard=1&amp;secret_key=BX%25IJ%24%2F65ieZ%29f6", 2707998)</f>
        <v>2707998</v>
      </c>
      <c r="C1942" s="3">
        <f>HYPERLINK("https://platform.v2.vetology.net/report/v/final/"&amp;2707998, 2707998)</f>
        <v>2707998</v>
      </c>
      <c r="D1942" s="3" t="s">
        <v>6791</v>
      </c>
      <c r="E1942" s="3" t="s">
        <v>6792</v>
      </c>
      <c r="F1942" s="3" t="s">
        <v>6793</v>
      </c>
      <c r="G1942" s="3" t="s">
        <v>23</v>
      </c>
      <c r="H1942" s="3" t="s">
        <v>6794</v>
      </c>
      <c r="I1942" s="3" t="s">
        <v>754</v>
      </c>
      <c r="J1942" s="3" t="s">
        <v>755</v>
      </c>
      <c r="K1942" s="3" t="s">
        <v>27</v>
      </c>
      <c r="L1942" s="3" t="s">
        <v>28</v>
      </c>
      <c r="M1942" s="3" t="s">
        <v>28</v>
      </c>
      <c r="N1942" s="3" t="s">
        <v>28</v>
      </c>
      <c r="O1942" s="3" t="s">
        <v>27</v>
      </c>
      <c r="P1942" s="3" t="s">
        <v>28</v>
      </c>
      <c r="Q1942" s="3" t="s">
        <v>27</v>
      </c>
      <c r="R1942" s="3" t="s">
        <v>28</v>
      </c>
      <c r="S1942" s="3" t="s">
        <v>28</v>
      </c>
      <c r="T1942" s="3" t="s">
        <v>28</v>
      </c>
    </row>
    <row r="1943" spans="1:20" ht="351">
      <c r="A1943" s="3">
        <v>2707949</v>
      </c>
      <c r="B1943" s="3">
        <f>HYPERLINK("https://platform.v2.vetology.net/cases/2707949/screening-report/6?type=pdf&amp;v=v6&amp;scorecard=1&amp;secret_key=BX%25IJ%24%2F65ieZ%29f6", 2707949)</f>
        <v>2707949</v>
      </c>
      <c r="C1943" s="3">
        <f>HYPERLINK("https://platform.v2.vetology.net/report/v/final/"&amp;2707949, 2707949)</f>
        <v>2707949</v>
      </c>
      <c r="D1943" s="3" t="s">
        <v>6795</v>
      </c>
      <c r="E1943" s="3" t="s">
        <v>6796</v>
      </c>
      <c r="F1943" s="3" t="s">
        <v>5084</v>
      </c>
      <c r="G1943" s="3" t="s">
        <v>186</v>
      </c>
      <c r="H1943" s="3" t="s">
        <v>6797</v>
      </c>
      <c r="I1943" s="3" t="s">
        <v>1438</v>
      </c>
      <c r="J1943" s="3" t="s">
        <v>1439</v>
      </c>
      <c r="K1943" s="3" t="s">
        <v>28</v>
      </c>
      <c r="L1943" s="3" t="s">
        <v>28</v>
      </c>
      <c r="M1943" s="3" t="s">
        <v>28</v>
      </c>
      <c r="N1943" s="3" t="s">
        <v>28</v>
      </c>
      <c r="O1943" s="3" t="s">
        <v>27</v>
      </c>
      <c r="P1943" s="3" t="s">
        <v>28</v>
      </c>
      <c r="Q1943" s="3" t="s">
        <v>28</v>
      </c>
      <c r="R1943" s="3" t="s">
        <v>28</v>
      </c>
      <c r="S1943" s="3" t="s">
        <v>28</v>
      </c>
      <c r="T1943" s="3" t="s">
        <v>27</v>
      </c>
    </row>
    <row r="1944" spans="1:20" ht="409.6">
      <c r="A1944" s="3">
        <v>2707923</v>
      </c>
      <c r="B1944" s="3">
        <f>HYPERLINK("https://platform.v2.vetology.net/cases/2707923/screening-report/6?type=pdf&amp;v=v6&amp;scorecard=1&amp;secret_key=BX%25IJ%24%2F65ieZ%29f6", 2707923)</f>
        <v>2707923</v>
      </c>
      <c r="C1944" s="3">
        <f>HYPERLINK("https://platform.v2.vetology.net/report/v/final/"&amp;2707923, 2707923)</f>
        <v>2707923</v>
      </c>
      <c r="D1944" s="3" t="s">
        <v>6798</v>
      </c>
      <c r="E1944" s="3" t="s">
        <v>6799</v>
      </c>
      <c r="F1944" s="3" t="s">
        <v>1377</v>
      </c>
      <c r="G1944" s="3" t="s">
        <v>186</v>
      </c>
      <c r="H1944" s="3" t="s">
        <v>6800</v>
      </c>
      <c r="I1944" s="3" t="s">
        <v>6801</v>
      </c>
      <c r="J1944" s="3" t="s">
        <v>6802</v>
      </c>
      <c r="K1944" s="3" t="s">
        <v>28</v>
      </c>
      <c r="L1944" s="3" t="s">
        <v>28</v>
      </c>
      <c r="M1944" s="3" t="s">
        <v>27</v>
      </c>
      <c r="N1944" s="3" t="s">
        <v>28</v>
      </c>
      <c r="O1944" s="3" t="s">
        <v>27</v>
      </c>
      <c r="P1944" s="3" t="s">
        <v>27</v>
      </c>
      <c r="Q1944" s="3" t="s">
        <v>27</v>
      </c>
      <c r="R1944" s="3" t="s">
        <v>28</v>
      </c>
      <c r="S1944" s="3" t="s">
        <v>28</v>
      </c>
      <c r="T1944" s="3" t="s">
        <v>27</v>
      </c>
    </row>
    <row r="1945" spans="1:20" ht="321">
      <c r="A1945" s="3">
        <v>2707908</v>
      </c>
      <c r="B1945" s="3">
        <f>HYPERLINK("https://platform.v2.vetology.net/cases/2707908/screening-report/6?type=pdf&amp;v=v6&amp;scorecard=1&amp;secret_key=BX%25IJ%24%2F65ieZ%29f6", 2707908)</f>
        <v>2707908</v>
      </c>
      <c r="C1945" s="3">
        <f>HYPERLINK("https://platform.v2.vetology.net/report/v/final/"&amp;2707908, 2707908)</f>
        <v>2707908</v>
      </c>
      <c r="D1945" s="3" t="s">
        <v>6803</v>
      </c>
      <c r="E1945" s="3" t="s">
        <v>6804</v>
      </c>
      <c r="F1945" s="3" t="s">
        <v>6805</v>
      </c>
      <c r="G1945" s="3" t="s">
        <v>186</v>
      </c>
      <c r="H1945" s="3" t="s">
        <v>6806</v>
      </c>
      <c r="I1945" s="3" t="s">
        <v>706</v>
      </c>
      <c r="J1945" s="3" t="s">
        <v>707</v>
      </c>
      <c r="K1945" s="3" t="s">
        <v>28</v>
      </c>
      <c r="L1945" s="3" t="s">
        <v>28</v>
      </c>
      <c r="M1945" s="3" t="s">
        <v>28</v>
      </c>
      <c r="N1945" s="3" t="s">
        <v>28</v>
      </c>
      <c r="O1945" s="3" t="s">
        <v>27</v>
      </c>
      <c r="P1945" s="3" t="s">
        <v>28</v>
      </c>
      <c r="Q1945" s="3" t="s">
        <v>28</v>
      </c>
      <c r="R1945" s="3" t="s">
        <v>28</v>
      </c>
      <c r="S1945" s="3" t="s">
        <v>28</v>
      </c>
      <c r="T1945" s="3" t="s">
        <v>27</v>
      </c>
    </row>
    <row r="1946" spans="1:20" ht="336">
      <c r="A1946" s="3">
        <v>2707867</v>
      </c>
      <c r="B1946" s="3">
        <f>HYPERLINK("https://platform.v2.vetology.net/cases/2707867/screening-report/6?type=pdf&amp;v=v6&amp;scorecard=1&amp;secret_key=BX%25IJ%24%2F65ieZ%29f6", 2707867)</f>
        <v>2707867</v>
      </c>
      <c r="C1946" s="3">
        <f>HYPERLINK("https://platform.v2.vetology.net/report/v/final/"&amp;2707867, 2707867)</f>
        <v>2707867</v>
      </c>
      <c r="D1946" s="3" t="s">
        <v>6807</v>
      </c>
      <c r="E1946" s="3" t="s">
        <v>6808</v>
      </c>
      <c r="F1946" s="3" t="s">
        <v>6809</v>
      </c>
      <c r="G1946" s="3" t="s">
        <v>179</v>
      </c>
      <c r="H1946" s="3" t="s">
        <v>6810</v>
      </c>
      <c r="I1946" s="3" t="s">
        <v>3364</v>
      </c>
      <c r="J1946" s="3" t="s">
        <v>3365</v>
      </c>
      <c r="K1946" s="3" t="s">
        <v>28</v>
      </c>
      <c r="L1946" s="3" t="s">
        <v>27</v>
      </c>
      <c r="M1946" s="3" t="s">
        <v>28</v>
      </c>
      <c r="N1946" s="3" t="s">
        <v>28</v>
      </c>
      <c r="O1946" s="3" t="s">
        <v>27</v>
      </c>
      <c r="P1946" s="3" t="s">
        <v>28</v>
      </c>
      <c r="Q1946" s="3" t="s">
        <v>28</v>
      </c>
      <c r="R1946" s="3" t="s">
        <v>28</v>
      </c>
      <c r="S1946" s="3" t="s">
        <v>27</v>
      </c>
      <c r="T1946" s="3" t="s">
        <v>28</v>
      </c>
    </row>
    <row r="1947" spans="1:20" ht="409.6">
      <c r="A1947" s="3">
        <v>2707754</v>
      </c>
      <c r="B1947" s="3">
        <f>HYPERLINK("https://platform.v2.vetology.net/cases/2707754/screening-report/6?type=pdf&amp;v=v6&amp;scorecard=1&amp;secret_key=BX%25IJ%24%2F65ieZ%29f6", 2707754)</f>
        <v>2707754</v>
      </c>
      <c r="C1947" s="3">
        <f>HYPERLINK("https://platform.v2.vetology.net/report/v/final/"&amp;2707754, 2707754)</f>
        <v>2707754</v>
      </c>
      <c r="D1947" s="3" t="s">
        <v>6811</v>
      </c>
      <c r="E1947" s="3" t="s">
        <v>6812</v>
      </c>
      <c r="F1947" s="3" t="s">
        <v>6813</v>
      </c>
      <c r="G1947" s="3" t="s">
        <v>496</v>
      </c>
      <c r="H1947" s="3" t="s">
        <v>6814</v>
      </c>
      <c r="I1947" s="3" t="s">
        <v>2821</v>
      </c>
      <c r="J1947" s="3" t="s">
        <v>2822</v>
      </c>
      <c r="K1947" s="3" t="s">
        <v>28</v>
      </c>
      <c r="L1947" s="3" t="s">
        <v>28</v>
      </c>
      <c r="M1947" s="3" t="s">
        <v>28</v>
      </c>
      <c r="N1947" s="3" t="s">
        <v>28</v>
      </c>
      <c r="O1947" s="3" t="s">
        <v>28</v>
      </c>
      <c r="P1947" s="3" t="s">
        <v>28</v>
      </c>
      <c r="Q1947" s="3" t="s">
        <v>28</v>
      </c>
      <c r="R1947" s="3" t="s">
        <v>28</v>
      </c>
      <c r="S1947" s="3" t="s">
        <v>27</v>
      </c>
      <c r="T1947" s="3" t="s">
        <v>27</v>
      </c>
    </row>
    <row r="1948" spans="1:20" ht="290.25">
      <c r="A1948" s="3">
        <v>2707684</v>
      </c>
      <c r="B1948" s="3">
        <f>HYPERLINK("https://platform.v2.vetology.net/cases/2707684/screening-report/6?type=pdf&amp;v=v6&amp;scorecard=1&amp;secret_key=BX%25IJ%24%2F65ieZ%29f6", 2707684)</f>
        <v>2707684</v>
      </c>
      <c r="C1948" s="3">
        <f>HYPERLINK("https://platform.v2.vetology.net/report/v/final/"&amp;2707684, 2707684)</f>
        <v>2707684</v>
      </c>
      <c r="D1948" s="3" t="s">
        <v>6815</v>
      </c>
      <c r="E1948" s="3" t="s">
        <v>6816</v>
      </c>
      <c r="F1948" s="3" t="s">
        <v>22</v>
      </c>
      <c r="G1948" s="3" t="s">
        <v>23</v>
      </c>
      <c r="H1948" s="3" t="s">
        <v>158</v>
      </c>
      <c r="I1948" s="3" t="s">
        <v>32</v>
      </c>
      <c r="J1948" s="3" t="s">
        <v>119</v>
      </c>
      <c r="K1948" s="3" t="s">
        <v>28</v>
      </c>
      <c r="L1948" s="3" t="s">
        <v>28</v>
      </c>
      <c r="M1948" s="3" t="s">
        <v>28</v>
      </c>
      <c r="N1948" s="3" t="s">
        <v>28</v>
      </c>
      <c r="O1948" s="3" t="s">
        <v>27</v>
      </c>
      <c r="P1948" s="3" t="s">
        <v>28</v>
      </c>
      <c r="Q1948" s="3" t="s">
        <v>28</v>
      </c>
      <c r="R1948" s="3" t="s">
        <v>28</v>
      </c>
      <c r="S1948" s="3" t="s">
        <v>28</v>
      </c>
      <c r="T1948" s="3" t="s">
        <v>28</v>
      </c>
    </row>
    <row r="1949" spans="1:20" ht="275.25">
      <c r="A1949" s="3">
        <v>2707641</v>
      </c>
      <c r="B1949" s="3">
        <f>HYPERLINK("https://platform.v2.vetology.net/cases/2707641/screening-report/6?type=pdf&amp;v=v6&amp;scorecard=1&amp;secret_key=BX%25IJ%24%2F65ieZ%29f6", 2707641)</f>
        <v>2707641</v>
      </c>
      <c r="C1949" s="3">
        <f>HYPERLINK("https://platform.v2.vetology.net/report/v/final/"&amp;2707641, 2707641)</f>
        <v>2707641</v>
      </c>
      <c r="D1949" s="3" t="s">
        <v>6817</v>
      </c>
      <c r="E1949" s="3" t="s">
        <v>6818</v>
      </c>
      <c r="F1949" s="3" t="s">
        <v>22</v>
      </c>
      <c r="G1949" s="3" t="s">
        <v>100</v>
      </c>
      <c r="H1949" s="3" t="s">
        <v>590</v>
      </c>
      <c r="I1949" s="3" t="s">
        <v>291</v>
      </c>
      <c r="J1949" s="3" t="s">
        <v>225</v>
      </c>
      <c r="K1949" s="3" t="s">
        <v>28</v>
      </c>
      <c r="L1949" s="3" t="s">
        <v>28</v>
      </c>
      <c r="M1949" s="3" t="s">
        <v>28</v>
      </c>
      <c r="N1949" s="3" t="s">
        <v>27</v>
      </c>
      <c r="O1949" s="3" t="s">
        <v>27</v>
      </c>
      <c r="P1949" s="3" t="s">
        <v>28</v>
      </c>
      <c r="Q1949" s="3" t="s">
        <v>28</v>
      </c>
      <c r="R1949" s="3" t="s">
        <v>27</v>
      </c>
      <c r="S1949" s="3" t="s">
        <v>27</v>
      </c>
      <c r="T1949" s="3" t="s">
        <v>27</v>
      </c>
    </row>
    <row r="1950" spans="1:20" ht="381.75">
      <c r="A1950" s="3">
        <v>2707587</v>
      </c>
      <c r="B1950" s="3">
        <f>HYPERLINK("https://platform.v2.vetology.net/cases/2707587/screening-report/6?type=pdf&amp;v=v6&amp;scorecard=1&amp;secret_key=BX%25IJ%24%2F65ieZ%29f6", 2707587)</f>
        <v>2707587</v>
      </c>
      <c r="C1950" s="3">
        <f>HYPERLINK("https://platform.v2.vetology.net/report/v/final/"&amp;2707587, 2707587)</f>
        <v>2707587</v>
      </c>
      <c r="D1950" s="3" t="s">
        <v>6819</v>
      </c>
      <c r="E1950" s="3" t="s">
        <v>6820</v>
      </c>
      <c r="F1950" s="3" t="s">
        <v>6821</v>
      </c>
      <c r="G1950" s="3" t="s">
        <v>186</v>
      </c>
      <c r="H1950" s="3" t="s">
        <v>6822</v>
      </c>
      <c r="I1950" s="3" t="s">
        <v>2438</v>
      </c>
      <c r="J1950" s="3" t="s">
        <v>2439</v>
      </c>
      <c r="K1950" s="3" t="s">
        <v>28</v>
      </c>
      <c r="L1950" s="3" t="s">
        <v>28</v>
      </c>
      <c r="M1950" s="3" t="s">
        <v>28</v>
      </c>
      <c r="N1950" s="3" t="s">
        <v>28</v>
      </c>
      <c r="O1950" s="3" t="s">
        <v>28</v>
      </c>
      <c r="P1950" s="3" t="s">
        <v>27</v>
      </c>
      <c r="Q1950" s="3" t="s">
        <v>28</v>
      </c>
      <c r="R1950" s="3" t="s">
        <v>28</v>
      </c>
      <c r="S1950" s="3" t="s">
        <v>28</v>
      </c>
      <c r="T1950" s="3" t="s">
        <v>28</v>
      </c>
    </row>
    <row r="1951" spans="1:20" ht="229.5">
      <c r="A1951" s="3">
        <v>2707582</v>
      </c>
      <c r="B1951" s="3">
        <f>HYPERLINK("https://platform.v2.vetology.net/cases/2707582/screening-report/6?type=pdf&amp;v=v6&amp;scorecard=1&amp;secret_key=BX%25IJ%24%2F65ieZ%29f6", 2707582)</f>
        <v>2707582</v>
      </c>
      <c r="C1951" s="3">
        <f>HYPERLINK("https://platform.v2.vetology.net/report/v/final/"&amp;2707582, 2707582)</f>
        <v>2707582</v>
      </c>
      <c r="D1951" s="3" t="s">
        <v>6823</v>
      </c>
      <c r="E1951" s="3" t="s">
        <v>6824</v>
      </c>
      <c r="F1951" s="3" t="s">
        <v>6825</v>
      </c>
      <c r="G1951" s="3" t="s">
        <v>186</v>
      </c>
      <c r="H1951" s="3" t="s">
        <v>118</v>
      </c>
      <c r="I1951" s="3" t="s">
        <v>32</v>
      </c>
      <c r="J1951" s="3" t="s">
        <v>119</v>
      </c>
      <c r="K1951" s="3" t="s">
        <v>28</v>
      </c>
      <c r="L1951" s="3" t="s">
        <v>28</v>
      </c>
      <c r="M1951" s="3" t="s">
        <v>28</v>
      </c>
      <c r="N1951" s="3" t="s">
        <v>28</v>
      </c>
      <c r="O1951" s="3" t="s">
        <v>28</v>
      </c>
      <c r="P1951" s="3" t="s">
        <v>28</v>
      </c>
      <c r="Q1951" s="3" t="s">
        <v>28</v>
      </c>
      <c r="R1951" s="3" t="s">
        <v>28</v>
      </c>
      <c r="S1951" s="3" t="s">
        <v>28</v>
      </c>
      <c r="T1951" s="3" t="s">
        <v>28</v>
      </c>
    </row>
    <row r="1952" spans="1:20" ht="321">
      <c r="A1952" s="3">
        <v>2707560</v>
      </c>
      <c r="B1952" s="3">
        <f>HYPERLINK("https://platform.v2.vetology.net/cases/2707560/screening-report/6?type=pdf&amp;v=v6&amp;scorecard=1&amp;secret_key=BX%25IJ%24%2F65ieZ%29f6", 2707560)</f>
        <v>2707560</v>
      </c>
      <c r="C1952" s="3">
        <f>HYPERLINK("https://platform.v2.vetology.net/report/v/final/"&amp;2707560, 2707560)</f>
        <v>2707560</v>
      </c>
      <c r="D1952" s="3" t="s">
        <v>6826</v>
      </c>
      <c r="E1952" s="3" t="s">
        <v>6827</v>
      </c>
      <c r="F1952" s="3" t="s">
        <v>22</v>
      </c>
      <c r="G1952" s="3" t="s">
        <v>23</v>
      </c>
      <c r="H1952" s="3" t="s">
        <v>6828</v>
      </c>
      <c r="I1952" s="3" t="s">
        <v>6049</v>
      </c>
      <c r="J1952" s="3" t="s">
        <v>6050</v>
      </c>
      <c r="K1952" s="3" t="s">
        <v>27</v>
      </c>
      <c r="L1952" s="3" t="s">
        <v>27</v>
      </c>
      <c r="M1952" s="3" t="s">
        <v>27</v>
      </c>
      <c r="N1952" s="3" t="s">
        <v>27</v>
      </c>
      <c r="O1952" s="3" t="s">
        <v>27</v>
      </c>
      <c r="P1952" s="3" t="s">
        <v>27</v>
      </c>
      <c r="Q1952" s="3" t="s">
        <v>27</v>
      </c>
      <c r="R1952" s="3" t="s">
        <v>27</v>
      </c>
      <c r="S1952" s="3" t="s">
        <v>27</v>
      </c>
      <c r="T1952" s="3" t="s">
        <v>27</v>
      </c>
    </row>
    <row r="1953" spans="1:20" ht="259.5">
      <c r="A1953" s="3">
        <v>2707548</v>
      </c>
      <c r="B1953" s="3">
        <f>HYPERLINK("https://platform.v2.vetology.net/cases/2707548/screening-report/6?type=pdf&amp;v=v6&amp;scorecard=1&amp;secret_key=BX%25IJ%24%2F65ieZ%29f6", 2707548)</f>
        <v>2707548</v>
      </c>
      <c r="C1953" s="3">
        <f>HYPERLINK("https://platform.v2.vetology.net/report/v/final/"&amp;2707548, 2707548)</f>
        <v>2707548</v>
      </c>
      <c r="D1953" s="3" t="s">
        <v>6829</v>
      </c>
      <c r="E1953" s="3" t="s">
        <v>6830</v>
      </c>
      <c r="F1953" s="3" t="s">
        <v>6831</v>
      </c>
      <c r="G1953" s="3" t="s">
        <v>186</v>
      </c>
      <c r="H1953" s="3" t="s">
        <v>135</v>
      </c>
      <c r="I1953" s="3" t="s">
        <v>136</v>
      </c>
      <c r="J1953" s="3" t="s">
        <v>424</v>
      </c>
      <c r="K1953" s="3" t="s">
        <v>28</v>
      </c>
      <c r="L1953" s="3" t="s">
        <v>28</v>
      </c>
      <c r="M1953" s="3" t="s">
        <v>28</v>
      </c>
      <c r="N1953" s="3" t="s">
        <v>28</v>
      </c>
      <c r="O1953" s="3" t="s">
        <v>27</v>
      </c>
      <c r="P1953" s="3" t="s">
        <v>28</v>
      </c>
      <c r="Q1953" s="3" t="s">
        <v>27</v>
      </c>
      <c r="R1953" s="3" t="s">
        <v>28</v>
      </c>
      <c r="S1953" s="3" t="s">
        <v>28</v>
      </c>
      <c r="T1953" s="3" t="s">
        <v>27</v>
      </c>
    </row>
    <row r="1954" spans="1:20" ht="229.5">
      <c r="A1954" s="3">
        <v>2707547</v>
      </c>
      <c r="B1954" s="3">
        <f>HYPERLINK("https://platform.v2.vetology.net/cases/2707547/screening-report/6?type=pdf&amp;v=v6&amp;scorecard=1&amp;secret_key=BX%25IJ%24%2F65ieZ%29f6", 2707547)</f>
        <v>2707547</v>
      </c>
      <c r="C1954" s="3">
        <f>HYPERLINK("https://platform.v2.vetology.net/report/v/final/"&amp;2707547, 2707547)</f>
        <v>2707547</v>
      </c>
      <c r="D1954" s="3" t="s">
        <v>6832</v>
      </c>
      <c r="E1954" s="3" t="s">
        <v>6833</v>
      </c>
      <c r="F1954" s="3" t="s">
        <v>6821</v>
      </c>
      <c r="G1954" s="3" t="s">
        <v>186</v>
      </c>
      <c r="H1954" s="3" t="s">
        <v>300</v>
      </c>
      <c r="I1954" s="3" t="s">
        <v>129</v>
      </c>
      <c r="J1954" s="3" t="s">
        <v>119</v>
      </c>
      <c r="K1954" s="3" t="s">
        <v>28</v>
      </c>
      <c r="L1954" s="3" t="s">
        <v>28</v>
      </c>
      <c r="M1954" s="3" t="s">
        <v>28</v>
      </c>
      <c r="N1954" s="3" t="s">
        <v>28</v>
      </c>
      <c r="O1954" s="3" t="s">
        <v>27</v>
      </c>
      <c r="P1954" s="3" t="s">
        <v>28</v>
      </c>
      <c r="Q1954" s="3" t="s">
        <v>28</v>
      </c>
      <c r="R1954" s="3" t="s">
        <v>28</v>
      </c>
      <c r="S1954" s="3" t="s">
        <v>28</v>
      </c>
      <c r="T1954" s="3" t="s">
        <v>28</v>
      </c>
    </row>
    <row r="1955" spans="1:20" ht="409.6">
      <c r="A1955" s="3">
        <v>2707535</v>
      </c>
      <c r="B1955" s="3">
        <f>HYPERLINK("https://platform.v2.vetology.net/cases/2707535/screening-report/6?type=pdf&amp;v=v6&amp;scorecard=1&amp;secret_key=BX%25IJ%24%2F65ieZ%29f6", 2707535)</f>
        <v>2707535</v>
      </c>
      <c r="C1955" s="3">
        <f>HYPERLINK("https://platform.v2.vetology.net/report/v/final/"&amp;2707535, 2707535)</f>
        <v>2707535</v>
      </c>
      <c r="D1955" s="3" t="s">
        <v>2158</v>
      </c>
      <c r="E1955" s="3" t="s">
        <v>1230</v>
      </c>
      <c r="F1955" s="3" t="s">
        <v>2159</v>
      </c>
      <c r="G1955" s="3" t="s">
        <v>100</v>
      </c>
      <c r="H1955" s="3" t="s">
        <v>5099</v>
      </c>
      <c r="I1955" s="3" t="s">
        <v>2825</v>
      </c>
      <c r="J1955" s="3" t="s">
        <v>2826</v>
      </c>
      <c r="K1955" s="3" t="s">
        <v>27</v>
      </c>
      <c r="L1955" s="3" t="s">
        <v>28</v>
      </c>
      <c r="M1955" s="3" t="s">
        <v>27</v>
      </c>
      <c r="N1955" s="3" t="s">
        <v>28</v>
      </c>
      <c r="O1955" s="3" t="s">
        <v>27</v>
      </c>
      <c r="P1955" s="3" t="s">
        <v>28</v>
      </c>
      <c r="Q1955" s="3" t="s">
        <v>27</v>
      </c>
      <c r="R1955" s="3" t="s">
        <v>28</v>
      </c>
      <c r="S1955" s="3" t="s">
        <v>28</v>
      </c>
      <c r="T1955" s="3" t="s">
        <v>28</v>
      </c>
    </row>
    <row r="1956" spans="1:20" ht="305.25">
      <c r="A1956" s="3">
        <v>2707530</v>
      </c>
      <c r="B1956" s="3">
        <f>HYPERLINK("https://platform.v2.vetology.net/cases/2707530/screening-report/6?type=pdf&amp;v=v6&amp;scorecard=1&amp;secret_key=BX%25IJ%24%2F65ieZ%29f6", 2707530)</f>
        <v>2707530</v>
      </c>
      <c r="C1956" s="3">
        <f>HYPERLINK("https://platform.v2.vetology.net/report/v/final/"&amp;2707530, 2707530)</f>
        <v>2707530</v>
      </c>
      <c r="D1956" s="3" t="s">
        <v>6834</v>
      </c>
      <c r="E1956" s="3" t="s">
        <v>6835</v>
      </c>
      <c r="F1956" s="3" t="s">
        <v>22</v>
      </c>
      <c r="G1956" s="3" t="s">
        <v>100</v>
      </c>
      <c r="H1956" s="3" t="s">
        <v>6836</v>
      </c>
      <c r="I1956" s="3" t="s">
        <v>1803</v>
      </c>
      <c r="J1956" s="3" t="s">
        <v>1804</v>
      </c>
      <c r="K1956" s="3" t="s">
        <v>28</v>
      </c>
      <c r="L1956" s="3" t="s">
        <v>28</v>
      </c>
      <c r="M1956" s="3" t="s">
        <v>28</v>
      </c>
      <c r="N1956" s="3" t="s">
        <v>28</v>
      </c>
      <c r="O1956" s="3" t="s">
        <v>27</v>
      </c>
      <c r="P1956" s="3" t="s">
        <v>28</v>
      </c>
      <c r="Q1956" s="3" t="s">
        <v>28</v>
      </c>
      <c r="R1956" s="3" t="s">
        <v>27</v>
      </c>
      <c r="S1956" s="3" t="s">
        <v>27</v>
      </c>
      <c r="T1956" s="3" t="s">
        <v>27</v>
      </c>
    </row>
    <row r="1957" spans="1:20" ht="409.6">
      <c r="A1957" s="3">
        <v>2707511</v>
      </c>
      <c r="B1957" s="3">
        <f>HYPERLINK("https://platform.v2.vetology.net/cases/2707511/screening-report/6?type=pdf&amp;v=v6&amp;scorecard=1&amp;secret_key=BX%25IJ%24%2F65ieZ%29f6", 2707511)</f>
        <v>2707511</v>
      </c>
      <c r="C1957" s="3">
        <f>HYPERLINK("https://platform.v2.vetology.net/report/v/final/"&amp;2707511, 2707511)</f>
        <v>2707511</v>
      </c>
      <c r="D1957" s="3" t="s">
        <v>6837</v>
      </c>
      <c r="E1957" s="3" t="s">
        <v>6838</v>
      </c>
      <c r="F1957" s="3" t="s">
        <v>1049</v>
      </c>
      <c r="G1957" s="3" t="s">
        <v>100</v>
      </c>
      <c r="H1957" s="3" t="s">
        <v>6839</v>
      </c>
      <c r="I1957" s="3" t="s">
        <v>1051</v>
      </c>
      <c r="J1957" s="3" t="s">
        <v>1052</v>
      </c>
      <c r="K1957" s="3" t="s">
        <v>27</v>
      </c>
      <c r="L1957" s="3" t="s">
        <v>27</v>
      </c>
      <c r="M1957" s="3" t="s">
        <v>27</v>
      </c>
      <c r="N1957" s="3" t="s">
        <v>27</v>
      </c>
      <c r="O1957" s="3" t="s">
        <v>27</v>
      </c>
      <c r="P1957" s="3" t="s">
        <v>28</v>
      </c>
      <c r="Q1957" s="3" t="s">
        <v>27</v>
      </c>
      <c r="R1957" s="3" t="s">
        <v>27</v>
      </c>
      <c r="S1957" s="3" t="s">
        <v>27</v>
      </c>
      <c r="T1957" s="3" t="s">
        <v>28</v>
      </c>
    </row>
    <row r="1958" spans="1:20" ht="409.6">
      <c r="A1958" s="3">
        <v>2707490</v>
      </c>
      <c r="B1958" s="3">
        <f>HYPERLINK("https://platform.v2.vetology.net/cases/2707490/screening-report/6?type=pdf&amp;v=v6&amp;scorecard=1&amp;secret_key=BX%25IJ%24%2F65ieZ%29f6", 2707490)</f>
        <v>2707490</v>
      </c>
      <c r="C1958" s="3">
        <f>HYPERLINK("https://platform.v2.vetology.net/report/v/final/"&amp;2707490, 2707490)</f>
        <v>2707490</v>
      </c>
      <c r="D1958" s="3" t="s">
        <v>6840</v>
      </c>
      <c r="E1958" s="3" t="s">
        <v>6841</v>
      </c>
      <c r="F1958" s="3" t="s">
        <v>6842</v>
      </c>
      <c r="G1958" s="3" t="s">
        <v>64</v>
      </c>
      <c r="H1958" s="3" t="s">
        <v>6843</v>
      </c>
      <c r="I1958" s="3" t="s">
        <v>6844</v>
      </c>
      <c r="J1958" s="3" t="s">
        <v>6845</v>
      </c>
      <c r="K1958" s="3" t="s">
        <v>28</v>
      </c>
      <c r="L1958" s="3" t="s">
        <v>28</v>
      </c>
      <c r="M1958" s="3" t="s">
        <v>28</v>
      </c>
      <c r="N1958" s="3" t="s">
        <v>28</v>
      </c>
      <c r="O1958" s="3" t="s">
        <v>28</v>
      </c>
      <c r="P1958" s="3" t="s">
        <v>27</v>
      </c>
      <c r="Q1958" s="3" t="s">
        <v>28</v>
      </c>
      <c r="R1958" s="3" t="s">
        <v>28</v>
      </c>
      <c r="S1958" s="3" t="s">
        <v>28</v>
      </c>
      <c r="T1958" s="3" t="s">
        <v>28</v>
      </c>
    </row>
    <row r="1959" spans="1:20" ht="409.6">
      <c r="A1959" s="3">
        <v>2707469</v>
      </c>
      <c r="B1959" s="3">
        <f>HYPERLINK("https://platform.v2.vetology.net/cases/2707469/screening-report/6?type=pdf&amp;v=v6&amp;scorecard=1&amp;secret_key=BX%25IJ%24%2F65ieZ%29f6", 2707469)</f>
        <v>2707469</v>
      </c>
      <c r="C1959" s="3">
        <f>HYPERLINK("https://platform.v2.vetology.net/report/v/final/"&amp;2707469, 2707469)</f>
        <v>2707469</v>
      </c>
      <c r="D1959" s="3" t="s">
        <v>6846</v>
      </c>
      <c r="E1959" s="3" t="s">
        <v>6847</v>
      </c>
      <c r="F1959" s="3" t="s">
        <v>6848</v>
      </c>
      <c r="G1959" s="3" t="s">
        <v>64</v>
      </c>
      <c r="H1959" s="3" t="s">
        <v>6782</v>
      </c>
      <c r="I1959" s="3" t="s">
        <v>351</v>
      </c>
      <c r="J1959" s="3" t="s">
        <v>352</v>
      </c>
      <c r="K1959" s="3" t="s">
        <v>28</v>
      </c>
      <c r="L1959" s="3" t="s">
        <v>28</v>
      </c>
      <c r="M1959" s="3" t="s">
        <v>28</v>
      </c>
      <c r="N1959" s="3" t="s">
        <v>28</v>
      </c>
      <c r="O1959" s="3" t="s">
        <v>28</v>
      </c>
      <c r="P1959" s="3" t="s">
        <v>28</v>
      </c>
      <c r="Q1959" s="3" t="s">
        <v>28</v>
      </c>
      <c r="R1959" s="3" t="s">
        <v>28</v>
      </c>
      <c r="S1959" s="3" t="s">
        <v>28</v>
      </c>
      <c r="T1959" s="3" t="s">
        <v>27</v>
      </c>
    </row>
    <row r="1960" spans="1:20" ht="409.6">
      <c r="A1960" s="3">
        <v>2707442</v>
      </c>
      <c r="B1960" s="3">
        <f>HYPERLINK("https://platform.v2.vetology.net/cases/2707442/screening-report/6?type=pdf&amp;v=v6&amp;scorecard=1&amp;secret_key=BX%25IJ%24%2F65ieZ%29f6", 2707442)</f>
        <v>2707442</v>
      </c>
      <c r="C1960" s="3">
        <f>HYPERLINK("https://platform.v2.vetology.net/report/v/final/"&amp;2707442, 2707442)</f>
        <v>2707442</v>
      </c>
      <c r="D1960" s="3" t="s">
        <v>6849</v>
      </c>
      <c r="E1960" s="3" t="s">
        <v>6850</v>
      </c>
      <c r="F1960" s="3" t="s">
        <v>6851</v>
      </c>
      <c r="G1960" s="3" t="s">
        <v>64</v>
      </c>
      <c r="H1960" s="3" t="s">
        <v>419</v>
      </c>
      <c r="I1960" s="3" t="s">
        <v>316</v>
      </c>
      <c r="J1960" s="3" t="s">
        <v>317</v>
      </c>
      <c r="K1960" s="3" t="s">
        <v>28</v>
      </c>
      <c r="L1960" s="3" t="s">
        <v>28</v>
      </c>
      <c r="M1960" s="3" t="s">
        <v>28</v>
      </c>
      <c r="N1960" s="3" t="s">
        <v>28</v>
      </c>
      <c r="O1960" s="3" t="s">
        <v>27</v>
      </c>
      <c r="P1960" s="3" t="s">
        <v>28</v>
      </c>
      <c r="Q1960" s="3" t="s">
        <v>28</v>
      </c>
      <c r="R1960" s="3" t="s">
        <v>28</v>
      </c>
      <c r="S1960" s="3" t="s">
        <v>28</v>
      </c>
      <c r="T1960" s="3" t="s">
        <v>28</v>
      </c>
    </row>
    <row r="1961" spans="1:20" ht="409.6">
      <c r="A1961" s="3">
        <v>2707400</v>
      </c>
      <c r="B1961" s="3">
        <f>HYPERLINK("https://platform.v2.vetology.net/cases/2707400/screening-report/6?type=pdf&amp;v=v6&amp;scorecard=1&amp;secret_key=BX%25IJ%24%2F65ieZ%29f6", 2707400)</f>
        <v>2707400</v>
      </c>
      <c r="C1961" s="3">
        <f>HYPERLINK("https://platform.v2.vetology.net/report/v/final/"&amp;2707400, 2707400)</f>
        <v>2707400</v>
      </c>
      <c r="D1961" s="3" t="s">
        <v>6852</v>
      </c>
      <c r="E1961" s="3" t="s">
        <v>6853</v>
      </c>
      <c r="F1961" s="3" t="s">
        <v>6854</v>
      </c>
      <c r="G1961" s="3" t="s">
        <v>64</v>
      </c>
      <c r="H1961" s="3" t="s">
        <v>6855</v>
      </c>
      <c r="I1961" s="3" t="s">
        <v>1430</v>
      </c>
      <c r="J1961" s="3" t="s">
        <v>1431</v>
      </c>
      <c r="K1961" s="3" t="s">
        <v>28</v>
      </c>
      <c r="L1961" s="3" t="s">
        <v>28</v>
      </c>
      <c r="M1961" s="3" t="s">
        <v>28</v>
      </c>
      <c r="N1961" s="3" t="s">
        <v>27</v>
      </c>
      <c r="O1961" s="3" t="s">
        <v>27</v>
      </c>
      <c r="P1961" s="3" t="s">
        <v>28</v>
      </c>
      <c r="Q1961" s="3" t="s">
        <v>28</v>
      </c>
      <c r="R1961" s="3" t="s">
        <v>28</v>
      </c>
      <c r="S1961" s="3" t="s">
        <v>28</v>
      </c>
      <c r="T1961" s="3" t="s">
        <v>28</v>
      </c>
    </row>
    <row r="1962" spans="1:20" ht="409.6">
      <c r="A1962" s="3">
        <v>2707399</v>
      </c>
      <c r="B1962" s="3">
        <f>HYPERLINK("https://platform.v2.vetology.net/cases/2707399/screening-report/6?type=pdf&amp;v=v6&amp;scorecard=1&amp;secret_key=BX%25IJ%24%2F65ieZ%29f6", 2707399)</f>
        <v>2707399</v>
      </c>
      <c r="C1962" s="3">
        <f>HYPERLINK("https://platform.v2.vetology.net/report/v/final/"&amp;2707399, 2707399)</f>
        <v>2707399</v>
      </c>
      <c r="D1962" s="3" t="s">
        <v>6856</v>
      </c>
      <c r="E1962" s="3" t="s">
        <v>6857</v>
      </c>
      <c r="F1962" s="3" t="s">
        <v>6858</v>
      </c>
      <c r="G1962" s="3" t="s">
        <v>211</v>
      </c>
      <c r="H1962" s="3" t="s">
        <v>6859</v>
      </c>
      <c r="I1962" s="3" t="s">
        <v>667</v>
      </c>
      <c r="J1962" s="3" t="s">
        <v>668</v>
      </c>
      <c r="K1962" s="3" t="s">
        <v>28</v>
      </c>
      <c r="L1962" s="3" t="s">
        <v>28</v>
      </c>
      <c r="M1962" s="3" t="s">
        <v>28</v>
      </c>
      <c r="N1962" s="3" t="s">
        <v>28</v>
      </c>
      <c r="O1962" s="3" t="s">
        <v>28</v>
      </c>
      <c r="P1962" s="3" t="s">
        <v>28</v>
      </c>
      <c r="Q1962" s="3" t="s">
        <v>28</v>
      </c>
      <c r="R1962" s="3" t="s">
        <v>28</v>
      </c>
      <c r="S1962" s="3" t="s">
        <v>27</v>
      </c>
      <c r="T1962" s="3" t="s">
        <v>27</v>
      </c>
    </row>
    <row r="1963" spans="1:20" ht="366">
      <c r="A1963" s="3">
        <v>2707396</v>
      </c>
      <c r="B1963" s="3">
        <f>HYPERLINK("https://platform.v2.vetology.net/cases/2707396/screening-report/6?type=pdf&amp;v=v6&amp;scorecard=1&amp;secret_key=BX%25IJ%24%2F65ieZ%29f6", 2707396)</f>
        <v>2707396</v>
      </c>
      <c r="C1963" s="3">
        <f>HYPERLINK("https://platform.v2.vetology.net/report/v/final/"&amp;2707396, 2707396)</f>
        <v>2707396</v>
      </c>
      <c r="D1963" s="3" t="s">
        <v>6860</v>
      </c>
      <c r="E1963" s="3" t="s">
        <v>6861</v>
      </c>
      <c r="F1963" s="3" t="s">
        <v>6862</v>
      </c>
      <c r="G1963" s="3" t="s">
        <v>186</v>
      </c>
      <c r="H1963" s="3" t="s">
        <v>3881</v>
      </c>
      <c r="I1963" s="3" t="s">
        <v>2432</v>
      </c>
      <c r="J1963" s="3" t="s">
        <v>2433</v>
      </c>
      <c r="K1963" s="3" t="s">
        <v>27</v>
      </c>
      <c r="L1963" s="3" t="s">
        <v>27</v>
      </c>
      <c r="M1963" s="3" t="s">
        <v>28</v>
      </c>
      <c r="N1963" s="3" t="s">
        <v>27</v>
      </c>
      <c r="O1963" s="3" t="s">
        <v>28</v>
      </c>
      <c r="P1963" s="3" t="s">
        <v>28</v>
      </c>
      <c r="Q1963" s="3" t="s">
        <v>27</v>
      </c>
      <c r="R1963" s="3" t="s">
        <v>27</v>
      </c>
      <c r="S1963" s="3" t="s">
        <v>27</v>
      </c>
      <c r="T1963" s="3" t="s">
        <v>27</v>
      </c>
    </row>
    <row r="1964" spans="1:20" ht="229.5">
      <c r="A1964" s="3">
        <v>2707384</v>
      </c>
      <c r="B1964" s="3">
        <f>HYPERLINK("https://platform.v2.vetology.net/cases/2707384/screening-report/6?type=pdf&amp;v=v6&amp;scorecard=1&amp;secret_key=BX%25IJ%24%2F65ieZ%29f6", 2707384)</f>
        <v>2707384</v>
      </c>
      <c r="C1964" s="3">
        <f>HYPERLINK("https://platform.v2.vetology.net/report/v/final/"&amp;2707384, 2707384)</f>
        <v>2707384</v>
      </c>
      <c r="D1964" s="3" t="s">
        <v>6863</v>
      </c>
      <c r="E1964" s="3" t="s">
        <v>294</v>
      </c>
      <c r="F1964" s="3" t="s">
        <v>22</v>
      </c>
      <c r="G1964" s="3" t="s">
        <v>23</v>
      </c>
      <c r="H1964" s="3" t="s">
        <v>1597</v>
      </c>
      <c r="I1964" s="3" t="s">
        <v>32</v>
      </c>
      <c r="J1964" s="3" t="s">
        <v>119</v>
      </c>
      <c r="K1964" s="3" t="s">
        <v>28</v>
      </c>
      <c r="L1964" s="3" t="s">
        <v>28</v>
      </c>
      <c r="M1964" s="3" t="s">
        <v>28</v>
      </c>
      <c r="N1964" s="3" t="s">
        <v>28</v>
      </c>
      <c r="O1964" s="3" t="s">
        <v>28</v>
      </c>
      <c r="P1964" s="3" t="s">
        <v>28</v>
      </c>
      <c r="Q1964" s="3" t="s">
        <v>28</v>
      </c>
      <c r="R1964" s="3" t="s">
        <v>28</v>
      </c>
      <c r="S1964" s="3" t="s">
        <v>28</v>
      </c>
      <c r="T1964" s="3" t="s">
        <v>28</v>
      </c>
    </row>
    <row r="1965" spans="1:20" ht="409.6">
      <c r="A1965" s="3">
        <v>2707373</v>
      </c>
      <c r="B1965" s="3">
        <f>HYPERLINK("https://platform.v2.vetology.net/cases/2707373/screening-report/6?type=pdf&amp;v=v6&amp;scorecard=1&amp;secret_key=BX%25IJ%24%2F65ieZ%29f6", 2707373)</f>
        <v>2707373</v>
      </c>
      <c r="C1965" s="3">
        <f>HYPERLINK("https://platform.v2.vetology.net/report/v/final/"&amp;2707373, 2707373)</f>
        <v>2707373</v>
      </c>
      <c r="D1965" s="3" t="s">
        <v>6864</v>
      </c>
      <c r="E1965" s="3" t="s">
        <v>6865</v>
      </c>
      <c r="F1965" s="3" t="s">
        <v>6866</v>
      </c>
      <c r="G1965" s="3" t="s">
        <v>64</v>
      </c>
      <c r="H1965" s="3" t="s">
        <v>6867</v>
      </c>
      <c r="I1965" s="3" t="s">
        <v>3187</v>
      </c>
      <c r="J1965" s="3" t="s">
        <v>154</v>
      </c>
      <c r="K1965" s="3" t="s">
        <v>27</v>
      </c>
      <c r="L1965" s="3" t="s">
        <v>27</v>
      </c>
      <c r="M1965" s="3" t="s">
        <v>27</v>
      </c>
      <c r="N1965" s="3" t="s">
        <v>28</v>
      </c>
      <c r="O1965" s="3" t="s">
        <v>27</v>
      </c>
      <c r="P1965" s="3" t="s">
        <v>28</v>
      </c>
      <c r="Q1965" s="3" t="s">
        <v>27</v>
      </c>
      <c r="R1965" s="3" t="s">
        <v>28</v>
      </c>
      <c r="S1965" s="3" t="s">
        <v>27</v>
      </c>
      <c r="T1965" s="3" t="s">
        <v>28</v>
      </c>
    </row>
    <row r="1966" spans="1:20" ht="244.5">
      <c r="A1966" s="3">
        <v>2707360</v>
      </c>
      <c r="B1966" s="3">
        <f>HYPERLINK("https://platform.v2.vetology.net/cases/2707360/screening-report/6?type=pdf&amp;v=v6&amp;scorecard=1&amp;secret_key=BX%25IJ%24%2F65ieZ%29f6", 2707360)</f>
        <v>2707360</v>
      </c>
      <c r="C1966" s="3">
        <f>HYPERLINK("https://platform.v2.vetology.net/report/v/final/"&amp;2707360, 2707360)</f>
        <v>2707360</v>
      </c>
      <c r="D1966" s="3" t="s">
        <v>6868</v>
      </c>
      <c r="E1966" s="3" t="s">
        <v>1690</v>
      </c>
      <c r="F1966" s="3"/>
      <c r="G1966" s="3" t="s">
        <v>100</v>
      </c>
      <c r="H1966" s="3" t="s">
        <v>2023</v>
      </c>
      <c r="I1966" s="3" t="s">
        <v>2024</v>
      </c>
      <c r="J1966" s="3" t="s">
        <v>207</v>
      </c>
      <c r="K1966" s="3" t="s">
        <v>28</v>
      </c>
      <c r="L1966" s="3" t="s">
        <v>28</v>
      </c>
      <c r="M1966" s="3" t="s">
        <v>28</v>
      </c>
      <c r="N1966" s="3" t="s">
        <v>28</v>
      </c>
      <c r="O1966" s="3" t="s">
        <v>27</v>
      </c>
      <c r="P1966" s="3" t="s">
        <v>28</v>
      </c>
      <c r="Q1966" s="3" t="s">
        <v>28</v>
      </c>
      <c r="R1966" s="3" t="s">
        <v>28</v>
      </c>
      <c r="S1966" s="3" t="s">
        <v>28</v>
      </c>
      <c r="T1966" s="3" t="s">
        <v>28</v>
      </c>
    </row>
    <row r="1967" spans="1:20" ht="409.6">
      <c r="A1967" s="3">
        <v>2707356</v>
      </c>
      <c r="B1967" s="3">
        <f>HYPERLINK("https://platform.v2.vetology.net/cases/2707356/screening-report/6?type=pdf&amp;v=v6&amp;scorecard=1&amp;secret_key=BX%25IJ%24%2F65ieZ%29f6", 2707356)</f>
        <v>2707356</v>
      </c>
      <c r="C1967" s="3">
        <f>HYPERLINK("https://platform.v2.vetology.net/report/v/final/"&amp;2707356, 2707356)</f>
        <v>2707356</v>
      </c>
      <c r="D1967" s="3" t="s">
        <v>6869</v>
      </c>
      <c r="E1967" s="3" t="s">
        <v>6870</v>
      </c>
      <c r="F1967" s="3" t="s">
        <v>6871</v>
      </c>
      <c r="G1967" s="3" t="s">
        <v>64</v>
      </c>
      <c r="H1967" s="3" t="s">
        <v>6872</v>
      </c>
      <c r="I1967" s="3" t="s">
        <v>572</v>
      </c>
      <c r="J1967" s="3" t="s">
        <v>573</v>
      </c>
      <c r="K1967" s="3" t="s">
        <v>27</v>
      </c>
      <c r="L1967" s="3" t="s">
        <v>28</v>
      </c>
      <c r="M1967" s="3" t="s">
        <v>27</v>
      </c>
      <c r="N1967" s="3" t="s">
        <v>28</v>
      </c>
      <c r="O1967" s="3" t="s">
        <v>27</v>
      </c>
      <c r="P1967" s="3" t="s">
        <v>28</v>
      </c>
      <c r="Q1967" s="3" t="s">
        <v>28</v>
      </c>
      <c r="R1967" s="3" t="s">
        <v>28</v>
      </c>
      <c r="S1967" s="3" t="s">
        <v>28</v>
      </c>
      <c r="T1967" s="3" t="s">
        <v>28</v>
      </c>
    </row>
    <row r="1968" spans="1:20" ht="321">
      <c r="A1968" s="3">
        <v>2707337</v>
      </c>
      <c r="B1968" s="3">
        <f>HYPERLINK("https://platform.v2.vetology.net/cases/2707337/screening-report/6?type=pdf&amp;v=v6&amp;scorecard=1&amp;secret_key=BX%25IJ%24%2F65ieZ%29f6", 2707337)</f>
        <v>2707337</v>
      </c>
      <c r="C1968" s="3">
        <f>HYPERLINK("https://platform.v2.vetology.net/report/v/final/"&amp;2707337, 2707337)</f>
        <v>2707337</v>
      </c>
      <c r="D1968" s="3" t="s">
        <v>6873</v>
      </c>
      <c r="E1968" s="3" t="s">
        <v>6874</v>
      </c>
      <c r="F1968" s="3" t="s">
        <v>6875</v>
      </c>
      <c r="G1968" s="3" t="s">
        <v>211</v>
      </c>
      <c r="H1968" s="3" t="s">
        <v>702</v>
      </c>
      <c r="I1968" s="3" t="s">
        <v>32</v>
      </c>
      <c r="J1968" s="3" t="s">
        <v>119</v>
      </c>
      <c r="K1968" s="3" t="s">
        <v>28</v>
      </c>
      <c r="L1968" s="3" t="s">
        <v>28</v>
      </c>
      <c r="M1968" s="3" t="s">
        <v>28</v>
      </c>
      <c r="N1968" s="3" t="s">
        <v>28</v>
      </c>
      <c r="O1968" s="3" t="s">
        <v>27</v>
      </c>
      <c r="P1968" s="3" t="s">
        <v>28</v>
      </c>
      <c r="Q1968" s="3" t="s">
        <v>28</v>
      </c>
      <c r="R1968" s="3" t="s">
        <v>28</v>
      </c>
      <c r="S1968" s="3" t="s">
        <v>28</v>
      </c>
      <c r="T1968" s="3" t="s">
        <v>28</v>
      </c>
    </row>
    <row r="1969" spans="1:20" ht="409.6">
      <c r="A1969" s="3">
        <v>2707329</v>
      </c>
      <c r="B1969" s="3">
        <f>HYPERLINK("https://platform.v2.vetology.net/cases/2707329/screening-report/6?type=pdf&amp;v=v6&amp;scorecard=1&amp;secret_key=BX%25IJ%24%2F65ieZ%29f6", 2707329)</f>
        <v>2707329</v>
      </c>
      <c r="C1969" s="3">
        <f>HYPERLINK("https://platform.v2.vetology.net/report/v/final/"&amp;2707329, 2707329)</f>
        <v>2707329</v>
      </c>
      <c r="D1969" s="3" t="s">
        <v>6876</v>
      </c>
      <c r="E1969" s="3" t="s">
        <v>6877</v>
      </c>
      <c r="F1969" s="3" t="s">
        <v>6878</v>
      </c>
      <c r="G1969" s="3" t="s">
        <v>23</v>
      </c>
      <c r="H1969" s="3" t="s">
        <v>590</v>
      </c>
      <c r="I1969" s="3" t="s">
        <v>291</v>
      </c>
      <c r="J1969" s="3" t="s">
        <v>225</v>
      </c>
      <c r="K1969" s="3" t="s">
        <v>28</v>
      </c>
      <c r="L1969" s="3" t="s">
        <v>27</v>
      </c>
      <c r="M1969" s="3" t="s">
        <v>28</v>
      </c>
      <c r="N1969" s="3" t="s">
        <v>27</v>
      </c>
      <c r="O1969" s="3" t="s">
        <v>27</v>
      </c>
      <c r="P1969" s="3" t="s">
        <v>28</v>
      </c>
      <c r="Q1969" s="3" t="s">
        <v>27</v>
      </c>
      <c r="R1969" s="3" t="s">
        <v>28</v>
      </c>
      <c r="S1969" s="3" t="s">
        <v>28</v>
      </c>
      <c r="T1969" s="3" t="s">
        <v>27</v>
      </c>
    </row>
    <row r="1970" spans="1:20" ht="366">
      <c r="A1970" s="3">
        <v>2707278</v>
      </c>
      <c r="B1970" s="3">
        <f>HYPERLINK("https://platform.v2.vetology.net/cases/2707278/screening-report/6?type=pdf&amp;v=v6&amp;scorecard=1&amp;secret_key=BX%25IJ%24%2F65ieZ%29f6", 2707278)</f>
        <v>2707278</v>
      </c>
      <c r="C1970" s="3">
        <f>HYPERLINK("https://platform.v2.vetology.net/report/v/final/"&amp;2707278, 2707278)</f>
        <v>2707278</v>
      </c>
      <c r="D1970" s="3" t="s">
        <v>6879</v>
      </c>
      <c r="E1970" s="3" t="s">
        <v>6880</v>
      </c>
      <c r="F1970" s="3" t="s">
        <v>6881</v>
      </c>
      <c r="G1970" s="3" t="s">
        <v>23</v>
      </c>
      <c r="H1970" s="3" t="s">
        <v>2564</v>
      </c>
      <c r="I1970" s="3" t="s">
        <v>2565</v>
      </c>
      <c r="J1970" s="3" t="s">
        <v>2566</v>
      </c>
      <c r="K1970" s="3" t="s">
        <v>27</v>
      </c>
      <c r="L1970" s="3" t="s">
        <v>27</v>
      </c>
      <c r="M1970" s="3" t="s">
        <v>28</v>
      </c>
      <c r="N1970" s="3" t="s">
        <v>27</v>
      </c>
      <c r="O1970" s="3" t="s">
        <v>27</v>
      </c>
      <c r="P1970" s="3" t="s">
        <v>28</v>
      </c>
      <c r="Q1970" s="3" t="s">
        <v>27</v>
      </c>
      <c r="R1970" s="3" t="s">
        <v>27</v>
      </c>
      <c r="S1970" s="3" t="s">
        <v>27</v>
      </c>
      <c r="T1970" s="3" t="s">
        <v>27</v>
      </c>
    </row>
    <row r="1971" spans="1:20" ht="305.25">
      <c r="A1971" s="3">
        <v>2707200</v>
      </c>
      <c r="B1971" s="3">
        <f>HYPERLINK("https://platform.v2.vetology.net/cases/2707200/screening-report/6?type=pdf&amp;v=v6&amp;scorecard=1&amp;secret_key=BX%25IJ%24%2F65ieZ%29f6", 2707200)</f>
        <v>2707200</v>
      </c>
      <c r="C1971" s="3">
        <f>HYPERLINK("https://platform.v2.vetology.net/report/v/final/"&amp;2707200, 2707200)</f>
        <v>2707200</v>
      </c>
      <c r="D1971" s="3" t="s">
        <v>6882</v>
      </c>
      <c r="E1971" s="3" t="s">
        <v>6883</v>
      </c>
      <c r="F1971" s="3" t="s">
        <v>6884</v>
      </c>
      <c r="G1971" s="3" t="s">
        <v>23</v>
      </c>
      <c r="H1971" s="3" t="s">
        <v>31</v>
      </c>
      <c r="I1971" s="3" t="s">
        <v>32</v>
      </c>
      <c r="J1971" s="3" t="s">
        <v>33</v>
      </c>
      <c r="K1971" s="3" t="s">
        <v>28</v>
      </c>
      <c r="L1971" s="3" t="s">
        <v>28</v>
      </c>
      <c r="M1971" s="3" t="s">
        <v>28</v>
      </c>
      <c r="N1971" s="3" t="s">
        <v>28</v>
      </c>
      <c r="O1971" s="3" t="s">
        <v>28</v>
      </c>
      <c r="P1971" s="3" t="s">
        <v>28</v>
      </c>
      <c r="Q1971" s="3" t="s">
        <v>28</v>
      </c>
      <c r="R1971" s="3" t="s">
        <v>28</v>
      </c>
      <c r="S1971" s="3" t="s">
        <v>28</v>
      </c>
      <c r="T1971" s="3" t="s">
        <v>28</v>
      </c>
    </row>
    <row r="1972" spans="1:20" ht="381.75">
      <c r="A1972" s="3">
        <v>2707190</v>
      </c>
      <c r="B1972" s="3">
        <f>HYPERLINK("https://platform.v2.vetology.net/cases/2707190/screening-report/6?type=pdf&amp;v=v6&amp;scorecard=1&amp;secret_key=BX%25IJ%24%2F65ieZ%29f6", 2707190)</f>
        <v>2707190</v>
      </c>
      <c r="C1972" s="3">
        <f>HYPERLINK("https://platform.v2.vetology.net/report/v/final/"&amp;2707190, 2707190)</f>
        <v>2707190</v>
      </c>
      <c r="D1972" s="3" t="s">
        <v>6885</v>
      </c>
      <c r="E1972" s="3" t="s">
        <v>6886</v>
      </c>
      <c r="F1972" s="3" t="s">
        <v>609</v>
      </c>
      <c r="G1972" s="3" t="s">
        <v>179</v>
      </c>
      <c r="H1972" s="3" t="s">
        <v>6887</v>
      </c>
      <c r="I1972" s="3" t="s">
        <v>37</v>
      </c>
      <c r="J1972" s="3" t="s">
        <v>38</v>
      </c>
      <c r="K1972" s="3" t="s">
        <v>27</v>
      </c>
      <c r="L1972" s="3" t="s">
        <v>28</v>
      </c>
      <c r="M1972" s="3" t="s">
        <v>27</v>
      </c>
      <c r="N1972" s="3" t="s">
        <v>28</v>
      </c>
      <c r="O1972" s="3" t="s">
        <v>27</v>
      </c>
      <c r="P1972" s="3" t="s">
        <v>28</v>
      </c>
      <c r="Q1972" s="3" t="s">
        <v>28</v>
      </c>
      <c r="R1972" s="3" t="s">
        <v>28</v>
      </c>
      <c r="S1972" s="3" t="s">
        <v>28</v>
      </c>
      <c r="T1972" s="3" t="s">
        <v>28</v>
      </c>
    </row>
    <row r="1973" spans="1:20" ht="229.5">
      <c r="A1973" s="3">
        <v>2707157</v>
      </c>
      <c r="B1973" s="3">
        <f>HYPERLINK("https://platform.v2.vetology.net/cases/2707157/screening-report/6?type=pdf&amp;v=v6&amp;scorecard=1&amp;secret_key=BX%25IJ%24%2F65ieZ%29f6", 2707157)</f>
        <v>2707157</v>
      </c>
      <c r="C1973" s="3">
        <f>HYPERLINK("https://platform.v2.vetology.net/report/v/final/"&amp;2707157, 2707157)</f>
        <v>2707157</v>
      </c>
      <c r="D1973" s="3" t="s">
        <v>6888</v>
      </c>
      <c r="E1973" s="3" t="s">
        <v>6889</v>
      </c>
      <c r="F1973" s="3" t="s">
        <v>4198</v>
      </c>
      <c r="G1973" s="3" t="s">
        <v>211</v>
      </c>
      <c r="H1973" s="3" t="s">
        <v>31</v>
      </c>
      <c r="I1973" s="3" t="s">
        <v>32</v>
      </c>
      <c r="J1973" s="3" t="s">
        <v>119</v>
      </c>
      <c r="K1973" s="3" t="s">
        <v>28</v>
      </c>
      <c r="L1973" s="3" t="s">
        <v>28</v>
      </c>
      <c r="M1973" s="3" t="s">
        <v>28</v>
      </c>
      <c r="N1973" s="3" t="s">
        <v>28</v>
      </c>
      <c r="O1973" s="3" t="s">
        <v>28</v>
      </c>
      <c r="P1973" s="3" t="s">
        <v>28</v>
      </c>
      <c r="Q1973" s="3" t="s">
        <v>28</v>
      </c>
      <c r="R1973" s="3" t="s">
        <v>28</v>
      </c>
      <c r="S1973" s="3" t="s">
        <v>28</v>
      </c>
      <c r="T1973" s="3" t="s">
        <v>28</v>
      </c>
    </row>
    <row r="1974" spans="1:20" ht="409.6">
      <c r="A1974" s="3">
        <v>2707148</v>
      </c>
      <c r="B1974" s="3">
        <f>HYPERLINK("https://platform.v2.vetology.net/cases/2707148/screening-report/6?type=pdf&amp;v=v6&amp;scorecard=1&amp;secret_key=BX%25IJ%24%2F65ieZ%29f6", 2707148)</f>
        <v>2707148</v>
      </c>
      <c r="C1974" s="3">
        <f>HYPERLINK("https://platform.v2.vetology.net/report/v/final/"&amp;2707148, 2707148)</f>
        <v>2707148</v>
      </c>
      <c r="D1974" s="3" t="s">
        <v>6890</v>
      </c>
      <c r="E1974" s="3" t="s">
        <v>6891</v>
      </c>
      <c r="F1974" s="3" t="s">
        <v>6892</v>
      </c>
      <c r="G1974" s="3" t="s">
        <v>186</v>
      </c>
      <c r="H1974" s="3" t="s">
        <v>683</v>
      </c>
      <c r="I1974" s="3" t="s">
        <v>32</v>
      </c>
      <c r="J1974" s="3" t="s">
        <v>578</v>
      </c>
      <c r="K1974" s="3" t="s">
        <v>28</v>
      </c>
      <c r="L1974" s="3" t="s">
        <v>28</v>
      </c>
      <c r="M1974" s="3" t="s">
        <v>28</v>
      </c>
      <c r="N1974" s="3" t="s">
        <v>28</v>
      </c>
      <c r="O1974" s="3" t="s">
        <v>27</v>
      </c>
      <c r="P1974" s="3" t="s">
        <v>28</v>
      </c>
      <c r="Q1974" s="3" t="s">
        <v>27</v>
      </c>
      <c r="R1974" s="3" t="s">
        <v>28</v>
      </c>
      <c r="S1974" s="3" t="s">
        <v>28</v>
      </c>
      <c r="T1974" s="3" t="s">
        <v>28</v>
      </c>
    </row>
    <row r="1975" spans="1:20" ht="275.25">
      <c r="A1975" s="3">
        <v>2707102</v>
      </c>
      <c r="B1975" s="3">
        <f>HYPERLINK("https://platform.v2.vetology.net/cases/2707102/screening-report/6?type=pdf&amp;v=v6&amp;scorecard=1&amp;secret_key=BX%25IJ%24%2F65ieZ%29f6", 2707102)</f>
        <v>2707102</v>
      </c>
      <c r="C1975" s="3">
        <f>HYPERLINK("https://platform.v2.vetology.net/report/v/final/"&amp;2707102, 2707102)</f>
        <v>2707102</v>
      </c>
      <c r="D1975" s="3" t="s">
        <v>6893</v>
      </c>
      <c r="E1975" s="3" t="s">
        <v>6894</v>
      </c>
      <c r="F1975" s="3" t="s">
        <v>22</v>
      </c>
      <c r="G1975" s="3" t="s">
        <v>100</v>
      </c>
      <c r="H1975" s="3" t="s">
        <v>6895</v>
      </c>
      <c r="I1975" s="3" t="s">
        <v>291</v>
      </c>
      <c r="J1975" s="3" t="s">
        <v>225</v>
      </c>
      <c r="K1975" s="3" t="s">
        <v>28</v>
      </c>
      <c r="L1975" s="3" t="s">
        <v>27</v>
      </c>
      <c r="M1975" s="3" t="s">
        <v>28</v>
      </c>
      <c r="N1975" s="3" t="s">
        <v>28</v>
      </c>
      <c r="O1975" s="3" t="s">
        <v>27</v>
      </c>
      <c r="P1975" s="3" t="s">
        <v>28</v>
      </c>
      <c r="Q1975" s="3" t="s">
        <v>28</v>
      </c>
      <c r="R1975" s="3" t="s">
        <v>27</v>
      </c>
      <c r="S1975" s="3" t="s">
        <v>28</v>
      </c>
      <c r="T1975" s="3" t="s">
        <v>27</v>
      </c>
    </row>
    <row r="1976" spans="1:20" ht="366">
      <c r="A1976" s="3">
        <v>2707097</v>
      </c>
      <c r="B1976" s="3">
        <f>HYPERLINK("https://platform.v2.vetology.net/cases/2707097/screening-report/6?type=pdf&amp;v=v6&amp;scorecard=1&amp;secret_key=BX%25IJ%24%2F65ieZ%29f6", 2707097)</f>
        <v>2707097</v>
      </c>
      <c r="C1976" s="3">
        <f>HYPERLINK("https://platform.v2.vetology.net/report/v/final/"&amp;2707097, 2707097)</f>
        <v>2707097</v>
      </c>
      <c r="D1976" s="3" t="s">
        <v>6896</v>
      </c>
      <c r="E1976" s="3" t="s">
        <v>6897</v>
      </c>
      <c r="F1976" s="3" t="s">
        <v>6898</v>
      </c>
      <c r="G1976" s="3" t="s">
        <v>186</v>
      </c>
      <c r="H1976" s="3" t="s">
        <v>6899</v>
      </c>
      <c r="I1976" s="3" t="s">
        <v>6900</v>
      </c>
      <c r="J1976" s="3" t="s">
        <v>6901</v>
      </c>
      <c r="K1976" s="3" t="s">
        <v>27</v>
      </c>
      <c r="L1976" s="3" t="s">
        <v>28</v>
      </c>
      <c r="M1976" s="3" t="s">
        <v>27</v>
      </c>
      <c r="N1976" s="3" t="s">
        <v>28</v>
      </c>
      <c r="O1976" s="3" t="s">
        <v>27</v>
      </c>
      <c r="P1976" s="3" t="s">
        <v>28</v>
      </c>
      <c r="Q1976" s="3" t="s">
        <v>27</v>
      </c>
      <c r="R1976" s="3" t="s">
        <v>28</v>
      </c>
      <c r="S1976" s="3" t="s">
        <v>28</v>
      </c>
      <c r="T1976" s="3" t="s">
        <v>28</v>
      </c>
    </row>
    <row r="1977" spans="1:20" ht="366">
      <c r="A1977" s="3">
        <v>2707094</v>
      </c>
      <c r="B1977" s="3">
        <f>HYPERLINK("https://platform.v2.vetology.net/cases/2707094/screening-report/6?type=pdf&amp;v=v6&amp;scorecard=1&amp;secret_key=BX%25IJ%24%2F65ieZ%29f6", 2707094)</f>
        <v>2707094</v>
      </c>
      <c r="C1977" s="3">
        <f>HYPERLINK("https://platform.v2.vetology.net/report/v/final/"&amp;2707094, 2707094)</f>
        <v>2707094</v>
      </c>
      <c r="D1977" s="3" t="s">
        <v>6902</v>
      </c>
      <c r="E1977" s="3" t="s">
        <v>6903</v>
      </c>
      <c r="F1977" s="3" t="s">
        <v>1377</v>
      </c>
      <c r="G1977" s="3" t="s">
        <v>186</v>
      </c>
      <c r="H1977" s="3" t="s">
        <v>6904</v>
      </c>
      <c r="I1977" s="3" t="s">
        <v>6905</v>
      </c>
      <c r="J1977" s="3" t="s">
        <v>6906</v>
      </c>
      <c r="K1977" s="3" t="s">
        <v>28</v>
      </c>
      <c r="L1977" s="3" t="s">
        <v>28</v>
      </c>
      <c r="M1977" s="3" t="s">
        <v>28</v>
      </c>
      <c r="N1977" s="3" t="s">
        <v>28</v>
      </c>
      <c r="O1977" s="3" t="s">
        <v>27</v>
      </c>
      <c r="P1977" s="3" t="s">
        <v>28</v>
      </c>
      <c r="Q1977" s="3" t="s">
        <v>28</v>
      </c>
      <c r="R1977" s="3" t="s">
        <v>28</v>
      </c>
      <c r="S1977" s="3" t="s">
        <v>28</v>
      </c>
      <c r="T1977" s="3" t="s">
        <v>28</v>
      </c>
    </row>
    <row r="1978" spans="1:20" ht="366">
      <c r="A1978" s="3">
        <v>2707062</v>
      </c>
      <c r="B1978" s="3">
        <f>HYPERLINK("https://platform.v2.vetology.net/cases/2707062/screening-report/6?type=pdf&amp;v=v6&amp;scorecard=1&amp;secret_key=BX%25IJ%24%2F65ieZ%29f6", 2707062)</f>
        <v>2707062</v>
      </c>
      <c r="C1978" s="3">
        <f>HYPERLINK("https://platform.v2.vetology.net/report/v/final/"&amp;2707062, 2707062)</f>
        <v>2707062</v>
      </c>
      <c r="D1978" s="3" t="s">
        <v>6907</v>
      </c>
      <c r="E1978" s="3" t="s">
        <v>6908</v>
      </c>
      <c r="F1978" s="3"/>
      <c r="G1978" s="3" t="s">
        <v>100</v>
      </c>
      <c r="H1978" s="3" t="s">
        <v>6909</v>
      </c>
      <c r="I1978" s="3" t="s">
        <v>1483</v>
      </c>
      <c r="J1978" s="3" t="s">
        <v>5778</v>
      </c>
      <c r="K1978" s="3" t="s">
        <v>28</v>
      </c>
      <c r="L1978" s="3" t="s">
        <v>28</v>
      </c>
      <c r="M1978" s="3" t="s">
        <v>27</v>
      </c>
      <c r="N1978" s="3" t="s">
        <v>28</v>
      </c>
      <c r="O1978" s="3" t="s">
        <v>27</v>
      </c>
      <c r="P1978" s="3" t="s">
        <v>28</v>
      </c>
      <c r="Q1978" s="3" t="s">
        <v>28</v>
      </c>
      <c r="R1978" s="3" t="s">
        <v>28</v>
      </c>
      <c r="S1978" s="3" t="s">
        <v>28</v>
      </c>
      <c r="T1978" s="3" t="s">
        <v>28</v>
      </c>
    </row>
    <row r="1979" spans="1:20" ht="244.5">
      <c r="A1979" s="3">
        <v>2707057</v>
      </c>
      <c r="B1979" s="3">
        <f>HYPERLINK("https://platform.v2.vetology.net/cases/2707057/screening-report/6?type=pdf&amp;v=v6&amp;scorecard=1&amp;secret_key=BX%25IJ%24%2F65ieZ%29f6", 2707057)</f>
        <v>2707057</v>
      </c>
      <c r="C1979" s="3">
        <f>HYPERLINK("https://platform.v2.vetology.net/report/v/final/"&amp;2707057, 2707057)</f>
        <v>2707057</v>
      </c>
      <c r="D1979" s="3" t="s">
        <v>6910</v>
      </c>
      <c r="E1979" s="3" t="s">
        <v>6911</v>
      </c>
      <c r="F1979" s="3" t="s">
        <v>6912</v>
      </c>
      <c r="G1979" s="3" t="s">
        <v>186</v>
      </c>
      <c r="H1979" s="3" t="s">
        <v>6913</v>
      </c>
      <c r="I1979" s="3" t="s">
        <v>4827</v>
      </c>
      <c r="J1979" s="3" t="s">
        <v>4700</v>
      </c>
      <c r="K1979" s="3" t="s">
        <v>27</v>
      </c>
      <c r="L1979" s="3" t="s">
        <v>28</v>
      </c>
      <c r="M1979" s="3" t="s">
        <v>27</v>
      </c>
      <c r="N1979" s="3" t="s">
        <v>28</v>
      </c>
      <c r="O1979" s="3" t="s">
        <v>27</v>
      </c>
      <c r="P1979" s="3" t="s">
        <v>28</v>
      </c>
      <c r="Q1979" s="3" t="s">
        <v>28</v>
      </c>
      <c r="R1979" s="3" t="s">
        <v>28</v>
      </c>
      <c r="S1979" s="3" t="s">
        <v>28</v>
      </c>
      <c r="T1979" s="3" t="s">
        <v>28</v>
      </c>
    </row>
    <row r="1980" spans="1:20" ht="409.6">
      <c r="A1980" s="3">
        <v>2707050</v>
      </c>
      <c r="B1980" s="3">
        <f>HYPERLINK("https://platform.v2.vetology.net/cases/2707050/screening-report/6?type=pdf&amp;v=v6&amp;scorecard=1&amp;secret_key=BX%25IJ%24%2F65ieZ%29f6", 2707050)</f>
        <v>2707050</v>
      </c>
      <c r="C1980" s="3">
        <f>HYPERLINK("https://platform.v2.vetology.net/report/v/final/"&amp;2707050, 2707050)</f>
        <v>2707050</v>
      </c>
      <c r="D1980" s="3" t="s">
        <v>6914</v>
      </c>
      <c r="E1980" s="3" t="s">
        <v>6915</v>
      </c>
      <c r="F1980" s="3" t="s">
        <v>6916</v>
      </c>
      <c r="G1980" s="3" t="s">
        <v>186</v>
      </c>
      <c r="H1980" s="3" t="s">
        <v>6917</v>
      </c>
      <c r="I1980" s="3" t="s">
        <v>147</v>
      </c>
      <c r="J1980" s="3" t="s">
        <v>148</v>
      </c>
      <c r="K1980" s="3" t="s">
        <v>28</v>
      </c>
      <c r="L1980" s="3" t="s">
        <v>28</v>
      </c>
      <c r="M1980" s="3" t="s">
        <v>28</v>
      </c>
      <c r="N1980" s="3" t="s">
        <v>28</v>
      </c>
      <c r="O1980" s="3" t="s">
        <v>27</v>
      </c>
      <c r="P1980" s="3" t="s">
        <v>28</v>
      </c>
      <c r="Q1980" s="3" t="s">
        <v>28</v>
      </c>
      <c r="R1980" s="3" t="s">
        <v>28</v>
      </c>
      <c r="S1980" s="3" t="s">
        <v>28</v>
      </c>
      <c r="T1980" s="3" t="s">
        <v>28</v>
      </c>
    </row>
    <row r="1981" spans="1:20" ht="409.6">
      <c r="A1981" s="3">
        <v>2707018</v>
      </c>
      <c r="B1981" s="3">
        <f>HYPERLINK("https://platform.v2.vetology.net/cases/2707018/screening-report/6?type=pdf&amp;v=v6&amp;scorecard=1&amp;secret_key=BX%25IJ%24%2F65ieZ%29f6", 2707018)</f>
        <v>2707018</v>
      </c>
      <c r="C1981" s="3">
        <f>HYPERLINK("https://platform.v2.vetology.net/report/v/final/"&amp;2707018, 2707018)</f>
        <v>2707018</v>
      </c>
      <c r="D1981" s="3" t="s">
        <v>6918</v>
      </c>
      <c r="E1981" s="3" t="s">
        <v>6919</v>
      </c>
      <c r="F1981" s="3" t="s">
        <v>6920</v>
      </c>
      <c r="G1981" s="3" t="s">
        <v>186</v>
      </c>
      <c r="H1981" s="3" t="s">
        <v>6921</v>
      </c>
      <c r="I1981" s="3" t="s">
        <v>1497</v>
      </c>
      <c r="J1981" s="3" t="s">
        <v>1340</v>
      </c>
      <c r="K1981" s="3" t="s">
        <v>28</v>
      </c>
      <c r="L1981" s="3" t="s">
        <v>28</v>
      </c>
      <c r="M1981" s="3" t="s">
        <v>28</v>
      </c>
      <c r="N1981" s="3" t="s">
        <v>28</v>
      </c>
      <c r="O1981" s="3" t="s">
        <v>27</v>
      </c>
      <c r="P1981" s="3" t="s">
        <v>28</v>
      </c>
      <c r="Q1981" s="3" t="s">
        <v>28</v>
      </c>
      <c r="R1981" s="3" t="s">
        <v>28</v>
      </c>
      <c r="S1981" s="3" t="s">
        <v>28</v>
      </c>
      <c r="T1981" s="3" t="s">
        <v>28</v>
      </c>
    </row>
    <row r="1982" spans="1:20" ht="290.25">
      <c r="A1982" s="3">
        <v>2707009</v>
      </c>
      <c r="B1982" s="3">
        <f>HYPERLINK("https://platform.v2.vetology.net/cases/2707009/screening-report/6?type=pdf&amp;v=v6&amp;scorecard=1&amp;secret_key=BX%25IJ%24%2F65ieZ%29f6", 2707009)</f>
        <v>2707009</v>
      </c>
      <c r="C1982" s="3">
        <f>HYPERLINK("https://platform.v2.vetology.net/report/v/final/"&amp;2707009, 2707009)</f>
        <v>2707009</v>
      </c>
      <c r="D1982" s="3" t="s">
        <v>6922</v>
      </c>
      <c r="E1982" s="3" t="s">
        <v>6923</v>
      </c>
      <c r="F1982" s="3" t="s">
        <v>6924</v>
      </c>
      <c r="G1982" s="3" t="s">
        <v>186</v>
      </c>
      <c r="H1982" s="3" t="s">
        <v>6925</v>
      </c>
      <c r="I1982" s="3" t="s">
        <v>136</v>
      </c>
      <c r="J1982" s="3" t="s">
        <v>424</v>
      </c>
      <c r="K1982" s="3" t="s">
        <v>28</v>
      </c>
      <c r="L1982" s="3" t="s">
        <v>28</v>
      </c>
      <c r="M1982" s="3" t="s">
        <v>28</v>
      </c>
      <c r="N1982" s="3" t="s">
        <v>28</v>
      </c>
      <c r="O1982" s="3" t="s">
        <v>27</v>
      </c>
      <c r="P1982" s="3" t="s">
        <v>28</v>
      </c>
      <c r="Q1982" s="3" t="s">
        <v>28</v>
      </c>
      <c r="R1982" s="3" t="s">
        <v>28</v>
      </c>
      <c r="S1982" s="3" t="s">
        <v>28</v>
      </c>
      <c r="T1982" s="3" t="s">
        <v>27</v>
      </c>
    </row>
    <row r="1983" spans="1:20" ht="409.6">
      <c r="A1983" s="3">
        <v>2706973</v>
      </c>
      <c r="B1983" s="3">
        <f>HYPERLINK("https://platform.v2.vetology.net/cases/2706973/screening-report/6?type=pdf&amp;v=v6&amp;scorecard=1&amp;secret_key=BX%25IJ%24%2F65ieZ%29f6", 2706973)</f>
        <v>2706973</v>
      </c>
      <c r="C1983" s="3">
        <f>HYPERLINK("https://platform.v2.vetology.net/report/v/final/"&amp;2706973, 2706973)</f>
        <v>2706973</v>
      </c>
      <c r="D1983" s="3" t="s">
        <v>6926</v>
      </c>
      <c r="E1983" s="3" t="s">
        <v>6927</v>
      </c>
      <c r="F1983" s="3" t="s">
        <v>6928</v>
      </c>
      <c r="G1983" s="3" t="s">
        <v>64</v>
      </c>
      <c r="H1983" s="3" t="s">
        <v>5336</v>
      </c>
      <c r="I1983" s="3" t="s">
        <v>2136</v>
      </c>
      <c r="J1983" s="3" t="s">
        <v>2137</v>
      </c>
      <c r="K1983" s="3" t="s">
        <v>27</v>
      </c>
      <c r="L1983" s="3" t="s">
        <v>28</v>
      </c>
      <c r="M1983" s="3" t="s">
        <v>27</v>
      </c>
      <c r="N1983" s="3" t="s">
        <v>28</v>
      </c>
      <c r="O1983" s="3" t="s">
        <v>27</v>
      </c>
      <c r="P1983" s="3" t="s">
        <v>28</v>
      </c>
      <c r="Q1983" s="3" t="s">
        <v>27</v>
      </c>
      <c r="R1983" s="3" t="s">
        <v>28</v>
      </c>
      <c r="S1983" s="3" t="s">
        <v>28</v>
      </c>
      <c r="T1983" s="3" t="s">
        <v>28</v>
      </c>
    </row>
    <row r="1984" spans="1:20" ht="409.6">
      <c r="A1984" s="3">
        <v>2706776</v>
      </c>
      <c r="B1984" s="3">
        <f>HYPERLINK("https://platform.v2.vetology.net/cases/2706776/screening-report/6?type=pdf&amp;v=v6&amp;scorecard=1&amp;secret_key=BX%25IJ%24%2F65ieZ%29f6", 2706776)</f>
        <v>2706776</v>
      </c>
      <c r="C1984" s="3">
        <f>HYPERLINK("https://platform.v2.vetology.net/report/v/final/"&amp;2706776, 2706776)</f>
        <v>2706776</v>
      </c>
      <c r="D1984" s="3" t="s">
        <v>6929</v>
      </c>
      <c r="E1984" s="3" t="s">
        <v>6930</v>
      </c>
      <c r="F1984" s="3" t="s">
        <v>6931</v>
      </c>
      <c r="G1984" s="3" t="s">
        <v>211</v>
      </c>
      <c r="H1984" s="3" t="s">
        <v>6932</v>
      </c>
      <c r="I1984" s="3" t="s">
        <v>285</v>
      </c>
      <c r="J1984" s="3" t="s">
        <v>286</v>
      </c>
      <c r="K1984" s="3" t="s">
        <v>27</v>
      </c>
      <c r="L1984" s="3" t="s">
        <v>28</v>
      </c>
      <c r="M1984" s="3" t="s">
        <v>28</v>
      </c>
      <c r="N1984" s="3" t="s">
        <v>28</v>
      </c>
      <c r="O1984" s="3" t="s">
        <v>27</v>
      </c>
      <c r="P1984" s="3" t="s">
        <v>28</v>
      </c>
      <c r="Q1984" s="3" t="s">
        <v>27</v>
      </c>
      <c r="R1984" s="3" t="s">
        <v>28</v>
      </c>
      <c r="S1984" s="3" t="s">
        <v>27</v>
      </c>
      <c r="T1984" s="3" t="s">
        <v>28</v>
      </c>
    </row>
    <row r="1985" spans="1:20" ht="259.5">
      <c r="A1985" s="3">
        <v>2706730</v>
      </c>
      <c r="B1985" s="3">
        <f>HYPERLINK("https://platform.v2.vetology.net/cases/2706730/screening-report/6?type=pdf&amp;v=v6&amp;scorecard=1&amp;secret_key=BX%25IJ%24%2F65ieZ%29f6", 2706730)</f>
        <v>2706730</v>
      </c>
      <c r="C1985" s="3">
        <f>HYPERLINK("https://platform.v2.vetology.net/report/v/final/"&amp;2706730, 2706730)</f>
        <v>2706730</v>
      </c>
      <c r="D1985" s="3" t="s">
        <v>6933</v>
      </c>
      <c r="E1985" s="3" t="s">
        <v>6934</v>
      </c>
      <c r="F1985" s="3" t="s">
        <v>22</v>
      </c>
      <c r="G1985" s="3" t="s">
        <v>23</v>
      </c>
      <c r="H1985" s="3" t="s">
        <v>1734</v>
      </c>
      <c r="I1985" s="3" t="s">
        <v>305</v>
      </c>
      <c r="J1985" s="3" t="s">
        <v>119</v>
      </c>
      <c r="K1985" s="3" t="s">
        <v>28</v>
      </c>
      <c r="L1985" s="3" t="s">
        <v>28</v>
      </c>
      <c r="M1985" s="3" t="s">
        <v>28</v>
      </c>
      <c r="N1985" s="3" t="s">
        <v>28</v>
      </c>
      <c r="O1985" s="3" t="s">
        <v>28</v>
      </c>
      <c r="P1985" s="3" t="s">
        <v>28</v>
      </c>
      <c r="Q1985" s="3" t="s">
        <v>28</v>
      </c>
      <c r="R1985" s="3" t="s">
        <v>28</v>
      </c>
      <c r="S1985" s="3" t="s">
        <v>28</v>
      </c>
      <c r="T1985" s="3" t="s">
        <v>28</v>
      </c>
    </row>
    <row r="1986" spans="1:20" ht="409.6">
      <c r="A1986" s="3">
        <v>2706682</v>
      </c>
      <c r="B1986" s="3">
        <f>HYPERLINK("https://platform.v2.vetology.net/cases/2706682/screening-report/6?type=pdf&amp;v=v6&amp;scorecard=1&amp;secret_key=BX%25IJ%24%2F65ieZ%29f6", 2706682)</f>
        <v>2706682</v>
      </c>
      <c r="C1986" s="3">
        <f>HYPERLINK("https://platform.v2.vetology.net/report/v/final/"&amp;2706682, 2706682)</f>
        <v>2706682</v>
      </c>
      <c r="D1986" s="3" t="s">
        <v>6935</v>
      </c>
      <c r="E1986" s="3" t="s">
        <v>6936</v>
      </c>
      <c r="F1986" s="3" t="s">
        <v>6937</v>
      </c>
      <c r="G1986" s="3" t="s">
        <v>64</v>
      </c>
      <c r="H1986" s="3" t="s">
        <v>6938</v>
      </c>
      <c r="I1986" s="3" t="s">
        <v>1404</v>
      </c>
      <c r="J1986" s="3" t="s">
        <v>1405</v>
      </c>
      <c r="K1986" s="3" t="s">
        <v>27</v>
      </c>
      <c r="L1986" s="3" t="s">
        <v>28</v>
      </c>
      <c r="M1986" s="3" t="s">
        <v>27</v>
      </c>
      <c r="N1986" s="3" t="s">
        <v>28</v>
      </c>
      <c r="O1986" s="3" t="s">
        <v>27</v>
      </c>
      <c r="P1986" s="3" t="s">
        <v>28</v>
      </c>
      <c r="Q1986" s="3" t="s">
        <v>27</v>
      </c>
      <c r="R1986" s="3" t="s">
        <v>28</v>
      </c>
      <c r="S1986" s="3" t="s">
        <v>28</v>
      </c>
      <c r="T1986" s="3" t="s">
        <v>28</v>
      </c>
    </row>
    <row r="1987" spans="1:20" ht="409.6">
      <c r="A1987" s="3">
        <v>2706667</v>
      </c>
      <c r="B1987" s="3">
        <f>HYPERLINK("https://platform.v2.vetology.net/cases/2706667/screening-report/6?type=pdf&amp;v=v6&amp;scorecard=1&amp;secret_key=BX%25IJ%24%2F65ieZ%29f6", 2706667)</f>
        <v>2706667</v>
      </c>
      <c r="C1987" s="3">
        <f>HYPERLINK("https://platform.v2.vetology.net/report/v/final/"&amp;2706667, 2706667)</f>
        <v>2706667</v>
      </c>
      <c r="D1987" s="3" t="s">
        <v>6939</v>
      </c>
      <c r="E1987" s="3" t="s">
        <v>1548</v>
      </c>
      <c r="F1987" s="3" t="s">
        <v>6940</v>
      </c>
      <c r="G1987" s="3" t="s">
        <v>211</v>
      </c>
      <c r="H1987" s="3" t="s">
        <v>6941</v>
      </c>
      <c r="I1987" s="3" t="s">
        <v>793</v>
      </c>
      <c r="J1987" s="3" t="s">
        <v>794</v>
      </c>
      <c r="K1987" s="3" t="s">
        <v>28</v>
      </c>
      <c r="L1987" s="3" t="s">
        <v>28</v>
      </c>
      <c r="M1987" s="3" t="s">
        <v>28</v>
      </c>
      <c r="N1987" s="3" t="s">
        <v>28</v>
      </c>
      <c r="O1987" s="3" t="s">
        <v>28</v>
      </c>
      <c r="P1987" s="3" t="s">
        <v>28</v>
      </c>
      <c r="Q1987" s="3" t="s">
        <v>28</v>
      </c>
      <c r="R1987" s="3" t="s">
        <v>28</v>
      </c>
      <c r="S1987" s="3" t="s">
        <v>28</v>
      </c>
      <c r="T1987" s="3" t="s">
        <v>28</v>
      </c>
    </row>
    <row r="1988" spans="1:20" ht="305.25">
      <c r="A1988" s="3">
        <v>2706620</v>
      </c>
      <c r="B1988" s="3">
        <f>HYPERLINK("https://platform.v2.vetology.net/cases/2706620/screening-report/6?type=pdf&amp;v=v6&amp;scorecard=1&amp;secret_key=BX%25IJ%24%2F65ieZ%29f6", 2706620)</f>
        <v>2706620</v>
      </c>
      <c r="C1988" s="3">
        <f>HYPERLINK("https://platform.v2.vetology.net/report/v/final/"&amp;2706620, 2706620)</f>
        <v>2706620</v>
      </c>
      <c r="D1988" s="3" t="s">
        <v>6942</v>
      </c>
      <c r="E1988" s="3" t="s">
        <v>6943</v>
      </c>
      <c r="F1988" s="3" t="s">
        <v>6944</v>
      </c>
      <c r="G1988" s="3" t="s">
        <v>211</v>
      </c>
      <c r="H1988" s="3" t="s">
        <v>702</v>
      </c>
      <c r="I1988" s="3" t="s">
        <v>32</v>
      </c>
      <c r="J1988" s="3" t="s">
        <v>33</v>
      </c>
      <c r="K1988" s="3" t="s">
        <v>28</v>
      </c>
      <c r="L1988" s="3" t="s">
        <v>27</v>
      </c>
      <c r="M1988" s="3" t="s">
        <v>28</v>
      </c>
      <c r="N1988" s="3" t="s">
        <v>28</v>
      </c>
      <c r="O1988" s="3" t="s">
        <v>27</v>
      </c>
      <c r="P1988" s="3" t="s">
        <v>28</v>
      </c>
      <c r="Q1988" s="3" t="s">
        <v>28</v>
      </c>
      <c r="R1988" s="3" t="s">
        <v>28</v>
      </c>
      <c r="S1988" s="3" t="s">
        <v>28</v>
      </c>
      <c r="T1988" s="3" t="s">
        <v>28</v>
      </c>
    </row>
    <row r="1989" spans="1:20" ht="229.5">
      <c r="A1989" s="3">
        <v>2706619</v>
      </c>
      <c r="B1989" s="3">
        <f>HYPERLINK("https://platform.v2.vetology.net/cases/2706619/screening-report/6?type=pdf&amp;v=v6&amp;scorecard=1&amp;secret_key=BX%25IJ%24%2F65ieZ%29f6", 2706619)</f>
        <v>2706619</v>
      </c>
      <c r="C1989" s="3">
        <f>HYPERLINK("https://platform.v2.vetology.net/report/v/final/"&amp;2706619, 2706619)</f>
        <v>2706619</v>
      </c>
      <c r="D1989" s="3" t="s">
        <v>6945</v>
      </c>
      <c r="E1989" s="3" t="s">
        <v>6946</v>
      </c>
      <c r="F1989" s="3" t="s">
        <v>22</v>
      </c>
      <c r="G1989" s="3" t="s">
        <v>100</v>
      </c>
      <c r="H1989" s="3" t="s">
        <v>135</v>
      </c>
      <c r="I1989" s="3" t="s">
        <v>136</v>
      </c>
      <c r="J1989" s="3" t="s">
        <v>137</v>
      </c>
      <c r="K1989" s="3" t="s">
        <v>28</v>
      </c>
      <c r="L1989" s="3" t="s">
        <v>27</v>
      </c>
      <c r="M1989" s="3" t="s">
        <v>28</v>
      </c>
      <c r="N1989" s="3" t="s">
        <v>28</v>
      </c>
      <c r="O1989" s="3" t="s">
        <v>27</v>
      </c>
      <c r="P1989" s="3" t="s">
        <v>28</v>
      </c>
      <c r="Q1989" s="3" t="s">
        <v>28</v>
      </c>
      <c r="R1989" s="3" t="s">
        <v>28</v>
      </c>
      <c r="S1989" s="3" t="s">
        <v>28</v>
      </c>
      <c r="T1989" s="3" t="s">
        <v>27</v>
      </c>
    </row>
    <row r="1990" spans="1:20" ht="336">
      <c r="A1990" s="3">
        <v>2706606</v>
      </c>
      <c r="B1990" s="3">
        <f>HYPERLINK("https://platform.v2.vetology.net/cases/2706606/screening-report/6?type=pdf&amp;v=v6&amp;scorecard=1&amp;secret_key=BX%25IJ%24%2F65ieZ%29f6", 2706606)</f>
        <v>2706606</v>
      </c>
      <c r="C1990" s="3">
        <f>HYPERLINK("https://platform.v2.vetology.net/report/v/final/"&amp;2706606, 2706606)</f>
        <v>2706606</v>
      </c>
      <c r="D1990" s="3" t="s">
        <v>6947</v>
      </c>
      <c r="E1990" s="3" t="s">
        <v>6948</v>
      </c>
      <c r="F1990" s="3" t="s">
        <v>6949</v>
      </c>
      <c r="G1990" s="3" t="s">
        <v>179</v>
      </c>
      <c r="H1990" s="3" t="s">
        <v>6950</v>
      </c>
      <c r="I1990" s="3" t="s">
        <v>626</v>
      </c>
      <c r="J1990" s="3" t="s">
        <v>627</v>
      </c>
      <c r="K1990" s="3" t="s">
        <v>28</v>
      </c>
      <c r="L1990" s="3" t="s">
        <v>28</v>
      </c>
      <c r="M1990" s="3" t="s">
        <v>28</v>
      </c>
      <c r="N1990" s="3" t="s">
        <v>28</v>
      </c>
      <c r="O1990" s="3" t="s">
        <v>27</v>
      </c>
      <c r="P1990" s="3" t="s">
        <v>28</v>
      </c>
      <c r="Q1990" s="3" t="s">
        <v>28</v>
      </c>
      <c r="R1990" s="3" t="s">
        <v>28</v>
      </c>
      <c r="S1990" s="3" t="s">
        <v>28</v>
      </c>
      <c r="T1990" s="3" t="s">
        <v>27</v>
      </c>
    </row>
    <row r="1991" spans="1:20" ht="409.6">
      <c r="A1991" s="3">
        <v>2706584</v>
      </c>
      <c r="B1991" s="3">
        <f>HYPERLINK("https://platform.v2.vetology.net/cases/2706584/screening-report/6?type=pdf&amp;v=v6&amp;scorecard=1&amp;secret_key=BX%25IJ%24%2F65ieZ%29f6", 2706584)</f>
        <v>2706584</v>
      </c>
      <c r="C1991" s="3">
        <f>HYPERLINK("https://platform.v2.vetology.net/report/v/final/"&amp;2706584, 2706584)</f>
        <v>2706584</v>
      </c>
      <c r="D1991" s="3" t="s">
        <v>6951</v>
      </c>
      <c r="E1991" s="3" t="s">
        <v>6952</v>
      </c>
      <c r="F1991" s="3" t="s">
        <v>6953</v>
      </c>
      <c r="G1991" s="3" t="s">
        <v>496</v>
      </c>
      <c r="H1991" s="3" t="s">
        <v>6954</v>
      </c>
      <c r="I1991" s="3" t="s">
        <v>555</v>
      </c>
      <c r="J1991" s="3" t="s">
        <v>556</v>
      </c>
      <c r="K1991" s="3" t="s">
        <v>27</v>
      </c>
      <c r="L1991" s="3" t="s">
        <v>28</v>
      </c>
      <c r="M1991" s="3" t="s">
        <v>28</v>
      </c>
      <c r="N1991" s="3" t="s">
        <v>28</v>
      </c>
      <c r="O1991" s="3" t="s">
        <v>28</v>
      </c>
      <c r="P1991" s="3" t="s">
        <v>28</v>
      </c>
      <c r="Q1991" s="3" t="s">
        <v>28</v>
      </c>
      <c r="R1991" s="3" t="s">
        <v>28</v>
      </c>
      <c r="S1991" s="3" t="s">
        <v>28</v>
      </c>
      <c r="T1991" s="3" t="s">
        <v>28</v>
      </c>
    </row>
    <row r="1992" spans="1:20" ht="409.6">
      <c r="A1992" s="3">
        <v>2706534</v>
      </c>
      <c r="B1992" s="3">
        <f>HYPERLINK("https://platform.v2.vetology.net/cases/2706534/screening-report/6?type=pdf&amp;v=v6&amp;scorecard=1&amp;secret_key=BX%25IJ%24%2F65ieZ%29f6", 2706534)</f>
        <v>2706534</v>
      </c>
      <c r="C1992" s="3">
        <f>HYPERLINK("https://platform.v2.vetology.net/report/v/final/"&amp;2706534, 2706534)</f>
        <v>2706534</v>
      </c>
      <c r="D1992" s="3" t="s">
        <v>6955</v>
      </c>
      <c r="E1992" s="3" t="s">
        <v>6956</v>
      </c>
      <c r="F1992" s="3" t="s">
        <v>6957</v>
      </c>
      <c r="G1992" s="3" t="s">
        <v>64</v>
      </c>
      <c r="H1992" s="3" t="s">
        <v>6958</v>
      </c>
      <c r="I1992" s="3" t="s">
        <v>200</v>
      </c>
      <c r="J1992" s="3" t="s">
        <v>219</v>
      </c>
      <c r="K1992" s="3" t="s">
        <v>27</v>
      </c>
      <c r="L1992" s="3" t="s">
        <v>28</v>
      </c>
      <c r="M1992" s="3" t="s">
        <v>28</v>
      </c>
      <c r="N1992" s="3" t="s">
        <v>28</v>
      </c>
      <c r="O1992" s="3" t="s">
        <v>28</v>
      </c>
      <c r="P1992" s="3" t="s">
        <v>28</v>
      </c>
      <c r="Q1992" s="3" t="s">
        <v>27</v>
      </c>
      <c r="R1992" s="3" t="s">
        <v>28</v>
      </c>
      <c r="S1992" s="3" t="s">
        <v>28</v>
      </c>
      <c r="T1992" s="3" t="s">
        <v>28</v>
      </c>
    </row>
    <row r="1993" spans="1:20" ht="366">
      <c r="A1993" s="3">
        <v>2706517</v>
      </c>
      <c r="B1993" s="3">
        <f>HYPERLINK("https://platform.v2.vetology.net/cases/2706517/screening-report/6?type=pdf&amp;v=v6&amp;scorecard=1&amp;secret_key=BX%25IJ%24%2F65ieZ%29f6", 2706517)</f>
        <v>2706517</v>
      </c>
      <c r="C1993" s="3">
        <f>HYPERLINK("https://platform.v2.vetology.net/report/v/final/"&amp;2706517, 2706517)</f>
        <v>2706517</v>
      </c>
      <c r="D1993" s="3" t="s">
        <v>6959</v>
      </c>
      <c r="E1993" s="3" t="s">
        <v>6960</v>
      </c>
      <c r="F1993" s="3" t="s">
        <v>6961</v>
      </c>
      <c r="G1993" s="3" t="s">
        <v>64</v>
      </c>
      <c r="H1993" s="3" t="s">
        <v>3094</v>
      </c>
      <c r="I1993" s="3" t="s">
        <v>213</v>
      </c>
      <c r="J1993" s="3" t="s">
        <v>214</v>
      </c>
      <c r="K1993" s="3" t="s">
        <v>28</v>
      </c>
      <c r="L1993" s="3" t="s">
        <v>28</v>
      </c>
      <c r="M1993" s="3" t="s">
        <v>28</v>
      </c>
      <c r="N1993" s="3" t="s">
        <v>28</v>
      </c>
      <c r="O1993" s="3" t="s">
        <v>27</v>
      </c>
      <c r="P1993" s="3" t="s">
        <v>28</v>
      </c>
      <c r="Q1993" s="3" t="s">
        <v>28</v>
      </c>
      <c r="R1993" s="3" t="s">
        <v>28</v>
      </c>
      <c r="S1993" s="3" t="s">
        <v>28</v>
      </c>
      <c r="T1993" s="3" t="s">
        <v>28</v>
      </c>
    </row>
    <row r="1994" spans="1:20" ht="409.6">
      <c r="A1994" s="3">
        <v>2706514</v>
      </c>
      <c r="B1994" s="3">
        <f>HYPERLINK("https://platform.v2.vetology.net/cases/2706514/screening-report/6?type=pdf&amp;v=v6&amp;scorecard=1&amp;secret_key=BX%25IJ%24%2F65ieZ%29f6", 2706514)</f>
        <v>2706514</v>
      </c>
      <c r="C1994" s="3">
        <f>HYPERLINK("https://platform.v2.vetology.net/report/v/final/"&amp;2706514, 2706514)</f>
        <v>2706514</v>
      </c>
      <c r="D1994" s="3" t="s">
        <v>6962</v>
      </c>
      <c r="E1994" s="3" t="s">
        <v>6963</v>
      </c>
      <c r="F1994" s="3" t="s">
        <v>5505</v>
      </c>
      <c r="G1994" s="3" t="s">
        <v>179</v>
      </c>
      <c r="H1994" s="3" t="s">
        <v>6964</v>
      </c>
      <c r="I1994" s="3" t="s">
        <v>52</v>
      </c>
      <c r="J1994" s="3" t="s">
        <v>53</v>
      </c>
      <c r="K1994" s="3" t="s">
        <v>27</v>
      </c>
      <c r="L1994" s="3" t="s">
        <v>27</v>
      </c>
      <c r="M1994" s="3" t="s">
        <v>27</v>
      </c>
      <c r="N1994" s="3" t="s">
        <v>28</v>
      </c>
      <c r="O1994" s="3" t="s">
        <v>27</v>
      </c>
      <c r="P1994" s="3" t="s">
        <v>27</v>
      </c>
      <c r="Q1994" s="3" t="s">
        <v>27</v>
      </c>
      <c r="R1994" s="3" t="s">
        <v>28</v>
      </c>
      <c r="S1994" s="3" t="s">
        <v>28</v>
      </c>
      <c r="T1994" s="3" t="s">
        <v>28</v>
      </c>
    </row>
    <row r="1995" spans="1:20" ht="409.6">
      <c r="A1995" s="3">
        <v>2706476</v>
      </c>
      <c r="B1995" s="3">
        <f>HYPERLINK("https://platform.v2.vetology.net/cases/2706476/screening-report/6?type=pdf&amp;v=v6&amp;scorecard=1&amp;secret_key=BX%25IJ%24%2F65ieZ%29f6", 2706476)</f>
        <v>2706476</v>
      </c>
      <c r="C1995" s="3">
        <f>HYPERLINK("https://platform.v2.vetology.net/report/v/final/"&amp;2706476, 2706476)</f>
        <v>2706476</v>
      </c>
      <c r="D1995" s="3" t="s">
        <v>6965</v>
      </c>
      <c r="E1995" s="3" t="s">
        <v>6966</v>
      </c>
      <c r="F1995" s="3" t="s">
        <v>6967</v>
      </c>
      <c r="G1995" s="3" t="s">
        <v>64</v>
      </c>
      <c r="H1995" s="3" t="s">
        <v>6968</v>
      </c>
      <c r="I1995" s="3" t="s">
        <v>856</v>
      </c>
      <c r="J1995" s="3" t="s">
        <v>857</v>
      </c>
      <c r="K1995" s="3" t="s">
        <v>28</v>
      </c>
      <c r="L1995" s="3" t="s">
        <v>28</v>
      </c>
      <c r="M1995" s="3" t="s">
        <v>28</v>
      </c>
      <c r="N1995" s="3" t="s">
        <v>28</v>
      </c>
      <c r="O1995" s="3" t="s">
        <v>27</v>
      </c>
      <c r="P1995" s="3" t="s">
        <v>28</v>
      </c>
      <c r="Q1995" s="3" t="s">
        <v>28</v>
      </c>
      <c r="R1995" s="3" t="s">
        <v>28</v>
      </c>
      <c r="S1995" s="3" t="s">
        <v>28</v>
      </c>
      <c r="T1995" s="3" t="s">
        <v>28</v>
      </c>
    </row>
    <row r="1996" spans="1:20" ht="409.6">
      <c r="A1996" s="3">
        <v>2706466</v>
      </c>
      <c r="B1996" s="3">
        <f>HYPERLINK("https://platform.v2.vetology.net/cases/2706466/screening-report/6?type=pdf&amp;v=v6&amp;scorecard=1&amp;secret_key=BX%25IJ%24%2F65ieZ%29f6", 2706466)</f>
        <v>2706466</v>
      </c>
      <c r="C1996" s="3">
        <f>HYPERLINK("https://platform.v2.vetology.net/report/v/final/"&amp;2706466, 2706466)</f>
        <v>2706466</v>
      </c>
      <c r="D1996" s="3" t="s">
        <v>6969</v>
      </c>
      <c r="E1996" s="3" t="s">
        <v>6970</v>
      </c>
      <c r="F1996" s="3" t="s">
        <v>22</v>
      </c>
      <c r="G1996" s="3" t="s">
        <v>23</v>
      </c>
      <c r="H1996" s="3" t="s">
        <v>3186</v>
      </c>
      <c r="I1996" s="3" t="s">
        <v>3187</v>
      </c>
      <c r="J1996" s="3" t="s">
        <v>154</v>
      </c>
      <c r="K1996" s="3" t="s">
        <v>27</v>
      </c>
      <c r="L1996" s="3" t="s">
        <v>27</v>
      </c>
      <c r="M1996" s="3" t="s">
        <v>27</v>
      </c>
      <c r="N1996" s="3" t="s">
        <v>28</v>
      </c>
      <c r="O1996" s="3" t="s">
        <v>27</v>
      </c>
      <c r="P1996" s="3" t="s">
        <v>28</v>
      </c>
      <c r="Q1996" s="3" t="s">
        <v>27</v>
      </c>
      <c r="R1996" s="3" t="s">
        <v>28</v>
      </c>
      <c r="S1996" s="3" t="s">
        <v>27</v>
      </c>
      <c r="T1996" s="3" t="s">
        <v>28</v>
      </c>
    </row>
    <row r="1997" spans="1:20" ht="409.6">
      <c r="A1997" s="3">
        <v>2706455</v>
      </c>
      <c r="B1997" s="3">
        <f>HYPERLINK("https://platform.v2.vetology.net/cases/2706455/screening-report/6?type=pdf&amp;v=v6&amp;scorecard=1&amp;secret_key=BX%25IJ%24%2F65ieZ%29f6", 2706455)</f>
        <v>2706455</v>
      </c>
      <c r="C1997" s="3">
        <f>HYPERLINK("https://platform.v2.vetology.net/report/v/final/"&amp;2706455, 2706455)</f>
        <v>2706455</v>
      </c>
      <c r="D1997" s="3" t="s">
        <v>6971</v>
      </c>
      <c r="E1997" s="3" t="s">
        <v>6972</v>
      </c>
      <c r="F1997" s="3" t="s">
        <v>6973</v>
      </c>
      <c r="G1997" s="3" t="s">
        <v>186</v>
      </c>
      <c r="H1997" s="3" t="s">
        <v>6180</v>
      </c>
      <c r="I1997" s="3" t="s">
        <v>1497</v>
      </c>
      <c r="J1997" s="3" t="s">
        <v>1340</v>
      </c>
      <c r="K1997" s="3" t="s">
        <v>28</v>
      </c>
      <c r="L1997" s="3" t="s">
        <v>28</v>
      </c>
      <c r="M1997" s="3" t="s">
        <v>28</v>
      </c>
      <c r="N1997" s="3" t="s">
        <v>28</v>
      </c>
      <c r="O1997" s="3" t="s">
        <v>27</v>
      </c>
      <c r="P1997" s="3" t="s">
        <v>28</v>
      </c>
      <c r="Q1997" s="3" t="s">
        <v>28</v>
      </c>
      <c r="R1997" s="3" t="s">
        <v>28</v>
      </c>
      <c r="S1997" s="3" t="s">
        <v>28</v>
      </c>
      <c r="T1997" s="3" t="s">
        <v>28</v>
      </c>
    </row>
    <row r="1998" spans="1:20" ht="381.75">
      <c r="A1998" s="3">
        <v>2706413</v>
      </c>
      <c r="B1998" s="3">
        <f>HYPERLINK("https://platform.v2.vetology.net/cases/2706413/screening-report/6?type=pdf&amp;v=v6&amp;scorecard=1&amp;secret_key=BX%25IJ%24%2F65ieZ%29f6", 2706413)</f>
        <v>2706413</v>
      </c>
      <c r="C1998" s="3">
        <f>HYPERLINK("https://platform.v2.vetology.net/report/v/final/"&amp;2706413, 2706413)</f>
        <v>2706413</v>
      </c>
      <c r="D1998" s="3" t="s">
        <v>6974</v>
      </c>
      <c r="E1998" s="3" t="s">
        <v>6975</v>
      </c>
      <c r="F1998" s="3" t="s">
        <v>22</v>
      </c>
      <c r="G1998" s="3" t="s">
        <v>23</v>
      </c>
      <c r="H1998" s="3" t="s">
        <v>6976</v>
      </c>
      <c r="I1998" s="3" t="s">
        <v>856</v>
      </c>
      <c r="J1998" s="3" t="s">
        <v>857</v>
      </c>
      <c r="K1998" s="3" t="s">
        <v>27</v>
      </c>
      <c r="L1998" s="3" t="s">
        <v>28</v>
      </c>
      <c r="M1998" s="3" t="s">
        <v>28</v>
      </c>
      <c r="N1998" s="3" t="s">
        <v>28</v>
      </c>
      <c r="O1998" s="3" t="s">
        <v>27</v>
      </c>
      <c r="P1998" s="3" t="s">
        <v>28</v>
      </c>
      <c r="Q1998" s="3" t="s">
        <v>28</v>
      </c>
      <c r="R1998" s="3" t="s">
        <v>28</v>
      </c>
      <c r="S1998" s="3" t="s">
        <v>28</v>
      </c>
      <c r="T1998" s="3" t="s">
        <v>28</v>
      </c>
    </row>
    <row r="1999" spans="1:20" ht="409.6">
      <c r="A1999" s="3">
        <v>2706410</v>
      </c>
      <c r="B1999" s="3">
        <f>HYPERLINK("https://platform.v2.vetology.net/cases/2706410/screening-report/6?type=pdf&amp;v=v6&amp;scorecard=1&amp;secret_key=BX%25IJ%24%2F65ieZ%29f6", 2706410)</f>
        <v>2706410</v>
      </c>
      <c r="C1999" s="3">
        <f>HYPERLINK("https://platform.v2.vetology.net/report/v/final/"&amp;2706410, 2706410)</f>
        <v>2706410</v>
      </c>
      <c r="D1999" s="3" t="s">
        <v>6977</v>
      </c>
      <c r="E1999" s="3" t="s">
        <v>6978</v>
      </c>
      <c r="F1999" s="3" t="s">
        <v>6979</v>
      </c>
      <c r="G1999" s="3" t="s">
        <v>211</v>
      </c>
      <c r="H1999" s="3" t="s">
        <v>6980</v>
      </c>
      <c r="I1999" s="3" t="s">
        <v>6981</v>
      </c>
      <c r="J1999" s="3" t="s">
        <v>6982</v>
      </c>
      <c r="K1999" s="3" t="s">
        <v>28</v>
      </c>
      <c r="L1999" s="3" t="s">
        <v>27</v>
      </c>
      <c r="M1999" s="3" t="s">
        <v>27</v>
      </c>
      <c r="N1999" s="3" t="s">
        <v>28</v>
      </c>
      <c r="O1999" s="3" t="s">
        <v>27</v>
      </c>
      <c r="P1999" s="3" t="s">
        <v>27</v>
      </c>
      <c r="Q1999" s="3" t="s">
        <v>27</v>
      </c>
      <c r="R1999" s="3" t="s">
        <v>28</v>
      </c>
      <c r="S1999" s="3" t="s">
        <v>28</v>
      </c>
      <c r="T1999" s="3" t="s">
        <v>27</v>
      </c>
    </row>
    <row r="2000" spans="1:20" ht="409.6">
      <c r="A2000" s="3">
        <v>2706398</v>
      </c>
      <c r="B2000" s="3">
        <f>HYPERLINK("https://platform.v2.vetology.net/cases/2706398/screening-report/6?type=pdf&amp;v=v6&amp;scorecard=1&amp;secret_key=BX%25IJ%24%2F65ieZ%29f6", 2706398)</f>
        <v>2706398</v>
      </c>
      <c r="C2000" s="3">
        <f>HYPERLINK("https://platform.v2.vetology.net/report/v/final/"&amp;2706398, 2706398)</f>
        <v>2706398</v>
      </c>
      <c r="D2000" s="3" t="s">
        <v>6983</v>
      </c>
      <c r="E2000" s="3" t="s">
        <v>6984</v>
      </c>
      <c r="F2000" s="3" t="s">
        <v>6985</v>
      </c>
      <c r="G2000" s="3" t="s">
        <v>566</v>
      </c>
      <c r="H2000" s="3" t="s">
        <v>6279</v>
      </c>
      <c r="I2000" s="3" t="s">
        <v>3492</v>
      </c>
      <c r="J2000" s="3" t="s">
        <v>154</v>
      </c>
      <c r="K2000" s="3" t="s">
        <v>27</v>
      </c>
      <c r="L2000" s="3" t="s">
        <v>28</v>
      </c>
      <c r="M2000" s="3" t="s">
        <v>27</v>
      </c>
      <c r="N2000" s="3" t="s">
        <v>28</v>
      </c>
      <c r="O2000" s="3" t="s">
        <v>27</v>
      </c>
      <c r="P2000" s="3" t="s">
        <v>28</v>
      </c>
      <c r="Q2000" s="3" t="s">
        <v>27</v>
      </c>
      <c r="R2000" s="3" t="s">
        <v>28</v>
      </c>
      <c r="S2000" s="3" t="s">
        <v>27</v>
      </c>
      <c r="T2000" s="3" t="s">
        <v>28</v>
      </c>
    </row>
    <row r="2001" spans="1:20" ht="259.5">
      <c r="A2001" s="3">
        <v>2706335</v>
      </c>
      <c r="B2001" s="3">
        <f>HYPERLINK("https://platform.v2.vetology.net/cases/2706335/screening-report/6?type=pdf&amp;v=v6&amp;scorecard=1&amp;secret_key=BX%25IJ%24%2F65ieZ%29f6", 2706335)</f>
        <v>2706335</v>
      </c>
      <c r="C2001" s="3">
        <f>HYPERLINK("https://platform.v2.vetology.net/report/v/final/"&amp;2706335, 2706335)</f>
        <v>2706335</v>
      </c>
      <c r="D2001" s="3" t="s">
        <v>6986</v>
      </c>
      <c r="E2001" s="3" t="s">
        <v>6987</v>
      </c>
      <c r="F2001" s="3" t="s">
        <v>6988</v>
      </c>
      <c r="G2001" s="3" t="s">
        <v>186</v>
      </c>
      <c r="H2001" s="3" t="s">
        <v>31</v>
      </c>
      <c r="I2001" s="3" t="s">
        <v>32</v>
      </c>
      <c r="J2001" s="3" t="s">
        <v>119</v>
      </c>
      <c r="K2001" s="3" t="s">
        <v>28</v>
      </c>
      <c r="L2001" s="3" t="s">
        <v>28</v>
      </c>
      <c r="M2001" s="3" t="s">
        <v>28</v>
      </c>
      <c r="N2001" s="3" t="s">
        <v>28</v>
      </c>
      <c r="O2001" s="3" t="s">
        <v>27</v>
      </c>
      <c r="P2001" s="3" t="s">
        <v>28</v>
      </c>
      <c r="Q2001" s="3" t="s">
        <v>28</v>
      </c>
      <c r="R2001" s="3" t="s">
        <v>28</v>
      </c>
      <c r="S2001" s="3" t="s">
        <v>28</v>
      </c>
      <c r="T2001" s="3" t="s">
        <v>28</v>
      </c>
    </row>
    <row r="2002" spans="1:20" ht="409.6">
      <c r="A2002" s="3">
        <v>2706330</v>
      </c>
      <c r="B2002" s="3">
        <f>HYPERLINK("https://platform.v2.vetology.net/cases/2706330/screening-report/6?type=pdf&amp;v=v6&amp;scorecard=1&amp;secret_key=BX%25IJ%24%2F65ieZ%29f6", 2706330)</f>
        <v>2706330</v>
      </c>
      <c r="C2002" s="3">
        <f>HYPERLINK("https://platform.v2.vetology.net/report/v/final/"&amp;2706330, 2706330)</f>
        <v>2706330</v>
      </c>
      <c r="D2002" s="3" t="s">
        <v>6989</v>
      </c>
      <c r="E2002" s="3" t="s">
        <v>6990</v>
      </c>
      <c r="F2002" s="3" t="s">
        <v>6991</v>
      </c>
      <c r="G2002" s="3" t="s">
        <v>23</v>
      </c>
      <c r="H2002" s="3" t="s">
        <v>6992</v>
      </c>
      <c r="I2002" s="3" t="s">
        <v>5186</v>
      </c>
      <c r="J2002" s="3" t="s">
        <v>5187</v>
      </c>
      <c r="K2002" s="3" t="s">
        <v>28</v>
      </c>
      <c r="L2002" s="3" t="s">
        <v>28</v>
      </c>
      <c r="M2002" s="3" t="s">
        <v>28</v>
      </c>
      <c r="N2002" s="3" t="s">
        <v>28</v>
      </c>
      <c r="O2002" s="3" t="s">
        <v>27</v>
      </c>
      <c r="P2002" s="3" t="s">
        <v>28</v>
      </c>
      <c r="Q2002" s="3" t="s">
        <v>28</v>
      </c>
      <c r="R2002" s="3" t="s">
        <v>28</v>
      </c>
      <c r="S2002" s="3" t="s">
        <v>28</v>
      </c>
      <c r="T2002" s="3" t="s">
        <v>27</v>
      </c>
    </row>
    <row r="2003" spans="1:20" ht="409.6">
      <c r="A2003" s="3">
        <v>2706323</v>
      </c>
      <c r="B2003" s="3">
        <f>HYPERLINK("https://platform.v2.vetology.net/cases/2706323/screening-report/6?type=pdf&amp;v=v6&amp;scorecard=1&amp;secret_key=BX%25IJ%24%2F65ieZ%29f6", 2706323)</f>
        <v>2706323</v>
      </c>
      <c r="C2003" s="3">
        <f>HYPERLINK("https://platform.v2.vetology.net/report/v/final/"&amp;2706323, 2706323)</f>
        <v>2706323</v>
      </c>
      <c r="D2003" s="3" t="s">
        <v>6993</v>
      </c>
      <c r="E2003" s="3" t="s">
        <v>6994</v>
      </c>
      <c r="F2003" s="3" t="s">
        <v>56</v>
      </c>
      <c r="G2003" s="3" t="s">
        <v>57</v>
      </c>
      <c r="H2003" s="3" t="s">
        <v>6995</v>
      </c>
      <c r="I2003" s="3" t="s">
        <v>1623</v>
      </c>
      <c r="J2003" s="3" t="s">
        <v>1624</v>
      </c>
      <c r="K2003" s="3" t="s">
        <v>27</v>
      </c>
      <c r="L2003" s="3" t="s">
        <v>27</v>
      </c>
      <c r="M2003" s="3" t="s">
        <v>28</v>
      </c>
      <c r="N2003" s="3" t="s">
        <v>28</v>
      </c>
      <c r="O2003" s="3" t="s">
        <v>27</v>
      </c>
      <c r="P2003" s="3" t="s">
        <v>27</v>
      </c>
      <c r="Q2003" s="3" t="s">
        <v>28</v>
      </c>
      <c r="R2003" s="3" t="s">
        <v>28</v>
      </c>
      <c r="S2003" s="3" t="s">
        <v>27</v>
      </c>
      <c r="T2003" s="3" t="s">
        <v>28</v>
      </c>
    </row>
    <row r="2004" spans="1:20" ht="409.6">
      <c r="A2004" s="3">
        <v>2706297</v>
      </c>
      <c r="B2004" s="3">
        <f>HYPERLINK("https://platform.v2.vetology.net/cases/2706297/screening-report/6?type=pdf&amp;v=v6&amp;scorecard=1&amp;secret_key=BX%25IJ%24%2F65ieZ%29f6", 2706297)</f>
        <v>2706297</v>
      </c>
      <c r="C2004" s="3">
        <f>HYPERLINK("https://platform.v2.vetology.net/report/v/final/"&amp;2706297, 2706297)</f>
        <v>2706297</v>
      </c>
      <c r="D2004" s="3" t="s">
        <v>6996</v>
      </c>
      <c r="E2004" s="3" t="s">
        <v>6997</v>
      </c>
      <c r="F2004" s="3" t="s">
        <v>22</v>
      </c>
      <c r="G2004" s="3" t="s">
        <v>23</v>
      </c>
      <c r="H2004" s="3" t="s">
        <v>350</v>
      </c>
      <c r="I2004" s="3" t="s">
        <v>351</v>
      </c>
      <c r="J2004" s="3" t="s">
        <v>352</v>
      </c>
      <c r="K2004" s="3" t="s">
        <v>28</v>
      </c>
      <c r="L2004" s="3" t="s">
        <v>28</v>
      </c>
      <c r="M2004" s="3" t="s">
        <v>28</v>
      </c>
      <c r="N2004" s="3" t="s">
        <v>28</v>
      </c>
      <c r="O2004" s="3" t="s">
        <v>28</v>
      </c>
      <c r="P2004" s="3" t="s">
        <v>28</v>
      </c>
      <c r="Q2004" s="3" t="s">
        <v>28</v>
      </c>
      <c r="R2004" s="3" t="s">
        <v>28</v>
      </c>
      <c r="S2004" s="3" t="s">
        <v>28</v>
      </c>
      <c r="T2004" s="3" t="s">
        <v>27</v>
      </c>
    </row>
    <row r="2005" spans="1:20" ht="409.6">
      <c r="A2005" s="3">
        <v>2706238</v>
      </c>
      <c r="B2005" s="3">
        <f>HYPERLINK("https://platform.v2.vetology.net/cases/2706238/screening-report/6?type=pdf&amp;v=v6&amp;scorecard=1&amp;secret_key=BX%25IJ%24%2F65ieZ%29f6", 2706238)</f>
        <v>2706238</v>
      </c>
      <c r="C2005" s="3">
        <f>HYPERLINK("https://platform.v2.vetology.net/report/v/final/"&amp;2706238, 2706238)</f>
        <v>2706238</v>
      </c>
      <c r="D2005" s="3" t="s">
        <v>6998</v>
      </c>
      <c r="E2005" s="3" t="s">
        <v>6999</v>
      </c>
      <c r="F2005" s="3" t="s">
        <v>7000</v>
      </c>
      <c r="G2005" s="3" t="s">
        <v>64</v>
      </c>
      <c r="H2005" s="3" t="s">
        <v>7001</v>
      </c>
      <c r="I2005" s="3" t="s">
        <v>1020</v>
      </c>
      <c r="J2005" s="3" t="s">
        <v>1021</v>
      </c>
      <c r="K2005" s="3" t="s">
        <v>27</v>
      </c>
      <c r="L2005" s="3" t="s">
        <v>27</v>
      </c>
      <c r="M2005" s="3" t="s">
        <v>27</v>
      </c>
      <c r="N2005" s="3" t="s">
        <v>28</v>
      </c>
      <c r="O2005" s="3" t="s">
        <v>27</v>
      </c>
      <c r="P2005" s="3" t="s">
        <v>28</v>
      </c>
      <c r="Q2005" s="3" t="s">
        <v>28</v>
      </c>
      <c r="R2005" s="3" t="s">
        <v>28</v>
      </c>
      <c r="S2005" s="3" t="s">
        <v>28</v>
      </c>
      <c r="T2005" s="3" t="s">
        <v>28</v>
      </c>
    </row>
    <row r="2006" spans="1:20" ht="409.6">
      <c r="A2006" s="3">
        <v>2706171</v>
      </c>
      <c r="B2006" s="3">
        <f>HYPERLINK("https://platform.v2.vetology.net/cases/2706171/screening-report/6?type=pdf&amp;v=v6&amp;scorecard=1&amp;secret_key=BX%25IJ%24%2F65ieZ%29f6", 2706171)</f>
        <v>2706171</v>
      </c>
      <c r="C2006" s="3">
        <f>HYPERLINK("https://platform.v2.vetology.net/report/v/final/"&amp;2706171, 2706171)</f>
        <v>2706171</v>
      </c>
      <c r="D2006" s="3" t="s">
        <v>7002</v>
      </c>
      <c r="E2006" s="3" t="s">
        <v>7003</v>
      </c>
      <c r="F2006" s="3" t="s">
        <v>7004</v>
      </c>
      <c r="G2006" s="3" t="s">
        <v>1772</v>
      </c>
      <c r="H2006" s="3" t="s">
        <v>419</v>
      </c>
      <c r="I2006" s="3" t="s">
        <v>316</v>
      </c>
      <c r="J2006" s="3" t="s">
        <v>317</v>
      </c>
      <c r="K2006" s="3" t="s">
        <v>28</v>
      </c>
      <c r="L2006" s="3" t="s">
        <v>28</v>
      </c>
      <c r="M2006" s="3" t="s">
        <v>28</v>
      </c>
      <c r="N2006" s="3" t="s">
        <v>28</v>
      </c>
      <c r="O2006" s="3" t="s">
        <v>27</v>
      </c>
      <c r="P2006" s="3" t="s">
        <v>28</v>
      </c>
      <c r="Q2006" s="3" t="s">
        <v>28</v>
      </c>
      <c r="R2006" s="3" t="s">
        <v>28</v>
      </c>
      <c r="S2006" s="3" t="s">
        <v>28</v>
      </c>
      <c r="T2006" s="3" t="s">
        <v>28</v>
      </c>
    </row>
    <row r="2007" spans="1:20" ht="409.6">
      <c r="A2007" s="3">
        <v>2706152</v>
      </c>
      <c r="B2007" s="3">
        <f>HYPERLINK("https://platform.v2.vetology.net/cases/2706152/screening-report/6?type=pdf&amp;v=v6&amp;scorecard=1&amp;secret_key=BX%25IJ%24%2F65ieZ%29f6", 2706152)</f>
        <v>2706152</v>
      </c>
      <c r="C2007" s="3">
        <f>HYPERLINK("https://platform.v2.vetology.net/report/v/final/"&amp;2706152, 2706152)</f>
        <v>2706152</v>
      </c>
      <c r="D2007" s="3" t="s">
        <v>7005</v>
      </c>
      <c r="E2007" s="3" t="s">
        <v>7006</v>
      </c>
      <c r="F2007" s="3" t="s">
        <v>7007</v>
      </c>
      <c r="G2007" s="3" t="s">
        <v>1772</v>
      </c>
      <c r="H2007" s="3" t="s">
        <v>7008</v>
      </c>
      <c r="I2007" s="3" t="s">
        <v>1688</v>
      </c>
      <c r="J2007" s="3" t="s">
        <v>207</v>
      </c>
      <c r="K2007" s="3" t="s">
        <v>27</v>
      </c>
      <c r="L2007" s="3" t="s">
        <v>28</v>
      </c>
      <c r="M2007" s="3" t="s">
        <v>27</v>
      </c>
      <c r="N2007" s="3" t="s">
        <v>28</v>
      </c>
      <c r="O2007" s="3" t="s">
        <v>27</v>
      </c>
      <c r="P2007" s="3" t="s">
        <v>28</v>
      </c>
      <c r="Q2007" s="3" t="s">
        <v>27</v>
      </c>
      <c r="R2007" s="3" t="s">
        <v>28</v>
      </c>
      <c r="S2007" s="3" t="s">
        <v>28</v>
      </c>
      <c r="T2007" s="3" t="s">
        <v>27</v>
      </c>
    </row>
    <row r="2008" spans="1:20" ht="351">
      <c r="A2008" s="3">
        <v>2706107</v>
      </c>
      <c r="B2008" s="3">
        <f>HYPERLINK("https://platform.v2.vetology.net/cases/2706107/screening-report/6?type=pdf&amp;v=v6&amp;scorecard=1&amp;secret_key=BX%25IJ%24%2F65ieZ%29f6", 2706107)</f>
        <v>2706107</v>
      </c>
      <c r="C2008" s="3">
        <f>HYPERLINK("https://platform.v2.vetology.net/report/v/final/"&amp;2706107, 2706107)</f>
        <v>2706107</v>
      </c>
      <c r="D2008" s="3" t="s">
        <v>7009</v>
      </c>
      <c r="E2008" s="3" t="s">
        <v>7010</v>
      </c>
      <c r="F2008" s="3" t="s">
        <v>7011</v>
      </c>
      <c r="G2008" s="3" t="s">
        <v>1772</v>
      </c>
      <c r="H2008" s="3" t="s">
        <v>7012</v>
      </c>
      <c r="I2008" s="3" t="s">
        <v>4099</v>
      </c>
      <c r="J2008" s="3" t="s">
        <v>4100</v>
      </c>
      <c r="K2008" s="3" t="s">
        <v>27</v>
      </c>
      <c r="L2008" s="3" t="s">
        <v>28</v>
      </c>
      <c r="M2008" s="3" t="s">
        <v>27</v>
      </c>
      <c r="N2008" s="3" t="s">
        <v>28</v>
      </c>
      <c r="O2008" s="3" t="s">
        <v>27</v>
      </c>
      <c r="P2008" s="3" t="s">
        <v>28</v>
      </c>
      <c r="Q2008" s="3" t="s">
        <v>27</v>
      </c>
      <c r="R2008" s="3" t="s">
        <v>28</v>
      </c>
      <c r="S2008" s="3" t="s">
        <v>28</v>
      </c>
      <c r="T2008" s="3" t="s">
        <v>28</v>
      </c>
    </row>
    <row r="2009" spans="1:20" ht="305.25">
      <c r="A2009" s="3">
        <v>2706093</v>
      </c>
      <c r="B2009" s="3">
        <f>HYPERLINK("https://platform.v2.vetology.net/cases/2706093/screening-report/6?type=pdf&amp;v=v6&amp;scorecard=1&amp;secret_key=BX%25IJ%24%2F65ieZ%29f6", 2706093)</f>
        <v>2706093</v>
      </c>
      <c r="C2009" s="3">
        <f>HYPERLINK("https://platform.v2.vetology.net/report/v/final/"&amp;2706093, 2706093)</f>
        <v>2706093</v>
      </c>
      <c r="D2009" s="3" t="s">
        <v>7013</v>
      </c>
      <c r="E2009" s="3" t="s">
        <v>7014</v>
      </c>
      <c r="F2009" s="3" t="s">
        <v>7015</v>
      </c>
      <c r="G2009" s="3" t="s">
        <v>1772</v>
      </c>
      <c r="H2009" s="3" t="s">
        <v>7016</v>
      </c>
      <c r="I2009" s="3" t="s">
        <v>829</v>
      </c>
      <c r="J2009" s="3" t="s">
        <v>830</v>
      </c>
      <c r="K2009" s="3" t="s">
        <v>28</v>
      </c>
      <c r="L2009" s="3" t="s">
        <v>27</v>
      </c>
      <c r="M2009" s="3" t="s">
        <v>27</v>
      </c>
      <c r="N2009" s="3" t="s">
        <v>27</v>
      </c>
      <c r="O2009" s="3" t="s">
        <v>27</v>
      </c>
      <c r="P2009" s="3" t="s">
        <v>28</v>
      </c>
      <c r="Q2009" s="3" t="s">
        <v>27</v>
      </c>
      <c r="R2009" s="3" t="s">
        <v>27</v>
      </c>
      <c r="S2009" s="3" t="s">
        <v>27</v>
      </c>
      <c r="T2009" s="3" t="s">
        <v>27</v>
      </c>
    </row>
    <row r="2010" spans="1:20" ht="259.5">
      <c r="A2010" s="3">
        <v>2706089</v>
      </c>
      <c r="B2010" s="3">
        <f>HYPERLINK("https://platform.v2.vetology.net/cases/2706089/screening-report/6?type=pdf&amp;v=v6&amp;scorecard=1&amp;secret_key=BX%25IJ%24%2F65ieZ%29f6", 2706089)</f>
        <v>2706089</v>
      </c>
      <c r="C2010" s="3">
        <f>HYPERLINK("https://platform.v2.vetology.net/report/v/final/"&amp;2706089, 2706089)</f>
        <v>2706089</v>
      </c>
      <c r="D2010" s="3" t="s">
        <v>7017</v>
      </c>
      <c r="E2010" s="3" t="s">
        <v>7018</v>
      </c>
      <c r="F2010" s="3" t="s">
        <v>3827</v>
      </c>
      <c r="G2010" s="3" t="s">
        <v>186</v>
      </c>
      <c r="H2010" s="3" t="s">
        <v>135</v>
      </c>
      <c r="I2010" s="3" t="s">
        <v>136</v>
      </c>
      <c r="J2010" s="3" t="s">
        <v>424</v>
      </c>
      <c r="K2010" s="3" t="s">
        <v>28</v>
      </c>
      <c r="L2010" s="3" t="s">
        <v>28</v>
      </c>
      <c r="M2010" s="3" t="s">
        <v>28</v>
      </c>
      <c r="N2010" s="3" t="s">
        <v>27</v>
      </c>
      <c r="O2010" s="3" t="s">
        <v>27</v>
      </c>
      <c r="P2010" s="3" t="s">
        <v>28</v>
      </c>
      <c r="Q2010" s="3" t="s">
        <v>28</v>
      </c>
      <c r="R2010" s="3" t="s">
        <v>28</v>
      </c>
      <c r="S2010" s="3" t="s">
        <v>28</v>
      </c>
      <c r="T2010" s="3" t="s">
        <v>27</v>
      </c>
    </row>
    <row r="2011" spans="1:20" ht="229.5">
      <c r="A2011" s="3">
        <v>2706086</v>
      </c>
      <c r="B2011" s="3">
        <f>HYPERLINK("https://platform.v2.vetology.net/cases/2706086/screening-report/6?type=pdf&amp;v=v6&amp;scorecard=1&amp;secret_key=BX%25IJ%24%2F65ieZ%29f6", 2706086)</f>
        <v>2706086</v>
      </c>
      <c r="C2011" s="3">
        <f>HYPERLINK("https://platform.v2.vetology.net/report/v/final/"&amp;2706086, 2706086)</f>
        <v>2706086</v>
      </c>
      <c r="D2011" s="3" t="s">
        <v>7019</v>
      </c>
      <c r="E2011" s="3" t="s">
        <v>7020</v>
      </c>
      <c r="F2011" s="3" t="s">
        <v>7021</v>
      </c>
      <c r="G2011" s="3" t="s">
        <v>186</v>
      </c>
      <c r="H2011" s="3" t="s">
        <v>300</v>
      </c>
      <c r="I2011" s="3" t="s">
        <v>32</v>
      </c>
      <c r="J2011" s="3" t="s">
        <v>119</v>
      </c>
      <c r="K2011" s="3" t="s">
        <v>28</v>
      </c>
      <c r="L2011" s="3" t="s">
        <v>28</v>
      </c>
      <c r="M2011" s="3" t="s">
        <v>28</v>
      </c>
      <c r="N2011" s="3" t="s">
        <v>28</v>
      </c>
      <c r="O2011" s="3" t="s">
        <v>28</v>
      </c>
      <c r="P2011" s="3" t="s">
        <v>28</v>
      </c>
      <c r="Q2011" s="3" t="s">
        <v>28</v>
      </c>
      <c r="R2011" s="3" t="s">
        <v>28</v>
      </c>
      <c r="S2011" s="3" t="s">
        <v>28</v>
      </c>
      <c r="T2011" s="3" t="s">
        <v>28</v>
      </c>
    </row>
    <row r="2012" spans="1:20" ht="409.6">
      <c r="A2012" s="3">
        <v>2706054</v>
      </c>
      <c r="B2012" s="3">
        <f>HYPERLINK("https://platform.v2.vetology.net/cases/2706054/screening-report/6?type=pdf&amp;v=v6&amp;scorecard=1&amp;secret_key=BX%25IJ%24%2F65ieZ%29f6", 2706054)</f>
        <v>2706054</v>
      </c>
      <c r="C2012" s="3">
        <f>HYPERLINK("https://platform.v2.vetology.net/report/v/final/"&amp;2706054, 2706054)</f>
        <v>2706054</v>
      </c>
      <c r="D2012" s="3" t="s">
        <v>7022</v>
      </c>
      <c r="E2012" s="3" t="s">
        <v>7023</v>
      </c>
      <c r="F2012" s="3" t="s">
        <v>22</v>
      </c>
      <c r="G2012" s="3" t="s">
        <v>100</v>
      </c>
      <c r="H2012" s="3" t="s">
        <v>2378</v>
      </c>
      <c r="I2012" s="3" t="s">
        <v>2379</v>
      </c>
      <c r="J2012" s="3" t="s">
        <v>1058</v>
      </c>
      <c r="K2012" s="3" t="s">
        <v>28</v>
      </c>
      <c r="L2012" s="3" t="s">
        <v>28</v>
      </c>
      <c r="M2012" s="3" t="s">
        <v>28</v>
      </c>
      <c r="N2012" s="3" t="s">
        <v>27</v>
      </c>
      <c r="O2012" s="3" t="s">
        <v>28</v>
      </c>
      <c r="P2012" s="3" t="s">
        <v>28</v>
      </c>
      <c r="Q2012" s="3" t="s">
        <v>28</v>
      </c>
      <c r="R2012" s="3" t="s">
        <v>27</v>
      </c>
      <c r="S2012" s="3" t="s">
        <v>27</v>
      </c>
      <c r="T2012" s="3" t="s">
        <v>27</v>
      </c>
    </row>
    <row r="2013" spans="1:20" ht="409.6">
      <c r="A2013" s="3">
        <v>2706050</v>
      </c>
      <c r="B2013" s="3">
        <f>HYPERLINK("https://platform.v2.vetology.net/cases/2706050/screening-report/6?type=pdf&amp;v=v6&amp;scorecard=1&amp;secret_key=BX%25IJ%24%2F65ieZ%29f6", 2706050)</f>
        <v>2706050</v>
      </c>
      <c r="C2013" s="3">
        <f>HYPERLINK("https://platform.v2.vetology.net/report/v/final/"&amp;2706050, 2706050)</f>
        <v>2706050</v>
      </c>
      <c r="D2013" s="3" t="s">
        <v>7024</v>
      </c>
      <c r="E2013" s="3" t="s">
        <v>7025</v>
      </c>
      <c r="F2013" s="3" t="s">
        <v>7026</v>
      </c>
      <c r="G2013" s="3" t="s">
        <v>186</v>
      </c>
      <c r="H2013" s="3" t="s">
        <v>5510</v>
      </c>
      <c r="I2013" s="3" t="s">
        <v>5511</v>
      </c>
      <c r="J2013" s="3" t="s">
        <v>5512</v>
      </c>
      <c r="K2013" s="3" t="s">
        <v>28</v>
      </c>
      <c r="L2013" s="3" t="s">
        <v>27</v>
      </c>
      <c r="M2013" s="3" t="s">
        <v>27</v>
      </c>
      <c r="N2013" s="3" t="s">
        <v>27</v>
      </c>
      <c r="O2013" s="3" t="s">
        <v>27</v>
      </c>
      <c r="P2013" s="3" t="s">
        <v>28</v>
      </c>
      <c r="Q2013" s="3" t="s">
        <v>28</v>
      </c>
      <c r="R2013" s="3" t="s">
        <v>27</v>
      </c>
      <c r="S2013" s="3" t="s">
        <v>27</v>
      </c>
      <c r="T2013" s="3" t="s">
        <v>27</v>
      </c>
    </row>
    <row r="2014" spans="1:20" ht="409.6">
      <c r="A2014" s="3">
        <v>2706041</v>
      </c>
      <c r="B2014" s="3">
        <f>HYPERLINK("https://platform.v2.vetology.net/cases/2706041/screening-report/6?type=pdf&amp;v=v6&amp;scorecard=1&amp;secret_key=BX%25IJ%24%2F65ieZ%29f6", 2706041)</f>
        <v>2706041</v>
      </c>
      <c r="C2014" s="3">
        <f>HYPERLINK("https://platform.v2.vetology.net/report/v/final/"&amp;2706041, 2706041)</f>
        <v>2706041</v>
      </c>
      <c r="D2014" s="3" t="s">
        <v>7027</v>
      </c>
      <c r="E2014" s="3" t="s">
        <v>7028</v>
      </c>
      <c r="F2014" s="3" t="s">
        <v>7029</v>
      </c>
      <c r="G2014" s="3" t="s">
        <v>186</v>
      </c>
      <c r="H2014" s="3" t="s">
        <v>7030</v>
      </c>
      <c r="I2014" s="3" t="s">
        <v>1688</v>
      </c>
      <c r="J2014" s="3" t="s">
        <v>207</v>
      </c>
      <c r="K2014" s="3" t="s">
        <v>27</v>
      </c>
      <c r="L2014" s="3" t="s">
        <v>28</v>
      </c>
      <c r="M2014" s="3" t="s">
        <v>27</v>
      </c>
      <c r="N2014" s="3" t="s">
        <v>28</v>
      </c>
      <c r="O2014" s="3" t="s">
        <v>27</v>
      </c>
      <c r="P2014" s="3" t="s">
        <v>28</v>
      </c>
      <c r="Q2014" s="3" t="s">
        <v>27</v>
      </c>
      <c r="R2014" s="3" t="s">
        <v>28</v>
      </c>
      <c r="S2014" s="3" t="s">
        <v>28</v>
      </c>
      <c r="T2014" s="3" t="s">
        <v>27</v>
      </c>
    </row>
    <row r="2015" spans="1:20" ht="305.25">
      <c r="A2015" s="3">
        <v>2706029</v>
      </c>
      <c r="B2015" s="3">
        <f>HYPERLINK("https://platform.v2.vetology.net/cases/2706029/screening-report/6?type=pdf&amp;v=v6&amp;scorecard=1&amp;secret_key=BX%25IJ%24%2F65ieZ%29f6", 2706029)</f>
        <v>2706029</v>
      </c>
      <c r="C2015" s="3">
        <f>HYPERLINK("https://platform.v2.vetology.net/report/v/final/"&amp;2706029, 2706029)</f>
        <v>2706029</v>
      </c>
      <c r="D2015" s="3" t="s">
        <v>7031</v>
      </c>
      <c r="E2015" s="3" t="s">
        <v>7032</v>
      </c>
      <c r="F2015" s="3" t="s">
        <v>7033</v>
      </c>
      <c r="G2015" s="3" t="s">
        <v>179</v>
      </c>
      <c r="H2015" s="3" t="s">
        <v>118</v>
      </c>
      <c r="I2015" s="3" t="s">
        <v>32</v>
      </c>
      <c r="J2015" s="3" t="s">
        <v>847</v>
      </c>
      <c r="K2015" s="3" t="s">
        <v>28</v>
      </c>
      <c r="L2015" s="3" t="s">
        <v>28</v>
      </c>
      <c r="M2015" s="3" t="s">
        <v>28</v>
      </c>
      <c r="N2015" s="3" t="s">
        <v>28</v>
      </c>
      <c r="O2015" s="3" t="s">
        <v>27</v>
      </c>
      <c r="P2015" s="3" t="s">
        <v>28</v>
      </c>
      <c r="Q2015" s="3" t="s">
        <v>28</v>
      </c>
      <c r="R2015" s="3" t="s">
        <v>28</v>
      </c>
      <c r="S2015" s="3" t="s">
        <v>28</v>
      </c>
      <c r="T2015" s="3" t="s">
        <v>27</v>
      </c>
    </row>
    <row r="2016" spans="1:20" ht="290.25">
      <c r="A2016" s="3">
        <v>2705996</v>
      </c>
      <c r="B2016" s="3">
        <f>HYPERLINK("https://platform.v2.vetology.net/cases/2705996/screening-report/6?type=pdf&amp;v=v6&amp;scorecard=1&amp;secret_key=BX%25IJ%24%2F65ieZ%29f6", 2705996)</f>
        <v>2705996</v>
      </c>
      <c r="C2016" s="3">
        <f>HYPERLINK("https://platform.v2.vetology.net/report/v/final/"&amp;2705996, 2705996)</f>
        <v>2705996</v>
      </c>
      <c r="D2016" s="3" t="s">
        <v>7034</v>
      </c>
      <c r="E2016" s="3" t="s">
        <v>7035</v>
      </c>
      <c r="F2016" s="3" t="s">
        <v>22</v>
      </c>
      <c r="G2016" s="3" t="s">
        <v>23</v>
      </c>
      <c r="H2016" s="3" t="s">
        <v>492</v>
      </c>
      <c r="I2016" s="3" t="s">
        <v>291</v>
      </c>
      <c r="J2016" s="3" t="s">
        <v>225</v>
      </c>
      <c r="K2016" s="3" t="s">
        <v>28</v>
      </c>
      <c r="L2016" s="3" t="s">
        <v>28</v>
      </c>
      <c r="M2016" s="3" t="s">
        <v>28</v>
      </c>
      <c r="N2016" s="3" t="s">
        <v>27</v>
      </c>
      <c r="O2016" s="3" t="s">
        <v>27</v>
      </c>
      <c r="P2016" s="3" t="s">
        <v>28</v>
      </c>
      <c r="Q2016" s="3" t="s">
        <v>28</v>
      </c>
      <c r="R2016" s="3" t="s">
        <v>27</v>
      </c>
      <c r="S2016" s="3" t="s">
        <v>27</v>
      </c>
      <c r="T2016" s="3" t="s">
        <v>27</v>
      </c>
    </row>
    <row r="2017" spans="1:20" ht="305.25">
      <c r="A2017" s="3">
        <v>2705980</v>
      </c>
      <c r="B2017" s="3">
        <f>HYPERLINK("https://platform.v2.vetology.net/cases/2705980/screening-report/6?type=pdf&amp;v=v6&amp;scorecard=1&amp;secret_key=BX%25IJ%24%2F65ieZ%29f6", 2705980)</f>
        <v>2705980</v>
      </c>
      <c r="C2017" s="3">
        <f>HYPERLINK("https://platform.v2.vetology.net/report/v/final/"&amp;2705980, 2705980)</f>
        <v>2705980</v>
      </c>
      <c r="D2017" s="3" t="s">
        <v>7036</v>
      </c>
      <c r="E2017" s="3" t="s">
        <v>7037</v>
      </c>
      <c r="F2017" s="3" t="s">
        <v>7038</v>
      </c>
      <c r="G2017" s="3" t="s">
        <v>211</v>
      </c>
      <c r="H2017" s="3" t="s">
        <v>7039</v>
      </c>
      <c r="I2017" s="3" t="s">
        <v>7040</v>
      </c>
      <c r="J2017" s="3" t="s">
        <v>7041</v>
      </c>
      <c r="K2017" s="3" t="s">
        <v>28</v>
      </c>
      <c r="L2017" s="3" t="s">
        <v>27</v>
      </c>
      <c r="M2017" s="3" t="s">
        <v>28</v>
      </c>
      <c r="N2017" s="3" t="s">
        <v>28</v>
      </c>
      <c r="O2017" s="3" t="s">
        <v>27</v>
      </c>
      <c r="P2017" s="3" t="s">
        <v>28</v>
      </c>
      <c r="Q2017" s="3" t="s">
        <v>27</v>
      </c>
      <c r="R2017" s="3" t="s">
        <v>28</v>
      </c>
      <c r="S2017" s="3" t="s">
        <v>28</v>
      </c>
      <c r="T2017" s="3" t="s">
        <v>28</v>
      </c>
    </row>
    <row r="2018" spans="1:20" ht="409.6">
      <c r="A2018" s="3">
        <v>2705941</v>
      </c>
      <c r="B2018" s="3">
        <f>HYPERLINK("https://platform.v2.vetology.net/cases/2705941/screening-report/6?type=pdf&amp;v=v6&amp;scorecard=1&amp;secret_key=BX%25IJ%24%2F65ieZ%29f6", 2705941)</f>
        <v>2705941</v>
      </c>
      <c r="C2018" s="3">
        <f>HYPERLINK("https://platform.v2.vetology.net/report/v/final/"&amp;2705941, 2705941)</f>
        <v>2705941</v>
      </c>
      <c r="D2018" s="3" t="s">
        <v>7042</v>
      </c>
      <c r="E2018" s="3" t="s">
        <v>7043</v>
      </c>
      <c r="F2018" s="3" t="s">
        <v>7044</v>
      </c>
      <c r="G2018" s="3" t="s">
        <v>186</v>
      </c>
      <c r="H2018" s="3" t="s">
        <v>3424</v>
      </c>
      <c r="I2018" s="3" t="s">
        <v>32</v>
      </c>
      <c r="J2018" s="3" t="s">
        <v>578</v>
      </c>
      <c r="K2018" s="3" t="s">
        <v>27</v>
      </c>
      <c r="L2018" s="3" t="s">
        <v>28</v>
      </c>
      <c r="M2018" s="3" t="s">
        <v>28</v>
      </c>
      <c r="N2018" s="3" t="s">
        <v>28</v>
      </c>
      <c r="O2018" s="3" t="s">
        <v>28</v>
      </c>
      <c r="P2018" s="3" t="s">
        <v>28</v>
      </c>
      <c r="Q2018" s="3" t="s">
        <v>27</v>
      </c>
      <c r="R2018" s="3" t="s">
        <v>28</v>
      </c>
      <c r="S2018" s="3" t="s">
        <v>28</v>
      </c>
      <c r="T2018" s="3" t="s">
        <v>28</v>
      </c>
    </row>
    <row r="2019" spans="1:20" ht="409.6">
      <c r="A2019" s="3">
        <v>2705930</v>
      </c>
      <c r="B2019" s="3">
        <f>HYPERLINK("https://platform.v2.vetology.net/cases/2705930/screening-report/6?type=pdf&amp;v=v6&amp;scorecard=1&amp;secret_key=BX%25IJ%24%2F65ieZ%29f6", 2705930)</f>
        <v>2705930</v>
      </c>
      <c r="C2019" s="3">
        <f>HYPERLINK("https://platform.v2.vetology.net/report/v/final/"&amp;2705930, 2705930)</f>
        <v>2705930</v>
      </c>
      <c r="D2019" s="3" t="s">
        <v>7045</v>
      </c>
      <c r="E2019" s="3" t="s">
        <v>7046</v>
      </c>
      <c r="F2019" s="3" t="s">
        <v>7047</v>
      </c>
      <c r="G2019" s="3" t="s">
        <v>186</v>
      </c>
      <c r="H2019" s="3" t="s">
        <v>7048</v>
      </c>
      <c r="I2019" s="3" t="s">
        <v>7049</v>
      </c>
      <c r="J2019" s="3" t="s">
        <v>7050</v>
      </c>
      <c r="K2019" s="3" t="s">
        <v>28</v>
      </c>
      <c r="L2019" s="3" t="s">
        <v>28</v>
      </c>
      <c r="M2019" s="3" t="s">
        <v>28</v>
      </c>
      <c r="N2019" s="3" t="s">
        <v>28</v>
      </c>
      <c r="O2019" s="3" t="s">
        <v>27</v>
      </c>
      <c r="P2019" s="3" t="s">
        <v>28</v>
      </c>
      <c r="Q2019" s="3" t="s">
        <v>28</v>
      </c>
      <c r="R2019" s="3" t="s">
        <v>27</v>
      </c>
      <c r="S2019" s="3" t="s">
        <v>27</v>
      </c>
      <c r="T2019" s="3" t="s">
        <v>27</v>
      </c>
    </row>
    <row r="2020" spans="1:20" ht="305.25">
      <c r="A2020" s="3">
        <v>2705875</v>
      </c>
      <c r="B2020" s="3">
        <f>HYPERLINK("https://platform.v2.vetology.net/cases/2705875/screening-report/6?type=pdf&amp;v=v6&amp;scorecard=1&amp;secret_key=BX%25IJ%24%2F65ieZ%29f6", 2705875)</f>
        <v>2705875</v>
      </c>
      <c r="C2020" s="3">
        <f>HYPERLINK("https://platform.v2.vetology.net/report/v/final/"&amp;2705875, 2705875)</f>
        <v>2705875</v>
      </c>
      <c r="D2020" s="3" t="s">
        <v>7051</v>
      </c>
      <c r="E2020" s="3" t="s">
        <v>7052</v>
      </c>
      <c r="F2020" s="3" t="s">
        <v>7053</v>
      </c>
      <c r="G2020" s="3" t="s">
        <v>100</v>
      </c>
      <c r="H2020" s="3" t="s">
        <v>31</v>
      </c>
      <c r="I2020" s="3" t="s">
        <v>32</v>
      </c>
      <c r="J2020" s="3" t="s">
        <v>33</v>
      </c>
      <c r="K2020" s="3" t="s">
        <v>28</v>
      </c>
      <c r="L2020" s="3" t="s">
        <v>28</v>
      </c>
      <c r="M2020" s="3" t="s">
        <v>28</v>
      </c>
      <c r="N2020" s="3" t="s">
        <v>28</v>
      </c>
      <c r="O2020" s="3" t="s">
        <v>28</v>
      </c>
      <c r="P2020" s="3" t="s">
        <v>28</v>
      </c>
      <c r="Q2020" s="3" t="s">
        <v>28</v>
      </c>
      <c r="R2020" s="3" t="s">
        <v>28</v>
      </c>
      <c r="S2020" s="3" t="s">
        <v>28</v>
      </c>
      <c r="T2020" s="3" t="s">
        <v>28</v>
      </c>
    </row>
    <row r="2021" spans="1:20" ht="409.6">
      <c r="A2021" s="3">
        <v>2705859</v>
      </c>
      <c r="B2021" s="3">
        <f>HYPERLINK("https://platform.v2.vetology.net/cases/2705859/screening-report/6?type=pdf&amp;v=v6&amp;scorecard=1&amp;secret_key=BX%25IJ%24%2F65ieZ%29f6", 2705859)</f>
        <v>2705859</v>
      </c>
      <c r="C2021" s="3">
        <f>HYPERLINK("https://platform.v2.vetology.net/report/v/final/"&amp;2705859, 2705859)</f>
        <v>2705859</v>
      </c>
      <c r="D2021" s="3" t="s">
        <v>7054</v>
      </c>
      <c r="E2021" s="3" t="s">
        <v>7055</v>
      </c>
      <c r="F2021" s="3" t="s">
        <v>7056</v>
      </c>
      <c r="G2021" s="3" t="s">
        <v>64</v>
      </c>
      <c r="H2021" s="3" t="s">
        <v>6418</v>
      </c>
      <c r="I2021" s="3" t="s">
        <v>2625</v>
      </c>
      <c r="J2021" s="3" t="s">
        <v>2626</v>
      </c>
      <c r="K2021" s="3" t="s">
        <v>28</v>
      </c>
      <c r="L2021" s="3" t="s">
        <v>28</v>
      </c>
      <c r="M2021" s="3" t="s">
        <v>28</v>
      </c>
      <c r="N2021" s="3" t="s">
        <v>28</v>
      </c>
      <c r="O2021" s="3" t="s">
        <v>28</v>
      </c>
      <c r="P2021" s="3" t="s">
        <v>28</v>
      </c>
      <c r="Q2021" s="3" t="s">
        <v>28</v>
      </c>
      <c r="R2021" s="3" t="s">
        <v>28</v>
      </c>
      <c r="S2021" s="3" t="s">
        <v>28</v>
      </c>
      <c r="T2021" s="3" t="s">
        <v>27</v>
      </c>
    </row>
    <row r="2022" spans="1:20" ht="381.75">
      <c r="A2022" s="3">
        <v>2705801</v>
      </c>
      <c r="B2022" s="3">
        <f>HYPERLINK("https://platform.v2.vetology.net/cases/2705801/screening-report/6?type=pdf&amp;v=v6&amp;scorecard=1&amp;secret_key=BX%25IJ%24%2F65ieZ%29f6", 2705801)</f>
        <v>2705801</v>
      </c>
      <c r="C2022" s="3">
        <f>HYPERLINK("https://platform.v2.vetology.net/report/v/final/"&amp;2705801, 2705801)</f>
        <v>2705801</v>
      </c>
      <c r="D2022" s="3" t="s">
        <v>7057</v>
      </c>
      <c r="E2022" s="3" t="s">
        <v>7058</v>
      </c>
      <c r="F2022" s="3" t="s">
        <v>7059</v>
      </c>
      <c r="G2022" s="3" t="s">
        <v>7060</v>
      </c>
      <c r="H2022" s="3" t="s">
        <v>7061</v>
      </c>
      <c r="I2022" s="3" t="s">
        <v>194</v>
      </c>
      <c r="J2022" s="3" t="s">
        <v>195</v>
      </c>
      <c r="K2022" s="3" t="s">
        <v>28</v>
      </c>
      <c r="L2022" s="3" t="s">
        <v>28</v>
      </c>
      <c r="M2022" s="3" t="s">
        <v>28</v>
      </c>
      <c r="N2022" s="3" t="s">
        <v>27</v>
      </c>
      <c r="O2022" s="3" t="s">
        <v>27</v>
      </c>
      <c r="P2022" s="3" t="s">
        <v>28</v>
      </c>
      <c r="Q2022" s="3" t="s">
        <v>28</v>
      </c>
      <c r="R2022" s="3" t="s">
        <v>28</v>
      </c>
      <c r="S2022" s="3" t="s">
        <v>27</v>
      </c>
      <c r="T2022" s="3" t="s">
        <v>27</v>
      </c>
    </row>
    <row r="2023" spans="1:20" ht="321">
      <c r="A2023" s="3">
        <v>2705733</v>
      </c>
      <c r="B2023" s="3">
        <f>HYPERLINK("https://platform.v2.vetology.net/cases/2705733/screening-report/6?type=pdf&amp;v=v6&amp;scorecard=1&amp;secret_key=BX%25IJ%24%2F65ieZ%29f6", 2705733)</f>
        <v>2705733</v>
      </c>
      <c r="C2023" s="3">
        <f>HYPERLINK("https://platform.v2.vetology.net/report/v/final/"&amp;2705733, 2705733)</f>
        <v>2705733</v>
      </c>
      <c r="D2023" s="3" t="s">
        <v>2204</v>
      </c>
      <c r="E2023" s="3" t="s">
        <v>1362</v>
      </c>
      <c r="F2023" s="3" t="s">
        <v>7062</v>
      </c>
      <c r="G2023" s="3" t="s">
        <v>211</v>
      </c>
      <c r="H2023" s="3" t="s">
        <v>31</v>
      </c>
      <c r="I2023" s="3" t="s">
        <v>32</v>
      </c>
      <c r="J2023" s="3" t="s">
        <v>847</v>
      </c>
      <c r="K2023" s="3" t="s">
        <v>28</v>
      </c>
      <c r="L2023" s="3" t="s">
        <v>28</v>
      </c>
      <c r="M2023" s="3" t="s">
        <v>28</v>
      </c>
      <c r="N2023" s="3" t="s">
        <v>28</v>
      </c>
      <c r="O2023" s="3" t="s">
        <v>27</v>
      </c>
      <c r="P2023" s="3" t="s">
        <v>28</v>
      </c>
      <c r="Q2023" s="3" t="s">
        <v>28</v>
      </c>
      <c r="R2023" s="3" t="s">
        <v>28</v>
      </c>
      <c r="S2023" s="3" t="s">
        <v>28</v>
      </c>
      <c r="T2023" s="3" t="s">
        <v>27</v>
      </c>
    </row>
    <row r="2024" spans="1:20" ht="381.75">
      <c r="A2024" s="3">
        <v>2705726</v>
      </c>
      <c r="B2024" s="3">
        <f>HYPERLINK("https://platform.v2.vetology.net/cases/2705726/screening-report/6?type=pdf&amp;v=v6&amp;scorecard=1&amp;secret_key=BX%25IJ%24%2F65ieZ%29f6", 2705726)</f>
        <v>2705726</v>
      </c>
      <c r="C2024" s="3">
        <f>HYPERLINK("https://platform.v2.vetology.net/report/v/final/"&amp;2705726, 2705726)</f>
        <v>2705726</v>
      </c>
      <c r="D2024" s="3" t="s">
        <v>7063</v>
      </c>
      <c r="E2024" s="3" t="s">
        <v>7064</v>
      </c>
      <c r="F2024" s="3" t="s">
        <v>7065</v>
      </c>
      <c r="G2024" s="3" t="s">
        <v>211</v>
      </c>
      <c r="H2024" s="3" t="s">
        <v>193</v>
      </c>
      <c r="I2024" s="3" t="s">
        <v>194</v>
      </c>
      <c r="J2024" s="3" t="s">
        <v>195</v>
      </c>
      <c r="K2024" s="3" t="s">
        <v>28</v>
      </c>
      <c r="L2024" s="3" t="s">
        <v>27</v>
      </c>
      <c r="M2024" s="3" t="s">
        <v>28</v>
      </c>
      <c r="N2024" s="3" t="s">
        <v>27</v>
      </c>
      <c r="O2024" s="3" t="s">
        <v>27</v>
      </c>
      <c r="P2024" s="3" t="s">
        <v>28</v>
      </c>
      <c r="Q2024" s="3" t="s">
        <v>28</v>
      </c>
      <c r="R2024" s="3" t="s">
        <v>28</v>
      </c>
      <c r="S2024" s="3" t="s">
        <v>27</v>
      </c>
      <c r="T2024" s="3" t="s">
        <v>27</v>
      </c>
    </row>
    <row r="2025" spans="1:20" ht="409.6">
      <c r="A2025" s="3">
        <v>2705706</v>
      </c>
      <c r="B2025" s="3">
        <f>HYPERLINK("https://platform.v2.vetology.net/cases/2705706/screening-report/6?type=pdf&amp;v=v6&amp;scorecard=1&amp;secret_key=BX%25IJ%24%2F65ieZ%29f6", 2705706)</f>
        <v>2705706</v>
      </c>
      <c r="C2025" s="3">
        <f>HYPERLINK("https://platform.v2.vetology.net/report/v/final/"&amp;2705706, 2705706)</f>
        <v>2705706</v>
      </c>
      <c r="D2025" s="3" t="s">
        <v>7066</v>
      </c>
      <c r="E2025" s="3" t="s">
        <v>7067</v>
      </c>
      <c r="F2025" s="3" t="s">
        <v>22</v>
      </c>
      <c r="G2025" s="3" t="s">
        <v>23</v>
      </c>
      <c r="H2025" s="3" t="s">
        <v>864</v>
      </c>
      <c r="I2025" s="3" t="s">
        <v>865</v>
      </c>
      <c r="J2025" s="3" t="s">
        <v>866</v>
      </c>
      <c r="K2025" s="3" t="s">
        <v>28</v>
      </c>
      <c r="L2025" s="3" t="s">
        <v>28</v>
      </c>
      <c r="M2025" s="3" t="s">
        <v>28</v>
      </c>
      <c r="N2025" s="3" t="s">
        <v>28</v>
      </c>
      <c r="O2025" s="3" t="s">
        <v>28</v>
      </c>
      <c r="P2025" s="3" t="s">
        <v>28</v>
      </c>
      <c r="Q2025" s="3" t="s">
        <v>28</v>
      </c>
      <c r="R2025" s="3" t="s">
        <v>28</v>
      </c>
      <c r="S2025" s="3" t="s">
        <v>28</v>
      </c>
      <c r="T2025" s="3" t="s">
        <v>28</v>
      </c>
    </row>
    <row r="2026" spans="1:20" ht="244.5">
      <c r="A2026" s="3">
        <v>2705688</v>
      </c>
      <c r="B2026" s="3">
        <f>HYPERLINK("https://platform.v2.vetology.net/cases/2705688/screening-report/6?type=pdf&amp;v=v6&amp;scorecard=1&amp;secret_key=BX%25IJ%24%2F65ieZ%29f6", 2705688)</f>
        <v>2705688</v>
      </c>
      <c r="C2026" s="3">
        <f>HYPERLINK("https://platform.v2.vetology.net/report/v/final/"&amp;2705688, 2705688)</f>
        <v>2705688</v>
      </c>
      <c r="D2026" s="3" t="s">
        <v>7068</v>
      </c>
      <c r="E2026" s="3" t="s">
        <v>7069</v>
      </c>
      <c r="F2026" s="3" t="s">
        <v>22</v>
      </c>
      <c r="G2026" s="3" t="s">
        <v>23</v>
      </c>
      <c r="H2026" s="3" t="s">
        <v>2331</v>
      </c>
      <c r="I2026" s="3" t="s">
        <v>305</v>
      </c>
      <c r="J2026" s="3" t="s">
        <v>799</v>
      </c>
      <c r="K2026" s="3" t="s">
        <v>27</v>
      </c>
      <c r="L2026" s="3" t="s">
        <v>28</v>
      </c>
      <c r="M2026" s="3" t="s">
        <v>28</v>
      </c>
      <c r="N2026" s="3" t="s">
        <v>28</v>
      </c>
      <c r="O2026" s="3" t="s">
        <v>28</v>
      </c>
      <c r="P2026" s="3" t="s">
        <v>28</v>
      </c>
      <c r="Q2026" s="3" t="s">
        <v>28</v>
      </c>
      <c r="R2026" s="3" t="s">
        <v>28</v>
      </c>
      <c r="S2026" s="3" t="s">
        <v>28</v>
      </c>
      <c r="T2026" s="3" t="s">
        <v>28</v>
      </c>
    </row>
    <row r="2027" spans="1:20" ht="305.25">
      <c r="A2027" s="3">
        <v>2705677</v>
      </c>
      <c r="B2027" s="3">
        <f>HYPERLINK("https://platform.v2.vetology.net/cases/2705677/screening-report/6?type=pdf&amp;v=v6&amp;scorecard=1&amp;secret_key=BX%25IJ%24%2F65ieZ%29f6", 2705677)</f>
        <v>2705677</v>
      </c>
      <c r="C2027" s="3">
        <f>HYPERLINK("https://platform.v2.vetology.net/report/v/final/"&amp;2705677, 2705677)</f>
        <v>2705677</v>
      </c>
      <c r="D2027" s="3" t="s">
        <v>7070</v>
      </c>
      <c r="E2027" s="3" t="s">
        <v>7071</v>
      </c>
      <c r="F2027" s="3"/>
      <c r="G2027" s="3" t="s">
        <v>122</v>
      </c>
      <c r="H2027" s="3" t="s">
        <v>2006</v>
      </c>
      <c r="I2027" s="3" t="s">
        <v>1070</v>
      </c>
      <c r="J2027" s="3" t="s">
        <v>207</v>
      </c>
      <c r="K2027" s="3" t="s">
        <v>28</v>
      </c>
      <c r="L2027" s="3" t="s">
        <v>28</v>
      </c>
      <c r="M2027" s="3" t="s">
        <v>28</v>
      </c>
      <c r="N2027" s="3" t="s">
        <v>28</v>
      </c>
      <c r="O2027" s="3" t="s">
        <v>27</v>
      </c>
      <c r="P2027" s="3" t="s">
        <v>28</v>
      </c>
      <c r="Q2027" s="3" t="s">
        <v>28</v>
      </c>
      <c r="R2027" s="3" t="s">
        <v>28</v>
      </c>
      <c r="S2027" s="3" t="s">
        <v>28</v>
      </c>
      <c r="T2027" s="3" t="s">
        <v>28</v>
      </c>
    </row>
    <row r="2028" spans="1:20" ht="381.75">
      <c r="A2028" s="3">
        <v>2705674</v>
      </c>
      <c r="B2028" s="3">
        <f>HYPERLINK("https://platform.v2.vetology.net/cases/2705674/screening-report/6?type=pdf&amp;v=v6&amp;scorecard=1&amp;secret_key=BX%25IJ%24%2F65ieZ%29f6", 2705674)</f>
        <v>2705674</v>
      </c>
      <c r="C2028" s="3">
        <f>HYPERLINK("https://platform.v2.vetology.net/report/v/final/"&amp;2705674, 2705674)</f>
        <v>2705674</v>
      </c>
      <c r="D2028" s="3" t="s">
        <v>7072</v>
      </c>
      <c r="E2028" s="3" t="s">
        <v>7073</v>
      </c>
      <c r="F2028" s="3" t="s">
        <v>3245</v>
      </c>
      <c r="G2028" s="3" t="s">
        <v>57</v>
      </c>
      <c r="H2028" s="3" t="s">
        <v>135</v>
      </c>
      <c r="I2028" s="3" t="s">
        <v>136</v>
      </c>
      <c r="J2028" s="3" t="s">
        <v>424</v>
      </c>
      <c r="K2028" s="3" t="s">
        <v>27</v>
      </c>
      <c r="L2028" s="3" t="s">
        <v>28</v>
      </c>
      <c r="M2028" s="3" t="s">
        <v>28</v>
      </c>
      <c r="N2028" s="3" t="s">
        <v>28</v>
      </c>
      <c r="O2028" s="3" t="s">
        <v>27</v>
      </c>
      <c r="P2028" s="3" t="s">
        <v>28</v>
      </c>
      <c r="Q2028" s="3" t="s">
        <v>28</v>
      </c>
      <c r="R2028" s="3" t="s">
        <v>28</v>
      </c>
      <c r="S2028" s="3" t="s">
        <v>28</v>
      </c>
      <c r="T2028" s="3" t="s">
        <v>27</v>
      </c>
    </row>
    <row r="2029" spans="1:20" ht="381.75">
      <c r="A2029" s="3">
        <v>2705619</v>
      </c>
      <c r="B2029" s="3">
        <f>HYPERLINK("https://platform.v2.vetology.net/cases/2705619/screening-report/6?type=pdf&amp;v=v6&amp;scorecard=1&amp;secret_key=BX%25IJ%24%2F65ieZ%29f6", 2705619)</f>
        <v>2705619</v>
      </c>
      <c r="C2029" s="3">
        <f>HYPERLINK("https://platform.v2.vetology.net/report/v/final/"&amp;2705619, 2705619)</f>
        <v>2705619</v>
      </c>
      <c r="D2029" s="3" t="s">
        <v>7074</v>
      </c>
      <c r="E2029" s="3" t="s">
        <v>7075</v>
      </c>
      <c r="F2029" s="3"/>
      <c r="G2029" s="3" t="s">
        <v>122</v>
      </c>
      <c r="H2029" s="3" t="s">
        <v>1714</v>
      </c>
      <c r="I2029" s="3" t="s">
        <v>392</v>
      </c>
      <c r="J2029" s="3" t="s">
        <v>393</v>
      </c>
      <c r="K2029" s="3" t="s">
        <v>28</v>
      </c>
      <c r="L2029" s="3" t="s">
        <v>28</v>
      </c>
      <c r="M2029" s="3" t="s">
        <v>28</v>
      </c>
      <c r="N2029" s="3" t="s">
        <v>27</v>
      </c>
      <c r="O2029" s="3" t="s">
        <v>28</v>
      </c>
      <c r="P2029" s="3" t="s">
        <v>28</v>
      </c>
      <c r="Q2029" s="3" t="s">
        <v>28</v>
      </c>
      <c r="R2029" s="3" t="s">
        <v>28</v>
      </c>
      <c r="S2029" s="3" t="s">
        <v>28</v>
      </c>
      <c r="T2029" s="3" t="s">
        <v>28</v>
      </c>
    </row>
    <row r="2030" spans="1:20" ht="409.6">
      <c r="A2030" s="3">
        <v>2705602</v>
      </c>
      <c r="B2030" s="3">
        <f>HYPERLINK("https://platform.v2.vetology.net/cases/2705602/screening-report/6?type=pdf&amp;v=v6&amp;scorecard=1&amp;secret_key=BX%25IJ%24%2F65ieZ%29f6", 2705602)</f>
        <v>2705602</v>
      </c>
      <c r="C2030" s="3">
        <f>HYPERLINK("https://platform.v2.vetology.net/report/v/final/"&amp;2705602, 2705602)</f>
        <v>2705602</v>
      </c>
      <c r="D2030" s="3" t="s">
        <v>7076</v>
      </c>
      <c r="E2030" s="3" t="s">
        <v>7077</v>
      </c>
      <c r="F2030" s="3" t="s">
        <v>7078</v>
      </c>
      <c r="G2030" s="3" t="s">
        <v>186</v>
      </c>
      <c r="H2030" s="3" t="s">
        <v>7079</v>
      </c>
      <c r="I2030" s="3" t="s">
        <v>1210</v>
      </c>
      <c r="J2030" s="3" t="s">
        <v>207</v>
      </c>
      <c r="K2030" s="3" t="s">
        <v>28</v>
      </c>
      <c r="L2030" s="3" t="s">
        <v>27</v>
      </c>
      <c r="M2030" s="3" t="s">
        <v>27</v>
      </c>
      <c r="N2030" s="3" t="s">
        <v>27</v>
      </c>
      <c r="O2030" s="3" t="s">
        <v>27</v>
      </c>
      <c r="P2030" s="3" t="s">
        <v>28</v>
      </c>
      <c r="Q2030" s="3" t="s">
        <v>27</v>
      </c>
      <c r="R2030" s="3" t="s">
        <v>27</v>
      </c>
      <c r="S2030" s="3" t="s">
        <v>27</v>
      </c>
      <c r="T2030" s="3" t="s">
        <v>27</v>
      </c>
    </row>
    <row r="2031" spans="1:20" ht="409.6">
      <c r="A2031" s="3">
        <v>2705583</v>
      </c>
      <c r="B2031" s="3">
        <f>HYPERLINK("https://platform.v2.vetology.net/cases/2705583/screening-report/6?type=pdf&amp;v=v6&amp;scorecard=1&amp;secret_key=BX%25IJ%24%2F65ieZ%29f6", 2705583)</f>
        <v>2705583</v>
      </c>
      <c r="C2031" s="3">
        <f>HYPERLINK("https://platform.v2.vetology.net/report/v/final/"&amp;2705583, 2705583)</f>
        <v>2705583</v>
      </c>
      <c r="D2031" s="3" t="s">
        <v>7080</v>
      </c>
      <c r="E2031" s="3" t="s">
        <v>7081</v>
      </c>
      <c r="F2031" s="3" t="s">
        <v>7082</v>
      </c>
      <c r="G2031" s="3" t="s">
        <v>57</v>
      </c>
      <c r="H2031" s="3" t="s">
        <v>683</v>
      </c>
      <c r="I2031" s="3" t="s">
        <v>32</v>
      </c>
      <c r="J2031" s="3" t="s">
        <v>578</v>
      </c>
      <c r="K2031" s="3" t="s">
        <v>27</v>
      </c>
      <c r="L2031" s="3" t="s">
        <v>28</v>
      </c>
      <c r="M2031" s="3" t="s">
        <v>28</v>
      </c>
      <c r="N2031" s="3" t="s">
        <v>28</v>
      </c>
      <c r="O2031" s="3" t="s">
        <v>27</v>
      </c>
      <c r="P2031" s="3" t="s">
        <v>28</v>
      </c>
      <c r="Q2031" s="3" t="s">
        <v>27</v>
      </c>
      <c r="R2031" s="3" t="s">
        <v>28</v>
      </c>
      <c r="S2031" s="3" t="s">
        <v>28</v>
      </c>
      <c r="T2031" s="3" t="s">
        <v>28</v>
      </c>
    </row>
    <row r="2032" spans="1:20" ht="336">
      <c r="A2032" s="3">
        <v>2705538</v>
      </c>
      <c r="B2032" s="3">
        <f>HYPERLINK("https://platform.v2.vetology.net/cases/2705538/screening-report/6?type=pdf&amp;v=v6&amp;scorecard=1&amp;secret_key=BX%25IJ%24%2F65ieZ%29f6", 2705538)</f>
        <v>2705538</v>
      </c>
      <c r="C2032" s="3">
        <f>HYPERLINK("https://platform.v2.vetology.net/report/v/final/"&amp;2705538, 2705538)</f>
        <v>2705538</v>
      </c>
      <c r="D2032" s="3" t="s">
        <v>7083</v>
      </c>
      <c r="E2032" s="3" t="s">
        <v>7084</v>
      </c>
      <c r="F2032" s="3" t="s">
        <v>7085</v>
      </c>
      <c r="G2032" s="3" t="s">
        <v>211</v>
      </c>
      <c r="H2032" s="3" t="s">
        <v>6700</v>
      </c>
      <c r="I2032" s="3" t="s">
        <v>3433</v>
      </c>
      <c r="J2032" s="3" t="s">
        <v>3434</v>
      </c>
      <c r="K2032" s="3" t="s">
        <v>28</v>
      </c>
      <c r="L2032" s="3" t="s">
        <v>28</v>
      </c>
      <c r="M2032" s="3" t="s">
        <v>27</v>
      </c>
      <c r="N2032" s="3" t="s">
        <v>28</v>
      </c>
      <c r="O2032" s="3" t="s">
        <v>27</v>
      </c>
      <c r="P2032" s="3" t="s">
        <v>28</v>
      </c>
      <c r="Q2032" s="3" t="s">
        <v>28</v>
      </c>
      <c r="R2032" s="3" t="s">
        <v>28</v>
      </c>
      <c r="S2032" s="3" t="s">
        <v>28</v>
      </c>
      <c r="T2032" s="3" t="s">
        <v>28</v>
      </c>
    </row>
    <row r="2033" spans="1:20" ht="366">
      <c r="A2033" s="3">
        <v>2705509</v>
      </c>
      <c r="B2033" s="3">
        <f>HYPERLINK("https://platform.v2.vetology.net/cases/2705509/screening-report/6?type=pdf&amp;v=v6&amp;scorecard=1&amp;secret_key=BX%25IJ%24%2F65ieZ%29f6", 2705509)</f>
        <v>2705509</v>
      </c>
      <c r="C2033" s="3">
        <f>HYPERLINK("https://platform.v2.vetology.net/report/v/final/"&amp;2705509, 2705509)</f>
        <v>2705509</v>
      </c>
      <c r="D2033" s="3" t="s">
        <v>7086</v>
      </c>
      <c r="E2033" s="3" t="s">
        <v>7087</v>
      </c>
      <c r="F2033" s="3" t="s">
        <v>1291</v>
      </c>
      <c r="G2033" s="3" t="s">
        <v>100</v>
      </c>
      <c r="H2033" s="3" t="s">
        <v>7088</v>
      </c>
      <c r="I2033" s="3" t="s">
        <v>2565</v>
      </c>
      <c r="J2033" s="3" t="s">
        <v>2566</v>
      </c>
      <c r="K2033" s="3" t="s">
        <v>27</v>
      </c>
      <c r="L2033" s="3" t="s">
        <v>27</v>
      </c>
      <c r="M2033" s="3" t="s">
        <v>28</v>
      </c>
      <c r="N2033" s="3" t="s">
        <v>27</v>
      </c>
      <c r="O2033" s="3" t="s">
        <v>27</v>
      </c>
      <c r="P2033" s="3" t="s">
        <v>28</v>
      </c>
      <c r="Q2033" s="3" t="s">
        <v>27</v>
      </c>
      <c r="R2033" s="3" t="s">
        <v>27</v>
      </c>
      <c r="S2033" s="3" t="s">
        <v>27</v>
      </c>
      <c r="T2033" s="3" t="s">
        <v>27</v>
      </c>
    </row>
    <row r="2034" spans="1:20" ht="409.6">
      <c r="A2034" s="3">
        <v>2705473</v>
      </c>
      <c r="B2034" s="3">
        <f>HYPERLINK("https://platform.v2.vetology.net/cases/2705473/screening-report/6?type=pdf&amp;v=v6&amp;scorecard=1&amp;secret_key=BX%25IJ%24%2F65ieZ%29f6", 2705473)</f>
        <v>2705473</v>
      </c>
      <c r="C2034" s="3">
        <f>HYPERLINK("https://platform.v2.vetology.net/report/v/final/"&amp;2705473, 2705473)</f>
        <v>2705473</v>
      </c>
      <c r="D2034" s="3" t="s">
        <v>7089</v>
      </c>
      <c r="E2034" s="3" t="s">
        <v>7090</v>
      </c>
      <c r="F2034" s="3" t="s">
        <v>7091</v>
      </c>
      <c r="G2034" s="3" t="s">
        <v>57</v>
      </c>
      <c r="H2034" s="3" t="s">
        <v>7092</v>
      </c>
      <c r="I2034" s="3"/>
      <c r="J2034" s="3" t="s">
        <v>207</v>
      </c>
      <c r="K2034" s="3" t="s">
        <v>27</v>
      </c>
      <c r="L2034" s="3" t="s">
        <v>28</v>
      </c>
      <c r="M2034" s="3" t="s">
        <v>27</v>
      </c>
      <c r="N2034" s="3" t="s">
        <v>28</v>
      </c>
      <c r="O2034" s="3" t="s">
        <v>27</v>
      </c>
      <c r="P2034" s="3" t="s">
        <v>28</v>
      </c>
      <c r="Q2034" s="3" t="s">
        <v>28</v>
      </c>
      <c r="R2034" s="3" t="s">
        <v>28</v>
      </c>
      <c r="S2034" s="3" t="s">
        <v>28</v>
      </c>
      <c r="T2034" s="3" t="s">
        <v>28</v>
      </c>
    </row>
    <row r="2035" spans="1:20" ht="409.6">
      <c r="A2035" s="3">
        <v>2705454</v>
      </c>
      <c r="B2035" s="3">
        <f>HYPERLINK("https://platform.v2.vetology.net/cases/2705454/screening-report/6?type=pdf&amp;v=v6&amp;scorecard=1&amp;secret_key=BX%25IJ%24%2F65ieZ%29f6", 2705454)</f>
        <v>2705454</v>
      </c>
      <c r="C2035" s="3">
        <f>HYPERLINK("https://platform.v2.vetology.net/report/v/final/"&amp;2705454, 2705454)</f>
        <v>2705454</v>
      </c>
      <c r="D2035" s="3" t="s">
        <v>7093</v>
      </c>
      <c r="E2035" s="3" t="s">
        <v>294</v>
      </c>
      <c r="F2035" s="3" t="s">
        <v>22</v>
      </c>
      <c r="G2035" s="3" t="s">
        <v>23</v>
      </c>
      <c r="H2035" s="3" t="s">
        <v>7094</v>
      </c>
      <c r="I2035" s="3" t="s">
        <v>904</v>
      </c>
      <c r="J2035" s="3" t="s">
        <v>905</v>
      </c>
      <c r="K2035" s="3" t="s">
        <v>27</v>
      </c>
      <c r="L2035" s="3" t="s">
        <v>28</v>
      </c>
      <c r="M2035" s="3" t="s">
        <v>28</v>
      </c>
      <c r="N2035" s="3" t="s">
        <v>28</v>
      </c>
      <c r="O2035" s="3" t="s">
        <v>28</v>
      </c>
      <c r="P2035" s="3" t="s">
        <v>28</v>
      </c>
      <c r="Q2035" s="3" t="s">
        <v>28</v>
      </c>
      <c r="R2035" s="3" t="s">
        <v>28</v>
      </c>
      <c r="S2035" s="3" t="s">
        <v>28</v>
      </c>
      <c r="T2035" s="3" t="s">
        <v>28</v>
      </c>
    </row>
    <row r="2036" spans="1:20" ht="409.6">
      <c r="A2036" s="3">
        <v>2705452</v>
      </c>
      <c r="B2036" s="3">
        <f>HYPERLINK("https://platform.v2.vetology.net/cases/2705452/screening-report/6?type=pdf&amp;v=v6&amp;scorecard=1&amp;secret_key=BX%25IJ%24%2F65ieZ%29f6", 2705452)</f>
        <v>2705452</v>
      </c>
      <c r="C2036" s="3">
        <f>HYPERLINK("https://platform.v2.vetology.net/report/v/final/"&amp;2705452, 2705452)</f>
        <v>2705452</v>
      </c>
      <c r="D2036" s="3" t="s">
        <v>7095</v>
      </c>
      <c r="E2036" s="3" t="s">
        <v>7096</v>
      </c>
      <c r="F2036" s="3" t="s">
        <v>7097</v>
      </c>
      <c r="G2036" s="3" t="s">
        <v>64</v>
      </c>
      <c r="H2036" s="3" t="s">
        <v>31</v>
      </c>
      <c r="I2036" s="3" t="s">
        <v>32</v>
      </c>
      <c r="J2036" s="3" t="s">
        <v>847</v>
      </c>
      <c r="K2036" s="3" t="s">
        <v>28</v>
      </c>
      <c r="L2036" s="3" t="s">
        <v>28</v>
      </c>
      <c r="M2036" s="3" t="s">
        <v>28</v>
      </c>
      <c r="N2036" s="3" t="s">
        <v>28</v>
      </c>
      <c r="O2036" s="3" t="s">
        <v>27</v>
      </c>
      <c r="P2036" s="3" t="s">
        <v>28</v>
      </c>
      <c r="Q2036" s="3" t="s">
        <v>28</v>
      </c>
      <c r="R2036" s="3" t="s">
        <v>28</v>
      </c>
      <c r="S2036" s="3" t="s">
        <v>28</v>
      </c>
      <c r="T2036" s="3" t="s">
        <v>28</v>
      </c>
    </row>
    <row r="2037" spans="1:20" ht="409.6">
      <c r="A2037" s="3">
        <v>2705445</v>
      </c>
      <c r="B2037" s="3">
        <f>HYPERLINK("https://platform.v2.vetology.net/cases/2705445/screening-report/6?type=pdf&amp;v=v6&amp;scorecard=1&amp;secret_key=BX%25IJ%24%2F65ieZ%29f6", 2705445)</f>
        <v>2705445</v>
      </c>
      <c r="C2037" s="3">
        <f>HYPERLINK("https://platform.v2.vetology.net/report/v/final/"&amp;2705445, 2705445)</f>
        <v>2705445</v>
      </c>
      <c r="D2037" s="3" t="s">
        <v>7098</v>
      </c>
      <c r="E2037" s="3" t="s">
        <v>7099</v>
      </c>
      <c r="F2037" s="3" t="s">
        <v>7100</v>
      </c>
      <c r="G2037" s="3" t="s">
        <v>57</v>
      </c>
      <c r="H2037" s="3" t="s">
        <v>158</v>
      </c>
      <c r="I2037" s="3" t="s">
        <v>32</v>
      </c>
      <c r="J2037" s="3" t="s">
        <v>119</v>
      </c>
      <c r="K2037" s="3" t="s">
        <v>28</v>
      </c>
      <c r="L2037" s="3" t="s">
        <v>28</v>
      </c>
      <c r="M2037" s="3" t="s">
        <v>28</v>
      </c>
      <c r="N2037" s="3" t="s">
        <v>28</v>
      </c>
      <c r="O2037" s="3" t="s">
        <v>27</v>
      </c>
      <c r="P2037" s="3" t="s">
        <v>28</v>
      </c>
      <c r="Q2037" s="3" t="s">
        <v>28</v>
      </c>
      <c r="R2037" s="3" t="s">
        <v>28</v>
      </c>
      <c r="S2037" s="3" t="s">
        <v>28</v>
      </c>
      <c r="T2037" s="3" t="s">
        <v>28</v>
      </c>
    </row>
    <row r="2038" spans="1:20" ht="396.75">
      <c r="A2038" s="3">
        <v>2705440</v>
      </c>
      <c r="B2038" s="3">
        <f>HYPERLINK("https://platform.v2.vetology.net/cases/2705440/screening-report/6?type=pdf&amp;v=v6&amp;scorecard=1&amp;secret_key=BX%25IJ%24%2F65ieZ%29f6", 2705440)</f>
        <v>2705440</v>
      </c>
      <c r="C2038" s="3">
        <f>HYPERLINK("https://platform.v2.vetology.net/report/v/final/"&amp;2705440, 2705440)</f>
        <v>2705440</v>
      </c>
      <c r="D2038" s="3" t="s">
        <v>7101</v>
      </c>
      <c r="E2038" s="3" t="s">
        <v>7102</v>
      </c>
      <c r="F2038" s="3" t="s">
        <v>5612</v>
      </c>
      <c r="G2038" s="3" t="s">
        <v>186</v>
      </c>
      <c r="H2038" s="3" t="s">
        <v>1097</v>
      </c>
      <c r="I2038" s="3" t="s">
        <v>469</v>
      </c>
      <c r="J2038" s="3" t="s">
        <v>470</v>
      </c>
      <c r="K2038" s="3" t="s">
        <v>28</v>
      </c>
      <c r="L2038" s="3" t="s">
        <v>28</v>
      </c>
      <c r="M2038" s="3" t="s">
        <v>28</v>
      </c>
      <c r="N2038" s="3" t="s">
        <v>28</v>
      </c>
      <c r="O2038" s="3" t="s">
        <v>27</v>
      </c>
      <c r="P2038" s="3" t="s">
        <v>27</v>
      </c>
      <c r="Q2038" s="3" t="s">
        <v>28</v>
      </c>
      <c r="R2038" s="3" t="s">
        <v>28</v>
      </c>
      <c r="S2038" s="3" t="s">
        <v>28</v>
      </c>
      <c r="T2038" s="3" t="s">
        <v>28</v>
      </c>
    </row>
    <row r="2039" spans="1:20" ht="409.6">
      <c r="A2039" s="3">
        <v>2705424</v>
      </c>
      <c r="B2039" s="3">
        <f>HYPERLINK("https://platform.v2.vetology.net/cases/2705424/screening-report/6?type=pdf&amp;v=v6&amp;scorecard=1&amp;secret_key=BX%25IJ%24%2F65ieZ%29f6", 2705424)</f>
        <v>2705424</v>
      </c>
      <c r="C2039" s="3">
        <f>HYPERLINK("https://platform.v2.vetology.net/report/v/final/"&amp;2705424, 2705424)</f>
        <v>2705424</v>
      </c>
      <c r="D2039" s="3" t="s">
        <v>7103</v>
      </c>
      <c r="E2039" s="3" t="s">
        <v>7104</v>
      </c>
      <c r="F2039" s="3" t="s">
        <v>7105</v>
      </c>
      <c r="G2039" s="3" t="s">
        <v>179</v>
      </c>
      <c r="H2039" s="3" t="s">
        <v>7106</v>
      </c>
      <c r="I2039" s="3" t="s">
        <v>878</v>
      </c>
      <c r="J2039" s="3" t="s">
        <v>879</v>
      </c>
      <c r="K2039" s="3" t="s">
        <v>27</v>
      </c>
      <c r="L2039" s="3" t="s">
        <v>27</v>
      </c>
      <c r="M2039" s="3" t="s">
        <v>28</v>
      </c>
      <c r="N2039" s="3" t="s">
        <v>27</v>
      </c>
      <c r="O2039" s="3" t="s">
        <v>27</v>
      </c>
      <c r="P2039" s="3" t="s">
        <v>28</v>
      </c>
      <c r="Q2039" s="3" t="s">
        <v>27</v>
      </c>
      <c r="R2039" s="3" t="s">
        <v>27</v>
      </c>
      <c r="S2039" s="3" t="s">
        <v>27</v>
      </c>
      <c r="T2039" s="3" t="s">
        <v>27</v>
      </c>
    </row>
    <row r="2040" spans="1:20" ht="409.6">
      <c r="A2040" s="3">
        <v>2705363</v>
      </c>
      <c r="B2040" s="3">
        <f>HYPERLINK("https://platform.v2.vetology.net/cases/2705363/screening-report/6?type=pdf&amp;v=v6&amp;scorecard=1&amp;secret_key=BX%25IJ%24%2F65ieZ%29f6", 2705363)</f>
        <v>2705363</v>
      </c>
      <c r="C2040" s="3">
        <f>HYPERLINK("https://platform.v2.vetology.net/report/v/final/"&amp;2705363, 2705363)</f>
        <v>2705363</v>
      </c>
      <c r="D2040" s="3" t="s">
        <v>7107</v>
      </c>
      <c r="E2040" s="3" t="s">
        <v>7108</v>
      </c>
      <c r="F2040" s="3" t="s">
        <v>7109</v>
      </c>
      <c r="G2040" s="3" t="s">
        <v>211</v>
      </c>
      <c r="H2040" s="3" t="s">
        <v>7110</v>
      </c>
      <c r="I2040" s="3" t="s">
        <v>7049</v>
      </c>
      <c r="J2040" s="3" t="s">
        <v>7050</v>
      </c>
      <c r="K2040" s="3" t="s">
        <v>28</v>
      </c>
      <c r="L2040" s="3" t="s">
        <v>28</v>
      </c>
      <c r="M2040" s="3" t="s">
        <v>28</v>
      </c>
      <c r="N2040" s="3" t="s">
        <v>27</v>
      </c>
      <c r="O2040" s="3" t="s">
        <v>28</v>
      </c>
      <c r="P2040" s="3" t="s">
        <v>28</v>
      </c>
      <c r="Q2040" s="3" t="s">
        <v>28</v>
      </c>
      <c r="R2040" s="3" t="s">
        <v>28</v>
      </c>
      <c r="S2040" s="3" t="s">
        <v>28</v>
      </c>
      <c r="T2040" s="3" t="s">
        <v>27</v>
      </c>
    </row>
    <row r="2041" spans="1:20" ht="409.6">
      <c r="A2041" s="3">
        <v>2705345</v>
      </c>
      <c r="B2041" s="3">
        <f>HYPERLINK("https://platform.v2.vetology.net/cases/2705345/screening-report/6?type=pdf&amp;v=v6&amp;scorecard=1&amp;secret_key=BX%25IJ%24%2F65ieZ%29f6", 2705345)</f>
        <v>2705345</v>
      </c>
      <c r="C2041" s="3">
        <f>HYPERLINK("https://platform.v2.vetology.net/report/v/final/"&amp;2705345, 2705345)</f>
        <v>2705345</v>
      </c>
      <c r="D2041" s="3" t="s">
        <v>7111</v>
      </c>
      <c r="E2041" s="3" t="s">
        <v>7112</v>
      </c>
      <c r="F2041" s="3" t="s">
        <v>7113</v>
      </c>
      <c r="G2041" s="3" t="s">
        <v>64</v>
      </c>
      <c r="H2041" s="3" t="s">
        <v>7114</v>
      </c>
      <c r="I2041" s="3" t="s">
        <v>1130</v>
      </c>
      <c r="J2041" s="3" t="s">
        <v>1131</v>
      </c>
      <c r="K2041" s="3" t="s">
        <v>27</v>
      </c>
      <c r="L2041" s="3" t="s">
        <v>28</v>
      </c>
      <c r="M2041" s="3" t="s">
        <v>27</v>
      </c>
      <c r="N2041" s="3" t="s">
        <v>28</v>
      </c>
      <c r="O2041" s="3" t="s">
        <v>27</v>
      </c>
      <c r="P2041" s="3" t="s">
        <v>28</v>
      </c>
      <c r="Q2041" s="3" t="s">
        <v>27</v>
      </c>
      <c r="R2041" s="3" t="s">
        <v>28</v>
      </c>
      <c r="S2041" s="3" t="s">
        <v>28</v>
      </c>
      <c r="T2041" s="3" t="s">
        <v>28</v>
      </c>
    </row>
    <row r="2042" spans="1:20" ht="381.75">
      <c r="A2042" s="3">
        <v>2705341</v>
      </c>
      <c r="B2042" s="3">
        <f>HYPERLINK("https://platform.v2.vetology.net/cases/2705341/screening-report/6?type=pdf&amp;v=v6&amp;scorecard=1&amp;secret_key=BX%25IJ%24%2F65ieZ%29f6", 2705341)</f>
        <v>2705341</v>
      </c>
      <c r="C2042" s="3">
        <f>HYPERLINK("https://platform.v2.vetology.net/report/v/final/"&amp;2705341, 2705341)</f>
        <v>2705341</v>
      </c>
      <c r="D2042" s="3" t="s">
        <v>7115</v>
      </c>
      <c r="E2042" s="3" t="s">
        <v>7116</v>
      </c>
      <c r="F2042" s="3" t="s">
        <v>7117</v>
      </c>
      <c r="G2042" s="3" t="s">
        <v>179</v>
      </c>
      <c r="H2042" s="3" t="s">
        <v>4333</v>
      </c>
      <c r="I2042" s="3" t="s">
        <v>4334</v>
      </c>
      <c r="J2042" s="3" t="s">
        <v>325</v>
      </c>
      <c r="K2042" s="3" t="s">
        <v>28</v>
      </c>
      <c r="L2042" s="3" t="s">
        <v>28</v>
      </c>
      <c r="M2042" s="3" t="s">
        <v>28</v>
      </c>
      <c r="N2042" s="3" t="s">
        <v>28</v>
      </c>
      <c r="O2042" s="3" t="s">
        <v>28</v>
      </c>
      <c r="P2042" s="3" t="s">
        <v>27</v>
      </c>
      <c r="Q2042" s="3" t="s">
        <v>28</v>
      </c>
      <c r="R2042" s="3" t="s">
        <v>28</v>
      </c>
      <c r="S2042" s="3" t="s">
        <v>28</v>
      </c>
      <c r="T2042" s="3" t="s">
        <v>28</v>
      </c>
    </row>
    <row r="2043" spans="1:20" ht="381.75">
      <c r="A2043" s="3">
        <v>2705308</v>
      </c>
      <c r="B2043" s="3">
        <f>HYPERLINK("https://platform.v2.vetology.net/cases/2705308/screening-report/6?type=pdf&amp;v=v6&amp;scorecard=1&amp;secret_key=BX%25IJ%24%2F65ieZ%29f6", 2705308)</f>
        <v>2705308</v>
      </c>
      <c r="C2043" s="3">
        <f>HYPERLINK("https://platform.v2.vetology.net/report/v/final/"&amp;2705308, 2705308)</f>
        <v>2705308</v>
      </c>
      <c r="D2043" s="3" t="s">
        <v>7118</v>
      </c>
      <c r="E2043" s="3" t="s">
        <v>7119</v>
      </c>
      <c r="F2043" s="3" t="s">
        <v>7120</v>
      </c>
      <c r="G2043" s="3" t="s">
        <v>57</v>
      </c>
      <c r="H2043" s="3" t="s">
        <v>2331</v>
      </c>
      <c r="I2043" s="3" t="s">
        <v>305</v>
      </c>
      <c r="J2043" s="3" t="s">
        <v>7121</v>
      </c>
      <c r="K2043" s="3" t="s">
        <v>27</v>
      </c>
      <c r="L2043" s="3" t="s">
        <v>28</v>
      </c>
      <c r="M2043" s="3" t="s">
        <v>27</v>
      </c>
      <c r="N2043" s="3" t="s">
        <v>28</v>
      </c>
      <c r="O2043" s="3" t="s">
        <v>28</v>
      </c>
      <c r="P2043" s="3" t="s">
        <v>28</v>
      </c>
      <c r="Q2043" s="3" t="s">
        <v>28</v>
      </c>
      <c r="R2043" s="3" t="s">
        <v>28</v>
      </c>
      <c r="S2043" s="3" t="s">
        <v>28</v>
      </c>
      <c r="T2043" s="3" t="s">
        <v>28</v>
      </c>
    </row>
    <row r="2044" spans="1:20" ht="409.6">
      <c r="A2044" s="3">
        <v>2705278</v>
      </c>
      <c r="B2044" s="3">
        <f>HYPERLINK("https://platform.v2.vetology.net/cases/2705278/screening-report/6?type=pdf&amp;v=v6&amp;scorecard=1&amp;secret_key=BX%25IJ%24%2F65ieZ%29f6", 2705278)</f>
        <v>2705278</v>
      </c>
      <c r="C2044" s="3">
        <f>HYPERLINK("https://platform.v2.vetology.net/report/v/final/"&amp;2705278, 2705278)</f>
        <v>2705278</v>
      </c>
      <c r="D2044" s="3" t="s">
        <v>7122</v>
      </c>
      <c r="E2044" s="3" t="s">
        <v>7123</v>
      </c>
      <c r="F2044" s="3" t="s">
        <v>7124</v>
      </c>
      <c r="G2044" s="3" t="s">
        <v>57</v>
      </c>
      <c r="H2044" s="3" t="s">
        <v>158</v>
      </c>
      <c r="I2044" s="3" t="s">
        <v>32</v>
      </c>
      <c r="J2044" s="3" t="s">
        <v>33</v>
      </c>
      <c r="K2044" s="3" t="s">
        <v>28</v>
      </c>
      <c r="L2044" s="3" t="s">
        <v>27</v>
      </c>
      <c r="M2044" s="3" t="s">
        <v>28</v>
      </c>
      <c r="N2044" s="3" t="s">
        <v>28</v>
      </c>
      <c r="O2044" s="3" t="s">
        <v>27</v>
      </c>
      <c r="P2044" s="3" t="s">
        <v>28</v>
      </c>
      <c r="Q2044" s="3" t="s">
        <v>28</v>
      </c>
      <c r="R2044" s="3" t="s">
        <v>28</v>
      </c>
      <c r="S2044" s="3" t="s">
        <v>28</v>
      </c>
      <c r="T2044" s="3" t="s">
        <v>28</v>
      </c>
    </row>
    <row r="2045" spans="1:20" ht="336">
      <c r="A2045" s="3">
        <v>2705274</v>
      </c>
      <c r="B2045" s="3">
        <f>HYPERLINK("https://platform.v2.vetology.net/cases/2705274/screening-report/6?type=pdf&amp;v=v6&amp;scorecard=1&amp;secret_key=BX%25IJ%24%2F65ieZ%29f6", 2705274)</f>
        <v>2705274</v>
      </c>
      <c r="C2045" s="3">
        <f>HYPERLINK("https://platform.v2.vetology.net/report/v/final/"&amp;2705274, 2705274)</f>
        <v>2705274</v>
      </c>
      <c r="D2045" s="3" t="s">
        <v>7125</v>
      </c>
      <c r="E2045" s="3" t="s">
        <v>7126</v>
      </c>
      <c r="F2045" s="3" t="s">
        <v>22</v>
      </c>
      <c r="G2045" s="3" t="s">
        <v>100</v>
      </c>
      <c r="H2045" s="3" t="s">
        <v>7127</v>
      </c>
      <c r="I2045" s="3" t="s">
        <v>124</v>
      </c>
      <c r="J2045" s="3" t="s">
        <v>125</v>
      </c>
      <c r="K2045" s="3" t="s">
        <v>27</v>
      </c>
      <c r="L2045" s="3" t="s">
        <v>28</v>
      </c>
      <c r="M2045" s="3" t="s">
        <v>27</v>
      </c>
      <c r="N2045" s="3" t="s">
        <v>28</v>
      </c>
      <c r="O2045" s="3" t="s">
        <v>27</v>
      </c>
      <c r="P2045" s="3" t="s">
        <v>28</v>
      </c>
      <c r="Q2045" s="3" t="s">
        <v>27</v>
      </c>
      <c r="R2045" s="3" t="s">
        <v>28</v>
      </c>
      <c r="S2045" s="3" t="s">
        <v>28</v>
      </c>
      <c r="T2045" s="3" t="s">
        <v>28</v>
      </c>
    </row>
    <row r="2046" spans="1:20" ht="290.25">
      <c r="A2046" s="3">
        <v>2705270</v>
      </c>
      <c r="B2046" s="3">
        <f>HYPERLINK("https://platform.v2.vetology.net/cases/2705270/screening-report/6?type=pdf&amp;v=v6&amp;scorecard=1&amp;secret_key=BX%25IJ%24%2F65ieZ%29f6", 2705270)</f>
        <v>2705270</v>
      </c>
      <c r="C2046" s="3">
        <f>HYPERLINK("https://platform.v2.vetology.net/report/v/final/"&amp;2705270, 2705270)</f>
        <v>2705270</v>
      </c>
      <c r="D2046" s="3" t="s">
        <v>7128</v>
      </c>
      <c r="E2046" s="3" t="s">
        <v>7129</v>
      </c>
      <c r="F2046" s="3" t="s">
        <v>7130</v>
      </c>
      <c r="G2046" s="3" t="s">
        <v>179</v>
      </c>
      <c r="H2046" s="3" t="s">
        <v>5473</v>
      </c>
      <c r="I2046" s="3" t="s">
        <v>305</v>
      </c>
      <c r="J2046" s="3" t="s">
        <v>119</v>
      </c>
      <c r="K2046" s="3" t="s">
        <v>28</v>
      </c>
      <c r="L2046" s="3" t="s">
        <v>28</v>
      </c>
      <c r="M2046" s="3" t="s">
        <v>28</v>
      </c>
      <c r="N2046" s="3" t="s">
        <v>28</v>
      </c>
      <c r="O2046" s="3" t="s">
        <v>28</v>
      </c>
      <c r="P2046" s="3" t="s">
        <v>28</v>
      </c>
      <c r="Q2046" s="3" t="s">
        <v>28</v>
      </c>
      <c r="R2046" s="3" t="s">
        <v>28</v>
      </c>
      <c r="S2046" s="3" t="s">
        <v>28</v>
      </c>
      <c r="T2046" s="3" t="s">
        <v>28</v>
      </c>
    </row>
    <row r="2047" spans="1:20" ht="351">
      <c r="A2047" s="3">
        <v>2705268</v>
      </c>
      <c r="B2047" s="3">
        <f>HYPERLINK("https://platform.v2.vetology.net/cases/2705268/screening-report/6?type=pdf&amp;v=v6&amp;scorecard=1&amp;secret_key=BX%25IJ%24%2F65ieZ%29f6", 2705268)</f>
        <v>2705268</v>
      </c>
      <c r="C2047" s="3">
        <f>HYPERLINK("https://platform.v2.vetology.net/report/v/final/"&amp;2705268, 2705268)</f>
        <v>2705268</v>
      </c>
      <c r="D2047" s="3" t="s">
        <v>7131</v>
      </c>
      <c r="E2047" s="3" t="s">
        <v>7132</v>
      </c>
      <c r="F2047" s="3" t="s">
        <v>7133</v>
      </c>
      <c r="G2047" s="3" t="s">
        <v>179</v>
      </c>
      <c r="H2047" s="3" t="s">
        <v>31</v>
      </c>
      <c r="I2047" s="3" t="s">
        <v>2764</v>
      </c>
      <c r="J2047" s="3" t="s">
        <v>33</v>
      </c>
      <c r="K2047" s="3" t="s">
        <v>28</v>
      </c>
      <c r="L2047" s="3" t="s">
        <v>28</v>
      </c>
      <c r="M2047" s="3" t="s">
        <v>28</v>
      </c>
      <c r="N2047" s="3" t="s">
        <v>28</v>
      </c>
      <c r="O2047" s="3" t="s">
        <v>27</v>
      </c>
      <c r="P2047" s="3" t="s">
        <v>27</v>
      </c>
      <c r="Q2047" s="3" t="s">
        <v>28</v>
      </c>
      <c r="R2047" s="3" t="s">
        <v>28</v>
      </c>
      <c r="S2047" s="3" t="s">
        <v>27</v>
      </c>
      <c r="T2047" s="3" t="s">
        <v>28</v>
      </c>
    </row>
    <row r="2048" spans="1:20" ht="409.6">
      <c r="A2048" s="3">
        <v>2705248</v>
      </c>
      <c r="B2048" s="3">
        <f>HYPERLINK("https://platform.v2.vetology.net/cases/2705248/screening-report/6?type=pdf&amp;v=v6&amp;scorecard=1&amp;secret_key=BX%25IJ%24%2F65ieZ%29f6", 2705248)</f>
        <v>2705248</v>
      </c>
      <c r="C2048" s="3">
        <f>HYPERLINK("https://platform.v2.vetology.net/report/v/final/"&amp;2705248, 2705248)</f>
        <v>2705248</v>
      </c>
      <c r="D2048" s="3" t="s">
        <v>7134</v>
      </c>
      <c r="E2048" s="3" t="s">
        <v>7135</v>
      </c>
      <c r="F2048" s="3" t="s">
        <v>7136</v>
      </c>
      <c r="G2048" s="3" t="s">
        <v>64</v>
      </c>
      <c r="H2048" s="3" t="s">
        <v>947</v>
      </c>
      <c r="I2048" s="3" t="s">
        <v>273</v>
      </c>
      <c r="J2048" s="3" t="s">
        <v>274</v>
      </c>
      <c r="K2048" s="3" t="s">
        <v>28</v>
      </c>
      <c r="L2048" s="3" t="s">
        <v>28</v>
      </c>
      <c r="M2048" s="3" t="s">
        <v>28</v>
      </c>
      <c r="N2048" s="3" t="s">
        <v>28</v>
      </c>
      <c r="O2048" s="3" t="s">
        <v>27</v>
      </c>
      <c r="P2048" s="3" t="s">
        <v>28</v>
      </c>
      <c r="Q2048" s="3" t="s">
        <v>28</v>
      </c>
      <c r="R2048" s="3" t="s">
        <v>28</v>
      </c>
      <c r="S2048" s="3" t="s">
        <v>27</v>
      </c>
      <c r="T2048" s="3" t="s">
        <v>27</v>
      </c>
    </row>
    <row r="2049" spans="1:20" ht="409.6">
      <c r="A2049" s="3">
        <v>2705243</v>
      </c>
      <c r="B2049" s="3">
        <f>HYPERLINK("https://platform.v2.vetology.net/cases/2705243/screening-report/6?type=pdf&amp;v=v6&amp;scorecard=1&amp;secret_key=BX%25IJ%24%2F65ieZ%29f6", 2705243)</f>
        <v>2705243</v>
      </c>
      <c r="C2049" s="3">
        <f>HYPERLINK("https://platform.v2.vetology.net/report/v/final/"&amp;2705243, 2705243)</f>
        <v>2705243</v>
      </c>
      <c r="D2049" s="3" t="s">
        <v>7137</v>
      </c>
      <c r="E2049" s="3" t="s">
        <v>7138</v>
      </c>
      <c r="F2049" s="3" t="s">
        <v>7139</v>
      </c>
      <c r="G2049" s="3" t="s">
        <v>179</v>
      </c>
      <c r="H2049" s="3" t="s">
        <v>1046</v>
      </c>
      <c r="I2049" s="3" t="s">
        <v>59</v>
      </c>
      <c r="J2049" s="3" t="s">
        <v>60</v>
      </c>
      <c r="K2049" s="3" t="s">
        <v>28</v>
      </c>
      <c r="L2049" s="3" t="s">
        <v>28</v>
      </c>
      <c r="M2049" s="3" t="s">
        <v>28</v>
      </c>
      <c r="N2049" s="3" t="s">
        <v>28</v>
      </c>
      <c r="O2049" s="3" t="s">
        <v>27</v>
      </c>
      <c r="P2049" s="3" t="s">
        <v>28</v>
      </c>
      <c r="Q2049" s="3" t="s">
        <v>28</v>
      </c>
      <c r="R2049" s="3" t="s">
        <v>28</v>
      </c>
      <c r="S2049" s="3" t="s">
        <v>27</v>
      </c>
      <c r="T2049" s="3" t="s">
        <v>27</v>
      </c>
    </row>
    <row r="2050" spans="1:20" ht="409.6">
      <c r="A2050" s="3">
        <v>2705237</v>
      </c>
      <c r="B2050" s="3">
        <f>HYPERLINK("https://platform.v2.vetology.net/cases/2705237/screening-report/6?type=pdf&amp;v=v6&amp;scorecard=1&amp;secret_key=BX%25IJ%24%2F65ieZ%29f6", 2705237)</f>
        <v>2705237</v>
      </c>
      <c r="C2050" s="3">
        <f>HYPERLINK("https://platform.v2.vetology.net/report/v/final/"&amp;2705237, 2705237)</f>
        <v>2705237</v>
      </c>
      <c r="D2050" s="3" t="s">
        <v>7140</v>
      </c>
      <c r="E2050" s="3" t="s">
        <v>7141</v>
      </c>
      <c r="F2050" s="3" t="s">
        <v>7142</v>
      </c>
      <c r="G2050" s="3" t="s">
        <v>64</v>
      </c>
      <c r="H2050" s="3" t="s">
        <v>7143</v>
      </c>
      <c r="I2050" s="3"/>
      <c r="J2050" s="3" t="s">
        <v>207</v>
      </c>
      <c r="K2050" s="3" t="s">
        <v>27</v>
      </c>
      <c r="L2050" s="3" t="s">
        <v>28</v>
      </c>
      <c r="M2050" s="3" t="s">
        <v>27</v>
      </c>
      <c r="N2050" s="3" t="s">
        <v>28</v>
      </c>
      <c r="O2050" s="3" t="s">
        <v>27</v>
      </c>
      <c r="P2050" s="3" t="s">
        <v>28</v>
      </c>
      <c r="Q2050" s="3" t="s">
        <v>28</v>
      </c>
      <c r="R2050" s="3" t="s">
        <v>28</v>
      </c>
      <c r="S2050" s="3" t="s">
        <v>27</v>
      </c>
      <c r="T2050" s="3" t="s">
        <v>28</v>
      </c>
    </row>
    <row r="2051" spans="1:20" ht="336">
      <c r="A2051" s="3">
        <v>2705232</v>
      </c>
      <c r="B2051" s="3">
        <f>HYPERLINK("https://platform.v2.vetology.net/cases/2705232/screening-report/6?type=pdf&amp;v=v6&amp;scorecard=1&amp;secret_key=BX%25IJ%24%2F65ieZ%29f6", 2705232)</f>
        <v>2705232</v>
      </c>
      <c r="C2051" s="3">
        <f>HYPERLINK("https://platform.v2.vetology.net/report/v/final/"&amp;2705232, 2705232)</f>
        <v>2705232</v>
      </c>
      <c r="D2051" s="3" t="s">
        <v>7144</v>
      </c>
      <c r="E2051" s="3" t="s">
        <v>1383</v>
      </c>
      <c r="F2051" s="3" t="s">
        <v>22</v>
      </c>
      <c r="G2051" s="3" t="s">
        <v>100</v>
      </c>
      <c r="H2051" s="3" t="s">
        <v>7145</v>
      </c>
      <c r="I2051" s="3" t="s">
        <v>7146</v>
      </c>
      <c r="J2051" s="3" t="s">
        <v>7147</v>
      </c>
      <c r="K2051" s="3" t="s">
        <v>28</v>
      </c>
      <c r="L2051" s="3" t="s">
        <v>27</v>
      </c>
      <c r="M2051" s="3" t="s">
        <v>27</v>
      </c>
      <c r="N2051" s="3" t="s">
        <v>27</v>
      </c>
      <c r="O2051" s="3" t="s">
        <v>27</v>
      </c>
      <c r="P2051" s="3" t="s">
        <v>28</v>
      </c>
      <c r="Q2051" s="3" t="s">
        <v>27</v>
      </c>
      <c r="R2051" s="3" t="s">
        <v>27</v>
      </c>
      <c r="S2051" s="3" t="s">
        <v>27</v>
      </c>
      <c r="T2051" s="3" t="s">
        <v>27</v>
      </c>
    </row>
    <row r="2052" spans="1:20" ht="381.75">
      <c r="A2052" s="3">
        <v>2705217</v>
      </c>
      <c r="B2052" s="3">
        <f>HYPERLINK("https://platform.v2.vetology.net/cases/2705217/screening-report/6?type=pdf&amp;v=v6&amp;scorecard=1&amp;secret_key=BX%25IJ%24%2F65ieZ%29f6", 2705217)</f>
        <v>2705217</v>
      </c>
      <c r="C2052" s="3">
        <f>HYPERLINK("https://platform.v2.vetology.net/report/v/final/"&amp;2705217, 2705217)</f>
        <v>2705217</v>
      </c>
      <c r="D2052" s="3" t="s">
        <v>7148</v>
      </c>
      <c r="E2052" s="3" t="s">
        <v>7149</v>
      </c>
      <c r="F2052" s="3" t="s">
        <v>1391</v>
      </c>
      <c r="G2052" s="3" t="s">
        <v>496</v>
      </c>
      <c r="H2052" s="3" t="s">
        <v>2655</v>
      </c>
      <c r="I2052" s="3" t="s">
        <v>37</v>
      </c>
      <c r="J2052" s="3" t="s">
        <v>38</v>
      </c>
      <c r="K2052" s="3" t="s">
        <v>27</v>
      </c>
      <c r="L2052" s="3" t="s">
        <v>28</v>
      </c>
      <c r="M2052" s="3" t="s">
        <v>28</v>
      </c>
      <c r="N2052" s="3" t="s">
        <v>28</v>
      </c>
      <c r="O2052" s="3" t="s">
        <v>27</v>
      </c>
      <c r="P2052" s="3" t="s">
        <v>28</v>
      </c>
      <c r="Q2052" s="3" t="s">
        <v>28</v>
      </c>
      <c r="R2052" s="3" t="s">
        <v>28</v>
      </c>
      <c r="S2052" s="3" t="s">
        <v>28</v>
      </c>
      <c r="T2052" s="3" t="s">
        <v>28</v>
      </c>
    </row>
    <row r="2053" spans="1:20" ht="305.25">
      <c r="A2053" s="3">
        <v>2705177</v>
      </c>
      <c r="B2053" s="3">
        <f>HYPERLINK("https://platform.v2.vetology.net/cases/2705177/screening-report/6?type=pdf&amp;v=v6&amp;scorecard=1&amp;secret_key=BX%25IJ%24%2F65ieZ%29f6", 2705177)</f>
        <v>2705177</v>
      </c>
      <c r="C2053" s="3">
        <f>HYPERLINK("https://platform.v2.vetology.net/report/v/final/"&amp;2705177, 2705177)</f>
        <v>2705177</v>
      </c>
      <c r="D2053" s="3" t="s">
        <v>7150</v>
      </c>
      <c r="E2053" s="3" t="s">
        <v>7151</v>
      </c>
      <c r="F2053" s="3" t="s">
        <v>7152</v>
      </c>
      <c r="G2053" s="3" t="s">
        <v>179</v>
      </c>
      <c r="H2053" s="3" t="s">
        <v>5626</v>
      </c>
      <c r="I2053" s="3" t="s">
        <v>1070</v>
      </c>
      <c r="J2053" s="3" t="s">
        <v>207</v>
      </c>
      <c r="K2053" s="3" t="s">
        <v>27</v>
      </c>
      <c r="L2053" s="3" t="s">
        <v>28</v>
      </c>
      <c r="M2053" s="3" t="s">
        <v>28</v>
      </c>
      <c r="N2053" s="3" t="s">
        <v>28</v>
      </c>
      <c r="O2053" s="3" t="s">
        <v>27</v>
      </c>
      <c r="P2053" s="3" t="s">
        <v>28</v>
      </c>
      <c r="Q2053" s="3" t="s">
        <v>27</v>
      </c>
      <c r="R2053" s="3" t="s">
        <v>28</v>
      </c>
      <c r="S2053" s="3" t="s">
        <v>28</v>
      </c>
      <c r="T2053" s="3" t="s">
        <v>28</v>
      </c>
    </row>
    <row r="2054" spans="1:20" ht="290.25">
      <c r="A2054" s="3">
        <v>2705174</v>
      </c>
      <c r="B2054" s="3">
        <f>HYPERLINK("https://platform.v2.vetology.net/cases/2705174/screening-report/6?type=pdf&amp;v=v6&amp;scorecard=1&amp;secret_key=BX%25IJ%24%2F65ieZ%29f6", 2705174)</f>
        <v>2705174</v>
      </c>
      <c r="C2054" s="3">
        <f>HYPERLINK("https://platform.v2.vetology.net/report/v/final/"&amp;2705174, 2705174)</f>
        <v>2705174</v>
      </c>
      <c r="D2054" s="3" t="s">
        <v>7153</v>
      </c>
      <c r="E2054" s="3" t="s">
        <v>1023</v>
      </c>
      <c r="F2054" s="3" t="s">
        <v>7154</v>
      </c>
      <c r="G2054" s="3" t="s">
        <v>179</v>
      </c>
      <c r="H2054" s="3" t="s">
        <v>1768</v>
      </c>
      <c r="I2054" s="3" t="s">
        <v>316</v>
      </c>
      <c r="J2054" s="3" t="s">
        <v>317</v>
      </c>
      <c r="K2054" s="3" t="s">
        <v>28</v>
      </c>
      <c r="L2054" s="3" t="s">
        <v>28</v>
      </c>
      <c r="M2054" s="3" t="s">
        <v>28</v>
      </c>
      <c r="N2054" s="3" t="s">
        <v>28</v>
      </c>
      <c r="O2054" s="3" t="s">
        <v>27</v>
      </c>
      <c r="P2054" s="3" t="s">
        <v>28</v>
      </c>
      <c r="Q2054" s="3" t="s">
        <v>28</v>
      </c>
      <c r="R2054" s="3" t="s">
        <v>28</v>
      </c>
      <c r="S2054" s="3" t="s">
        <v>28</v>
      </c>
      <c r="T2054" s="3" t="s">
        <v>28</v>
      </c>
    </row>
    <row r="2055" spans="1:20" ht="409.6">
      <c r="A2055" s="3">
        <v>2705173</v>
      </c>
      <c r="B2055" s="3">
        <f>HYPERLINK("https://platform.v2.vetology.net/cases/2705173/screening-report/6?type=pdf&amp;v=v6&amp;scorecard=1&amp;secret_key=BX%25IJ%24%2F65ieZ%29f6", 2705173)</f>
        <v>2705173</v>
      </c>
      <c r="C2055" s="3">
        <f>HYPERLINK("https://platform.v2.vetology.net/report/v/final/"&amp;2705173, 2705173)</f>
        <v>2705173</v>
      </c>
      <c r="D2055" s="3" t="s">
        <v>7155</v>
      </c>
      <c r="E2055" s="3" t="s">
        <v>7156</v>
      </c>
      <c r="F2055" s="3" t="s">
        <v>7157</v>
      </c>
      <c r="G2055" s="3" t="s">
        <v>100</v>
      </c>
      <c r="H2055" s="3" t="s">
        <v>658</v>
      </c>
      <c r="I2055" s="3" t="s">
        <v>659</v>
      </c>
      <c r="J2055" s="3" t="s">
        <v>660</v>
      </c>
      <c r="K2055" s="3" t="s">
        <v>28</v>
      </c>
      <c r="L2055" s="3" t="s">
        <v>28</v>
      </c>
      <c r="M2055" s="3" t="s">
        <v>28</v>
      </c>
      <c r="N2055" s="3" t="s">
        <v>28</v>
      </c>
      <c r="O2055" s="3" t="s">
        <v>27</v>
      </c>
      <c r="P2055" s="3" t="s">
        <v>28</v>
      </c>
      <c r="Q2055" s="3" t="s">
        <v>28</v>
      </c>
      <c r="R2055" s="3" t="s">
        <v>28</v>
      </c>
      <c r="S2055" s="3" t="s">
        <v>28</v>
      </c>
      <c r="T2055" s="3" t="s">
        <v>28</v>
      </c>
    </row>
    <row r="2056" spans="1:20" ht="396.75">
      <c r="A2056" s="3">
        <v>2705163</v>
      </c>
      <c r="B2056" s="3">
        <f>HYPERLINK("https://platform.v2.vetology.net/cases/2705163/screening-report/6?type=pdf&amp;v=v6&amp;scorecard=1&amp;secret_key=BX%25IJ%24%2F65ieZ%29f6", 2705163)</f>
        <v>2705163</v>
      </c>
      <c r="C2056" s="3">
        <f>HYPERLINK("https://platform.v2.vetology.net/report/v/final/"&amp;2705163, 2705163)</f>
        <v>2705163</v>
      </c>
      <c r="D2056" s="3" t="s">
        <v>7158</v>
      </c>
      <c r="E2056" s="3" t="s">
        <v>7159</v>
      </c>
      <c r="F2056" s="3" t="s">
        <v>22</v>
      </c>
      <c r="G2056" s="3" t="s">
        <v>23</v>
      </c>
      <c r="H2056" s="3" t="s">
        <v>1097</v>
      </c>
      <c r="I2056" s="3" t="s">
        <v>469</v>
      </c>
      <c r="J2056" s="3" t="s">
        <v>470</v>
      </c>
      <c r="K2056" s="3" t="s">
        <v>28</v>
      </c>
      <c r="L2056" s="3" t="s">
        <v>28</v>
      </c>
      <c r="M2056" s="3" t="s">
        <v>28</v>
      </c>
      <c r="N2056" s="3" t="s">
        <v>28</v>
      </c>
      <c r="O2056" s="3" t="s">
        <v>27</v>
      </c>
      <c r="P2056" s="3" t="s">
        <v>28</v>
      </c>
      <c r="Q2056" s="3" t="s">
        <v>28</v>
      </c>
      <c r="R2056" s="3" t="s">
        <v>28</v>
      </c>
      <c r="S2056" s="3" t="s">
        <v>28</v>
      </c>
      <c r="T2056" s="3" t="s">
        <v>28</v>
      </c>
    </row>
    <row r="2057" spans="1:20" ht="290.25">
      <c r="A2057" s="3">
        <v>2705131</v>
      </c>
      <c r="B2057" s="3">
        <f>HYPERLINK("https://platform.v2.vetology.net/cases/2705131/screening-report/6?type=pdf&amp;v=v6&amp;scorecard=1&amp;secret_key=BX%25IJ%24%2F65ieZ%29f6", 2705131)</f>
        <v>2705131</v>
      </c>
      <c r="C2057" s="3">
        <f>HYPERLINK("https://platform.v2.vetology.net/report/v/final/"&amp;2705131, 2705131)</f>
        <v>2705131</v>
      </c>
      <c r="D2057" s="3" t="s">
        <v>7160</v>
      </c>
      <c r="E2057" s="3" t="s">
        <v>7161</v>
      </c>
      <c r="F2057" s="3" t="s">
        <v>22</v>
      </c>
      <c r="G2057" s="3" t="s">
        <v>23</v>
      </c>
      <c r="H2057" s="3" t="s">
        <v>1296</v>
      </c>
      <c r="I2057" s="3" t="s">
        <v>316</v>
      </c>
      <c r="J2057" s="3" t="s">
        <v>317</v>
      </c>
      <c r="K2057" s="3" t="s">
        <v>27</v>
      </c>
      <c r="L2057" s="3" t="s">
        <v>28</v>
      </c>
      <c r="M2057" s="3" t="s">
        <v>28</v>
      </c>
      <c r="N2057" s="3" t="s">
        <v>28</v>
      </c>
      <c r="O2057" s="3" t="s">
        <v>27</v>
      </c>
      <c r="P2057" s="3" t="s">
        <v>28</v>
      </c>
      <c r="Q2057" s="3" t="s">
        <v>28</v>
      </c>
      <c r="R2057" s="3" t="s">
        <v>28</v>
      </c>
      <c r="S2057" s="3" t="s">
        <v>28</v>
      </c>
      <c r="T2057" s="3" t="s">
        <v>28</v>
      </c>
    </row>
    <row r="2058" spans="1:20" ht="409.6">
      <c r="A2058" s="3">
        <v>2705120</v>
      </c>
      <c r="B2058" s="3">
        <f>HYPERLINK("https://platform.v2.vetology.net/cases/2705120/screening-report/6?type=pdf&amp;v=v6&amp;scorecard=1&amp;secret_key=BX%25IJ%24%2F65ieZ%29f6", 2705120)</f>
        <v>2705120</v>
      </c>
      <c r="C2058" s="3">
        <f>HYPERLINK("https://platform.v2.vetology.net/report/v/final/"&amp;2705120, 2705120)</f>
        <v>2705120</v>
      </c>
      <c r="D2058" s="3" t="s">
        <v>7162</v>
      </c>
      <c r="E2058" s="3" t="s">
        <v>7163</v>
      </c>
      <c r="F2058" s="3" t="s">
        <v>7164</v>
      </c>
      <c r="G2058" s="3" t="s">
        <v>566</v>
      </c>
      <c r="H2058" s="3" t="s">
        <v>3286</v>
      </c>
      <c r="I2058" s="3" t="s">
        <v>484</v>
      </c>
      <c r="J2058" s="3" t="s">
        <v>53</v>
      </c>
      <c r="K2058" s="3" t="s">
        <v>28</v>
      </c>
      <c r="L2058" s="3" t="s">
        <v>28</v>
      </c>
      <c r="M2058" s="3" t="s">
        <v>28</v>
      </c>
      <c r="N2058" s="3" t="s">
        <v>28</v>
      </c>
      <c r="O2058" s="3" t="s">
        <v>28</v>
      </c>
      <c r="P2058" s="3" t="s">
        <v>28</v>
      </c>
      <c r="Q2058" s="3" t="s">
        <v>28</v>
      </c>
      <c r="R2058" s="3" t="s">
        <v>28</v>
      </c>
      <c r="S2058" s="3" t="s">
        <v>28</v>
      </c>
      <c r="T2058" s="3" t="s">
        <v>28</v>
      </c>
    </row>
    <row r="2059" spans="1:20" ht="366">
      <c r="A2059" s="3">
        <v>2705112</v>
      </c>
      <c r="B2059" s="3">
        <f>HYPERLINK("https://platform.v2.vetology.net/cases/2705112/screening-report/6?type=pdf&amp;v=v6&amp;scorecard=1&amp;secret_key=BX%25IJ%24%2F65ieZ%29f6", 2705112)</f>
        <v>2705112</v>
      </c>
      <c r="C2059" s="3">
        <f>HYPERLINK("https://platform.v2.vetology.net/report/v/final/"&amp;2705112, 2705112)</f>
        <v>2705112</v>
      </c>
      <c r="D2059" s="3" t="s">
        <v>7165</v>
      </c>
      <c r="E2059" s="3" t="s">
        <v>7166</v>
      </c>
      <c r="F2059" s="3" t="s">
        <v>1278</v>
      </c>
      <c r="G2059" s="3" t="s">
        <v>100</v>
      </c>
      <c r="H2059" s="3" t="s">
        <v>1033</v>
      </c>
      <c r="I2059" s="3" t="s">
        <v>1034</v>
      </c>
      <c r="J2059" s="3" t="s">
        <v>1035</v>
      </c>
      <c r="K2059" s="3" t="s">
        <v>28</v>
      </c>
      <c r="L2059" s="3" t="s">
        <v>28</v>
      </c>
      <c r="M2059" s="3" t="s">
        <v>28</v>
      </c>
      <c r="N2059" s="3" t="s">
        <v>28</v>
      </c>
      <c r="O2059" s="3" t="s">
        <v>28</v>
      </c>
      <c r="P2059" s="3" t="s">
        <v>28</v>
      </c>
      <c r="Q2059" s="3" t="s">
        <v>28</v>
      </c>
      <c r="R2059" s="3" t="s">
        <v>27</v>
      </c>
      <c r="S2059" s="3" t="s">
        <v>28</v>
      </c>
      <c r="T2059" s="3" t="s">
        <v>27</v>
      </c>
    </row>
    <row r="2060" spans="1:20" ht="409.6">
      <c r="A2060" s="3">
        <v>2705096</v>
      </c>
      <c r="B2060" s="3">
        <f>HYPERLINK("https://platform.v2.vetology.net/cases/2705096/screening-report/6?type=pdf&amp;v=v6&amp;scorecard=1&amp;secret_key=BX%25IJ%24%2F65ieZ%29f6", 2705096)</f>
        <v>2705096</v>
      </c>
      <c r="C2060" s="3">
        <f>HYPERLINK("https://platform.v2.vetology.net/report/v/final/"&amp;2705096, 2705096)</f>
        <v>2705096</v>
      </c>
      <c r="D2060" s="3" t="s">
        <v>7167</v>
      </c>
      <c r="E2060" s="3" t="s">
        <v>7168</v>
      </c>
      <c r="F2060" s="3" t="s">
        <v>7169</v>
      </c>
      <c r="G2060" s="3" t="s">
        <v>23</v>
      </c>
      <c r="H2060" s="3" t="s">
        <v>2378</v>
      </c>
      <c r="I2060" s="3" t="s">
        <v>2379</v>
      </c>
      <c r="J2060" s="3" t="s">
        <v>1058</v>
      </c>
      <c r="K2060" s="3" t="s">
        <v>28</v>
      </c>
      <c r="L2060" s="3" t="s">
        <v>28</v>
      </c>
      <c r="M2060" s="3" t="s">
        <v>28</v>
      </c>
      <c r="N2060" s="3" t="s">
        <v>27</v>
      </c>
      <c r="O2060" s="3" t="s">
        <v>27</v>
      </c>
      <c r="P2060" s="3" t="s">
        <v>28</v>
      </c>
      <c r="Q2060" s="3" t="s">
        <v>28</v>
      </c>
      <c r="R2060" s="3" t="s">
        <v>27</v>
      </c>
      <c r="S2060" s="3" t="s">
        <v>27</v>
      </c>
      <c r="T2060" s="3" t="s">
        <v>27</v>
      </c>
    </row>
    <row r="2061" spans="1:20" ht="305.25">
      <c r="A2061" s="3">
        <v>2705092</v>
      </c>
      <c r="B2061" s="3">
        <f>HYPERLINK("https://platform.v2.vetology.net/cases/2705092/screening-report/6?type=pdf&amp;v=v6&amp;scorecard=1&amp;secret_key=BX%25IJ%24%2F65ieZ%29f6", 2705092)</f>
        <v>2705092</v>
      </c>
      <c r="C2061" s="3">
        <f>HYPERLINK("https://platform.v2.vetology.net/report/v/final/"&amp;2705092, 2705092)</f>
        <v>2705092</v>
      </c>
      <c r="D2061" s="3" t="s">
        <v>7170</v>
      </c>
      <c r="E2061" s="3" t="s">
        <v>7171</v>
      </c>
      <c r="F2061" s="3" t="s">
        <v>7172</v>
      </c>
      <c r="G2061" s="3" t="s">
        <v>211</v>
      </c>
      <c r="H2061" s="3" t="s">
        <v>7173</v>
      </c>
      <c r="I2061" s="3" t="s">
        <v>784</v>
      </c>
      <c r="J2061" s="3" t="s">
        <v>785</v>
      </c>
      <c r="K2061" s="3" t="s">
        <v>27</v>
      </c>
      <c r="L2061" s="3" t="s">
        <v>27</v>
      </c>
      <c r="M2061" s="3" t="s">
        <v>27</v>
      </c>
      <c r="N2061" s="3" t="s">
        <v>27</v>
      </c>
      <c r="O2061" s="3" t="s">
        <v>27</v>
      </c>
      <c r="P2061" s="3" t="s">
        <v>27</v>
      </c>
      <c r="Q2061" s="3" t="s">
        <v>27</v>
      </c>
      <c r="R2061" s="3" t="s">
        <v>27</v>
      </c>
      <c r="S2061" s="3" t="s">
        <v>27</v>
      </c>
      <c r="T2061" s="3" t="s">
        <v>27</v>
      </c>
    </row>
    <row r="2062" spans="1:20" ht="396.75">
      <c r="A2062" s="3">
        <v>2705075</v>
      </c>
      <c r="B2062" s="3">
        <f>HYPERLINK("https://platform.v2.vetology.net/cases/2705075/screening-report/6?type=pdf&amp;v=v6&amp;scorecard=1&amp;secret_key=BX%25IJ%24%2F65ieZ%29f6", 2705075)</f>
        <v>2705075</v>
      </c>
      <c r="C2062" s="3">
        <f>HYPERLINK("https://platform.v2.vetology.net/report/v/final/"&amp;2705075, 2705075)</f>
        <v>2705075</v>
      </c>
      <c r="D2062" s="3" t="s">
        <v>7174</v>
      </c>
      <c r="E2062" s="3" t="s">
        <v>7175</v>
      </c>
      <c r="F2062" s="3"/>
      <c r="G2062" s="3" t="s">
        <v>100</v>
      </c>
      <c r="H2062" s="3" t="s">
        <v>350</v>
      </c>
      <c r="I2062" s="3" t="s">
        <v>351</v>
      </c>
      <c r="J2062" s="3" t="s">
        <v>352</v>
      </c>
      <c r="K2062" s="3" t="s">
        <v>28</v>
      </c>
      <c r="L2062" s="3" t="s">
        <v>28</v>
      </c>
      <c r="M2062" s="3" t="s">
        <v>28</v>
      </c>
      <c r="N2062" s="3" t="s">
        <v>28</v>
      </c>
      <c r="O2062" s="3" t="s">
        <v>28</v>
      </c>
      <c r="P2062" s="3" t="s">
        <v>28</v>
      </c>
      <c r="Q2062" s="3" t="s">
        <v>28</v>
      </c>
      <c r="R2062" s="3" t="s">
        <v>28</v>
      </c>
      <c r="S2062" s="3" t="s">
        <v>28</v>
      </c>
      <c r="T2062" s="3" t="s">
        <v>27</v>
      </c>
    </row>
    <row r="2063" spans="1:20" ht="259.5">
      <c r="A2063" s="3">
        <v>2705043</v>
      </c>
      <c r="B2063" s="3">
        <f>HYPERLINK("https://platform.v2.vetology.net/cases/2705043/screening-report/6?type=pdf&amp;v=v6&amp;scorecard=1&amp;secret_key=BX%25IJ%24%2F65ieZ%29f6", 2705043)</f>
        <v>2705043</v>
      </c>
      <c r="C2063" s="3">
        <f>HYPERLINK("https://platform.v2.vetology.net/report/v/final/"&amp;2705043, 2705043)</f>
        <v>2705043</v>
      </c>
      <c r="D2063" s="3" t="s">
        <v>7176</v>
      </c>
      <c r="E2063" s="3" t="s">
        <v>7177</v>
      </c>
      <c r="F2063" s="3" t="s">
        <v>7178</v>
      </c>
      <c r="G2063" s="3" t="s">
        <v>186</v>
      </c>
      <c r="H2063" s="3" t="s">
        <v>1421</v>
      </c>
      <c r="I2063" s="3" t="s">
        <v>3086</v>
      </c>
      <c r="J2063" s="3" t="s">
        <v>119</v>
      </c>
      <c r="K2063" s="3" t="s">
        <v>28</v>
      </c>
      <c r="L2063" s="3" t="s">
        <v>28</v>
      </c>
      <c r="M2063" s="3" t="s">
        <v>27</v>
      </c>
      <c r="N2063" s="3" t="s">
        <v>28</v>
      </c>
      <c r="O2063" s="3" t="s">
        <v>28</v>
      </c>
      <c r="P2063" s="3" t="s">
        <v>28</v>
      </c>
      <c r="Q2063" s="3" t="s">
        <v>28</v>
      </c>
      <c r="R2063" s="3" t="s">
        <v>28</v>
      </c>
      <c r="S2063" s="3" t="s">
        <v>28</v>
      </c>
      <c r="T2063" s="3" t="s">
        <v>28</v>
      </c>
    </row>
    <row r="2064" spans="1:20" ht="321">
      <c r="A2064" s="3">
        <v>2705008</v>
      </c>
      <c r="B2064" s="3">
        <f>HYPERLINK("https://platform.v2.vetology.net/cases/2705008/screening-report/6?type=pdf&amp;v=v6&amp;scorecard=1&amp;secret_key=BX%25IJ%24%2F65ieZ%29f6", 2705008)</f>
        <v>2705008</v>
      </c>
      <c r="C2064" s="3">
        <f>HYPERLINK("https://platform.v2.vetology.net/report/v/final/"&amp;2705008, 2705008)</f>
        <v>2705008</v>
      </c>
      <c r="D2064" s="3" t="s">
        <v>7179</v>
      </c>
      <c r="E2064" s="3" t="s">
        <v>7180</v>
      </c>
      <c r="F2064" s="3" t="s">
        <v>22</v>
      </c>
      <c r="G2064" s="3" t="s">
        <v>23</v>
      </c>
      <c r="H2064" s="3" t="s">
        <v>31</v>
      </c>
      <c r="I2064" s="3" t="s">
        <v>32</v>
      </c>
      <c r="J2064" s="3" t="s">
        <v>33</v>
      </c>
      <c r="K2064" s="3" t="s">
        <v>28</v>
      </c>
      <c r="L2064" s="3" t="s">
        <v>28</v>
      </c>
      <c r="M2064" s="3" t="s">
        <v>28</v>
      </c>
      <c r="N2064" s="3" t="s">
        <v>28</v>
      </c>
      <c r="O2064" s="3" t="s">
        <v>28</v>
      </c>
      <c r="P2064" s="3" t="s">
        <v>28</v>
      </c>
      <c r="Q2064" s="3" t="s">
        <v>28</v>
      </c>
      <c r="R2064" s="3" t="s">
        <v>28</v>
      </c>
      <c r="S2064" s="3" t="s">
        <v>28</v>
      </c>
      <c r="T2064" s="3" t="s">
        <v>28</v>
      </c>
    </row>
    <row r="2065" spans="1:20" ht="409.6">
      <c r="A2065" s="3">
        <v>2704995</v>
      </c>
      <c r="B2065" s="3">
        <f>HYPERLINK("https://platform.v2.vetology.net/cases/2704995/screening-report/6?type=pdf&amp;v=v6&amp;scorecard=1&amp;secret_key=BX%25IJ%24%2F65ieZ%29f6", 2704995)</f>
        <v>2704995</v>
      </c>
      <c r="C2065" s="3">
        <f>HYPERLINK("https://platform.v2.vetology.net/report/v/final/"&amp;2704995, 2704995)</f>
        <v>2704995</v>
      </c>
      <c r="D2065" s="3" t="s">
        <v>7181</v>
      </c>
      <c r="E2065" s="3" t="s">
        <v>7182</v>
      </c>
      <c r="F2065" s="3" t="s">
        <v>7183</v>
      </c>
      <c r="G2065" s="3" t="s">
        <v>186</v>
      </c>
      <c r="H2065" s="3" t="s">
        <v>2497</v>
      </c>
      <c r="I2065" s="3" t="s">
        <v>2498</v>
      </c>
      <c r="J2065" s="3" t="s">
        <v>2499</v>
      </c>
      <c r="K2065" s="3" t="s">
        <v>28</v>
      </c>
      <c r="L2065" s="3" t="s">
        <v>28</v>
      </c>
      <c r="M2065" s="3" t="s">
        <v>28</v>
      </c>
      <c r="N2065" s="3" t="s">
        <v>27</v>
      </c>
      <c r="O2065" s="3" t="s">
        <v>28</v>
      </c>
      <c r="P2065" s="3" t="s">
        <v>28</v>
      </c>
      <c r="Q2065" s="3" t="s">
        <v>28</v>
      </c>
      <c r="R2065" s="3" t="s">
        <v>28</v>
      </c>
      <c r="S2065" s="3" t="s">
        <v>28</v>
      </c>
      <c r="T2065" s="3" t="s">
        <v>27</v>
      </c>
    </row>
    <row r="2066" spans="1:20" ht="321">
      <c r="A2066" s="3">
        <v>2704959</v>
      </c>
      <c r="B2066" s="3">
        <f>HYPERLINK("https://platform.v2.vetology.net/cases/2704959/screening-report/6?type=pdf&amp;v=v6&amp;scorecard=1&amp;secret_key=BX%25IJ%24%2F65ieZ%29f6", 2704959)</f>
        <v>2704959</v>
      </c>
      <c r="C2066" s="3">
        <f>HYPERLINK("https://platform.v2.vetology.net/report/v/final/"&amp;2704959, 2704959)</f>
        <v>2704959</v>
      </c>
      <c r="D2066" s="3" t="s">
        <v>7184</v>
      </c>
      <c r="E2066" s="3" t="s">
        <v>7185</v>
      </c>
      <c r="F2066" s="3" t="s">
        <v>7186</v>
      </c>
      <c r="G2066" s="3" t="s">
        <v>23</v>
      </c>
      <c r="H2066" s="3" t="s">
        <v>1296</v>
      </c>
      <c r="I2066" s="3" t="s">
        <v>316</v>
      </c>
      <c r="J2066" s="3" t="s">
        <v>317</v>
      </c>
      <c r="K2066" s="3" t="s">
        <v>28</v>
      </c>
      <c r="L2066" s="3" t="s">
        <v>28</v>
      </c>
      <c r="M2066" s="3" t="s">
        <v>28</v>
      </c>
      <c r="N2066" s="3" t="s">
        <v>28</v>
      </c>
      <c r="O2066" s="3" t="s">
        <v>27</v>
      </c>
      <c r="P2066" s="3" t="s">
        <v>28</v>
      </c>
      <c r="Q2066" s="3" t="s">
        <v>28</v>
      </c>
      <c r="R2066" s="3" t="s">
        <v>28</v>
      </c>
      <c r="S2066" s="3" t="s">
        <v>28</v>
      </c>
      <c r="T2066" s="3" t="s">
        <v>28</v>
      </c>
    </row>
    <row r="2067" spans="1:20" ht="409.6">
      <c r="A2067" s="3">
        <v>2704958</v>
      </c>
      <c r="B2067" s="3">
        <f>HYPERLINK("https://platform.v2.vetology.net/cases/2704958/screening-report/6?type=pdf&amp;v=v6&amp;scorecard=1&amp;secret_key=BX%25IJ%24%2F65ieZ%29f6", 2704958)</f>
        <v>2704958</v>
      </c>
      <c r="C2067" s="3">
        <f>HYPERLINK("https://platform.v2.vetology.net/report/v/final/"&amp;2704958, 2704958)</f>
        <v>2704958</v>
      </c>
      <c r="D2067" s="3" t="s">
        <v>7187</v>
      </c>
      <c r="E2067" s="3" t="s">
        <v>7188</v>
      </c>
      <c r="F2067" s="3" t="s">
        <v>7189</v>
      </c>
      <c r="G2067" s="3" t="s">
        <v>64</v>
      </c>
      <c r="H2067" s="3" t="s">
        <v>7190</v>
      </c>
      <c r="I2067" s="3" t="s">
        <v>2825</v>
      </c>
      <c r="J2067" s="3" t="s">
        <v>2826</v>
      </c>
      <c r="K2067" s="3" t="s">
        <v>27</v>
      </c>
      <c r="L2067" s="3" t="s">
        <v>28</v>
      </c>
      <c r="M2067" s="3" t="s">
        <v>27</v>
      </c>
      <c r="N2067" s="3" t="s">
        <v>28</v>
      </c>
      <c r="O2067" s="3" t="s">
        <v>27</v>
      </c>
      <c r="P2067" s="3" t="s">
        <v>28</v>
      </c>
      <c r="Q2067" s="3" t="s">
        <v>28</v>
      </c>
      <c r="R2067" s="3" t="s">
        <v>28</v>
      </c>
      <c r="S2067" s="3" t="s">
        <v>28</v>
      </c>
      <c r="T2067" s="3" t="s">
        <v>28</v>
      </c>
    </row>
    <row r="2068" spans="1:20" ht="409.6">
      <c r="A2068" s="3">
        <v>2704956</v>
      </c>
      <c r="B2068" s="3">
        <f>HYPERLINK("https://platform.v2.vetology.net/cases/2704956/screening-report/6?type=pdf&amp;v=v6&amp;scorecard=1&amp;secret_key=BX%25IJ%24%2F65ieZ%29f6", 2704956)</f>
        <v>2704956</v>
      </c>
      <c r="C2068" s="3">
        <f>HYPERLINK("https://platform.v2.vetology.net/report/v/final/"&amp;2704956, 2704956)</f>
        <v>2704956</v>
      </c>
      <c r="D2068" s="3" t="s">
        <v>7191</v>
      </c>
      <c r="E2068" s="3" t="s">
        <v>7192</v>
      </c>
      <c r="F2068" s="3" t="s">
        <v>7193</v>
      </c>
      <c r="G2068" s="3" t="s">
        <v>57</v>
      </c>
      <c r="H2068" s="3" t="s">
        <v>7194</v>
      </c>
      <c r="I2068" s="3" t="s">
        <v>72</v>
      </c>
      <c r="J2068" s="3" t="s">
        <v>207</v>
      </c>
      <c r="K2068" s="3" t="s">
        <v>28</v>
      </c>
      <c r="L2068" s="3" t="s">
        <v>28</v>
      </c>
      <c r="M2068" s="3" t="s">
        <v>28</v>
      </c>
      <c r="N2068" s="3" t="s">
        <v>28</v>
      </c>
      <c r="O2068" s="3" t="s">
        <v>27</v>
      </c>
      <c r="P2068" s="3" t="s">
        <v>28</v>
      </c>
      <c r="Q2068" s="3" t="s">
        <v>28</v>
      </c>
      <c r="R2068" s="3" t="s">
        <v>28</v>
      </c>
      <c r="S2068" s="3" t="s">
        <v>28</v>
      </c>
      <c r="T2068" s="3" t="s">
        <v>28</v>
      </c>
    </row>
    <row r="2069" spans="1:20" ht="336">
      <c r="A2069" s="3">
        <v>2704902</v>
      </c>
      <c r="B2069" s="3">
        <f>HYPERLINK("https://platform.v2.vetology.net/cases/2704902/screening-report/6?type=pdf&amp;v=v6&amp;scorecard=1&amp;secret_key=BX%25IJ%24%2F65ieZ%29f6", 2704902)</f>
        <v>2704902</v>
      </c>
      <c r="C2069" s="3">
        <f>HYPERLINK("https://platform.v2.vetology.net/report/v/final/"&amp;2704902, 2704902)</f>
        <v>2704902</v>
      </c>
      <c r="D2069" s="3" t="s">
        <v>7195</v>
      </c>
      <c r="E2069" s="3" t="s">
        <v>7196</v>
      </c>
      <c r="F2069" s="3" t="s">
        <v>7197</v>
      </c>
      <c r="G2069" s="3" t="s">
        <v>496</v>
      </c>
      <c r="H2069" s="3" t="s">
        <v>419</v>
      </c>
      <c r="I2069" s="3" t="s">
        <v>316</v>
      </c>
      <c r="J2069" s="3" t="s">
        <v>317</v>
      </c>
      <c r="K2069" s="3" t="s">
        <v>28</v>
      </c>
      <c r="L2069" s="3" t="s">
        <v>28</v>
      </c>
      <c r="M2069" s="3" t="s">
        <v>28</v>
      </c>
      <c r="N2069" s="3" t="s">
        <v>28</v>
      </c>
      <c r="O2069" s="3" t="s">
        <v>27</v>
      </c>
      <c r="P2069" s="3" t="s">
        <v>28</v>
      </c>
      <c r="Q2069" s="3" t="s">
        <v>28</v>
      </c>
      <c r="R2069" s="3" t="s">
        <v>28</v>
      </c>
      <c r="S2069" s="3" t="s">
        <v>28</v>
      </c>
      <c r="T2069" s="3" t="s">
        <v>28</v>
      </c>
    </row>
    <row r="2070" spans="1:20" ht="409.6">
      <c r="A2070" s="3">
        <v>2704857</v>
      </c>
      <c r="B2070" s="3">
        <f>HYPERLINK("https://platform.v2.vetology.net/cases/2704857/screening-report/6?type=pdf&amp;v=v6&amp;scorecard=1&amp;secret_key=BX%25IJ%24%2F65ieZ%29f6", 2704857)</f>
        <v>2704857</v>
      </c>
      <c r="C2070" s="3">
        <f>HYPERLINK("https://platform.v2.vetology.net/report/v/final/"&amp;2704857, 2704857)</f>
        <v>2704857</v>
      </c>
      <c r="D2070" s="3" t="s">
        <v>7198</v>
      </c>
      <c r="E2070" s="3" t="s">
        <v>294</v>
      </c>
      <c r="F2070" s="3" t="s">
        <v>22</v>
      </c>
      <c r="G2070" s="3" t="s">
        <v>23</v>
      </c>
      <c r="H2070" s="3" t="s">
        <v>7199</v>
      </c>
      <c r="I2070" s="3" t="s">
        <v>1020</v>
      </c>
      <c r="J2070" s="3" t="s">
        <v>1021</v>
      </c>
      <c r="K2070" s="3" t="s">
        <v>27</v>
      </c>
      <c r="L2070" s="3" t="s">
        <v>28</v>
      </c>
      <c r="M2070" s="3" t="s">
        <v>28</v>
      </c>
      <c r="N2070" s="3" t="s">
        <v>28</v>
      </c>
      <c r="O2070" s="3" t="s">
        <v>27</v>
      </c>
      <c r="P2070" s="3" t="s">
        <v>28</v>
      </c>
      <c r="Q2070" s="3" t="s">
        <v>27</v>
      </c>
      <c r="R2070" s="3" t="s">
        <v>28</v>
      </c>
      <c r="S2070" s="3" t="s">
        <v>28</v>
      </c>
      <c r="T2070" s="3" t="s">
        <v>28</v>
      </c>
    </row>
    <row r="2071" spans="1:20" ht="409.6">
      <c r="A2071" s="3">
        <v>2704803</v>
      </c>
      <c r="B2071" s="3">
        <f>HYPERLINK("https://platform.v2.vetology.net/cases/2704803/screening-report/6?type=pdf&amp;v=v6&amp;scorecard=1&amp;secret_key=BX%25IJ%24%2F65ieZ%29f6", 2704803)</f>
        <v>2704803</v>
      </c>
      <c r="C2071" s="3">
        <f>HYPERLINK("https://platform.v2.vetology.net/report/v/final/"&amp;2704803, 2704803)</f>
        <v>2704803</v>
      </c>
      <c r="D2071" s="3" t="s">
        <v>7200</v>
      </c>
      <c r="E2071" s="3" t="s">
        <v>7201</v>
      </c>
      <c r="F2071" s="3" t="s">
        <v>7202</v>
      </c>
      <c r="G2071" s="3" t="s">
        <v>64</v>
      </c>
      <c r="H2071" s="3" t="s">
        <v>3299</v>
      </c>
      <c r="I2071" s="3" t="s">
        <v>3300</v>
      </c>
      <c r="J2071" s="3" t="s">
        <v>3301</v>
      </c>
      <c r="K2071" s="3" t="s">
        <v>27</v>
      </c>
      <c r="L2071" s="3" t="s">
        <v>27</v>
      </c>
      <c r="M2071" s="3" t="s">
        <v>27</v>
      </c>
      <c r="N2071" s="3" t="s">
        <v>27</v>
      </c>
      <c r="O2071" s="3" t="s">
        <v>27</v>
      </c>
      <c r="P2071" s="3" t="s">
        <v>27</v>
      </c>
      <c r="Q2071" s="3" t="s">
        <v>27</v>
      </c>
      <c r="R2071" s="3" t="s">
        <v>27</v>
      </c>
      <c r="S2071" s="3" t="s">
        <v>27</v>
      </c>
      <c r="T2071" s="3" t="s">
        <v>27</v>
      </c>
    </row>
    <row r="2072" spans="1:20" ht="409.6">
      <c r="A2072" s="3">
        <v>2704716</v>
      </c>
      <c r="B2072" s="3">
        <f>HYPERLINK("https://platform.v2.vetology.net/cases/2704716/screening-report/6?type=pdf&amp;v=v6&amp;scorecard=1&amp;secret_key=BX%25IJ%24%2F65ieZ%29f6", 2704716)</f>
        <v>2704716</v>
      </c>
      <c r="C2072" s="3">
        <f>HYPERLINK("https://platform.v2.vetology.net/report/v/final/"&amp;2704716, 2704716)</f>
        <v>2704716</v>
      </c>
      <c r="D2072" s="3" t="s">
        <v>7203</v>
      </c>
      <c r="E2072" s="3" t="s">
        <v>7204</v>
      </c>
      <c r="F2072" s="3" t="s">
        <v>7205</v>
      </c>
      <c r="G2072" s="3" t="s">
        <v>64</v>
      </c>
      <c r="H2072" s="3" t="s">
        <v>4323</v>
      </c>
      <c r="I2072" s="3" t="s">
        <v>316</v>
      </c>
      <c r="J2072" s="3" t="s">
        <v>317</v>
      </c>
      <c r="K2072" s="3" t="s">
        <v>28</v>
      </c>
      <c r="L2072" s="3" t="s">
        <v>28</v>
      </c>
      <c r="M2072" s="3" t="s">
        <v>28</v>
      </c>
      <c r="N2072" s="3" t="s">
        <v>28</v>
      </c>
      <c r="O2072" s="3" t="s">
        <v>27</v>
      </c>
      <c r="P2072" s="3" t="s">
        <v>28</v>
      </c>
      <c r="Q2072" s="3" t="s">
        <v>28</v>
      </c>
      <c r="R2072" s="3" t="s">
        <v>28</v>
      </c>
      <c r="S2072" s="3" t="s">
        <v>28</v>
      </c>
      <c r="T2072" s="3" t="s">
        <v>28</v>
      </c>
    </row>
    <row r="2073" spans="1:20" ht="259.5">
      <c r="A2073" s="3">
        <v>2704712</v>
      </c>
      <c r="B2073" s="3">
        <f>HYPERLINK("https://platform.v2.vetology.net/cases/2704712/screening-report/6?type=pdf&amp;v=v6&amp;scorecard=1&amp;secret_key=BX%25IJ%24%2F65ieZ%29f6", 2704712)</f>
        <v>2704712</v>
      </c>
      <c r="C2073" s="3">
        <f>HYPERLINK("https://platform.v2.vetology.net/report/v/final/"&amp;2704712, 2704712)</f>
        <v>2704712</v>
      </c>
      <c r="D2073" s="3" t="s">
        <v>7206</v>
      </c>
      <c r="E2073" s="3" t="s">
        <v>294</v>
      </c>
      <c r="F2073" s="3" t="s">
        <v>22</v>
      </c>
      <c r="G2073" s="3" t="s">
        <v>23</v>
      </c>
      <c r="H2073" s="3" t="s">
        <v>7207</v>
      </c>
      <c r="I2073" s="3" t="s">
        <v>2259</v>
      </c>
      <c r="J2073" s="3" t="s">
        <v>2260</v>
      </c>
      <c r="K2073" s="3" t="s">
        <v>27</v>
      </c>
      <c r="L2073" s="3" t="s">
        <v>28</v>
      </c>
      <c r="M2073" s="3" t="s">
        <v>28</v>
      </c>
      <c r="N2073" s="3" t="s">
        <v>28</v>
      </c>
      <c r="O2073" s="3" t="s">
        <v>27</v>
      </c>
      <c r="P2073" s="3" t="s">
        <v>28</v>
      </c>
      <c r="Q2073" s="3" t="s">
        <v>28</v>
      </c>
      <c r="R2073" s="3" t="s">
        <v>28</v>
      </c>
      <c r="S2073" s="3" t="s">
        <v>28</v>
      </c>
      <c r="T2073" s="3" t="s">
        <v>28</v>
      </c>
    </row>
    <row r="2074" spans="1:20" ht="409.6">
      <c r="A2074" s="3">
        <v>2704539</v>
      </c>
      <c r="B2074" s="3">
        <f>HYPERLINK("https://platform.v2.vetology.net/cases/2704539/screening-report/6?type=pdf&amp;v=v6&amp;scorecard=1&amp;secret_key=BX%25IJ%24%2F65ieZ%29f6", 2704539)</f>
        <v>2704539</v>
      </c>
      <c r="C2074" s="3">
        <f>HYPERLINK("https://platform.v2.vetology.net/report/v/final/"&amp;2704539, 2704539)</f>
        <v>2704539</v>
      </c>
      <c r="D2074" s="3" t="s">
        <v>7208</v>
      </c>
      <c r="E2074" s="3" t="s">
        <v>7209</v>
      </c>
      <c r="F2074" s="3" t="s">
        <v>7210</v>
      </c>
      <c r="G2074" s="3" t="s">
        <v>57</v>
      </c>
      <c r="H2074" s="3" t="s">
        <v>1271</v>
      </c>
      <c r="I2074" s="3" t="s">
        <v>883</v>
      </c>
      <c r="J2074" s="3" t="s">
        <v>884</v>
      </c>
      <c r="K2074" s="3" t="s">
        <v>27</v>
      </c>
      <c r="L2074" s="3" t="s">
        <v>28</v>
      </c>
      <c r="M2074" s="3" t="s">
        <v>28</v>
      </c>
      <c r="N2074" s="3" t="s">
        <v>28</v>
      </c>
      <c r="O2074" s="3" t="s">
        <v>28</v>
      </c>
      <c r="P2074" s="3" t="s">
        <v>28</v>
      </c>
      <c r="Q2074" s="3" t="s">
        <v>28</v>
      </c>
      <c r="R2074" s="3" t="s">
        <v>28</v>
      </c>
      <c r="S2074" s="3" t="s">
        <v>28</v>
      </c>
      <c r="T2074" s="3" t="s">
        <v>28</v>
      </c>
    </row>
    <row r="2075" spans="1:20" ht="321">
      <c r="A2075" s="3">
        <v>2704479</v>
      </c>
      <c r="B2075" s="3">
        <f>HYPERLINK("https://platform.v2.vetology.net/cases/2704479/screening-report/6?type=pdf&amp;v=v6&amp;scorecard=1&amp;secret_key=BX%25IJ%24%2F65ieZ%29f6", 2704479)</f>
        <v>2704479</v>
      </c>
      <c r="C2075" s="3">
        <f>HYPERLINK("https://platform.v2.vetology.net/report/v/final/"&amp;2704479, 2704479)</f>
        <v>2704479</v>
      </c>
      <c r="D2075" s="3" t="s">
        <v>7211</v>
      </c>
      <c r="E2075" s="3" t="s">
        <v>7212</v>
      </c>
      <c r="F2075" s="3" t="s">
        <v>4019</v>
      </c>
      <c r="G2075" s="3" t="s">
        <v>23</v>
      </c>
      <c r="H2075" s="3" t="s">
        <v>7213</v>
      </c>
      <c r="I2075" s="3" t="s">
        <v>163</v>
      </c>
      <c r="J2075" s="3" t="s">
        <v>164</v>
      </c>
      <c r="K2075" s="3" t="s">
        <v>28</v>
      </c>
      <c r="L2075" s="3" t="s">
        <v>27</v>
      </c>
      <c r="M2075" s="3" t="s">
        <v>28</v>
      </c>
      <c r="N2075" s="3" t="s">
        <v>28</v>
      </c>
      <c r="O2075" s="3" t="s">
        <v>28</v>
      </c>
      <c r="P2075" s="3" t="s">
        <v>28</v>
      </c>
      <c r="Q2075" s="3" t="s">
        <v>28</v>
      </c>
      <c r="R2075" s="3" t="s">
        <v>28</v>
      </c>
      <c r="S2075" s="3" t="s">
        <v>28</v>
      </c>
      <c r="T2075" s="3" t="s">
        <v>27</v>
      </c>
    </row>
    <row r="2076" spans="1:20" ht="290.25">
      <c r="A2076" s="3">
        <v>2704402</v>
      </c>
      <c r="B2076" s="3">
        <f>HYPERLINK("https://platform.v2.vetology.net/cases/2704402/screening-report/6?type=pdf&amp;v=v6&amp;scorecard=1&amp;secret_key=BX%25IJ%24%2F65ieZ%29f6", 2704402)</f>
        <v>2704402</v>
      </c>
      <c r="C2076" s="3">
        <f>HYPERLINK("https://platform.v2.vetology.net/report/v/final/"&amp;2704402, 2704402)</f>
        <v>2704402</v>
      </c>
      <c r="D2076" s="3" t="s">
        <v>7214</v>
      </c>
      <c r="E2076" s="3" t="s">
        <v>7215</v>
      </c>
      <c r="F2076" s="3"/>
      <c r="G2076" s="3" t="s">
        <v>122</v>
      </c>
      <c r="H2076" s="3" t="s">
        <v>7216</v>
      </c>
      <c r="I2076" s="3"/>
      <c r="J2076" s="3" t="s">
        <v>207</v>
      </c>
      <c r="K2076" s="3" t="s">
        <v>28</v>
      </c>
      <c r="L2076" s="3" t="s">
        <v>28</v>
      </c>
      <c r="M2076" s="3" t="s">
        <v>28</v>
      </c>
      <c r="N2076" s="3" t="s">
        <v>28</v>
      </c>
      <c r="O2076" s="3" t="s">
        <v>28</v>
      </c>
      <c r="P2076" s="3" t="s">
        <v>28</v>
      </c>
      <c r="Q2076" s="3" t="s">
        <v>28</v>
      </c>
      <c r="R2076" s="3" t="s">
        <v>28</v>
      </c>
      <c r="S2076" s="3" t="s">
        <v>28</v>
      </c>
      <c r="T2076" s="3" t="s">
        <v>28</v>
      </c>
    </row>
    <row r="2077" spans="1:20" ht="409.6">
      <c r="A2077" s="3">
        <v>2704357</v>
      </c>
      <c r="B2077" s="3">
        <f>HYPERLINK("https://platform.v2.vetology.net/cases/2704357/screening-report/6?type=pdf&amp;v=v6&amp;scorecard=1&amp;secret_key=BX%25IJ%24%2F65ieZ%29f6", 2704357)</f>
        <v>2704357</v>
      </c>
      <c r="C2077" s="3">
        <f>HYPERLINK("https://platform.v2.vetology.net/report/v/final/"&amp;2704357, 2704357)</f>
        <v>2704357</v>
      </c>
      <c r="D2077" s="3" t="s">
        <v>7217</v>
      </c>
      <c r="E2077" s="3" t="s">
        <v>7218</v>
      </c>
      <c r="F2077" s="3" t="s">
        <v>7219</v>
      </c>
      <c r="G2077" s="3" t="s">
        <v>736</v>
      </c>
      <c r="H2077" s="3" t="s">
        <v>223</v>
      </c>
      <c r="I2077" s="3" t="s">
        <v>224</v>
      </c>
      <c r="J2077" s="3" t="s">
        <v>225</v>
      </c>
      <c r="K2077" s="3" t="s">
        <v>28</v>
      </c>
      <c r="L2077" s="3" t="s">
        <v>28</v>
      </c>
      <c r="M2077" s="3" t="s">
        <v>28</v>
      </c>
      <c r="N2077" s="3" t="s">
        <v>28</v>
      </c>
      <c r="O2077" s="3" t="s">
        <v>28</v>
      </c>
      <c r="P2077" s="3" t="s">
        <v>28</v>
      </c>
      <c r="Q2077" s="3" t="s">
        <v>28</v>
      </c>
      <c r="R2077" s="3" t="s">
        <v>28</v>
      </c>
      <c r="S2077" s="3" t="s">
        <v>27</v>
      </c>
      <c r="T2077" s="3" t="s">
        <v>27</v>
      </c>
    </row>
    <row r="2078" spans="1:20" ht="229.5">
      <c r="A2078" s="3">
        <v>2704337</v>
      </c>
      <c r="B2078" s="3">
        <f>HYPERLINK("https://platform.v2.vetology.net/cases/2704337/screening-report/6?type=pdf&amp;v=v6&amp;scorecard=1&amp;secret_key=BX%25IJ%24%2F65ieZ%29f6", 2704337)</f>
        <v>2704337</v>
      </c>
      <c r="C2078" s="3">
        <f>HYPERLINK("https://platform.v2.vetology.net/report/v/final/"&amp;2704337, 2704337)</f>
        <v>2704337</v>
      </c>
      <c r="D2078" s="3" t="s">
        <v>7220</v>
      </c>
      <c r="E2078" s="3" t="s">
        <v>7221</v>
      </c>
      <c r="F2078" s="3" t="s">
        <v>22</v>
      </c>
      <c r="G2078" s="3" t="s">
        <v>100</v>
      </c>
      <c r="H2078" s="3" t="s">
        <v>31</v>
      </c>
      <c r="I2078" s="3" t="s">
        <v>32</v>
      </c>
      <c r="J2078" s="3" t="s">
        <v>1566</v>
      </c>
      <c r="K2078" s="3" t="s">
        <v>28</v>
      </c>
      <c r="L2078" s="3" t="s">
        <v>28</v>
      </c>
      <c r="M2078" s="3" t="s">
        <v>28</v>
      </c>
      <c r="N2078" s="3" t="s">
        <v>28</v>
      </c>
      <c r="O2078" s="3" t="s">
        <v>27</v>
      </c>
      <c r="P2078" s="3" t="s">
        <v>28</v>
      </c>
      <c r="Q2078" s="3" t="s">
        <v>28</v>
      </c>
      <c r="R2078" s="3" t="s">
        <v>28</v>
      </c>
      <c r="S2078" s="3" t="s">
        <v>28</v>
      </c>
      <c r="T2078" s="3" t="s">
        <v>28</v>
      </c>
    </row>
    <row r="2079" spans="1:20" ht="409.6">
      <c r="A2079" s="3">
        <v>2704306</v>
      </c>
      <c r="B2079" s="3">
        <f>HYPERLINK("https://platform.v2.vetology.net/cases/2704306/screening-report/6?type=pdf&amp;v=v6&amp;scorecard=1&amp;secret_key=BX%25IJ%24%2F65ieZ%29f6", 2704306)</f>
        <v>2704306</v>
      </c>
      <c r="C2079" s="3">
        <f>HYPERLINK("https://platform.v2.vetology.net/report/v/final/"&amp;2704306, 2704306)</f>
        <v>2704306</v>
      </c>
      <c r="D2079" s="3" t="s">
        <v>7222</v>
      </c>
      <c r="E2079" s="3" t="s">
        <v>7223</v>
      </c>
      <c r="F2079" s="3" t="s">
        <v>7224</v>
      </c>
      <c r="G2079" s="3" t="s">
        <v>64</v>
      </c>
      <c r="H2079" s="3" t="s">
        <v>146</v>
      </c>
      <c r="I2079" s="3" t="s">
        <v>147</v>
      </c>
      <c r="J2079" s="3" t="s">
        <v>148</v>
      </c>
      <c r="K2079" s="3" t="s">
        <v>28</v>
      </c>
      <c r="L2079" s="3" t="s">
        <v>28</v>
      </c>
      <c r="M2079" s="3" t="s">
        <v>28</v>
      </c>
      <c r="N2079" s="3" t="s">
        <v>28</v>
      </c>
      <c r="O2079" s="3" t="s">
        <v>27</v>
      </c>
      <c r="P2079" s="3" t="s">
        <v>28</v>
      </c>
      <c r="Q2079" s="3" t="s">
        <v>28</v>
      </c>
      <c r="R2079" s="3" t="s">
        <v>28</v>
      </c>
      <c r="S2079" s="3" t="s">
        <v>28</v>
      </c>
      <c r="T2079" s="3" t="s">
        <v>28</v>
      </c>
    </row>
    <row r="2080" spans="1:20" ht="366">
      <c r="A2080" s="3">
        <v>2704219</v>
      </c>
      <c r="B2080" s="3">
        <f>HYPERLINK("https://platform.v2.vetology.net/cases/2704219/screening-report/6?type=pdf&amp;v=v6&amp;scorecard=1&amp;secret_key=BX%25IJ%24%2F65ieZ%29f6", 2704219)</f>
        <v>2704219</v>
      </c>
      <c r="C2080" s="3">
        <f>HYPERLINK("https://platform.v2.vetology.net/report/v/final/"&amp;2704219, 2704219)</f>
        <v>2704219</v>
      </c>
      <c r="D2080" s="3" t="s">
        <v>7225</v>
      </c>
      <c r="E2080" s="3" t="s">
        <v>7226</v>
      </c>
      <c r="F2080" s="3" t="s">
        <v>956</v>
      </c>
      <c r="G2080" s="3" t="s">
        <v>100</v>
      </c>
      <c r="H2080" s="3" t="s">
        <v>1920</v>
      </c>
      <c r="I2080" s="3" t="s">
        <v>883</v>
      </c>
      <c r="J2080" s="3" t="s">
        <v>884</v>
      </c>
      <c r="K2080" s="3" t="s">
        <v>28</v>
      </c>
      <c r="L2080" s="3" t="s">
        <v>28</v>
      </c>
      <c r="M2080" s="3" t="s">
        <v>28</v>
      </c>
      <c r="N2080" s="3" t="s">
        <v>28</v>
      </c>
      <c r="O2080" s="3" t="s">
        <v>28</v>
      </c>
      <c r="P2080" s="3" t="s">
        <v>28</v>
      </c>
      <c r="Q2080" s="3" t="s">
        <v>28</v>
      </c>
      <c r="R2080" s="3" t="s">
        <v>28</v>
      </c>
      <c r="S2080" s="3" t="s">
        <v>28</v>
      </c>
      <c r="T2080" s="3" t="s">
        <v>28</v>
      </c>
    </row>
    <row r="2081" spans="1:20" ht="305.25">
      <c r="A2081" s="3">
        <v>2704185</v>
      </c>
      <c r="B2081" s="3">
        <f>HYPERLINK("https://platform.v2.vetology.net/cases/2704185/screening-report/6?type=pdf&amp;v=v6&amp;scorecard=1&amp;secret_key=BX%25IJ%24%2F65ieZ%29f6", 2704185)</f>
        <v>2704185</v>
      </c>
      <c r="C2081" s="3">
        <f>HYPERLINK("https://platform.v2.vetology.net/report/v/final/"&amp;2704185, 2704185)</f>
        <v>2704185</v>
      </c>
      <c r="D2081" s="3" t="s">
        <v>7227</v>
      </c>
      <c r="E2081" s="3" t="s">
        <v>7228</v>
      </c>
      <c r="F2081" s="3" t="s">
        <v>4538</v>
      </c>
      <c r="G2081" s="3" t="s">
        <v>211</v>
      </c>
      <c r="H2081" s="3" t="s">
        <v>31</v>
      </c>
      <c r="I2081" s="3" t="s">
        <v>32</v>
      </c>
      <c r="J2081" s="3" t="s">
        <v>33</v>
      </c>
      <c r="K2081" s="3" t="s">
        <v>28</v>
      </c>
      <c r="L2081" s="3" t="s">
        <v>28</v>
      </c>
      <c r="M2081" s="3" t="s">
        <v>28</v>
      </c>
      <c r="N2081" s="3" t="s">
        <v>28</v>
      </c>
      <c r="O2081" s="3" t="s">
        <v>28</v>
      </c>
      <c r="P2081" s="3" t="s">
        <v>28</v>
      </c>
      <c r="Q2081" s="3" t="s">
        <v>28</v>
      </c>
      <c r="R2081" s="3" t="s">
        <v>28</v>
      </c>
      <c r="S2081" s="3" t="s">
        <v>28</v>
      </c>
      <c r="T2081" s="3" t="s">
        <v>28</v>
      </c>
    </row>
    <row r="2082" spans="1:20" ht="305.25">
      <c r="A2082" s="3">
        <v>2703935</v>
      </c>
      <c r="B2082" s="3">
        <f>HYPERLINK("https://platform.v2.vetology.net/cases/2703935/screening-report/6?type=pdf&amp;v=v6&amp;scorecard=1&amp;secret_key=BX%25IJ%24%2F65ieZ%29f6", 2703935)</f>
        <v>2703935</v>
      </c>
      <c r="C2082" s="3">
        <f>HYPERLINK("https://platform.v2.vetology.net/report/v/final/"&amp;2703935, 2703935)</f>
        <v>2703935</v>
      </c>
      <c r="D2082" s="3" t="s">
        <v>7229</v>
      </c>
      <c r="E2082" s="3" t="s">
        <v>7230</v>
      </c>
      <c r="F2082" s="3" t="s">
        <v>22</v>
      </c>
      <c r="G2082" s="3" t="s">
        <v>100</v>
      </c>
      <c r="H2082" s="3" t="s">
        <v>702</v>
      </c>
      <c r="I2082" s="3" t="s">
        <v>32</v>
      </c>
      <c r="J2082" s="3" t="s">
        <v>33</v>
      </c>
      <c r="K2082" s="3" t="s">
        <v>28</v>
      </c>
      <c r="L2082" s="3" t="s">
        <v>28</v>
      </c>
      <c r="M2082" s="3" t="s">
        <v>28</v>
      </c>
      <c r="N2082" s="3" t="s">
        <v>28</v>
      </c>
      <c r="O2082" s="3" t="s">
        <v>28</v>
      </c>
      <c r="P2082" s="3" t="s">
        <v>28</v>
      </c>
      <c r="Q2082" s="3" t="s">
        <v>28</v>
      </c>
      <c r="R2082" s="3" t="s">
        <v>28</v>
      </c>
      <c r="S2082" s="3" t="s">
        <v>28</v>
      </c>
      <c r="T2082" s="3" t="s">
        <v>28</v>
      </c>
    </row>
    <row r="2083" spans="1:20" ht="396.75">
      <c r="A2083" s="3">
        <v>2703885</v>
      </c>
      <c r="B2083" s="3">
        <f>HYPERLINK("https://platform.v2.vetology.net/cases/2703885/screening-report/6?type=pdf&amp;v=v6&amp;scorecard=1&amp;secret_key=BX%25IJ%24%2F65ieZ%29f6", 2703885)</f>
        <v>2703885</v>
      </c>
      <c r="C2083" s="3">
        <f>HYPERLINK("https://platform.v2.vetology.net/report/v/final/"&amp;2703885, 2703885)</f>
        <v>2703885</v>
      </c>
      <c r="D2083" s="3" t="s">
        <v>7231</v>
      </c>
      <c r="E2083" s="3" t="s">
        <v>7232</v>
      </c>
      <c r="F2083" s="3"/>
      <c r="G2083" s="3" t="s">
        <v>122</v>
      </c>
      <c r="H2083" s="3" t="s">
        <v>350</v>
      </c>
      <c r="I2083" s="3" t="s">
        <v>351</v>
      </c>
      <c r="J2083" s="3" t="s">
        <v>352</v>
      </c>
      <c r="K2083" s="3" t="s">
        <v>27</v>
      </c>
      <c r="L2083" s="3" t="s">
        <v>28</v>
      </c>
      <c r="M2083" s="3" t="s">
        <v>28</v>
      </c>
      <c r="N2083" s="3" t="s">
        <v>28</v>
      </c>
      <c r="O2083" s="3" t="s">
        <v>28</v>
      </c>
      <c r="P2083" s="3" t="s">
        <v>28</v>
      </c>
      <c r="Q2083" s="3" t="s">
        <v>28</v>
      </c>
      <c r="R2083" s="3" t="s">
        <v>28</v>
      </c>
      <c r="S2083" s="3" t="s">
        <v>28</v>
      </c>
      <c r="T2083" s="3" t="s">
        <v>27</v>
      </c>
    </row>
    <row r="2084" spans="1:20" ht="409.6">
      <c r="A2084" s="3">
        <v>2703883</v>
      </c>
      <c r="B2084" s="3">
        <f>HYPERLINK("https://platform.v2.vetology.net/cases/2703883/screening-report/6?type=pdf&amp;v=v6&amp;scorecard=1&amp;secret_key=BX%25IJ%24%2F65ieZ%29f6", 2703883)</f>
        <v>2703883</v>
      </c>
      <c r="C2084" s="3">
        <f>HYPERLINK("https://platform.v2.vetology.net/report/v/final/"&amp;2703883, 2703883)</f>
        <v>2703883</v>
      </c>
      <c r="D2084" s="3" t="s">
        <v>7233</v>
      </c>
      <c r="E2084" s="3" t="s">
        <v>7234</v>
      </c>
      <c r="F2084" s="3"/>
      <c r="G2084" s="3" t="s">
        <v>122</v>
      </c>
      <c r="H2084" s="3" t="s">
        <v>5935</v>
      </c>
      <c r="I2084" s="3" t="s">
        <v>1057</v>
      </c>
      <c r="J2084" s="3" t="s">
        <v>1058</v>
      </c>
      <c r="K2084" s="3" t="s">
        <v>28</v>
      </c>
      <c r="L2084" s="3" t="s">
        <v>28</v>
      </c>
      <c r="M2084" s="3" t="s">
        <v>28</v>
      </c>
      <c r="N2084" s="3" t="s">
        <v>28</v>
      </c>
      <c r="O2084" s="3" t="s">
        <v>27</v>
      </c>
      <c r="P2084" s="3" t="s">
        <v>28</v>
      </c>
      <c r="Q2084" s="3" t="s">
        <v>28</v>
      </c>
      <c r="R2084" s="3" t="s">
        <v>28</v>
      </c>
      <c r="S2084" s="3" t="s">
        <v>28</v>
      </c>
      <c r="T2084" s="3" t="s">
        <v>27</v>
      </c>
    </row>
    <row r="2085" spans="1:20" ht="409.6">
      <c r="A2085" s="3">
        <v>2703861</v>
      </c>
      <c r="B2085" s="3">
        <f>HYPERLINK("https://platform.v2.vetology.net/cases/2703861/screening-report/6?type=pdf&amp;v=v6&amp;scorecard=1&amp;secret_key=BX%25IJ%24%2F65ieZ%29f6", 2703861)</f>
        <v>2703861</v>
      </c>
      <c r="C2085" s="3">
        <f>HYPERLINK("https://platform.v2.vetology.net/report/v/final/"&amp;2703861, 2703861)</f>
        <v>2703861</v>
      </c>
      <c r="D2085" s="3" t="s">
        <v>7235</v>
      </c>
      <c r="E2085" s="3" t="s">
        <v>7236</v>
      </c>
      <c r="F2085" s="3"/>
      <c r="G2085" s="3" t="s">
        <v>122</v>
      </c>
      <c r="H2085" s="3" t="s">
        <v>3164</v>
      </c>
      <c r="I2085" s="3" t="s">
        <v>1368</v>
      </c>
      <c r="J2085" s="3" t="s">
        <v>1369</v>
      </c>
      <c r="K2085" s="3" t="s">
        <v>28</v>
      </c>
      <c r="L2085" s="3" t="s">
        <v>28</v>
      </c>
      <c r="M2085" s="3" t="s">
        <v>28</v>
      </c>
      <c r="N2085" s="3" t="s">
        <v>28</v>
      </c>
      <c r="O2085" s="3" t="s">
        <v>27</v>
      </c>
      <c r="P2085" s="3" t="s">
        <v>27</v>
      </c>
      <c r="Q2085" s="3" t="s">
        <v>28</v>
      </c>
      <c r="R2085" s="3" t="s">
        <v>28</v>
      </c>
      <c r="S2085" s="3" t="s">
        <v>28</v>
      </c>
      <c r="T2085" s="3" t="s">
        <v>28</v>
      </c>
    </row>
    <row r="2086" spans="1:20" ht="381.75">
      <c r="A2086" s="3">
        <v>2703842</v>
      </c>
      <c r="B2086" s="3">
        <f>HYPERLINK("https://platform.v2.vetology.net/cases/2703842/screening-report/6?type=pdf&amp;v=v6&amp;scorecard=1&amp;secret_key=BX%25IJ%24%2F65ieZ%29f6", 2703842)</f>
        <v>2703842</v>
      </c>
      <c r="C2086" s="3">
        <f>HYPERLINK("https://platform.v2.vetology.net/report/v/final/"&amp;2703842, 2703842)</f>
        <v>2703842</v>
      </c>
      <c r="D2086" s="3" t="s">
        <v>7237</v>
      </c>
      <c r="E2086" s="3" t="s">
        <v>7238</v>
      </c>
      <c r="F2086" s="3" t="s">
        <v>7239</v>
      </c>
      <c r="G2086" s="3" t="s">
        <v>566</v>
      </c>
      <c r="H2086" s="3" t="s">
        <v>1714</v>
      </c>
      <c r="I2086" s="3" t="s">
        <v>392</v>
      </c>
      <c r="J2086" s="3" t="s">
        <v>393</v>
      </c>
      <c r="K2086" s="3" t="s">
        <v>28</v>
      </c>
      <c r="L2086" s="3" t="s">
        <v>28</v>
      </c>
      <c r="M2086" s="3" t="s">
        <v>28</v>
      </c>
      <c r="N2086" s="3" t="s">
        <v>28</v>
      </c>
      <c r="O2086" s="3" t="s">
        <v>28</v>
      </c>
      <c r="P2086" s="3" t="s">
        <v>28</v>
      </c>
      <c r="Q2086" s="3" t="s">
        <v>28</v>
      </c>
      <c r="R2086" s="3" t="s">
        <v>28</v>
      </c>
      <c r="S2086" s="3" t="s">
        <v>28</v>
      </c>
      <c r="T2086" s="3" t="s">
        <v>28</v>
      </c>
    </row>
    <row r="2087" spans="1:20" ht="381.75">
      <c r="A2087" s="3">
        <v>2703841</v>
      </c>
      <c r="B2087" s="3">
        <f>HYPERLINK("https://platform.v2.vetology.net/cases/2703841/screening-report/6?type=pdf&amp;v=v6&amp;scorecard=1&amp;secret_key=BX%25IJ%24%2F65ieZ%29f6", 2703841)</f>
        <v>2703841</v>
      </c>
      <c r="C2087" s="3">
        <f>HYPERLINK("https://platform.v2.vetology.net/report/v/final/"&amp;2703841, 2703841)</f>
        <v>2703841</v>
      </c>
      <c r="D2087" s="3" t="s">
        <v>7240</v>
      </c>
      <c r="E2087" s="3" t="s">
        <v>7241</v>
      </c>
      <c r="F2087" s="3"/>
      <c r="G2087" s="3" t="s">
        <v>122</v>
      </c>
      <c r="H2087" s="3" t="s">
        <v>5653</v>
      </c>
      <c r="I2087" s="3" t="s">
        <v>5654</v>
      </c>
      <c r="J2087" s="3" t="s">
        <v>5655</v>
      </c>
      <c r="K2087" s="3" t="s">
        <v>27</v>
      </c>
      <c r="L2087" s="3" t="s">
        <v>28</v>
      </c>
      <c r="M2087" s="3" t="s">
        <v>27</v>
      </c>
      <c r="N2087" s="3" t="s">
        <v>28</v>
      </c>
      <c r="O2087" s="3" t="s">
        <v>27</v>
      </c>
      <c r="P2087" s="3" t="s">
        <v>28</v>
      </c>
      <c r="Q2087" s="3" t="s">
        <v>28</v>
      </c>
      <c r="R2087" s="3" t="s">
        <v>28</v>
      </c>
      <c r="S2087" s="3" t="s">
        <v>27</v>
      </c>
      <c r="T2087" s="3" t="s">
        <v>27</v>
      </c>
    </row>
    <row r="2088" spans="1:20" ht="336">
      <c r="A2088" s="3">
        <v>2703824</v>
      </c>
      <c r="B2088" s="3">
        <f>HYPERLINK("https://platform.v2.vetology.net/cases/2703824/screening-report/6?type=pdf&amp;v=v6&amp;scorecard=1&amp;secret_key=BX%25IJ%24%2F65ieZ%29f6", 2703824)</f>
        <v>2703824</v>
      </c>
      <c r="C2088" s="3">
        <f>HYPERLINK("https://platform.v2.vetology.net/report/v/final/"&amp;2703824, 2703824)</f>
        <v>2703824</v>
      </c>
      <c r="D2088" s="3" t="s">
        <v>7242</v>
      </c>
      <c r="E2088" s="3" t="s">
        <v>7243</v>
      </c>
      <c r="F2088" s="3" t="s">
        <v>7244</v>
      </c>
      <c r="G2088" s="3" t="s">
        <v>186</v>
      </c>
      <c r="H2088" s="3" t="s">
        <v>7245</v>
      </c>
      <c r="I2088" s="3" t="s">
        <v>1916</v>
      </c>
      <c r="J2088" s="3" t="s">
        <v>1917</v>
      </c>
      <c r="K2088" s="3" t="s">
        <v>28</v>
      </c>
      <c r="L2088" s="3" t="s">
        <v>28</v>
      </c>
      <c r="M2088" s="3" t="s">
        <v>28</v>
      </c>
      <c r="N2088" s="3" t="s">
        <v>28</v>
      </c>
      <c r="O2088" s="3" t="s">
        <v>27</v>
      </c>
      <c r="P2088" s="3" t="s">
        <v>28</v>
      </c>
      <c r="Q2088" s="3" t="s">
        <v>28</v>
      </c>
      <c r="R2088" s="3" t="s">
        <v>28</v>
      </c>
      <c r="S2088" s="3" t="s">
        <v>27</v>
      </c>
      <c r="T2088" s="3" t="s">
        <v>27</v>
      </c>
    </row>
    <row r="2089" spans="1:20" ht="259.5">
      <c r="A2089" s="3">
        <v>2703814</v>
      </c>
      <c r="B2089" s="3">
        <f>HYPERLINK("https://platform.v2.vetology.net/cases/2703814/screening-report/6?type=pdf&amp;v=v6&amp;scorecard=1&amp;secret_key=BX%25IJ%24%2F65ieZ%29f6", 2703814)</f>
        <v>2703814</v>
      </c>
      <c r="C2089" s="3">
        <f>HYPERLINK("https://platform.v2.vetology.net/report/v/final/"&amp;2703814, 2703814)</f>
        <v>2703814</v>
      </c>
      <c r="D2089" s="3" t="s">
        <v>7246</v>
      </c>
      <c r="E2089" s="3" t="s">
        <v>7247</v>
      </c>
      <c r="F2089" s="3"/>
      <c r="G2089" s="3" t="s">
        <v>122</v>
      </c>
      <c r="H2089" s="3" t="s">
        <v>1928</v>
      </c>
      <c r="I2089" s="3" t="s">
        <v>1373</v>
      </c>
      <c r="J2089" s="3" t="s">
        <v>207</v>
      </c>
      <c r="K2089" s="3" t="s">
        <v>27</v>
      </c>
      <c r="L2089" s="3" t="s">
        <v>28</v>
      </c>
      <c r="M2089" s="3" t="s">
        <v>27</v>
      </c>
      <c r="N2089" s="3" t="s">
        <v>27</v>
      </c>
      <c r="O2089" s="3" t="s">
        <v>27</v>
      </c>
      <c r="P2089" s="3" t="s">
        <v>27</v>
      </c>
      <c r="Q2089" s="3" t="s">
        <v>27</v>
      </c>
      <c r="R2089" s="3" t="s">
        <v>28</v>
      </c>
      <c r="S2089" s="3" t="s">
        <v>28</v>
      </c>
      <c r="T2089" s="3" t="s">
        <v>27</v>
      </c>
    </row>
    <row r="2090" spans="1:20" ht="229.5">
      <c r="A2090" s="3">
        <v>2703809</v>
      </c>
      <c r="B2090" s="3">
        <f>HYPERLINK("https://platform.v2.vetology.net/cases/2703809/screening-report/6?type=pdf&amp;v=v6&amp;scorecard=1&amp;secret_key=BX%25IJ%24%2F65ieZ%29f6", 2703809)</f>
        <v>2703809</v>
      </c>
      <c r="C2090" s="3">
        <f>HYPERLINK("https://platform.v2.vetology.net/report/v/final/"&amp;2703809, 2703809)</f>
        <v>2703809</v>
      </c>
      <c r="D2090" s="3" t="s">
        <v>7248</v>
      </c>
      <c r="E2090" s="3" t="s">
        <v>7249</v>
      </c>
      <c r="F2090" s="3"/>
      <c r="G2090" s="3" t="s">
        <v>122</v>
      </c>
      <c r="H2090" s="3" t="s">
        <v>31</v>
      </c>
      <c r="I2090" s="3" t="s">
        <v>32</v>
      </c>
      <c r="J2090" s="3" t="s">
        <v>119</v>
      </c>
      <c r="K2090" s="3" t="s">
        <v>28</v>
      </c>
      <c r="L2090" s="3" t="s">
        <v>28</v>
      </c>
      <c r="M2090" s="3" t="s">
        <v>28</v>
      </c>
      <c r="N2090" s="3" t="s">
        <v>28</v>
      </c>
      <c r="O2090" s="3" t="s">
        <v>27</v>
      </c>
      <c r="P2090" s="3" t="s">
        <v>28</v>
      </c>
      <c r="Q2090" s="3" t="s">
        <v>28</v>
      </c>
      <c r="R2090" s="3" t="s">
        <v>28</v>
      </c>
      <c r="S2090" s="3" t="s">
        <v>28</v>
      </c>
      <c r="T2090" s="3" t="s">
        <v>28</v>
      </c>
    </row>
    <row r="2091" spans="1:20" ht="259.5">
      <c r="A2091" s="3">
        <v>2703763</v>
      </c>
      <c r="B2091" s="3">
        <f>HYPERLINK("https://platform.v2.vetology.net/cases/2703763/screening-report/6?type=pdf&amp;v=v6&amp;scorecard=1&amp;secret_key=BX%25IJ%24%2F65ieZ%29f6", 2703763)</f>
        <v>2703763</v>
      </c>
      <c r="C2091" s="3">
        <f>HYPERLINK("https://platform.v2.vetology.net/report/v/final/"&amp;2703763, 2703763)</f>
        <v>2703763</v>
      </c>
      <c r="D2091" s="3" t="s">
        <v>7250</v>
      </c>
      <c r="E2091" s="3" t="s">
        <v>7251</v>
      </c>
      <c r="F2091" s="3" t="s">
        <v>7252</v>
      </c>
      <c r="G2091" s="3" t="s">
        <v>211</v>
      </c>
      <c r="H2091" s="3" t="s">
        <v>2258</v>
      </c>
      <c r="I2091" s="3" t="s">
        <v>2259</v>
      </c>
      <c r="J2091" s="3" t="s">
        <v>2260</v>
      </c>
      <c r="K2091" s="3" t="s">
        <v>28</v>
      </c>
      <c r="L2091" s="3" t="s">
        <v>28</v>
      </c>
      <c r="M2091" s="3" t="s">
        <v>28</v>
      </c>
      <c r="N2091" s="3" t="s">
        <v>28</v>
      </c>
      <c r="O2091" s="3" t="s">
        <v>27</v>
      </c>
      <c r="P2091" s="3" t="s">
        <v>28</v>
      </c>
      <c r="Q2091" s="3" t="s">
        <v>28</v>
      </c>
      <c r="R2091" s="3" t="s">
        <v>28</v>
      </c>
      <c r="S2091" s="3" t="s">
        <v>28</v>
      </c>
      <c r="T2091" s="3" t="s">
        <v>28</v>
      </c>
    </row>
    <row r="2092" spans="1:20" ht="409.6">
      <c r="A2092" s="3">
        <v>2703744</v>
      </c>
      <c r="B2092" s="3">
        <f>HYPERLINK("https://platform.v2.vetology.net/cases/2703744/screening-report/6?type=pdf&amp;v=v6&amp;scorecard=1&amp;secret_key=BX%25IJ%24%2F65ieZ%29f6", 2703744)</f>
        <v>2703744</v>
      </c>
      <c r="C2092" s="3">
        <f>HYPERLINK("https://platform.v2.vetology.net/report/v/final/"&amp;2703744, 2703744)</f>
        <v>2703744</v>
      </c>
      <c r="D2092" s="3" t="s">
        <v>7253</v>
      </c>
      <c r="E2092" s="3" t="s">
        <v>7254</v>
      </c>
      <c r="F2092" s="3" t="s">
        <v>7255</v>
      </c>
      <c r="G2092" s="3" t="s">
        <v>566</v>
      </c>
      <c r="H2092" s="3" t="s">
        <v>855</v>
      </c>
      <c r="I2092" s="3" t="s">
        <v>856</v>
      </c>
      <c r="J2092" s="3" t="s">
        <v>857</v>
      </c>
      <c r="K2092" s="3" t="s">
        <v>27</v>
      </c>
      <c r="L2092" s="3" t="s">
        <v>28</v>
      </c>
      <c r="M2092" s="3" t="s">
        <v>28</v>
      </c>
      <c r="N2092" s="3" t="s">
        <v>28</v>
      </c>
      <c r="O2092" s="3" t="s">
        <v>28</v>
      </c>
      <c r="P2092" s="3" t="s">
        <v>28</v>
      </c>
      <c r="Q2092" s="3" t="s">
        <v>28</v>
      </c>
      <c r="R2092" s="3" t="s">
        <v>28</v>
      </c>
      <c r="S2092" s="3" t="s">
        <v>28</v>
      </c>
      <c r="T2092" s="3" t="s">
        <v>28</v>
      </c>
    </row>
    <row r="2093" spans="1:20" ht="336">
      <c r="A2093" s="3">
        <v>2703693</v>
      </c>
      <c r="B2093" s="3">
        <f>HYPERLINK("https://platform.v2.vetology.net/cases/2703693/screening-report/6?type=pdf&amp;v=v6&amp;scorecard=1&amp;secret_key=BX%25IJ%24%2F65ieZ%29f6", 2703693)</f>
        <v>2703693</v>
      </c>
      <c r="C2093" s="3">
        <f>HYPERLINK("https://platform.v2.vetology.net/report/v/final/"&amp;2703693, 2703693)</f>
        <v>2703693</v>
      </c>
      <c r="D2093" s="3" t="s">
        <v>7256</v>
      </c>
      <c r="E2093" s="3" t="s">
        <v>7257</v>
      </c>
      <c r="F2093" s="3" t="s">
        <v>7258</v>
      </c>
      <c r="G2093" s="3" t="s">
        <v>186</v>
      </c>
      <c r="H2093" s="3" t="s">
        <v>7259</v>
      </c>
      <c r="I2093" s="3" t="s">
        <v>66</v>
      </c>
      <c r="J2093" s="3" t="s">
        <v>67</v>
      </c>
      <c r="K2093" s="3" t="s">
        <v>28</v>
      </c>
      <c r="L2093" s="3" t="s">
        <v>28</v>
      </c>
      <c r="M2093" s="3" t="s">
        <v>28</v>
      </c>
      <c r="N2093" s="3" t="s">
        <v>28</v>
      </c>
      <c r="O2093" s="3" t="s">
        <v>27</v>
      </c>
      <c r="P2093" s="3" t="s">
        <v>28</v>
      </c>
      <c r="Q2093" s="3" t="s">
        <v>28</v>
      </c>
      <c r="R2093" s="3" t="s">
        <v>28</v>
      </c>
      <c r="S2093" s="3" t="s">
        <v>28</v>
      </c>
      <c r="T2093" s="3" t="s">
        <v>28</v>
      </c>
    </row>
    <row r="2094" spans="1:20" ht="409.6">
      <c r="A2094" s="3">
        <v>2703659</v>
      </c>
      <c r="B2094" s="3">
        <f>HYPERLINK("https://platform.v2.vetology.net/cases/2703659/screening-report/6?type=pdf&amp;v=v6&amp;scorecard=1&amp;secret_key=BX%25IJ%24%2F65ieZ%29f6", 2703659)</f>
        <v>2703659</v>
      </c>
      <c r="C2094" s="3">
        <f>HYPERLINK("https://platform.v2.vetology.net/report/v/final/"&amp;2703659, 2703659)</f>
        <v>2703659</v>
      </c>
      <c r="D2094" s="3" t="s">
        <v>7260</v>
      </c>
      <c r="E2094" s="3" t="s">
        <v>7261</v>
      </c>
      <c r="F2094" s="3" t="s">
        <v>7262</v>
      </c>
      <c r="G2094" s="3" t="s">
        <v>64</v>
      </c>
      <c r="H2094" s="3" t="s">
        <v>2655</v>
      </c>
      <c r="I2094" s="3" t="s">
        <v>37</v>
      </c>
      <c r="J2094" s="3" t="s">
        <v>38</v>
      </c>
      <c r="K2094" s="3" t="s">
        <v>28</v>
      </c>
      <c r="L2094" s="3" t="s">
        <v>28</v>
      </c>
      <c r="M2094" s="3" t="s">
        <v>27</v>
      </c>
      <c r="N2094" s="3" t="s">
        <v>28</v>
      </c>
      <c r="O2094" s="3" t="s">
        <v>27</v>
      </c>
      <c r="P2094" s="3" t="s">
        <v>28</v>
      </c>
      <c r="Q2094" s="3" t="s">
        <v>28</v>
      </c>
      <c r="R2094" s="3" t="s">
        <v>28</v>
      </c>
      <c r="S2094" s="3" t="s">
        <v>28</v>
      </c>
      <c r="T2094" s="3" t="s">
        <v>28</v>
      </c>
    </row>
    <row r="2095" spans="1:20" ht="409.6">
      <c r="A2095" s="3">
        <v>2703540</v>
      </c>
      <c r="B2095" s="3">
        <f>HYPERLINK("https://platform.v2.vetology.net/cases/2703540/screening-report/6?type=pdf&amp;v=v6&amp;scorecard=1&amp;secret_key=BX%25IJ%24%2F65ieZ%29f6", 2703540)</f>
        <v>2703540</v>
      </c>
      <c r="C2095" s="3">
        <f>HYPERLINK("https://platform.v2.vetology.net/report/v/final/"&amp;2703540, 2703540)</f>
        <v>2703540</v>
      </c>
      <c r="D2095" s="3" t="s">
        <v>7263</v>
      </c>
      <c r="E2095" s="3" t="s">
        <v>7264</v>
      </c>
      <c r="F2095" s="3" t="s">
        <v>7265</v>
      </c>
      <c r="G2095" s="3" t="s">
        <v>64</v>
      </c>
      <c r="H2095" s="3" t="s">
        <v>158</v>
      </c>
      <c r="I2095" s="3" t="s">
        <v>32</v>
      </c>
      <c r="J2095" s="3" t="s">
        <v>33</v>
      </c>
      <c r="K2095" s="3" t="s">
        <v>28</v>
      </c>
      <c r="L2095" s="3" t="s">
        <v>28</v>
      </c>
      <c r="M2095" s="3" t="s">
        <v>28</v>
      </c>
      <c r="N2095" s="3" t="s">
        <v>28</v>
      </c>
      <c r="O2095" s="3" t="s">
        <v>28</v>
      </c>
      <c r="P2095" s="3" t="s">
        <v>28</v>
      </c>
      <c r="Q2095" s="3" t="s">
        <v>28</v>
      </c>
      <c r="R2095" s="3" t="s">
        <v>28</v>
      </c>
      <c r="S2095" s="3" t="s">
        <v>28</v>
      </c>
      <c r="T2095" s="3" t="s">
        <v>28</v>
      </c>
    </row>
    <row r="2096" spans="1:20" ht="409.6">
      <c r="A2096" s="3">
        <v>2703531</v>
      </c>
      <c r="B2096" s="3">
        <f>HYPERLINK("https://platform.v2.vetology.net/cases/2703531/screening-report/6?type=pdf&amp;v=v6&amp;scorecard=1&amp;secret_key=BX%25IJ%24%2F65ieZ%29f6", 2703531)</f>
        <v>2703531</v>
      </c>
      <c r="C2096" s="3">
        <f>HYPERLINK("https://platform.v2.vetology.net/report/v/final/"&amp;2703531, 2703531)</f>
        <v>2703531</v>
      </c>
      <c r="D2096" s="3" t="s">
        <v>7266</v>
      </c>
      <c r="E2096" s="3" t="s">
        <v>7267</v>
      </c>
      <c r="F2096" s="3" t="s">
        <v>7268</v>
      </c>
      <c r="G2096" s="3" t="s">
        <v>179</v>
      </c>
      <c r="H2096" s="3" t="s">
        <v>7269</v>
      </c>
      <c r="I2096" s="3" t="s">
        <v>7270</v>
      </c>
      <c r="J2096" s="3" t="s">
        <v>2046</v>
      </c>
      <c r="K2096" s="3" t="s">
        <v>27</v>
      </c>
      <c r="L2096" s="3" t="s">
        <v>27</v>
      </c>
      <c r="M2096" s="3" t="s">
        <v>27</v>
      </c>
      <c r="N2096" s="3" t="s">
        <v>28</v>
      </c>
      <c r="O2096" s="3" t="s">
        <v>27</v>
      </c>
      <c r="P2096" s="3" t="s">
        <v>27</v>
      </c>
      <c r="Q2096" s="3" t="s">
        <v>27</v>
      </c>
      <c r="R2096" s="3" t="s">
        <v>28</v>
      </c>
      <c r="S2096" s="3" t="s">
        <v>28</v>
      </c>
      <c r="T2096" s="3" t="s">
        <v>28</v>
      </c>
    </row>
    <row r="2097" spans="1:20" ht="381.75">
      <c r="A2097" s="3">
        <v>2703500</v>
      </c>
      <c r="B2097" s="3">
        <f>HYPERLINK("https://platform.v2.vetology.net/cases/2703500/screening-report/6?type=pdf&amp;v=v6&amp;scorecard=1&amp;secret_key=BX%25IJ%24%2F65ieZ%29f6", 2703500)</f>
        <v>2703500</v>
      </c>
      <c r="C2097" s="3">
        <f>HYPERLINK("https://platform.v2.vetology.net/report/v/final/"&amp;2703500, 2703500)</f>
        <v>2703500</v>
      </c>
      <c r="D2097" s="3" t="s">
        <v>7271</v>
      </c>
      <c r="E2097" s="3" t="s">
        <v>7272</v>
      </c>
      <c r="F2097" s="3" t="s">
        <v>609</v>
      </c>
      <c r="G2097" s="3" t="s">
        <v>179</v>
      </c>
      <c r="H2097" s="3" t="s">
        <v>7273</v>
      </c>
      <c r="I2097" s="3" t="s">
        <v>856</v>
      </c>
      <c r="J2097" s="3" t="s">
        <v>857</v>
      </c>
      <c r="K2097" s="3" t="s">
        <v>27</v>
      </c>
      <c r="L2097" s="3" t="s">
        <v>28</v>
      </c>
      <c r="M2097" s="3" t="s">
        <v>28</v>
      </c>
      <c r="N2097" s="3" t="s">
        <v>28</v>
      </c>
      <c r="O2097" s="3" t="s">
        <v>27</v>
      </c>
      <c r="P2097" s="3" t="s">
        <v>28</v>
      </c>
      <c r="Q2097" s="3" t="s">
        <v>28</v>
      </c>
      <c r="R2097" s="3" t="s">
        <v>28</v>
      </c>
      <c r="S2097" s="3" t="s">
        <v>28</v>
      </c>
      <c r="T2097" s="3" t="s">
        <v>28</v>
      </c>
    </row>
    <row r="2098" spans="1:20" ht="409.6">
      <c r="A2098" s="3">
        <v>2703499</v>
      </c>
      <c r="B2098" s="3">
        <f>HYPERLINK("https://platform.v2.vetology.net/cases/2703499/screening-report/6?type=pdf&amp;v=v6&amp;scorecard=1&amp;secret_key=BX%25IJ%24%2F65ieZ%29f6", 2703499)</f>
        <v>2703499</v>
      </c>
      <c r="C2098" s="3">
        <f>HYPERLINK("https://platform.v2.vetology.net/report/v/final/"&amp;2703499, 2703499)</f>
        <v>2703499</v>
      </c>
      <c r="D2098" s="3" t="s">
        <v>7274</v>
      </c>
      <c r="E2098" s="3" t="s">
        <v>7275</v>
      </c>
      <c r="F2098" s="3" t="s">
        <v>7276</v>
      </c>
      <c r="G2098" s="3" t="s">
        <v>64</v>
      </c>
      <c r="H2098" s="3" t="s">
        <v>3811</v>
      </c>
      <c r="I2098" s="3" t="s">
        <v>768</v>
      </c>
      <c r="J2098" s="3" t="s">
        <v>769</v>
      </c>
      <c r="K2098" s="3" t="s">
        <v>28</v>
      </c>
      <c r="L2098" s="3" t="s">
        <v>28</v>
      </c>
      <c r="M2098" s="3" t="s">
        <v>28</v>
      </c>
      <c r="N2098" s="3" t="s">
        <v>28</v>
      </c>
      <c r="O2098" s="3" t="s">
        <v>27</v>
      </c>
      <c r="P2098" s="3" t="s">
        <v>27</v>
      </c>
      <c r="Q2098" s="3" t="s">
        <v>27</v>
      </c>
      <c r="R2098" s="3" t="s">
        <v>28</v>
      </c>
      <c r="S2098" s="3" t="s">
        <v>28</v>
      </c>
      <c r="T2098" s="3" t="s">
        <v>27</v>
      </c>
    </row>
    <row r="2099" spans="1:20" ht="381.75">
      <c r="A2099" s="3">
        <v>2703451</v>
      </c>
      <c r="B2099" s="3">
        <f>HYPERLINK("https://platform.v2.vetology.net/cases/2703451/screening-report/6?type=pdf&amp;v=v6&amp;scorecard=1&amp;secret_key=BX%25IJ%24%2F65ieZ%29f6", 2703451)</f>
        <v>2703451</v>
      </c>
      <c r="C2099" s="3">
        <f>HYPERLINK("https://platform.v2.vetology.net/report/v/final/"&amp;2703451, 2703451)</f>
        <v>2703451</v>
      </c>
      <c r="D2099" s="3" t="s">
        <v>7277</v>
      </c>
      <c r="E2099" s="3" t="s">
        <v>7278</v>
      </c>
      <c r="F2099" s="3" t="s">
        <v>7279</v>
      </c>
      <c r="G2099" s="3" t="s">
        <v>186</v>
      </c>
      <c r="H2099" s="3" t="s">
        <v>1738</v>
      </c>
      <c r="I2099" s="3" t="s">
        <v>561</v>
      </c>
      <c r="J2099" s="3" t="s">
        <v>562</v>
      </c>
      <c r="K2099" s="3" t="s">
        <v>28</v>
      </c>
      <c r="L2099" s="3" t="s">
        <v>28</v>
      </c>
      <c r="M2099" s="3" t="s">
        <v>28</v>
      </c>
      <c r="N2099" s="3" t="s">
        <v>28</v>
      </c>
      <c r="O2099" s="3" t="s">
        <v>27</v>
      </c>
      <c r="P2099" s="3" t="s">
        <v>27</v>
      </c>
      <c r="Q2099" s="3" t="s">
        <v>28</v>
      </c>
      <c r="R2099" s="3" t="s">
        <v>28</v>
      </c>
      <c r="S2099" s="3" t="s">
        <v>28</v>
      </c>
      <c r="T2099" s="3" t="s">
        <v>27</v>
      </c>
    </row>
    <row r="2100" spans="1:20" ht="305.25">
      <c r="A2100" s="3">
        <v>2703407</v>
      </c>
      <c r="B2100" s="3">
        <f>HYPERLINK("https://platform.v2.vetology.net/cases/2703407/screening-report/6?type=pdf&amp;v=v6&amp;scorecard=1&amp;secret_key=BX%25IJ%24%2F65ieZ%29f6", 2703407)</f>
        <v>2703407</v>
      </c>
      <c r="C2100" s="3">
        <f>HYPERLINK("https://platform.v2.vetology.net/report/v/final/"&amp;2703407, 2703407)</f>
        <v>2703407</v>
      </c>
      <c r="D2100" s="3" t="s">
        <v>7280</v>
      </c>
      <c r="E2100" s="3" t="s">
        <v>7281</v>
      </c>
      <c r="F2100" s="3" t="s">
        <v>7282</v>
      </c>
      <c r="G2100" s="3" t="s">
        <v>186</v>
      </c>
      <c r="H2100" s="3" t="s">
        <v>951</v>
      </c>
      <c r="I2100" s="3" t="s">
        <v>952</v>
      </c>
      <c r="J2100" s="3" t="s">
        <v>953</v>
      </c>
      <c r="K2100" s="3" t="s">
        <v>27</v>
      </c>
      <c r="L2100" s="3" t="s">
        <v>28</v>
      </c>
      <c r="M2100" s="3" t="s">
        <v>28</v>
      </c>
      <c r="N2100" s="3" t="s">
        <v>28</v>
      </c>
      <c r="O2100" s="3" t="s">
        <v>27</v>
      </c>
      <c r="P2100" s="3" t="s">
        <v>27</v>
      </c>
      <c r="Q2100" s="3" t="s">
        <v>27</v>
      </c>
      <c r="R2100" s="3" t="s">
        <v>28</v>
      </c>
      <c r="S2100" s="3" t="s">
        <v>28</v>
      </c>
      <c r="T2100" s="3" t="s">
        <v>27</v>
      </c>
    </row>
    <row r="2101" spans="1:20" ht="351">
      <c r="A2101" s="3">
        <v>2703396</v>
      </c>
      <c r="B2101" s="3">
        <f>HYPERLINK("https://platform.v2.vetology.net/cases/2703396/screening-report/6?type=pdf&amp;v=v6&amp;scorecard=1&amp;secret_key=BX%25IJ%24%2F65ieZ%29f6", 2703396)</f>
        <v>2703396</v>
      </c>
      <c r="C2101" s="3">
        <f>HYPERLINK("https://platform.v2.vetology.net/report/v/final/"&amp;2703396, 2703396)</f>
        <v>2703396</v>
      </c>
      <c r="D2101" s="3" t="s">
        <v>7283</v>
      </c>
      <c r="E2101" s="3" t="s">
        <v>7284</v>
      </c>
      <c r="F2101" s="3" t="s">
        <v>7285</v>
      </c>
      <c r="G2101" s="3" t="s">
        <v>186</v>
      </c>
      <c r="H2101" s="3" t="s">
        <v>951</v>
      </c>
      <c r="I2101" s="3" t="s">
        <v>952</v>
      </c>
      <c r="J2101" s="3" t="s">
        <v>953</v>
      </c>
      <c r="K2101" s="3" t="s">
        <v>28</v>
      </c>
      <c r="L2101" s="3" t="s">
        <v>28</v>
      </c>
      <c r="M2101" s="3" t="s">
        <v>28</v>
      </c>
      <c r="N2101" s="3" t="s">
        <v>28</v>
      </c>
      <c r="O2101" s="3" t="s">
        <v>27</v>
      </c>
      <c r="P2101" s="3" t="s">
        <v>28</v>
      </c>
      <c r="Q2101" s="3" t="s">
        <v>28</v>
      </c>
      <c r="R2101" s="3" t="s">
        <v>28</v>
      </c>
      <c r="S2101" s="3" t="s">
        <v>27</v>
      </c>
      <c r="T2101" s="3" t="s">
        <v>27</v>
      </c>
    </row>
    <row r="2102" spans="1:20" ht="409.6">
      <c r="A2102" s="3">
        <v>2703393</v>
      </c>
      <c r="B2102" s="3">
        <f>HYPERLINK("https://platform.v2.vetology.net/cases/2703393/screening-report/6?type=pdf&amp;v=v6&amp;scorecard=1&amp;secret_key=BX%25IJ%24%2F65ieZ%29f6", 2703393)</f>
        <v>2703393</v>
      </c>
      <c r="C2102" s="3">
        <f>HYPERLINK("https://platform.v2.vetology.net/report/v/final/"&amp;2703393, 2703393)</f>
        <v>2703393</v>
      </c>
      <c r="D2102" s="3" t="s">
        <v>7286</v>
      </c>
      <c r="E2102" s="3" t="s">
        <v>7287</v>
      </c>
      <c r="F2102" s="3" t="s">
        <v>7288</v>
      </c>
      <c r="G2102" s="3" t="s">
        <v>179</v>
      </c>
      <c r="H2102" s="3" t="s">
        <v>1046</v>
      </c>
      <c r="I2102" s="3" t="s">
        <v>59</v>
      </c>
      <c r="J2102" s="3" t="s">
        <v>60</v>
      </c>
      <c r="K2102" s="3" t="s">
        <v>28</v>
      </c>
      <c r="L2102" s="3" t="s">
        <v>28</v>
      </c>
      <c r="M2102" s="3" t="s">
        <v>28</v>
      </c>
      <c r="N2102" s="3" t="s">
        <v>27</v>
      </c>
      <c r="O2102" s="3" t="s">
        <v>27</v>
      </c>
      <c r="P2102" s="3" t="s">
        <v>28</v>
      </c>
      <c r="Q2102" s="3" t="s">
        <v>28</v>
      </c>
      <c r="R2102" s="3" t="s">
        <v>28</v>
      </c>
      <c r="S2102" s="3" t="s">
        <v>27</v>
      </c>
      <c r="T2102" s="3" t="s">
        <v>27</v>
      </c>
    </row>
    <row r="2103" spans="1:20" ht="275.25">
      <c r="A2103" s="3">
        <v>2703389</v>
      </c>
      <c r="B2103" s="3">
        <f>HYPERLINK("https://platform.v2.vetology.net/cases/2703389/screening-report/6?type=pdf&amp;v=v6&amp;scorecard=1&amp;secret_key=BX%25IJ%24%2F65ieZ%29f6", 2703389)</f>
        <v>2703389</v>
      </c>
      <c r="C2103" s="3">
        <f>HYPERLINK("https://platform.v2.vetology.net/report/v/final/"&amp;2703389, 2703389)</f>
        <v>2703389</v>
      </c>
      <c r="D2103" s="3" t="s">
        <v>7289</v>
      </c>
      <c r="E2103" s="3" t="s">
        <v>7290</v>
      </c>
      <c r="F2103" s="3" t="s">
        <v>4521</v>
      </c>
      <c r="G2103" s="3" t="s">
        <v>179</v>
      </c>
      <c r="H2103" s="3" t="s">
        <v>7194</v>
      </c>
      <c r="I2103" s="3" t="s">
        <v>72</v>
      </c>
      <c r="J2103" s="3" t="s">
        <v>207</v>
      </c>
      <c r="K2103" s="3" t="s">
        <v>27</v>
      </c>
      <c r="L2103" s="3" t="s">
        <v>28</v>
      </c>
      <c r="M2103" s="3" t="s">
        <v>27</v>
      </c>
      <c r="N2103" s="3" t="s">
        <v>28</v>
      </c>
      <c r="O2103" s="3" t="s">
        <v>27</v>
      </c>
      <c r="P2103" s="3" t="s">
        <v>28</v>
      </c>
      <c r="Q2103" s="3" t="s">
        <v>28</v>
      </c>
      <c r="R2103" s="3" t="s">
        <v>28</v>
      </c>
      <c r="S2103" s="3" t="s">
        <v>28</v>
      </c>
      <c r="T2103" s="3" t="s">
        <v>28</v>
      </c>
    </row>
    <row r="2104" spans="1:20" ht="409.6">
      <c r="A2104" s="3">
        <v>2703378</v>
      </c>
      <c r="B2104" s="3">
        <f>HYPERLINK("https://platform.v2.vetology.net/cases/2703378/screening-report/6?type=pdf&amp;v=v6&amp;scorecard=1&amp;secret_key=BX%25IJ%24%2F65ieZ%29f6", 2703378)</f>
        <v>2703378</v>
      </c>
      <c r="C2104" s="3">
        <f>HYPERLINK("https://platform.v2.vetology.net/report/v/final/"&amp;2703378, 2703378)</f>
        <v>2703378</v>
      </c>
      <c r="D2104" s="3" t="s">
        <v>7291</v>
      </c>
      <c r="E2104" s="3" t="s">
        <v>7292</v>
      </c>
      <c r="F2104" s="3" t="s">
        <v>7293</v>
      </c>
      <c r="G2104" s="3" t="s">
        <v>186</v>
      </c>
      <c r="H2104" s="3" t="s">
        <v>5785</v>
      </c>
      <c r="I2104" s="3" t="s">
        <v>2825</v>
      </c>
      <c r="J2104" s="3" t="s">
        <v>2826</v>
      </c>
      <c r="K2104" s="3" t="s">
        <v>28</v>
      </c>
      <c r="L2104" s="3" t="s">
        <v>28</v>
      </c>
      <c r="M2104" s="3" t="s">
        <v>27</v>
      </c>
      <c r="N2104" s="3" t="s">
        <v>28</v>
      </c>
      <c r="O2104" s="3" t="s">
        <v>27</v>
      </c>
      <c r="P2104" s="3" t="s">
        <v>28</v>
      </c>
      <c r="Q2104" s="3" t="s">
        <v>28</v>
      </c>
      <c r="R2104" s="3" t="s">
        <v>28</v>
      </c>
      <c r="S2104" s="3" t="s">
        <v>28</v>
      </c>
      <c r="T2104" s="3" t="s">
        <v>28</v>
      </c>
    </row>
    <row r="2105" spans="1:20" ht="290.25">
      <c r="A2105" s="3">
        <v>2703371</v>
      </c>
      <c r="B2105" s="3">
        <f>HYPERLINK("https://platform.v2.vetology.net/cases/2703371/screening-report/6?type=pdf&amp;v=v6&amp;scorecard=1&amp;secret_key=BX%25IJ%24%2F65ieZ%29f6", 2703371)</f>
        <v>2703371</v>
      </c>
      <c r="C2105" s="3">
        <f>HYPERLINK("https://platform.v2.vetology.net/report/v/final/"&amp;2703371, 2703371)</f>
        <v>2703371</v>
      </c>
      <c r="D2105" s="3" t="s">
        <v>7294</v>
      </c>
      <c r="E2105" s="3" t="s">
        <v>1230</v>
      </c>
      <c r="F2105" s="3" t="s">
        <v>1049</v>
      </c>
      <c r="G2105" s="3" t="s">
        <v>100</v>
      </c>
      <c r="H2105" s="3" t="s">
        <v>4837</v>
      </c>
      <c r="I2105" s="3" t="s">
        <v>4838</v>
      </c>
      <c r="J2105" s="3" t="s">
        <v>4839</v>
      </c>
      <c r="K2105" s="3" t="s">
        <v>28</v>
      </c>
      <c r="L2105" s="3" t="s">
        <v>28</v>
      </c>
      <c r="M2105" s="3" t="s">
        <v>27</v>
      </c>
      <c r="N2105" s="3" t="s">
        <v>28</v>
      </c>
      <c r="O2105" s="3" t="s">
        <v>27</v>
      </c>
      <c r="P2105" s="3" t="s">
        <v>28</v>
      </c>
      <c r="Q2105" s="3" t="s">
        <v>27</v>
      </c>
      <c r="R2105" s="3" t="s">
        <v>28</v>
      </c>
      <c r="S2105" s="3" t="s">
        <v>28</v>
      </c>
      <c r="T2105" s="3" t="s">
        <v>28</v>
      </c>
    </row>
    <row r="2106" spans="1:20" ht="336">
      <c r="A2106" s="3">
        <v>2703356</v>
      </c>
      <c r="B2106" s="3">
        <f>HYPERLINK("https://platform.v2.vetology.net/cases/2703356/screening-report/6?type=pdf&amp;v=v6&amp;scorecard=1&amp;secret_key=BX%25IJ%24%2F65ieZ%29f6", 2703356)</f>
        <v>2703356</v>
      </c>
      <c r="C2106" s="3">
        <f>HYPERLINK("https://platform.v2.vetology.net/report/v/final/"&amp;2703356, 2703356)</f>
        <v>2703356</v>
      </c>
      <c r="D2106" s="3" t="s">
        <v>7295</v>
      </c>
      <c r="E2106" s="3" t="s">
        <v>7296</v>
      </c>
      <c r="F2106" s="3" t="s">
        <v>7297</v>
      </c>
      <c r="G2106" s="3" t="s">
        <v>100</v>
      </c>
      <c r="H2106" s="3" t="s">
        <v>454</v>
      </c>
      <c r="I2106" s="3" t="s">
        <v>124</v>
      </c>
      <c r="J2106" s="3" t="s">
        <v>125</v>
      </c>
      <c r="K2106" s="3" t="s">
        <v>27</v>
      </c>
      <c r="L2106" s="3" t="s">
        <v>28</v>
      </c>
      <c r="M2106" s="3" t="s">
        <v>27</v>
      </c>
      <c r="N2106" s="3" t="s">
        <v>28</v>
      </c>
      <c r="O2106" s="3" t="s">
        <v>27</v>
      </c>
      <c r="P2106" s="3" t="s">
        <v>28</v>
      </c>
      <c r="Q2106" s="3" t="s">
        <v>27</v>
      </c>
      <c r="R2106" s="3" t="s">
        <v>28</v>
      </c>
      <c r="S2106" s="3" t="s">
        <v>28</v>
      </c>
      <c r="T2106" s="3" t="s">
        <v>28</v>
      </c>
    </row>
    <row r="2107" spans="1:20" ht="409.6">
      <c r="A2107" s="3">
        <v>2703335</v>
      </c>
      <c r="B2107" s="3">
        <f>HYPERLINK("https://platform.v2.vetology.net/cases/2703335/screening-report/6?type=pdf&amp;v=v6&amp;scorecard=1&amp;secret_key=BX%25IJ%24%2F65ieZ%29f6", 2703335)</f>
        <v>2703335</v>
      </c>
      <c r="C2107" s="3">
        <f>HYPERLINK("https://platform.v2.vetology.net/report/v/final/"&amp;2703335, 2703335)</f>
        <v>2703335</v>
      </c>
      <c r="D2107" s="3" t="s">
        <v>7298</v>
      </c>
      <c r="E2107" s="3" t="s">
        <v>7299</v>
      </c>
      <c r="F2107" s="3" t="s">
        <v>7300</v>
      </c>
      <c r="G2107" s="3" t="s">
        <v>64</v>
      </c>
      <c r="H2107" s="3" t="s">
        <v>419</v>
      </c>
      <c r="I2107" s="3" t="s">
        <v>316</v>
      </c>
      <c r="J2107" s="3" t="s">
        <v>317</v>
      </c>
      <c r="K2107" s="3" t="s">
        <v>28</v>
      </c>
      <c r="L2107" s="3" t="s">
        <v>28</v>
      </c>
      <c r="M2107" s="3" t="s">
        <v>28</v>
      </c>
      <c r="N2107" s="3" t="s">
        <v>28</v>
      </c>
      <c r="O2107" s="3" t="s">
        <v>27</v>
      </c>
      <c r="P2107" s="3" t="s">
        <v>28</v>
      </c>
      <c r="Q2107" s="3" t="s">
        <v>28</v>
      </c>
      <c r="R2107" s="3" t="s">
        <v>28</v>
      </c>
      <c r="S2107" s="3" t="s">
        <v>28</v>
      </c>
      <c r="T2107" s="3" t="s">
        <v>28</v>
      </c>
    </row>
    <row r="2108" spans="1:20" ht="305.25">
      <c r="A2108" s="3">
        <v>2703258</v>
      </c>
      <c r="B2108" s="3">
        <f>HYPERLINK("https://platform.v2.vetology.net/cases/2703258/screening-report/6?type=pdf&amp;v=v6&amp;scorecard=1&amp;secret_key=BX%25IJ%24%2F65ieZ%29f6", 2703258)</f>
        <v>2703258</v>
      </c>
      <c r="C2108" s="3">
        <f>HYPERLINK("https://platform.v2.vetology.net/report/v/final/"&amp;2703258, 2703258)</f>
        <v>2703258</v>
      </c>
      <c r="D2108" s="3" t="s">
        <v>7301</v>
      </c>
      <c r="E2108" s="3" t="s">
        <v>7302</v>
      </c>
      <c r="F2108" s="3"/>
      <c r="G2108" s="3" t="s">
        <v>100</v>
      </c>
      <c r="H2108" s="3" t="s">
        <v>31</v>
      </c>
      <c r="I2108" s="3" t="s">
        <v>32</v>
      </c>
      <c r="J2108" s="3" t="s">
        <v>33</v>
      </c>
      <c r="K2108" s="3" t="s">
        <v>28</v>
      </c>
      <c r="L2108" s="3" t="s">
        <v>28</v>
      </c>
      <c r="M2108" s="3" t="s">
        <v>28</v>
      </c>
      <c r="N2108" s="3" t="s">
        <v>28</v>
      </c>
      <c r="O2108" s="3" t="s">
        <v>28</v>
      </c>
      <c r="P2108" s="3" t="s">
        <v>28</v>
      </c>
      <c r="Q2108" s="3" t="s">
        <v>28</v>
      </c>
      <c r="R2108" s="3" t="s">
        <v>28</v>
      </c>
      <c r="S2108" s="3" t="s">
        <v>28</v>
      </c>
      <c r="T2108" s="3" t="s">
        <v>27</v>
      </c>
    </row>
    <row r="2109" spans="1:20" ht="409.6">
      <c r="A2109" s="3">
        <v>2703198</v>
      </c>
      <c r="B2109" s="3">
        <f>HYPERLINK("https://platform.v2.vetology.net/cases/2703198/screening-report/6?type=pdf&amp;v=v6&amp;scorecard=1&amp;secret_key=BX%25IJ%24%2F65ieZ%29f6", 2703198)</f>
        <v>2703198</v>
      </c>
      <c r="C2109" s="3">
        <f>HYPERLINK("https://platform.v2.vetology.net/report/v/final/"&amp;2703198, 2703198)</f>
        <v>2703198</v>
      </c>
      <c r="D2109" s="3" t="s">
        <v>7303</v>
      </c>
      <c r="E2109" s="3" t="s">
        <v>7304</v>
      </c>
      <c r="F2109" s="3" t="s">
        <v>7305</v>
      </c>
      <c r="G2109" s="3" t="s">
        <v>64</v>
      </c>
      <c r="H2109" s="3" t="s">
        <v>7306</v>
      </c>
      <c r="I2109" s="3" t="s">
        <v>7307</v>
      </c>
      <c r="J2109" s="3" t="s">
        <v>7308</v>
      </c>
      <c r="K2109" s="3" t="s">
        <v>27</v>
      </c>
      <c r="L2109" s="3" t="s">
        <v>28</v>
      </c>
      <c r="M2109" s="3" t="s">
        <v>28</v>
      </c>
      <c r="N2109" s="3" t="s">
        <v>28</v>
      </c>
      <c r="O2109" s="3" t="s">
        <v>27</v>
      </c>
      <c r="P2109" s="3" t="s">
        <v>28</v>
      </c>
      <c r="Q2109" s="3" t="s">
        <v>27</v>
      </c>
      <c r="R2109" s="3" t="s">
        <v>28</v>
      </c>
      <c r="S2109" s="3" t="s">
        <v>28</v>
      </c>
      <c r="T2109" s="3" t="s">
        <v>27</v>
      </c>
    </row>
    <row r="2110" spans="1:20" ht="290.25">
      <c r="A2110" s="3">
        <v>2703172</v>
      </c>
      <c r="B2110" s="3">
        <f>HYPERLINK("https://platform.v2.vetology.net/cases/2703172/screening-report/6?type=pdf&amp;v=v6&amp;scorecard=1&amp;secret_key=BX%25IJ%24%2F65ieZ%29f6", 2703172)</f>
        <v>2703172</v>
      </c>
      <c r="C2110" s="3">
        <f>HYPERLINK("https://platform.v2.vetology.net/report/v/final/"&amp;2703172, 2703172)</f>
        <v>2703172</v>
      </c>
      <c r="D2110" s="3" t="s">
        <v>7309</v>
      </c>
      <c r="E2110" s="3" t="s">
        <v>955</v>
      </c>
      <c r="F2110" s="3" t="s">
        <v>956</v>
      </c>
      <c r="G2110" s="3" t="s">
        <v>100</v>
      </c>
      <c r="H2110" s="3" t="s">
        <v>7310</v>
      </c>
      <c r="I2110" s="3" t="s">
        <v>7311</v>
      </c>
      <c r="J2110" s="3" t="s">
        <v>7312</v>
      </c>
      <c r="K2110" s="3" t="s">
        <v>27</v>
      </c>
      <c r="L2110" s="3" t="s">
        <v>28</v>
      </c>
      <c r="M2110" s="3" t="s">
        <v>28</v>
      </c>
      <c r="N2110" s="3" t="s">
        <v>28</v>
      </c>
      <c r="O2110" s="3" t="s">
        <v>27</v>
      </c>
      <c r="P2110" s="3" t="s">
        <v>27</v>
      </c>
      <c r="Q2110" s="3" t="s">
        <v>28</v>
      </c>
      <c r="R2110" s="3" t="s">
        <v>28</v>
      </c>
      <c r="S2110" s="3" t="s">
        <v>27</v>
      </c>
      <c r="T2110" s="3" t="s">
        <v>28</v>
      </c>
    </row>
    <row r="2111" spans="1:20" ht="409.6">
      <c r="A2111" s="3">
        <v>2703059</v>
      </c>
      <c r="B2111" s="3">
        <f>HYPERLINK("https://platform.v2.vetology.net/cases/2703059/screening-report/6?type=pdf&amp;v=v6&amp;scorecard=1&amp;secret_key=BX%25IJ%24%2F65ieZ%29f6", 2703059)</f>
        <v>2703059</v>
      </c>
      <c r="C2111" s="3">
        <f>HYPERLINK("https://platform.v2.vetology.net/report/v/final/"&amp;2703059, 2703059)</f>
        <v>2703059</v>
      </c>
      <c r="D2111" s="3" t="s">
        <v>7313</v>
      </c>
      <c r="E2111" s="3" t="s">
        <v>7314</v>
      </c>
      <c r="F2111" s="3" t="s">
        <v>7315</v>
      </c>
      <c r="G2111" s="3" t="s">
        <v>57</v>
      </c>
      <c r="H2111" s="3" t="s">
        <v>7316</v>
      </c>
      <c r="I2111" s="3" t="s">
        <v>7317</v>
      </c>
      <c r="J2111" s="3" t="s">
        <v>7318</v>
      </c>
      <c r="K2111" s="3" t="s">
        <v>28</v>
      </c>
      <c r="L2111" s="3" t="s">
        <v>28</v>
      </c>
      <c r="M2111" s="3" t="s">
        <v>28</v>
      </c>
      <c r="N2111" s="3" t="s">
        <v>27</v>
      </c>
      <c r="O2111" s="3" t="s">
        <v>27</v>
      </c>
      <c r="P2111" s="3" t="s">
        <v>28</v>
      </c>
      <c r="Q2111" s="3" t="s">
        <v>27</v>
      </c>
      <c r="R2111" s="3" t="s">
        <v>28</v>
      </c>
      <c r="S2111" s="3" t="s">
        <v>27</v>
      </c>
      <c r="T2111" s="3" t="s">
        <v>27</v>
      </c>
    </row>
    <row r="2112" spans="1:20" ht="409.6">
      <c r="A2112" s="3">
        <v>2702928</v>
      </c>
      <c r="B2112" s="3">
        <f>HYPERLINK("https://platform.v2.vetology.net/cases/2702928/screening-report/6?type=pdf&amp;v=v6&amp;scorecard=1&amp;secret_key=BX%25IJ%24%2F65ieZ%29f6", 2702928)</f>
        <v>2702928</v>
      </c>
      <c r="C2112" s="3">
        <f>HYPERLINK("https://platform.v2.vetology.net/report/v/final/"&amp;2702928, 2702928)</f>
        <v>2702928</v>
      </c>
      <c r="D2112" s="3" t="s">
        <v>7319</v>
      </c>
      <c r="E2112" s="3" t="s">
        <v>7320</v>
      </c>
      <c r="F2112" s="3" t="s">
        <v>7321</v>
      </c>
      <c r="G2112" s="3" t="s">
        <v>64</v>
      </c>
      <c r="H2112" s="3" t="s">
        <v>4352</v>
      </c>
      <c r="I2112" s="3" t="s">
        <v>267</v>
      </c>
      <c r="J2112" s="3" t="s">
        <v>7322</v>
      </c>
      <c r="K2112" s="3" t="s">
        <v>28</v>
      </c>
      <c r="L2112" s="3" t="s">
        <v>28</v>
      </c>
      <c r="M2112" s="3" t="s">
        <v>27</v>
      </c>
      <c r="N2112" s="3" t="s">
        <v>28</v>
      </c>
      <c r="O2112" s="3" t="s">
        <v>27</v>
      </c>
      <c r="P2112" s="3" t="s">
        <v>27</v>
      </c>
      <c r="Q2112" s="3" t="s">
        <v>28</v>
      </c>
      <c r="R2112" s="3" t="s">
        <v>28</v>
      </c>
      <c r="S2112" s="3" t="s">
        <v>28</v>
      </c>
      <c r="T2112" s="3" t="s">
        <v>28</v>
      </c>
    </row>
    <row r="2113" spans="1:20" ht="198">
      <c r="A2113" s="3">
        <v>2702904</v>
      </c>
      <c r="B2113" s="3">
        <f>HYPERLINK("https://platform.v2.vetology.net/cases/2702904/screening-report/6?type=pdf&amp;v=v6&amp;scorecard=1&amp;secret_key=BX%25IJ%24%2F65ieZ%29f6", 2702904)</f>
        <v>2702904</v>
      </c>
      <c r="C2113" s="3">
        <f>HYPERLINK("https://platform.v2.vetology.net/report/v/final/"&amp;2702904, 2702904)</f>
        <v>2702904</v>
      </c>
      <c r="D2113" s="3" t="s">
        <v>7323</v>
      </c>
      <c r="E2113" s="3" t="s">
        <v>7324</v>
      </c>
      <c r="F2113" s="3"/>
      <c r="G2113" s="3" t="s">
        <v>122</v>
      </c>
      <c r="H2113" s="3" t="s">
        <v>5680</v>
      </c>
      <c r="I2113" s="3" t="s">
        <v>72</v>
      </c>
      <c r="J2113" s="3" t="s">
        <v>363</v>
      </c>
      <c r="K2113" s="3" t="s">
        <v>28</v>
      </c>
      <c r="L2113" s="3" t="s">
        <v>28</v>
      </c>
      <c r="M2113" s="3" t="s">
        <v>28</v>
      </c>
      <c r="N2113" s="3" t="s">
        <v>27</v>
      </c>
      <c r="O2113" s="3" t="s">
        <v>27</v>
      </c>
      <c r="P2113" s="3" t="s">
        <v>28</v>
      </c>
      <c r="Q2113" s="3" t="s">
        <v>28</v>
      </c>
      <c r="R2113" s="3" t="s">
        <v>28</v>
      </c>
      <c r="S2113" s="3" t="s">
        <v>28</v>
      </c>
      <c r="T2113" s="3" t="s">
        <v>27</v>
      </c>
    </row>
    <row r="2114" spans="1:20" ht="321">
      <c r="A2114" s="3">
        <v>2702850</v>
      </c>
      <c r="B2114" s="3">
        <f>HYPERLINK("https://platform.v2.vetology.net/cases/2702850/screening-report/6?type=pdf&amp;v=v6&amp;scorecard=1&amp;secret_key=BX%25IJ%24%2F65ieZ%29f6", 2702850)</f>
        <v>2702850</v>
      </c>
      <c r="C2114" s="3">
        <f>HYPERLINK("https://platform.v2.vetology.net/report/v/final/"&amp;2702850, 2702850)</f>
        <v>2702850</v>
      </c>
      <c r="D2114" s="3" t="s">
        <v>7325</v>
      </c>
      <c r="E2114" s="3" t="s">
        <v>7326</v>
      </c>
      <c r="F2114" s="3" t="s">
        <v>56</v>
      </c>
      <c r="G2114" s="3" t="s">
        <v>57</v>
      </c>
      <c r="H2114" s="3" t="s">
        <v>31</v>
      </c>
      <c r="I2114" s="3" t="s">
        <v>32</v>
      </c>
      <c r="J2114" s="3" t="s">
        <v>119</v>
      </c>
      <c r="K2114" s="3" t="s">
        <v>28</v>
      </c>
      <c r="L2114" s="3" t="s">
        <v>28</v>
      </c>
      <c r="M2114" s="3" t="s">
        <v>28</v>
      </c>
      <c r="N2114" s="3" t="s">
        <v>28</v>
      </c>
      <c r="O2114" s="3" t="s">
        <v>28</v>
      </c>
      <c r="P2114" s="3" t="s">
        <v>28</v>
      </c>
      <c r="Q2114" s="3" t="s">
        <v>28</v>
      </c>
      <c r="R2114" s="3" t="s">
        <v>28</v>
      </c>
      <c r="S2114" s="3" t="s">
        <v>28</v>
      </c>
      <c r="T2114" s="3" t="s">
        <v>28</v>
      </c>
    </row>
    <row r="2115" spans="1:20" ht="305.25">
      <c r="A2115" s="3">
        <v>2702823</v>
      </c>
      <c r="B2115" s="3">
        <f>HYPERLINK("https://platform.v2.vetology.net/cases/2702823/screening-report/6?type=pdf&amp;v=v6&amp;scorecard=1&amp;secret_key=BX%25IJ%24%2F65ieZ%29f6", 2702823)</f>
        <v>2702823</v>
      </c>
      <c r="C2115" s="3">
        <f>HYPERLINK("https://platform.v2.vetology.net/report/v/final/"&amp;2702823, 2702823)</f>
        <v>2702823</v>
      </c>
      <c r="D2115" s="3" t="s">
        <v>7327</v>
      </c>
      <c r="E2115" s="3" t="s">
        <v>7328</v>
      </c>
      <c r="F2115" s="3" t="s">
        <v>22</v>
      </c>
      <c r="G2115" s="3" t="s">
        <v>23</v>
      </c>
      <c r="H2115" s="3" t="s">
        <v>31</v>
      </c>
      <c r="I2115" s="3" t="s">
        <v>2746</v>
      </c>
      <c r="J2115" s="3" t="s">
        <v>33</v>
      </c>
      <c r="K2115" s="3" t="s">
        <v>27</v>
      </c>
      <c r="L2115" s="3" t="s">
        <v>28</v>
      </c>
      <c r="M2115" s="3" t="s">
        <v>28</v>
      </c>
      <c r="N2115" s="3" t="s">
        <v>27</v>
      </c>
      <c r="O2115" s="3" t="s">
        <v>28</v>
      </c>
      <c r="P2115" s="3" t="s">
        <v>27</v>
      </c>
      <c r="Q2115" s="3" t="s">
        <v>27</v>
      </c>
      <c r="R2115" s="3" t="s">
        <v>28</v>
      </c>
      <c r="S2115" s="3" t="s">
        <v>28</v>
      </c>
      <c r="T2115" s="3" t="s">
        <v>28</v>
      </c>
    </row>
    <row r="2116" spans="1:20" ht="409.6">
      <c r="A2116" s="3">
        <v>2702807</v>
      </c>
      <c r="B2116" s="3">
        <f>HYPERLINK("https://platform.v2.vetology.net/cases/2702807/screening-report/6?type=pdf&amp;v=v6&amp;scorecard=1&amp;secret_key=BX%25IJ%24%2F65ieZ%29f6", 2702807)</f>
        <v>2702807</v>
      </c>
      <c r="C2116" s="3">
        <f>HYPERLINK("https://platform.v2.vetology.net/report/v/final/"&amp;2702807, 2702807)</f>
        <v>2702807</v>
      </c>
      <c r="D2116" s="3" t="s">
        <v>7329</v>
      </c>
      <c r="E2116" s="3" t="s">
        <v>7330</v>
      </c>
      <c r="F2116" s="3" t="s">
        <v>7331</v>
      </c>
      <c r="G2116" s="3" t="s">
        <v>179</v>
      </c>
      <c r="H2116" s="3" t="s">
        <v>7332</v>
      </c>
      <c r="I2116" s="3" t="s">
        <v>678</v>
      </c>
      <c r="J2116" s="3" t="s">
        <v>679</v>
      </c>
      <c r="K2116" s="3" t="s">
        <v>27</v>
      </c>
      <c r="L2116" s="3" t="s">
        <v>27</v>
      </c>
      <c r="M2116" s="3" t="s">
        <v>28</v>
      </c>
      <c r="N2116" s="3" t="s">
        <v>27</v>
      </c>
      <c r="O2116" s="3" t="s">
        <v>28</v>
      </c>
      <c r="P2116" s="3" t="s">
        <v>28</v>
      </c>
      <c r="Q2116" s="3" t="s">
        <v>28</v>
      </c>
      <c r="R2116" s="3" t="s">
        <v>27</v>
      </c>
      <c r="S2116" s="3" t="s">
        <v>27</v>
      </c>
      <c r="T2116" s="3" t="s">
        <v>27</v>
      </c>
    </row>
    <row r="2117" spans="1:20" ht="366">
      <c r="A2117" s="3">
        <v>2702779</v>
      </c>
      <c r="B2117" s="3">
        <f>HYPERLINK("https://platform.v2.vetology.net/cases/2702779/screening-report/6?type=pdf&amp;v=v6&amp;scorecard=1&amp;secret_key=BX%25IJ%24%2F65ieZ%29f6", 2702779)</f>
        <v>2702779</v>
      </c>
      <c r="C2117" s="3">
        <f>HYPERLINK("https://platform.v2.vetology.net/report/v/final/"&amp;2702779, 2702779)</f>
        <v>2702779</v>
      </c>
      <c r="D2117" s="3" t="s">
        <v>7333</v>
      </c>
      <c r="E2117" s="3" t="s">
        <v>7334</v>
      </c>
      <c r="F2117" s="3" t="s">
        <v>7335</v>
      </c>
      <c r="G2117" s="3" t="s">
        <v>186</v>
      </c>
      <c r="H2117" s="3" t="s">
        <v>7336</v>
      </c>
      <c r="I2117" s="3" t="s">
        <v>961</v>
      </c>
      <c r="J2117" s="3" t="s">
        <v>962</v>
      </c>
      <c r="K2117" s="3" t="s">
        <v>28</v>
      </c>
      <c r="L2117" s="3" t="s">
        <v>28</v>
      </c>
      <c r="M2117" s="3" t="s">
        <v>27</v>
      </c>
      <c r="N2117" s="3" t="s">
        <v>28</v>
      </c>
      <c r="O2117" s="3" t="s">
        <v>27</v>
      </c>
      <c r="P2117" s="3" t="s">
        <v>27</v>
      </c>
      <c r="Q2117" s="3" t="s">
        <v>27</v>
      </c>
      <c r="R2117" s="3" t="s">
        <v>28</v>
      </c>
      <c r="S2117" s="3" t="s">
        <v>28</v>
      </c>
      <c r="T2117" s="3" t="s">
        <v>28</v>
      </c>
    </row>
    <row r="2118" spans="1:20" ht="351">
      <c r="A2118" s="3">
        <v>2702746</v>
      </c>
      <c r="B2118" s="3">
        <f>HYPERLINK("https://platform.v2.vetology.net/cases/2702746/screening-report/6?type=pdf&amp;v=v6&amp;scorecard=1&amp;secret_key=BX%25IJ%24%2F65ieZ%29f6", 2702746)</f>
        <v>2702746</v>
      </c>
      <c r="C2118" s="3">
        <f>HYPERLINK("https://platform.v2.vetology.net/report/v/final/"&amp;2702746, 2702746)</f>
        <v>2702746</v>
      </c>
      <c r="D2118" s="3" t="s">
        <v>7337</v>
      </c>
      <c r="E2118" s="3" t="s">
        <v>7338</v>
      </c>
      <c r="F2118" s="3" t="s">
        <v>7339</v>
      </c>
      <c r="G2118" s="3" t="s">
        <v>186</v>
      </c>
      <c r="H2118" s="3" t="s">
        <v>7340</v>
      </c>
      <c r="I2118" s="3" t="s">
        <v>672</v>
      </c>
      <c r="J2118" s="3" t="s">
        <v>673</v>
      </c>
      <c r="K2118" s="3" t="s">
        <v>28</v>
      </c>
      <c r="L2118" s="3" t="s">
        <v>27</v>
      </c>
      <c r="M2118" s="3" t="s">
        <v>28</v>
      </c>
      <c r="N2118" s="3" t="s">
        <v>27</v>
      </c>
      <c r="O2118" s="3" t="s">
        <v>27</v>
      </c>
      <c r="P2118" s="3" t="s">
        <v>28</v>
      </c>
      <c r="Q2118" s="3" t="s">
        <v>27</v>
      </c>
      <c r="R2118" s="3" t="s">
        <v>28</v>
      </c>
      <c r="S2118" s="3" t="s">
        <v>28</v>
      </c>
      <c r="T2118" s="3" t="s">
        <v>28</v>
      </c>
    </row>
    <row r="2119" spans="1:20" ht="305.25">
      <c r="A2119" s="3">
        <v>2702743</v>
      </c>
      <c r="B2119" s="3">
        <f>HYPERLINK("https://platform.v2.vetology.net/cases/2702743/screening-report/6?type=pdf&amp;v=v6&amp;scorecard=1&amp;secret_key=BX%25IJ%24%2F65ieZ%29f6", 2702743)</f>
        <v>2702743</v>
      </c>
      <c r="C2119" s="3">
        <f>HYPERLINK("https://platform.v2.vetology.net/report/v/final/"&amp;2702743, 2702743)</f>
        <v>2702743</v>
      </c>
      <c r="D2119" s="3" t="s">
        <v>7341</v>
      </c>
      <c r="E2119" s="3" t="s">
        <v>7342</v>
      </c>
      <c r="F2119" s="3" t="s">
        <v>22</v>
      </c>
      <c r="G2119" s="3" t="s">
        <v>23</v>
      </c>
      <c r="H2119" s="3" t="s">
        <v>6195</v>
      </c>
      <c r="I2119" s="3" t="s">
        <v>784</v>
      </c>
      <c r="J2119" s="3" t="s">
        <v>785</v>
      </c>
      <c r="K2119" s="3" t="s">
        <v>27</v>
      </c>
      <c r="L2119" s="3" t="s">
        <v>27</v>
      </c>
      <c r="M2119" s="3" t="s">
        <v>27</v>
      </c>
      <c r="N2119" s="3" t="s">
        <v>28</v>
      </c>
      <c r="O2119" s="3" t="s">
        <v>27</v>
      </c>
      <c r="P2119" s="3" t="s">
        <v>28</v>
      </c>
      <c r="Q2119" s="3" t="s">
        <v>27</v>
      </c>
      <c r="R2119" s="3" t="s">
        <v>28</v>
      </c>
      <c r="S2119" s="3" t="s">
        <v>28</v>
      </c>
      <c r="T2119" s="3" t="s">
        <v>27</v>
      </c>
    </row>
    <row r="2120" spans="1:20" ht="409.6">
      <c r="A2120" s="3">
        <v>2702720</v>
      </c>
      <c r="B2120" s="3">
        <f>HYPERLINK("https://platform.v2.vetology.net/cases/2702720/screening-report/6?type=pdf&amp;v=v6&amp;scorecard=1&amp;secret_key=BX%25IJ%24%2F65ieZ%29f6", 2702720)</f>
        <v>2702720</v>
      </c>
      <c r="C2120" s="3">
        <f>HYPERLINK("https://platform.v2.vetology.net/report/v/final/"&amp;2702720, 2702720)</f>
        <v>2702720</v>
      </c>
      <c r="D2120" s="3" t="s">
        <v>7343</v>
      </c>
      <c r="E2120" s="3" t="s">
        <v>7344</v>
      </c>
      <c r="F2120" s="3" t="s">
        <v>7345</v>
      </c>
      <c r="G2120" s="3" t="s">
        <v>23</v>
      </c>
      <c r="H2120" s="3" t="s">
        <v>6353</v>
      </c>
      <c r="I2120" s="3" t="s">
        <v>678</v>
      </c>
      <c r="J2120" s="3" t="s">
        <v>679</v>
      </c>
      <c r="K2120" s="3" t="s">
        <v>28</v>
      </c>
      <c r="L2120" s="3" t="s">
        <v>27</v>
      </c>
      <c r="M2120" s="3" t="s">
        <v>28</v>
      </c>
      <c r="N2120" s="3" t="s">
        <v>27</v>
      </c>
      <c r="O2120" s="3" t="s">
        <v>27</v>
      </c>
      <c r="P2120" s="3" t="s">
        <v>28</v>
      </c>
      <c r="Q2120" s="3" t="s">
        <v>28</v>
      </c>
      <c r="R2120" s="3" t="s">
        <v>27</v>
      </c>
      <c r="S2120" s="3" t="s">
        <v>27</v>
      </c>
      <c r="T2120" s="3" t="s">
        <v>27</v>
      </c>
    </row>
    <row r="2121" spans="1:20" ht="321">
      <c r="A2121" s="3">
        <v>2702712</v>
      </c>
      <c r="B2121" s="3">
        <f>HYPERLINK("https://platform.v2.vetology.net/cases/2702712/screening-report/6?type=pdf&amp;v=v6&amp;scorecard=1&amp;secret_key=BX%25IJ%24%2F65ieZ%29f6", 2702712)</f>
        <v>2702712</v>
      </c>
      <c r="C2121" s="3">
        <f>HYPERLINK("https://platform.v2.vetology.net/report/v/final/"&amp;2702712, 2702712)</f>
        <v>2702712</v>
      </c>
      <c r="D2121" s="3" t="s">
        <v>7346</v>
      </c>
      <c r="E2121" s="3" t="s">
        <v>7347</v>
      </c>
      <c r="F2121" s="3" t="s">
        <v>7348</v>
      </c>
      <c r="G2121" s="3" t="s">
        <v>179</v>
      </c>
      <c r="H2121" s="3" t="s">
        <v>141</v>
      </c>
      <c r="I2121" s="3" t="s">
        <v>142</v>
      </c>
      <c r="J2121" s="3" t="s">
        <v>143</v>
      </c>
      <c r="K2121" s="3" t="s">
        <v>28</v>
      </c>
      <c r="L2121" s="3" t="s">
        <v>28</v>
      </c>
      <c r="M2121" s="3" t="s">
        <v>27</v>
      </c>
      <c r="N2121" s="3" t="s">
        <v>28</v>
      </c>
      <c r="O2121" s="3" t="s">
        <v>27</v>
      </c>
      <c r="P2121" s="3" t="s">
        <v>28</v>
      </c>
      <c r="Q2121" s="3" t="s">
        <v>28</v>
      </c>
      <c r="R2121" s="3" t="s">
        <v>28</v>
      </c>
      <c r="S2121" s="3" t="s">
        <v>28</v>
      </c>
      <c r="T2121" s="3" t="s">
        <v>27</v>
      </c>
    </row>
    <row r="2122" spans="1:20" ht="409.6">
      <c r="A2122" s="3">
        <v>2702693</v>
      </c>
      <c r="B2122" s="3">
        <f>HYPERLINK("https://platform.v2.vetology.net/cases/2702693/screening-report/6?type=pdf&amp;v=v6&amp;scorecard=1&amp;secret_key=BX%25IJ%24%2F65ieZ%29f6", 2702693)</f>
        <v>2702693</v>
      </c>
      <c r="C2122" s="3">
        <f>HYPERLINK("https://platform.v2.vetology.net/report/v/final/"&amp;2702693, 2702693)</f>
        <v>2702693</v>
      </c>
      <c r="D2122" s="3" t="s">
        <v>7349</v>
      </c>
      <c r="E2122" s="3" t="s">
        <v>7350</v>
      </c>
      <c r="F2122" s="3" t="s">
        <v>7351</v>
      </c>
      <c r="G2122" s="3" t="s">
        <v>186</v>
      </c>
      <c r="H2122" s="3" t="s">
        <v>2892</v>
      </c>
      <c r="I2122" s="3" t="s">
        <v>2108</v>
      </c>
      <c r="J2122" s="3" t="s">
        <v>679</v>
      </c>
      <c r="K2122" s="3" t="s">
        <v>27</v>
      </c>
      <c r="L2122" s="3" t="s">
        <v>27</v>
      </c>
      <c r="M2122" s="3" t="s">
        <v>27</v>
      </c>
      <c r="N2122" s="3" t="s">
        <v>27</v>
      </c>
      <c r="O2122" s="3" t="s">
        <v>27</v>
      </c>
      <c r="P2122" s="3" t="s">
        <v>27</v>
      </c>
      <c r="Q2122" s="3" t="s">
        <v>27</v>
      </c>
      <c r="R2122" s="3" t="s">
        <v>27</v>
      </c>
      <c r="S2122" s="3" t="s">
        <v>27</v>
      </c>
      <c r="T2122" s="3" t="s">
        <v>27</v>
      </c>
    </row>
    <row r="2123" spans="1:20" ht="409.6">
      <c r="A2123" s="3">
        <v>2702670</v>
      </c>
      <c r="B2123" s="3">
        <f>HYPERLINK("https://platform.v2.vetology.net/cases/2702670/screening-report/6?type=pdf&amp;v=v6&amp;scorecard=1&amp;secret_key=BX%25IJ%24%2F65ieZ%29f6", 2702670)</f>
        <v>2702670</v>
      </c>
      <c r="C2123" s="3">
        <f>HYPERLINK("https://platform.v2.vetology.net/report/v/final/"&amp;2702670, 2702670)</f>
        <v>2702670</v>
      </c>
      <c r="D2123" s="3" t="s">
        <v>7352</v>
      </c>
      <c r="E2123" s="3" t="s">
        <v>7353</v>
      </c>
      <c r="F2123" s="3" t="s">
        <v>7354</v>
      </c>
      <c r="G2123" s="3" t="s">
        <v>64</v>
      </c>
      <c r="H2123" s="3" t="s">
        <v>7355</v>
      </c>
      <c r="I2123" s="3" t="s">
        <v>7356</v>
      </c>
      <c r="J2123" s="3" t="s">
        <v>7357</v>
      </c>
      <c r="K2123" s="3" t="s">
        <v>27</v>
      </c>
      <c r="L2123" s="3" t="s">
        <v>27</v>
      </c>
      <c r="M2123" s="3" t="s">
        <v>27</v>
      </c>
      <c r="N2123" s="3" t="s">
        <v>27</v>
      </c>
      <c r="O2123" s="3" t="s">
        <v>27</v>
      </c>
      <c r="P2123" s="3" t="s">
        <v>28</v>
      </c>
      <c r="Q2123" s="3" t="s">
        <v>27</v>
      </c>
      <c r="R2123" s="3" t="s">
        <v>27</v>
      </c>
      <c r="S2123" s="3" t="s">
        <v>27</v>
      </c>
      <c r="T2123" s="3" t="s">
        <v>27</v>
      </c>
    </row>
    <row r="2124" spans="1:20" ht="305.25">
      <c r="A2124" s="3">
        <v>2702607</v>
      </c>
      <c r="B2124" s="3">
        <f>HYPERLINK("https://platform.v2.vetology.net/cases/2702607/screening-report/6?type=pdf&amp;v=v6&amp;scorecard=1&amp;secret_key=BX%25IJ%24%2F65ieZ%29f6", 2702607)</f>
        <v>2702607</v>
      </c>
      <c r="C2124" s="3">
        <f>HYPERLINK("https://platform.v2.vetology.net/report/v/final/"&amp;2702607, 2702607)</f>
        <v>2702607</v>
      </c>
      <c r="D2124" s="3" t="s">
        <v>7358</v>
      </c>
      <c r="E2124" s="3" t="s">
        <v>7359</v>
      </c>
      <c r="F2124" s="3" t="s">
        <v>7360</v>
      </c>
      <c r="G2124" s="3" t="s">
        <v>23</v>
      </c>
      <c r="H2124" s="3" t="s">
        <v>1421</v>
      </c>
      <c r="I2124" s="3" t="s">
        <v>32</v>
      </c>
      <c r="J2124" s="3" t="s">
        <v>119</v>
      </c>
      <c r="K2124" s="3" t="s">
        <v>28</v>
      </c>
      <c r="L2124" s="3" t="s">
        <v>28</v>
      </c>
      <c r="M2124" s="3" t="s">
        <v>28</v>
      </c>
      <c r="N2124" s="3" t="s">
        <v>28</v>
      </c>
      <c r="O2124" s="3" t="s">
        <v>27</v>
      </c>
      <c r="P2124" s="3" t="s">
        <v>28</v>
      </c>
      <c r="Q2124" s="3" t="s">
        <v>28</v>
      </c>
      <c r="R2124" s="3" t="s">
        <v>28</v>
      </c>
      <c r="S2124" s="3" t="s">
        <v>28</v>
      </c>
      <c r="T2124" s="3" t="s">
        <v>28</v>
      </c>
    </row>
    <row r="2125" spans="1:20" ht="366">
      <c r="A2125" s="3">
        <v>2702605</v>
      </c>
      <c r="B2125" s="3">
        <f>HYPERLINK("https://platform.v2.vetology.net/cases/2702605/screening-report/6?type=pdf&amp;v=v6&amp;scorecard=1&amp;secret_key=BX%25IJ%24%2F65ieZ%29f6", 2702605)</f>
        <v>2702605</v>
      </c>
      <c r="C2125" s="3">
        <f>HYPERLINK("https://platform.v2.vetology.net/report/v/final/"&amp;2702605, 2702605)</f>
        <v>2702605</v>
      </c>
      <c r="D2125" s="3" t="s">
        <v>7361</v>
      </c>
      <c r="E2125" s="3" t="s">
        <v>7362</v>
      </c>
      <c r="F2125" s="3" t="s">
        <v>76</v>
      </c>
      <c r="G2125" s="3" t="s">
        <v>23</v>
      </c>
      <c r="H2125" s="3" t="s">
        <v>1271</v>
      </c>
      <c r="I2125" s="3" t="s">
        <v>883</v>
      </c>
      <c r="J2125" s="3" t="s">
        <v>884</v>
      </c>
      <c r="K2125" s="3" t="s">
        <v>28</v>
      </c>
      <c r="L2125" s="3" t="s">
        <v>28</v>
      </c>
      <c r="M2125" s="3" t="s">
        <v>28</v>
      </c>
      <c r="N2125" s="3" t="s">
        <v>28</v>
      </c>
      <c r="O2125" s="3" t="s">
        <v>28</v>
      </c>
      <c r="P2125" s="3" t="s">
        <v>28</v>
      </c>
      <c r="Q2125" s="3" t="s">
        <v>28</v>
      </c>
      <c r="R2125" s="3" t="s">
        <v>28</v>
      </c>
      <c r="S2125" s="3" t="s">
        <v>28</v>
      </c>
      <c r="T2125" s="3" t="s">
        <v>28</v>
      </c>
    </row>
    <row r="2126" spans="1:20" ht="381.75">
      <c r="A2126" s="3">
        <v>2702590</v>
      </c>
      <c r="B2126" s="3">
        <f>HYPERLINK("https://platform.v2.vetology.net/cases/2702590/screening-report/6?type=pdf&amp;v=v6&amp;scorecard=1&amp;secret_key=BX%25IJ%24%2F65ieZ%29f6", 2702590)</f>
        <v>2702590</v>
      </c>
      <c r="C2126" s="3">
        <f>HYPERLINK("https://platform.v2.vetology.net/report/v/final/"&amp;2702590, 2702590)</f>
        <v>2702590</v>
      </c>
      <c r="D2126" s="3" t="s">
        <v>7363</v>
      </c>
      <c r="E2126" s="3" t="s">
        <v>7364</v>
      </c>
      <c r="F2126" s="3" t="s">
        <v>7365</v>
      </c>
      <c r="G2126" s="3" t="s">
        <v>186</v>
      </c>
      <c r="H2126" s="3" t="s">
        <v>1714</v>
      </c>
      <c r="I2126" s="3" t="s">
        <v>561</v>
      </c>
      <c r="J2126" s="3" t="s">
        <v>562</v>
      </c>
      <c r="K2126" s="3" t="s">
        <v>28</v>
      </c>
      <c r="L2126" s="3" t="s">
        <v>28</v>
      </c>
      <c r="M2126" s="3" t="s">
        <v>28</v>
      </c>
      <c r="N2126" s="3" t="s">
        <v>28</v>
      </c>
      <c r="O2126" s="3" t="s">
        <v>27</v>
      </c>
      <c r="P2126" s="3" t="s">
        <v>27</v>
      </c>
      <c r="Q2126" s="3" t="s">
        <v>28</v>
      </c>
      <c r="R2126" s="3" t="s">
        <v>28</v>
      </c>
      <c r="S2126" s="3" t="s">
        <v>28</v>
      </c>
      <c r="T2126" s="3" t="s">
        <v>27</v>
      </c>
    </row>
    <row r="2127" spans="1:20" ht="409.6">
      <c r="A2127" s="3">
        <v>2702587</v>
      </c>
      <c r="B2127" s="3">
        <f>HYPERLINK("https://platform.v2.vetology.net/cases/2702587/screening-report/6?type=pdf&amp;v=v6&amp;scorecard=1&amp;secret_key=BX%25IJ%24%2F65ieZ%29f6", 2702587)</f>
        <v>2702587</v>
      </c>
      <c r="C2127" s="3">
        <f>HYPERLINK("https://platform.v2.vetology.net/report/v/final/"&amp;2702587, 2702587)</f>
        <v>2702587</v>
      </c>
      <c r="D2127" s="3" t="s">
        <v>7366</v>
      </c>
      <c r="E2127" s="3" t="s">
        <v>7367</v>
      </c>
      <c r="F2127" s="3" t="s">
        <v>7368</v>
      </c>
      <c r="G2127" s="3" t="s">
        <v>179</v>
      </c>
      <c r="H2127" s="3" t="s">
        <v>1482</v>
      </c>
      <c r="I2127" s="3" t="s">
        <v>1483</v>
      </c>
      <c r="J2127" s="3" t="s">
        <v>5778</v>
      </c>
      <c r="K2127" s="3" t="s">
        <v>27</v>
      </c>
      <c r="L2127" s="3" t="s">
        <v>28</v>
      </c>
      <c r="M2127" s="3" t="s">
        <v>28</v>
      </c>
      <c r="N2127" s="3" t="s">
        <v>28</v>
      </c>
      <c r="O2127" s="3" t="s">
        <v>27</v>
      </c>
      <c r="P2127" s="3" t="s">
        <v>27</v>
      </c>
      <c r="Q2127" s="3" t="s">
        <v>28</v>
      </c>
      <c r="R2127" s="3" t="s">
        <v>28</v>
      </c>
      <c r="S2127" s="3" t="s">
        <v>28</v>
      </c>
      <c r="T2127" s="3" t="s">
        <v>28</v>
      </c>
    </row>
    <row r="2128" spans="1:20" ht="275.25">
      <c r="A2128" s="3">
        <v>2702506</v>
      </c>
      <c r="B2128" s="3">
        <f>HYPERLINK("https://platform.v2.vetology.net/cases/2702506/screening-report/6?type=pdf&amp;v=v6&amp;scorecard=1&amp;secret_key=BX%25IJ%24%2F65ieZ%29f6", 2702506)</f>
        <v>2702506</v>
      </c>
      <c r="C2128" s="3">
        <f>HYPERLINK("https://platform.v2.vetology.net/report/v/final/"&amp;2702506, 2702506)</f>
        <v>2702506</v>
      </c>
      <c r="D2128" s="3" t="s">
        <v>7369</v>
      </c>
      <c r="E2128" s="3" t="s">
        <v>7370</v>
      </c>
      <c r="F2128" s="3" t="s">
        <v>22</v>
      </c>
      <c r="G2128" s="3" t="s">
        <v>23</v>
      </c>
      <c r="H2128" s="3" t="s">
        <v>7371</v>
      </c>
      <c r="I2128" s="3" t="s">
        <v>305</v>
      </c>
      <c r="J2128" s="3" t="s">
        <v>119</v>
      </c>
      <c r="K2128" s="3" t="s">
        <v>28</v>
      </c>
      <c r="L2128" s="3" t="s">
        <v>28</v>
      </c>
      <c r="M2128" s="3" t="s">
        <v>28</v>
      </c>
      <c r="N2128" s="3" t="s">
        <v>28</v>
      </c>
      <c r="O2128" s="3" t="s">
        <v>28</v>
      </c>
      <c r="P2128" s="3" t="s">
        <v>28</v>
      </c>
      <c r="Q2128" s="3" t="s">
        <v>28</v>
      </c>
      <c r="R2128" s="3" t="s">
        <v>28</v>
      </c>
      <c r="S2128" s="3" t="s">
        <v>28</v>
      </c>
      <c r="T2128" s="3" t="s">
        <v>28</v>
      </c>
    </row>
    <row r="2129" spans="1:20" ht="409.6">
      <c r="A2129" s="3">
        <v>2702484</v>
      </c>
      <c r="B2129" s="3">
        <f>HYPERLINK("https://platform.v2.vetology.net/cases/2702484/screening-report/6?type=pdf&amp;v=v6&amp;scorecard=1&amp;secret_key=BX%25IJ%24%2F65ieZ%29f6", 2702484)</f>
        <v>2702484</v>
      </c>
      <c r="C2129" s="3">
        <f>HYPERLINK("https://platform.v2.vetology.net/report/v/final/"&amp;2702484, 2702484)</f>
        <v>2702484</v>
      </c>
      <c r="D2129" s="3" t="s">
        <v>7372</v>
      </c>
      <c r="E2129" s="3" t="s">
        <v>21</v>
      </c>
      <c r="F2129" s="3" t="s">
        <v>22</v>
      </c>
      <c r="G2129" s="3" t="s">
        <v>23</v>
      </c>
      <c r="H2129" s="3" t="s">
        <v>3403</v>
      </c>
      <c r="I2129" s="3" t="s">
        <v>3160</v>
      </c>
      <c r="J2129" s="3" t="s">
        <v>335</v>
      </c>
      <c r="K2129" s="3" t="s">
        <v>27</v>
      </c>
      <c r="L2129" s="3" t="s">
        <v>28</v>
      </c>
      <c r="M2129" s="3" t="s">
        <v>28</v>
      </c>
      <c r="N2129" s="3" t="s">
        <v>28</v>
      </c>
      <c r="O2129" s="3" t="s">
        <v>28</v>
      </c>
      <c r="P2129" s="3" t="s">
        <v>28</v>
      </c>
      <c r="Q2129" s="3" t="s">
        <v>28</v>
      </c>
      <c r="R2129" s="3" t="s">
        <v>28</v>
      </c>
      <c r="S2129" s="3" t="s">
        <v>28</v>
      </c>
      <c r="T2129" s="3" t="s">
        <v>28</v>
      </c>
    </row>
    <row r="2130" spans="1:20" ht="409.6">
      <c r="A2130" s="3">
        <v>2702476</v>
      </c>
      <c r="B2130" s="3">
        <f>HYPERLINK("https://platform.v2.vetology.net/cases/2702476/screening-report/6?type=pdf&amp;v=v6&amp;scorecard=1&amp;secret_key=BX%25IJ%24%2F65ieZ%29f6", 2702476)</f>
        <v>2702476</v>
      </c>
      <c r="C2130" s="3">
        <f>HYPERLINK("https://platform.v2.vetology.net/report/v/final/"&amp;2702476, 2702476)</f>
        <v>2702476</v>
      </c>
      <c r="D2130" s="3" t="s">
        <v>7373</v>
      </c>
      <c r="E2130" s="3" t="s">
        <v>7374</v>
      </c>
      <c r="F2130" s="3" t="s">
        <v>7375</v>
      </c>
      <c r="G2130" s="3" t="s">
        <v>64</v>
      </c>
      <c r="H2130" s="3" t="s">
        <v>7376</v>
      </c>
      <c r="I2130" s="3" t="s">
        <v>2771</v>
      </c>
      <c r="J2130" s="3" t="s">
        <v>2772</v>
      </c>
      <c r="K2130" s="3" t="s">
        <v>28</v>
      </c>
      <c r="L2130" s="3" t="s">
        <v>27</v>
      </c>
      <c r="M2130" s="3" t="s">
        <v>28</v>
      </c>
      <c r="N2130" s="3" t="s">
        <v>27</v>
      </c>
      <c r="O2130" s="3" t="s">
        <v>28</v>
      </c>
      <c r="P2130" s="3" t="s">
        <v>28</v>
      </c>
      <c r="Q2130" s="3" t="s">
        <v>28</v>
      </c>
      <c r="R2130" s="3" t="s">
        <v>27</v>
      </c>
      <c r="S2130" s="3" t="s">
        <v>27</v>
      </c>
      <c r="T2130" s="3" t="s">
        <v>27</v>
      </c>
    </row>
    <row r="2131" spans="1:20" ht="409.6">
      <c r="A2131" s="3">
        <v>2702459</v>
      </c>
      <c r="B2131" s="3">
        <f>HYPERLINK("https://platform.v2.vetology.net/cases/2702459/screening-report/6?type=pdf&amp;v=v6&amp;scorecard=1&amp;secret_key=BX%25IJ%24%2F65ieZ%29f6", 2702459)</f>
        <v>2702459</v>
      </c>
      <c r="C2131" s="3">
        <f>HYPERLINK("https://platform.v2.vetology.net/report/v/final/"&amp;2702459, 2702459)</f>
        <v>2702459</v>
      </c>
      <c r="D2131" s="3" t="s">
        <v>7377</v>
      </c>
      <c r="E2131" s="3" t="s">
        <v>7378</v>
      </c>
      <c r="F2131" s="3" t="s">
        <v>4473</v>
      </c>
      <c r="G2131" s="3" t="s">
        <v>186</v>
      </c>
      <c r="H2131" s="3" t="s">
        <v>7379</v>
      </c>
      <c r="I2131" s="3" t="s">
        <v>678</v>
      </c>
      <c r="J2131" s="3" t="s">
        <v>1264</v>
      </c>
      <c r="K2131" s="3" t="s">
        <v>28</v>
      </c>
      <c r="L2131" s="3" t="s">
        <v>27</v>
      </c>
      <c r="M2131" s="3" t="s">
        <v>28</v>
      </c>
      <c r="N2131" s="3" t="s">
        <v>27</v>
      </c>
      <c r="O2131" s="3" t="s">
        <v>27</v>
      </c>
      <c r="P2131" s="3" t="s">
        <v>28</v>
      </c>
      <c r="Q2131" s="3" t="s">
        <v>28</v>
      </c>
      <c r="R2131" s="3" t="s">
        <v>27</v>
      </c>
      <c r="S2131" s="3" t="s">
        <v>27</v>
      </c>
      <c r="T2131" s="3" t="s">
        <v>27</v>
      </c>
    </row>
    <row r="2132" spans="1:20" ht="381.75">
      <c r="A2132" s="3">
        <v>2702452</v>
      </c>
      <c r="B2132" s="3">
        <f>HYPERLINK("https://platform.v2.vetology.net/cases/2702452/screening-report/6?type=pdf&amp;v=v6&amp;scorecard=1&amp;secret_key=BX%25IJ%24%2F65ieZ%29f6", 2702452)</f>
        <v>2702452</v>
      </c>
      <c r="C2132" s="3">
        <f>HYPERLINK("https://platform.v2.vetology.net/report/v/final/"&amp;2702452, 2702452)</f>
        <v>2702452</v>
      </c>
      <c r="D2132" s="3" t="s">
        <v>7380</v>
      </c>
      <c r="E2132" s="3" t="s">
        <v>7381</v>
      </c>
      <c r="F2132" s="3" t="s">
        <v>22</v>
      </c>
      <c r="G2132" s="3" t="s">
        <v>23</v>
      </c>
      <c r="H2132" s="3" t="s">
        <v>7382</v>
      </c>
      <c r="I2132" s="3" t="s">
        <v>305</v>
      </c>
      <c r="J2132" s="3" t="s">
        <v>799</v>
      </c>
      <c r="K2132" s="3" t="s">
        <v>27</v>
      </c>
      <c r="L2132" s="3" t="s">
        <v>28</v>
      </c>
      <c r="M2132" s="3" t="s">
        <v>28</v>
      </c>
      <c r="N2132" s="3" t="s">
        <v>28</v>
      </c>
      <c r="O2132" s="3" t="s">
        <v>27</v>
      </c>
      <c r="P2132" s="3" t="s">
        <v>28</v>
      </c>
      <c r="Q2132" s="3" t="s">
        <v>27</v>
      </c>
      <c r="R2132" s="3" t="s">
        <v>28</v>
      </c>
      <c r="S2132" s="3" t="s">
        <v>27</v>
      </c>
      <c r="T2132" s="3" t="s">
        <v>28</v>
      </c>
    </row>
    <row r="2133" spans="1:20" ht="409.6">
      <c r="A2133" s="3">
        <v>2702449</v>
      </c>
      <c r="B2133" s="3">
        <f>HYPERLINK("https://platform.v2.vetology.net/cases/2702449/screening-report/6?type=pdf&amp;v=v6&amp;scorecard=1&amp;secret_key=BX%25IJ%24%2F65ieZ%29f6", 2702449)</f>
        <v>2702449</v>
      </c>
      <c r="C2133" s="3">
        <f>HYPERLINK("https://platform.v2.vetology.net/report/v/final/"&amp;2702449, 2702449)</f>
        <v>2702449</v>
      </c>
      <c r="D2133" s="3" t="s">
        <v>7383</v>
      </c>
      <c r="E2133" s="3" t="s">
        <v>7384</v>
      </c>
      <c r="F2133" s="3" t="s">
        <v>22</v>
      </c>
      <c r="G2133" s="3" t="s">
        <v>23</v>
      </c>
      <c r="H2133" s="3" t="s">
        <v>4881</v>
      </c>
      <c r="I2133" s="3" t="s">
        <v>1529</v>
      </c>
      <c r="J2133" s="3" t="s">
        <v>1530</v>
      </c>
      <c r="K2133" s="3" t="s">
        <v>27</v>
      </c>
      <c r="L2133" s="3" t="s">
        <v>27</v>
      </c>
      <c r="M2133" s="3" t="s">
        <v>28</v>
      </c>
      <c r="N2133" s="3" t="s">
        <v>28</v>
      </c>
      <c r="O2133" s="3" t="s">
        <v>27</v>
      </c>
      <c r="P2133" s="3" t="s">
        <v>28</v>
      </c>
      <c r="Q2133" s="3" t="s">
        <v>28</v>
      </c>
      <c r="R2133" s="3" t="s">
        <v>28</v>
      </c>
      <c r="S2133" s="3" t="s">
        <v>28</v>
      </c>
      <c r="T2133" s="3" t="s">
        <v>27</v>
      </c>
    </row>
    <row r="2134" spans="1:20" ht="366">
      <c r="A2134" s="3">
        <v>2702439</v>
      </c>
      <c r="B2134" s="3">
        <f>HYPERLINK("https://platform.v2.vetology.net/cases/2702439/screening-report/6?type=pdf&amp;v=v6&amp;scorecard=1&amp;secret_key=BX%25IJ%24%2F65ieZ%29f6", 2702439)</f>
        <v>2702439</v>
      </c>
      <c r="C2134" s="3">
        <f>HYPERLINK("https://platform.v2.vetology.net/report/v/final/"&amp;2702439, 2702439)</f>
        <v>2702439</v>
      </c>
      <c r="D2134" s="3" t="s">
        <v>7385</v>
      </c>
      <c r="E2134" s="3" t="s">
        <v>7386</v>
      </c>
      <c r="F2134" s="3" t="s">
        <v>22</v>
      </c>
      <c r="G2134" s="3" t="s">
        <v>23</v>
      </c>
      <c r="H2134" s="3" t="s">
        <v>3772</v>
      </c>
      <c r="I2134" s="3" t="s">
        <v>883</v>
      </c>
      <c r="J2134" s="3" t="s">
        <v>884</v>
      </c>
      <c r="K2134" s="3" t="s">
        <v>28</v>
      </c>
      <c r="L2134" s="3" t="s">
        <v>28</v>
      </c>
      <c r="M2134" s="3" t="s">
        <v>28</v>
      </c>
      <c r="N2134" s="3" t="s">
        <v>28</v>
      </c>
      <c r="O2134" s="3" t="s">
        <v>28</v>
      </c>
      <c r="P2134" s="3" t="s">
        <v>28</v>
      </c>
      <c r="Q2134" s="3" t="s">
        <v>28</v>
      </c>
      <c r="R2134" s="3" t="s">
        <v>28</v>
      </c>
      <c r="S2134" s="3" t="s">
        <v>28</v>
      </c>
      <c r="T2134" s="3" t="s">
        <v>28</v>
      </c>
    </row>
    <row r="2135" spans="1:20" ht="409.6">
      <c r="A2135" s="3">
        <v>2702414</v>
      </c>
      <c r="B2135" s="3">
        <f>HYPERLINK("https://platform.v2.vetology.net/cases/2702414/screening-report/6?type=pdf&amp;v=v6&amp;scorecard=1&amp;secret_key=BX%25IJ%24%2F65ieZ%29f6", 2702414)</f>
        <v>2702414</v>
      </c>
      <c r="C2135" s="3">
        <f>HYPERLINK("https://platform.v2.vetology.net/report/v/final/"&amp;2702414, 2702414)</f>
        <v>2702414</v>
      </c>
      <c r="D2135" s="3" t="s">
        <v>7387</v>
      </c>
      <c r="E2135" s="3" t="s">
        <v>7388</v>
      </c>
      <c r="F2135" s="3" t="s">
        <v>7389</v>
      </c>
      <c r="G2135" s="3" t="s">
        <v>64</v>
      </c>
      <c r="H2135" s="3" t="s">
        <v>7390</v>
      </c>
      <c r="I2135" s="3" t="s">
        <v>871</v>
      </c>
      <c r="J2135" s="3" t="s">
        <v>872</v>
      </c>
      <c r="K2135" s="3" t="s">
        <v>28</v>
      </c>
      <c r="L2135" s="3" t="s">
        <v>27</v>
      </c>
      <c r="M2135" s="3" t="s">
        <v>28</v>
      </c>
      <c r="N2135" s="3" t="s">
        <v>27</v>
      </c>
      <c r="O2135" s="3" t="s">
        <v>27</v>
      </c>
      <c r="P2135" s="3" t="s">
        <v>28</v>
      </c>
      <c r="Q2135" s="3" t="s">
        <v>28</v>
      </c>
      <c r="R2135" s="3" t="s">
        <v>27</v>
      </c>
      <c r="S2135" s="3" t="s">
        <v>27</v>
      </c>
      <c r="T2135" s="3" t="s">
        <v>27</v>
      </c>
    </row>
    <row r="2136" spans="1:20" ht="409.6">
      <c r="A2136" s="3">
        <v>2702401</v>
      </c>
      <c r="B2136" s="3">
        <f>HYPERLINK("https://platform.v2.vetology.net/cases/2702401/screening-report/6?type=pdf&amp;v=v6&amp;scorecard=1&amp;secret_key=BX%25IJ%24%2F65ieZ%29f6", 2702401)</f>
        <v>2702401</v>
      </c>
      <c r="C2136" s="3">
        <f>HYPERLINK("https://platform.v2.vetology.net/report/v/final/"&amp;2702401, 2702401)</f>
        <v>2702401</v>
      </c>
      <c r="D2136" s="3" t="s">
        <v>7391</v>
      </c>
      <c r="E2136" s="3" t="s">
        <v>7392</v>
      </c>
      <c r="F2136" s="3" t="s">
        <v>7393</v>
      </c>
      <c r="G2136" s="3" t="s">
        <v>186</v>
      </c>
      <c r="H2136" s="3" t="s">
        <v>1443</v>
      </c>
      <c r="I2136" s="3" t="s">
        <v>1444</v>
      </c>
      <c r="J2136" s="3" t="s">
        <v>1445</v>
      </c>
      <c r="K2136" s="3" t="s">
        <v>27</v>
      </c>
      <c r="L2136" s="3" t="s">
        <v>28</v>
      </c>
      <c r="M2136" s="3" t="s">
        <v>28</v>
      </c>
      <c r="N2136" s="3" t="s">
        <v>28</v>
      </c>
      <c r="O2136" s="3" t="s">
        <v>27</v>
      </c>
      <c r="P2136" s="3" t="s">
        <v>28</v>
      </c>
      <c r="Q2136" s="3" t="s">
        <v>28</v>
      </c>
      <c r="R2136" s="3" t="s">
        <v>28</v>
      </c>
      <c r="S2136" s="3" t="s">
        <v>28</v>
      </c>
      <c r="T2136" s="3" t="s">
        <v>28</v>
      </c>
    </row>
    <row r="2137" spans="1:20" ht="275.25">
      <c r="A2137" s="3">
        <v>2702370</v>
      </c>
      <c r="B2137" s="3">
        <f>HYPERLINK("https://platform.v2.vetology.net/cases/2702370/screening-report/6?type=pdf&amp;v=v6&amp;scorecard=1&amp;secret_key=BX%25IJ%24%2F65ieZ%29f6", 2702370)</f>
        <v>2702370</v>
      </c>
      <c r="C2137" s="3">
        <f>HYPERLINK("https://platform.v2.vetology.net/report/v/final/"&amp;2702370, 2702370)</f>
        <v>2702370</v>
      </c>
      <c r="D2137" s="3" t="s">
        <v>7394</v>
      </c>
      <c r="E2137" s="3" t="s">
        <v>7395</v>
      </c>
      <c r="F2137" s="3" t="s">
        <v>7396</v>
      </c>
      <c r="G2137" s="3" t="s">
        <v>186</v>
      </c>
      <c r="H2137" s="3" t="s">
        <v>7397</v>
      </c>
      <c r="I2137" s="3" t="s">
        <v>1430</v>
      </c>
      <c r="J2137" s="3" t="s">
        <v>1431</v>
      </c>
      <c r="K2137" s="3" t="s">
        <v>27</v>
      </c>
      <c r="L2137" s="3" t="s">
        <v>28</v>
      </c>
      <c r="M2137" s="3" t="s">
        <v>27</v>
      </c>
      <c r="N2137" s="3" t="s">
        <v>28</v>
      </c>
      <c r="O2137" s="3" t="s">
        <v>27</v>
      </c>
      <c r="P2137" s="3" t="s">
        <v>28</v>
      </c>
      <c r="Q2137" s="3" t="s">
        <v>28</v>
      </c>
      <c r="R2137" s="3" t="s">
        <v>28</v>
      </c>
      <c r="S2137" s="3" t="s">
        <v>28</v>
      </c>
      <c r="T2137" s="3" t="s">
        <v>27</v>
      </c>
    </row>
    <row r="2138" spans="1:20" ht="290.25">
      <c r="A2138" s="3">
        <v>2702349</v>
      </c>
      <c r="B2138" s="3">
        <f>HYPERLINK("https://platform.v2.vetology.net/cases/2702349/screening-report/6?type=pdf&amp;v=v6&amp;scorecard=1&amp;secret_key=BX%25IJ%24%2F65ieZ%29f6", 2702349)</f>
        <v>2702349</v>
      </c>
      <c r="C2138" s="3">
        <f>HYPERLINK("https://platform.v2.vetology.net/report/v/final/"&amp;2702349, 2702349)</f>
        <v>2702349</v>
      </c>
      <c r="D2138" s="3" t="s">
        <v>7398</v>
      </c>
      <c r="E2138" s="3" t="s">
        <v>7399</v>
      </c>
      <c r="F2138" s="3" t="s">
        <v>7400</v>
      </c>
      <c r="G2138" s="3" t="s">
        <v>186</v>
      </c>
      <c r="H2138" s="3" t="s">
        <v>7401</v>
      </c>
      <c r="I2138" s="3" t="s">
        <v>305</v>
      </c>
      <c r="J2138" s="3" t="s">
        <v>2419</v>
      </c>
      <c r="K2138" s="3" t="s">
        <v>27</v>
      </c>
      <c r="L2138" s="3" t="s">
        <v>28</v>
      </c>
      <c r="M2138" s="3" t="s">
        <v>27</v>
      </c>
      <c r="N2138" s="3" t="s">
        <v>27</v>
      </c>
      <c r="O2138" s="3" t="s">
        <v>27</v>
      </c>
      <c r="P2138" s="3" t="s">
        <v>28</v>
      </c>
      <c r="Q2138" s="3" t="s">
        <v>27</v>
      </c>
      <c r="R2138" s="3" t="s">
        <v>28</v>
      </c>
      <c r="S2138" s="3" t="s">
        <v>28</v>
      </c>
      <c r="T2138" s="3" t="s">
        <v>27</v>
      </c>
    </row>
    <row r="2139" spans="1:20" ht="290.25">
      <c r="A2139" s="3">
        <v>2702286</v>
      </c>
      <c r="B2139" s="3">
        <f>HYPERLINK("https://platform.v2.vetology.net/cases/2702286/screening-report/6?type=pdf&amp;v=v6&amp;scorecard=1&amp;secret_key=BX%25IJ%24%2F65ieZ%29f6", 2702286)</f>
        <v>2702286</v>
      </c>
      <c r="C2139" s="3">
        <f>HYPERLINK("https://platform.v2.vetology.net/report/v/final/"&amp;2702286, 2702286)</f>
        <v>2702286</v>
      </c>
      <c r="D2139" s="3" t="s">
        <v>7402</v>
      </c>
      <c r="E2139" s="3" t="s">
        <v>7403</v>
      </c>
      <c r="F2139" s="3" t="s">
        <v>7404</v>
      </c>
      <c r="G2139" s="3" t="s">
        <v>186</v>
      </c>
      <c r="H2139" s="3" t="s">
        <v>7405</v>
      </c>
      <c r="I2139" s="3" t="s">
        <v>72</v>
      </c>
      <c r="J2139" s="3" t="s">
        <v>73</v>
      </c>
      <c r="K2139" s="3" t="s">
        <v>28</v>
      </c>
      <c r="L2139" s="3" t="s">
        <v>28</v>
      </c>
      <c r="M2139" s="3" t="s">
        <v>28</v>
      </c>
      <c r="N2139" s="3" t="s">
        <v>27</v>
      </c>
      <c r="O2139" s="3" t="s">
        <v>27</v>
      </c>
      <c r="P2139" s="3" t="s">
        <v>28</v>
      </c>
      <c r="Q2139" s="3" t="s">
        <v>28</v>
      </c>
      <c r="R2139" s="3" t="s">
        <v>28</v>
      </c>
      <c r="S2139" s="3" t="s">
        <v>28</v>
      </c>
      <c r="T2139" s="3" t="s">
        <v>27</v>
      </c>
    </row>
    <row r="2140" spans="1:20" ht="409.6">
      <c r="A2140" s="3">
        <v>2702228</v>
      </c>
      <c r="B2140" s="3">
        <f>HYPERLINK("https://platform.v2.vetology.net/cases/2702228/screening-report/6?type=pdf&amp;v=v6&amp;scorecard=1&amp;secret_key=BX%25IJ%24%2F65ieZ%29f6", 2702228)</f>
        <v>2702228</v>
      </c>
      <c r="C2140" s="3">
        <f>HYPERLINK("https://platform.v2.vetology.net/report/v/final/"&amp;2702228, 2702228)</f>
        <v>2702228</v>
      </c>
      <c r="D2140" s="3" t="s">
        <v>7406</v>
      </c>
      <c r="E2140" s="3" t="s">
        <v>7407</v>
      </c>
      <c r="F2140" s="3" t="s">
        <v>7408</v>
      </c>
      <c r="G2140" s="3" t="s">
        <v>64</v>
      </c>
      <c r="H2140" s="3" t="s">
        <v>7409</v>
      </c>
      <c r="I2140" s="3" t="s">
        <v>89</v>
      </c>
      <c r="J2140" s="3" t="s">
        <v>90</v>
      </c>
      <c r="K2140" s="3" t="s">
        <v>27</v>
      </c>
      <c r="L2140" s="3" t="s">
        <v>28</v>
      </c>
      <c r="M2140" s="3" t="s">
        <v>28</v>
      </c>
      <c r="N2140" s="3" t="s">
        <v>28</v>
      </c>
      <c r="O2140" s="3" t="s">
        <v>27</v>
      </c>
      <c r="P2140" s="3" t="s">
        <v>28</v>
      </c>
      <c r="Q2140" s="3" t="s">
        <v>28</v>
      </c>
      <c r="R2140" s="3" t="s">
        <v>28</v>
      </c>
      <c r="S2140" s="3" t="s">
        <v>28</v>
      </c>
      <c r="T2140" s="3" t="s">
        <v>28</v>
      </c>
    </row>
    <row r="2141" spans="1:20" ht="396.75">
      <c r="A2141" s="3">
        <v>2702193</v>
      </c>
      <c r="B2141" s="3">
        <f>HYPERLINK("https://platform.v2.vetology.net/cases/2702193/screening-report/6?type=pdf&amp;v=v6&amp;scorecard=1&amp;secret_key=BX%25IJ%24%2F65ieZ%29f6", 2702193)</f>
        <v>2702193</v>
      </c>
      <c r="C2141" s="3">
        <f>HYPERLINK("https://platform.v2.vetology.net/report/v/final/"&amp;2702193, 2702193)</f>
        <v>2702193</v>
      </c>
      <c r="D2141" s="3" t="s">
        <v>7410</v>
      </c>
      <c r="E2141" s="3" t="s">
        <v>7411</v>
      </c>
      <c r="F2141" s="3" t="s">
        <v>7412</v>
      </c>
      <c r="G2141" s="3" t="s">
        <v>186</v>
      </c>
      <c r="H2141" s="3" t="s">
        <v>4984</v>
      </c>
      <c r="I2141" s="3" t="s">
        <v>469</v>
      </c>
      <c r="J2141" s="3" t="s">
        <v>470</v>
      </c>
      <c r="K2141" s="3" t="s">
        <v>28</v>
      </c>
      <c r="L2141" s="3" t="s">
        <v>28</v>
      </c>
      <c r="M2141" s="3" t="s">
        <v>28</v>
      </c>
      <c r="N2141" s="3" t="s">
        <v>28</v>
      </c>
      <c r="O2141" s="3" t="s">
        <v>27</v>
      </c>
      <c r="P2141" s="3" t="s">
        <v>28</v>
      </c>
      <c r="Q2141" s="3" t="s">
        <v>28</v>
      </c>
      <c r="R2141" s="3" t="s">
        <v>28</v>
      </c>
      <c r="S2141" s="3" t="s">
        <v>28</v>
      </c>
      <c r="T2141" s="3" t="s">
        <v>28</v>
      </c>
    </row>
    <row r="2142" spans="1:20" ht="366">
      <c r="A2142" s="3">
        <v>2702191</v>
      </c>
      <c r="B2142" s="3">
        <f>HYPERLINK("https://platform.v2.vetology.net/cases/2702191/screening-report/6?type=pdf&amp;v=v6&amp;scorecard=1&amp;secret_key=BX%25IJ%24%2F65ieZ%29f6", 2702191)</f>
        <v>2702191</v>
      </c>
      <c r="C2142" s="3">
        <f>HYPERLINK("https://platform.v2.vetology.net/report/v/final/"&amp;2702191, 2702191)</f>
        <v>2702191</v>
      </c>
      <c r="D2142" s="3" t="s">
        <v>7413</v>
      </c>
      <c r="E2142" s="3" t="s">
        <v>7414</v>
      </c>
      <c r="F2142" s="3" t="s">
        <v>22</v>
      </c>
      <c r="G2142" s="3" t="s">
        <v>23</v>
      </c>
      <c r="H2142" s="3" t="s">
        <v>212</v>
      </c>
      <c r="I2142" s="3" t="s">
        <v>213</v>
      </c>
      <c r="J2142" s="3" t="s">
        <v>214</v>
      </c>
      <c r="K2142" s="3" t="s">
        <v>28</v>
      </c>
      <c r="L2142" s="3" t="s">
        <v>28</v>
      </c>
      <c r="M2142" s="3" t="s">
        <v>28</v>
      </c>
      <c r="N2142" s="3" t="s">
        <v>28</v>
      </c>
      <c r="O2142" s="3" t="s">
        <v>27</v>
      </c>
      <c r="P2142" s="3" t="s">
        <v>28</v>
      </c>
      <c r="Q2142" s="3" t="s">
        <v>28</v>
      </c>
      <c r="R2142" s="3" t="s">
        <v>28</v>
      </c>
      <c r="S2142" s="3" t="s">
        <v>28</v>
      </c>
      <c r="T2142" s="3" t="s">
        <v>28</v>
      </c>
    </row>
    <row r="2143" spans="1:20" ht="409.6">
      <c r="A2143" s="3">
        <v>2702179</v>
      </c>
      <c r="B2143" s="3">
        <f>HYPERLINK("https://platform.v2.vetology.net/cases/2702179/screening-report/6?type=pdf&amp;v=v6&amp;scorecard=1&amp;secret_key=BX%25IJ%24%2F65ieZ%29f6", 2702179)</f>
        <v>2702179</v>
      </c>
      <c r="C2143" s="3">
        <f>HYPERLINK("https://platform.v2.vetology.net/report/v/final/"&amp;2702179, 2702179)</f>
        <v>2702179</v>
      </c>
      <c r="D2143" s="3" t="s">
        <v>7415</v>
      </c>
      <c r="E2143" s="3" t="s">
        <v>7416</v>
      </c>
      <c r="F2143" s="3" t="s">
        <v>22</v>
      </c>
      <c r="G2143" s="3" t="s">
        <v>372</v>
      </c>
      <c r="H2143" s="3" t="s">
        <v>7417</v>
      </c>
      <c r="I2143" s="3" t="s">
        <v>2486</v>
      </c>
      <c r="J2143" s="3" t="s">
        <v>2487</v>
      </c>
      <c r="K2143" s="3" t="s">
        <v>27</v>
      </c>
      <c r="L2143" s="3" t="s">
        <v>28</v>
      </c>
      <c r="M2143" s="3" t="s">
        <v>28</v>
      </c>
      <c r="N2143" s="3" t="s">
        <v>28</v>
      </c>
      <c r="O2143" s="3" t="s">
        <v>27</v>
      </c>
      <c r="P2143" s="3" t="s">
        <v>28</v>
      </c>
      <c r="Q2143" s="3" t="s">
        <v>27</v>
      </c>
      <c r="R2143" s="3" t="s">
        <v>28</v>
      </c>
      <c r="S2143" s="3" t="s">
        <v>28</v>
      </c>
      <c r="T2143" s="3" t="s">
        <v>28</v>
      </c>
    </row>
    <row r="2144" spans="1:20" ht="396.75">
      <c r="A2144" s="3">
        <v>2702156</v>
      </c>
      <c r="B2144" s="3">
        <f>HYPERLINK("https://platform.v2.vetology.net/cases/2702156/screening-report/6?type=pdf&amp;v=v6&amp;scorecard=1&amp;secret_key=BX%25IJ%24%2F65ieZ%29f6", 2702156)</f>
        <v>2702156</v>
      </c>
      <c r="C2144" s="3">
        <f>HYPERLINK("https://platform.v2.vetology.net/report/v/final/"&amp;2702156, 2702156)</f>
        <v>2702156</v>
      </c>
      <c r="D2144" s="3" t="s">
        <v>7418</v>
      </c>
      <c r="E2144" s="3" t="s">
        <v>7419</v>
      </c>
      <c r="F2144" s="3" t="s">
        <v>277</v>
      </c>
      <c r="G2144" s="3" t="s">
        <v>186</v>
      </c>
      <c r="H2144" s="3" t="s">
        <v>1097</v>
      </c>
      <c r="I2144" s="3" t="s">
        <v>469</v>
      </c>
      <c r="J2144" s="3" t="s">
        <v>470</v>
      </c>
      <c r="K2144" s="3" t="s">
        <v>28</v>
      </c>
      <c r="L2144" s="3" t="s">
        <v>28</v>
      </c>
      <c r="M2144" s="3" t="s">
        <v>28</v>
      </c>
      <c r="N2144" s="3" t="s">
        <v>28</v>
      </c>
      <c r="O2144" s="3" t="s">
        <v>27</v>
      </c>
      <c r="P2144" s="3" t="s">
        <v>28</v>
      </c>
      <c r="Q2144" s="3" t="s">
        <v>28</v>
      </c>
      <c r="R2144" s="3" t="s">
        <v>28</v>
      </c>
      <c r="S2144" s="3" t="s">
        <v>28</v>
      </c>
      <c r="T2144" s="3" t="s">
        <v>28</v>
      </c>
    </row>
    <row r="2145" spans="1:20" ht="409.6">
      <c r="A2145" s="3">
        <v>2702131</v>
      </c>
      <c r="B2145" s="3">
        <f>HYPERLINK("https://platform.v2.vetology.net/cases/2702131/screening-report/6?type=pdf&amp;v=v6&amp;scorecard=1&amp;secret_key=BX%25IJ%24%2F65ieZ%29f6", 2702131)</f>
        <v>2702131</v>
      </c>
      <c r="C2145" s="3">
        <f>HYPERLINK("https://platform.v2.vetology.net/report/v/final/"&amp;2702131, 2702131)</f>
        <v>2702131</v>
      </c>
      <c r="D2145" s="3" t="s">
        <v>7420</v>
      </c>
      <c r="E2145" s="3" t="s">
        <v>7421</v>
      </c>
      <c r="F2145" s="3" t="s">
        <v>222</v>
      </c>
      <c r="G2145" s="3" t="s">
        <v>186</v>
      </c>
      <c r="H2145" s="3" t="s">
        <v>7422</v>
      </c>
      <c r="I2145" s="3" t="s">
        <v>2825</v>
      </c>
      <c r="J2145" s="3" t="s">
        <v>2826</v>
      </c>
      <c r="K2145" s="3" t="s">
        <v>28</v>
      </c>
      <c r="L2145" s="3" t="s">
        <v>28</v>
      </c>
      <c r="M2145" s="3" t="s">
        <v>27</v>
      </c>
      <c r="N2145" s="3" t="s">
        <v>28</v>
      </c>
      <c r="O2145" s="3" t="s">
        <v>27</v>
      </c>
      <c r="P2145" s="3" t="s">
        <v>28</v>
      </c>
      <c r="Q2145" s="3" t="s">
        <v>27</v>
      </c>
      <c r="R2145" s="3" t="s">
        <v>28</v>
      </c>
      <c r="S2145" s="3" t="s">
        <v>28</v>
      </c>
      <c r="T2145" s="3" t="s">
        <v>28</v>
      </c>
    </row>
    <row r="2146" spans="1:20" ht="366">
      <c r="A2146" s="3">
        <v>2702128</v>
      </c>
      <c r="B2146" s="3">
        <f>HYPERLINK("https://platform.v2.vetology.net/cases/2702128/screening-report/6?type=pdf&amp;v=v6&amp;scorecard=1&amp;secret_key=BX%25IJ%24%2F65ieZ%29f6", 2702128)</f>
        <v>2702128</v>
      </c>
      <c r="C2146" s="3">
        <f>HYPERLINK("https://platform.v2.vetology.net/report/v/final/"&amp;2702128, 2702128)</f>
        <v>2702128</v>
      </c>
      <c r="D2146" s="3" t="s">
        <v>7423</v>
      </c>
      <c r="E2146" s="3" t="s">
        <v>7424</v>
      </c>
      <c r="F2146" s="3" t="s">
        <v>7425</v>
      </c>
      <c r="G2146" s="3" t="s">
        <v>186</v>
      </c>
      <c r="H2146" s="3" t="s">
        <v>7426</v>
      </c>
      <c r="I2146" s="3" t="s">
        <v>2565</v>
      </c>
      <c r="J2146" s="3" t="s">
        <v>2566</v>
      </c>
      <c r="K2146" s="3" t="s">
        <v>27</v>
      </c>
      <c r="L2146" s="3" t="s">
        <v>27</v>
      </c>
      <c r="M2146" s="3" t="s">
        <v>27</v>
      </c>
      <c r="N2146" s="3" t="s">
        <v>27</v>
      </c>
      <c r="O2146" s="3" t="s">
        <v>27</v>
      </c>
      <c r="P2146" s="3" t="s">
        <v>28</v>
      </c>
      <c r="Q2146" s="3" t="s">
        <v>27</v>
      </c>
      <c r="R2146" s="3" t="s">
        <v>27</v>
      </c>
      <c r="S2146" s="3" t="s">
        <v>27</v>
      </c>
      <c r="T2146" s="3" t="s">
        <v>27</v>
      </c>
    </row>
    <row r="2147" spans="1:20" ht="336">
      <c r="A2147" s="3">
        <v>2702081</v>
      </c>
      <c r="B2147" s="3">
        <f>HYPERLINK("https://platform.v2.vetology.net/cases/2702081/screening-report/6?type=pdf&amp;v=v6&amp;scorecard=1&amp;secret_key=BX%25IJ%24%2F65ieZ%29f6", 2702081)</f>
        <v>2702081</v>
      </c>
      <c r="C2147" s="3">
        <f>HYPERLINK("https://platform.v2.vetology.net/report/v/final/"&amp;2702081, 2702081)</f>
        <v>2702081</v>
      </c>
      <c r="D2147" s="3" t="s">
        <v>7427</v>
      </c>
      <c r="E2147" s="3" t="s">
        <v>7428</v>
      </c>
      <c r="F2147" s="3" t="s">
        <v>22</v>
      </c>
      <c r="G2147" s="3" t="s">
        <v>372</v>
      </c>
      <c r="H2147" s="3" t="s">
        <v>7429</v>
      </c>
      <c r="I2147" s="3" t="s">
        <v>1964</v>
      </c>
      <c r="J2147" s="3" t="s">
        <v>1965</v>
      </c>
      <c r="K2147" s="3" t="s">
        <v>28</v>
      </c>
      <c r="L2147" s="3" t="s">
        <v>28</v>
      </c>
      <c r="M2147" s="3" t="s">
        <v>28</v>
      </c>
      <c r="N2147" s="3" t="s">
        <v>27</v>
      </c>
      <c r="O2147" s="3" t="s">
        <v>28</v>
      </c>
      <c r="P2147" s="3" t="s">
        <v>28</v>
      </c>
      <c r="Q2147" s="3" t="s">
        <v>28</v>
      </c>
      <c r="R2147" s="3" t="s">
        <v>28</v>
      </c>
      <c r="S2147" s="3" t="s">
        <v>28</v>
      </c>
      <c r="T2147" s="3" t="s">
        <v>27</v>
      </c>
    </row>
    <row r="2148" spans="1:20" ht="366">
      <c r="A2148" s="3">
        <v>2702018</v>
      </c>
      <c r="B2148" s="3">
        <f>HYPERLINK("https://platform.v2.vetology.net/cases/2702018/screening-report/6?type=pdf&amp;v=v6&amp;scorecard=1&amp;secret_key=BX%25IJ%24%2F65ieZ%29f6", 2702018)</f>
        <v>2702018</v>
      </c>
      <c r="C2148" s="3">
        <f>HYPERLINK("https://platform.v2.vetology.net/report/v/final/"&amp;2702018, 2702018)</f>
        <v>2702018</v>
      </c>
      <c r="D2148" s="3" t="s">
        <v>7430</v>
      </c>
      <c r="E2148" s="3" t="s">
        <v>7431</v>
      </c>
      <c r="F2148" s="3" t="s">
        <v>6677</v>
      </c>
      <c r="G2148" s="3" t="s">
        <v>100</v>
      </c>
      <c r="H2148" s="3" t="s">
        <v>7432</v>
      </c>
      <c r="I2148" s="3" t="s">
        <v>2963</v>
      </c>
      <c r="J2148" s="3" t="s">
        <v>2964</v>
      </c>
      <c r="K2148" s="3" t="s">
        <v>27</v>
      </c>
      <c r="L2148" s="3" t="s">
        <v>28</v>
      </c>
      <c r="M2148" s="3" t="s">
        <v>27</v>
      </c>
      <c r="N2148" s="3" t="s">
        <v>28</v>
      </c>
      <c r="O2148" s="3" t="s">
        <v>27</v>
      </c>
      <c r="P2148" s="3" t="s">
        <v>28</v>
      </c>
      <c r="Q2148" s="3" t="s">
        <v>28</v>
      </c>
      <c r="R2148" s="3" t="s">
        <v>28</v>
      </c>
      <c r="S2148" s="3" t="s">
        <v>28</v>
      </c>
      <c r="T2148" s="3" t="s">
        <v>28</v>
      </c>
    </row>
    <row r="2149" spans="1:20" ht="229.5">
      <c r="A2149" s="3">
        <v>2701974</v>
      </c>
      <c r="B2149" s="3">
        <f>HYPERLINK("https://platform.v2.vetology.net/cases/2701974/screening-report/6?type=pdf&amp;v=v6&amp;scorecard=1&amp;secret_key=BX%25IJ%24%2F65ieZ%29f6", 2701974)</f>
        <v>2701974</v>
      </c>
      <c r="C2149" s="3">
        <f>HYPERLINK("https://platform.v2.vetology.net/report/v/final/"&amp;2701974, 2701974)</f>
        <v>2701974</v>
      </c>
      <c r="D2149" s="3" t="s">
        <v>7433</v>
      </c>
      <c r="E2149" s="3" t="s">
        <v>7434</v>
      </c>
      <c r="F2149" s="3" t="s">
        <v>1061</v>
      </c>
      <c r="G2149" s="3" t="s">
        <v>100</v>
      </c>
      <c r="H2149" s="3" t="s">
        <v>118</v>
      </c>
      <c r="I2149" s="3" t="s">
        <v>32</v>
      </c>
      <c r="J2149" s="3" t="s">
        <v>119</v>
      </c>
      <c r="K2149" s="3" t="s">
        <v>28</v>
      </c>
      <c r="L2149" s="3" t="s">
        <v>28</v>
      </c>
      <c r="M2149" s="3" t="s">
        <v>28</v>
      </c>
      <c r="N2149" s="3" t="s">
        <v>28</v>
      </c>
      <c r="O2149" s="3" t="s">
        <v>28</v>
      </c>
      <c r="P2149" s="3" t="s">
        <v>28</v>
      </c>
      <c r="Q2149" s="3" t="s">
        <v>28</v>
      </c>
      <c r="R2149" s="3" t="s">
        <v>28</v>
      </c>
      <c r="S2149" s="3" t="s">
        <v>28</v>
      </c>
      <c r="T2149" s="3" t="s">
        <v>28</v>
      </c>
    </row>
    <row r="2150" spans="1:20" ht="409.6">
      <c r="A2150" s="3">
        <v>2701941</v>
      </c>
      <c r="B2150" s="3">
        <f>HYPERLINK("https://platform.v2.vetology.net/cases/2701941/screening-report/6?type=pdf&amp;v=v6&amp;scorecard=1&amp;secret_key=BX%25IJ%24%2F65ieZ%29f6", 2701941)</f>
        <v>2701941</v>
      </c>
      <c r="C2150" s="3">
        <f>HYPERLINK("https://platform.v2.vetology.net/report/v/final/"&amp;2701941, 2701941)</f>
        <v>2701941</v>
      </c>
      <c r="D2150" s="3" t="s">
        <v>7435</v>
      </c>
      <c r="E2150" s="3" t="s">
        <v>7436</v>
      </c>
      <c r="F2150" s="3" t="s">
        <v>7437</v>
      </c>
      <c r="G2150" s="3" t="s">
        <v>64</v>
      </c>
      <c r="H2150" s="3" t="s">
        <v>7438</v>
      </c>
      <c r="I2150" s="3" t="s">
        <v>1339</v>
      </c>
      <c r="J2150" s="3" t="s">
        <v>1340</v>
      </c>
      <c r="K2150" s="3" t="s">
        <v>28</v>
      </c>
      <c r="L2150" s="3" t="s">
        <v>28</v>
      </c>
      <c r="M2150" s="3" t="s">
        <v>27</v>
      </c>
      <c r="N2150" s="3" t="s">
        <v>28</v>
      </c>
      <c r="O2150" s="3" t="s">
        <v>27</v>
      </c>
      <c r="P2150" s="3" t="s">
        <v>28</v>
      </c>
      <c r="Q2150" s="3" t="s">
        <v>27</v>
      </c>
      <c r="R2150" s="3" t="s">
        <v>28</v>
      </c>
      <c r="S2150" s="3" t="s">
        <v>28</v>
      </c>
      <c r="T2150" s="3" t="s">
        <v>28</v>
      </c>
    </row>
    <row r="2151" spans="1:20" ht="409.6">
      <c r="A2151" s="3">
        <v>2701918</v>
      </c>
      <c r="B2151" s="3">
        <f>HYPERLINK("https://platform.v2.vetology.net/cases/2701918/screening-report/6?type=pdf&amp;v=v6&amp;scorecard=1&amp;secret_key=BX%25IJ%24%2F65ieZ%29f6", 2701918)</f>
        <v>2701918</v>
      </c>
      <c r="C2151" s="3">
        <f>HYPERLINK("https://platform.v2.vetology.net/report/v/final/"&amp;2701918, 2701918)</f>
        <v>2701918</v>
      </c>
      <c r="D2151" s="3" t="s">
        <v>7439</v>
      </c>
      <c r="E2151" s="3" t="s">
        <v>7440</v>
      </c>
      <c r="F2151" s="3" t="s">
        <v>7441</v>
      </c>
      <c r="G2151" s="3" t="s">
        <v>64</v>
      </c>
      <c r="H2151" s="3" t="s">
        <v>7442</v>
      </c>
      <c r="I2151" s="3" t="s">
        <v>7443</v>
      </c>
      <c r="J2151" s="3" t="s">
        <v>7444</v>
      </c>
      <c r="K2151" s="3" t="s">
        <v>27</v>
      </c>
      <c r="L2151" s="3" t="s">
        <v>27</v>
      </c>
      <c r="M2151" s="3" t="s">
        <v>28</v>
      </c>
      <c r="N2151" s="3" t="s">
        <v>27</v>
      </c>
      <c r="O2151" s="3" t="s">
        <v>27</v>
      </c>
      <c r="P2151" s="3" t="s">
        <v>28</v>
      </c>
      <c r="Q2151" s="3" t="s">
        <v>27</v>
      </c>
      <c r="R2151" s="3" t="s">
        <v>27</v>
      </c>
      <c r="S2151" s="3" t="s">
        <v>27</v>
      </c>
      <c r="T2151" s="3" t="s">
        <v>27</v>
      </c>
    </row>
    <row r="2152" spans="1:20" ht="305.25">
      <c r="A2152" s="3">
        <v>2701903</v>
      </c>
      <c r="B2152" s="3">
        <f>HYPERLINK("https://platform.v2.vetology.net/cases/2701903/screening-report/6?type=pdf&amp;v=v6&amp;scorecard=1&amp;secret_key=BX%25IJ%24%2F65ieZ%29f6", 2701903)</f>
        <v>2701903</v>
      </c>
      <c r="C2152" s="3">
        <f>HYPERLINK("https://platform.v2.vetology.net/report/v/final/"&amp;2701903, 2701903)</f>
        <v>2701903</v>
      </c>
      <c r="D2152" s="3" t="s">
        <v>7445</v>
      </c>
      <c r="E2152" s="3" t="s">
        <v>7446</v>
      </c>
      <c r="F2152" s="3" t="s">
        <v>7447</v>
      </c>
      <c r="G2152" s="3" t="s">
        <v>179</v>
      </c>
      <c r="H2152" s="3" t="s">
        <v>31</v>
      </c>
      <c r="I2152" s="3" t="s">
        <v>32</v>
      </c>
      <c r="J2152" s="3" t="s">
        <v>33</v>
      </c>
      <c r="K2152" s="3" t="s">
        <v>28</v>
      </c>
      <c r="L2152" s="3" t="s">
        <v>28</v>
      </c>
      <c r="M2152" s="3" t="s">
        <v>28</v>
      </c>
      <c r="N2152" s="3" t="s">
        <v>28</v>
      </c>
      <c r="O2152" s="3" t="s">
        <v>27</v>
      </c>
      <c r="P2152" s="3" t="s">
        <v>28</v>
      </c>
      <c r="Q2152" s="3" t="s">
        <v>28</v>
      </c>
      <c r="R2152" s="3" t="s">
        <v>28</v>
      </c>
      <c r="S2152" s="3" t="s">
        <v>28</v>
      </c>
      <c r="T2152" s="3" t="s">
        <v>28</v>
      </c>
    </row>
    <row r="2153" spans="1:20" ht="409.6">
      <c r="A2153" s="3">
        <v>2701867</v>
      </c>
      <c r="B2153" s="3">
        <f>HYPERLINK("https://platform.v2.vetology.net/cases/2701867/screening-report/6?type=pdf&amp;v=v6&amp;scorecard=1&amp;secret_key=BX%25IJ%24%2F65ieZ%29f6", 2701867)</f>
        <v>2701867</v>
      </c>
      <c r="C2153" s="3">
        <f>HYPERLINK("https://platform.v2.vetology.net/report/v/final/"&amp;2701867, 2701867)</f>
        <v>2701867</v>
      </c>
      <c r="D2153" s="3" t="s">
        <v>7448</v>
      </c>
      <c r="E2153" s="3" t="s">
        <v>3632</v>
      </c>
      <c r="F2153" s="3" t="s">
        <v>1762</v>
      </c>
      <c r="G2153" s="3" t="s">
        <v>100</v>
      </c>
      <c r="H2153" s="3" t="s">
        <v>7449</v>
      </c>
      <c r="I2153" s="3" t="s">
        <v>3709</v>
      </c>
      <c r="J2153" s="3" t="s">
        <v>3710</v>
      </c>
      <c r="K2153" s="3" t="s">
        <v>27</v>
      </c>
      <c r="L2153" s="3" t="s">
        <v>28</v>
      </c>
      <c r="M2153" s="3" t="s">
        <v>27</v>
      </c>
      <c r="N2153" s="3" t="s">
        <v>27</v>
      </c>
      <c r="O2153" s="3" t="s">
        <v>28</v>
      </c>
      <c r="P2153" s="3" t="s">
        <v>27</v>
      </c>
      <c r="Q2153" s="3" t="s">
        <v>28</v>
      </c>
      <c r="R2153" s="3" t="s">
        <v>28</v>
      </c>
      <c r="S2153" s="3" t="s">
        <v>28</v>
      </c>
      <c r="T2153" s="3" t="s">
        <v>28</v>
      </c>
    </row>
    <row r="2154" spans="1:20" ht="351">
      <c r="A2154" s="3">
        <v>2701851</v>
      </c>
      <c r="B2154" s="3">
        <f>HYPERLINK("https://platform.v2.vetology.net/cases/2701851/screening-report/6?type=pdf&amp;v=v6&amp;scorecard=1&amp;secret_key=BX%25IJ%24%2F65ieZ%29f6", 2701851)</f>
        <v>2701851</v>
      </c>
      <c r="C2154" s="3">
        <f>HYPERLINK("https://platform.v2.vetology.net/report/v/final/"&amp;2701851, 2701851)</f>
        <v>2701851</v>
      </c>
      <c r="D2154" s="3" t="s">
        <v>7450</v>
      </c>
      <c r="E2154" s="3" t="s">
        <v>7451</v>
      </c>
      <c r="F2154" s="3" t="s">
        <v>22</v>
      </c>
      <c r="G2154" s="3" t="s">
        <v>23</v>
      </c>
      <c r="H2154" s="3" t="s">
        <v>158</v>
      </c>
      <c r="I2154" s="3" t="s">
        <v>2746</v>
      </c>
      <c r="J2154" s="3" t="s">
        <v>33</v>
      </c>
      <c r="K2154" s="3" t="s">
        <v>27</v>
      </c>
      <c r="L2154" s="3" t="s">
        <v>28</v>
      </c>
      <c r="M2154" s="3" t="s">
        <v>28</v>
      </c>
      <c r="N2154" s="3" t="s">
        <v>28</v>
      </c>
      <c r="O2154" s="3" t="s">
        <v>28</v>
      </c>
      <c r="P2154" s="3" t="s">
        <v>27</v>
      </c>
      <c r="Q2154" s="3" t="s">
        <v>28</v>
      </c>
      <c r="R2154" s="3" t="s">
        <v>28</v>
      </c>
      <c r="S2154" s="3" t="s">
        <v>28</v>
      </c>
      <c r="T2154" s="3" t="s">
        <v>27</v>
      </c>
    </row>
    <row r="2155" spans="1:20" ht="366">
      <c r="A2155" s="3">
        <v>2701823</v>
      </c>
      <c r="B2155" s="3">
        <f>HYPERLINK("https://platform.v2.vetology.net/cases/2701823/screening-report/6?type=pdf&amp;v=v6&amp;scorecard=1&amp;secret_key=BX%25IJ%24%2F65ieZ%29f6", 2701823)</f>
        <v>2701823</v>
      </c>
      <c r="C2155" s="3">
        <f>HYPERLINK("https://platform.v2.vetology.net/report/v/final/"&amp;2701823, 2701823)</f>
        <v>2701823</v>
      </c>
      <c r="D2155" s="3" t="s">
        <v>7452</v>
      </c>
      <c r="E2155" s="3" t="s">
        <v>7453</v>
      </c>
      <c r="F2155" s="3"/>
      <c r="G2155" s="3" t="s">
        <v>122</v>
      </c>
      <c r="H2155" s="3" t="s">
        <v>7454</v>
      </c>
      <c r="I2155" s="3" t="s">
        <v>993</v>
      </c>
      <c r="J2155" s="3" t="s">
        <v>994</v>
      </c>
      <c r="K2155" s="3" t="s">
        <v>28</v>
      </c>
      <c r="L2155" s="3" t="s">
        <v>28</v>
      </c>
      <c r="M2155" s="3" t="s">
        <v>28</v>
      </c>
      <c r="N2155" s="3" t="s">
        <v>28</v>
      </c>
      <c r="O2155" s="3" t="s">
        <v>27</v>
      </c>
      <c r="P2155" s="3" t="s">
        <v>28</v>
      </c>
      <c r="Q2155" s="3" t="s">
        <v>28</v>
      </c>
      <c r="R2155" s="3" t="s">
        <v>28</v>
      </c>
      <c r="S2155" s="3" t="s">
        <v>28</v>
      </c>
      <c r="T2155" s="3" t="s">
        <v>28</v>
      </c>
    </row>
    <row r="2156" spans="1:20" ht="366">
      <c r="A2156" s="3">
        <v>2701784</v>
      </c>
      <c r="B2156" s="3">
        <f>HYPERLINK("https://platform.v2.vetology.net/cases/2701784/screening-report/6?type=pdf&amp;v=v6&amp;scorecard=1&amp;secret_key=BX%25IJ%24%2F65ieZ%29f6", 2701784)</f>
        <v>2701784</v>
      </c>
      <c r="C2156" s="3">
        <f>HYPERLINK("https://platform.v2.vetology.net/report/v/final/"&amp;2701784, 2701784)</f>
        <v>2701784</v>
      </c>
      <c r="D2156" s="3" t="s">
        <v>7455</v>
      </c>
      <c r="E2156" s="3" t="s">
        <v>7456</v>
      </c>
      <c r="F2156" s="3" t="s">
        <v>22</v>
      </c>
      <c r="G2156" s="3" t="s">
        <v>23</v>
      </c>
      <c r="H2156" s="3" t="s">
        <v>7457</v>
      </c>
      <c r="I2156" s="3" t="s">
        <v>2963</v>
      </c>
      <c r="J2156" s="3" t="s">
        <v>2964</v>
      </c>
      <c r="K2156" s="3" t="s">
        <v>27</v>
      </c>
      <c r="L2156" s="3" t="s">
        <v>28</v>
      </c>
      <c r="M2156" s="3" t="s">
        <v>28</v>
      </c>
      <c r="N2156" s="3" t="s">
        <v>28</v>
      </c>
      <c r="O2156" s="3" t="s">
        <v>27</v>
      </c>
      <c r="P2156" s="3" t="s">
        <v>28</v>
      </c>
      <c r="Q2156" s="3" t="s">
        <v>27</v>
      </c>
      <c r="R2156" s="3" t="s">
        <v>28</v>
      </c>
      <c r="S2156" s="3" t="s">
        <v>28</v>
      </c>
      <c r="T2156" s="3" t="s">
        <v>28</v>
      </c>
    </row>
    <row r="2157" spans="1:20" ht="290.25">
      <c r="A2157" s="3">
        <v>2701737</v>
      </c>
      <c r="B2157" s="3">
        <f>HYPERLINK("https://platform.v2.vetology.net/cases/2701737/screening-report/6?type=pdf&amp;v=v6&amp;scorecard=1&amp;secret_key=BX%25IJ%24%2F65ieZ%29f6", 2701737)</f>
        <v>2701737</v>
      </c>
      <c r="C2157" s="3">
        <f>HYPERLINK("https://platform.v2.vetology.net/report/v/final/"&amp;2701737, 2701737)</f>
        <v>2701737</v>
      </c>
      <c r="D2157" s="3" t="s">
        <v>7458</v>
      </c>
      <c r="E2157" s="3" t="s">
        <v>7459</v>
      </c>
      <c r="F2157" s="3" t="s">
        <v>7460</v>
      </c>
      <c r="G2157" s="3" t="s">
        <v>179</v>
      </c>
      <c r="H2157" s="3" t="s">
        <v>141</v>
      </c>
      <c r="I2157" s="3" t="s">
        <v>142</v>
      </c>
      <c r="J2157" s="3" t="s">
        <v>143</v>
      </c>
      <c r="K2157" s="3" t="s">
        <v>28</v>
      </c>
      <c r="L2157" s="3" t="s">
        <v>28</v>
      </c>
      <c r="M2157" s="3" t="s">
        <v>28</v>
      </c>
      <c r="N2157" s="3" t="s">
        <v>28</v>
      </c>
      <c r="O2157" s="3" t="s">
        <v>27</v>
      </c>
      <c r="P2157" s="3" t="s">
        <v>28</v>
      </c>
      <c r="Q2157" s="3" t="s">
        <v>28</v>
      </c>
      <c r="R2157" s="3" t="s">
        <v>28</v>
      </c>
      <c r="S2157" s="3" t="s">
        <v>28</v>
      </c>
      <c r="T2157" s="3" t="s">
        <v>27</v>
      </c>
    </row>
    <row r="2158" spans="1:20" ht="409.6">
      <c r="A2158" s="3">
        <v>2701682</v>
      </c>
      <c r="B2158" s="3">
        <f>HYPERLINK("https://platform.v2.vetology.net/cases/2701682/screening-report/6?type=pdf&amp;v=v6&amp;scorecard=1&amp;secret_key=BX%25IJ%24%2F65ieZ%29f6", 2701682)</f>
        <v>2701682</v>
      </c>
      <c r="C2158" s="3">
        <f>HYPERLINK("https://platform.v2.vetology.net/report/v/final/"&amp;2701682, 2701682)</f>
        <v>2701682</v>
      </c>
      <c r="D2158" s="3" t="s">
        <v>7461</v>
      </c>
      <c r="E2158" s="3" t="s">
        <v>7462</v>
      </c>
      <c r="F2158" s="3" t="s">
        <v>7463</v>
      </c>
      <c r="G2158" s="3" t="s">
        <v>211</v>
      </c>
      <c r="H2158" s="3" t="s">
        <v>7464</v>
      </c>
      <c r="I2158" s="3" t="s">
        <v>2524</v>
      </c>
      <c r="J2158" s="3" t="s">
        <v>1374</v>
      </c>
      <c r="K2158" s="3" t="s">
        <v>27</v>
      </c>
      <c r="L2158" s="3" t="s">
        <v>27</v>
      </c>
      <c r="M2158" s="3" t="s">
        <v>27</v>
      </c>
      <c r="N2158" s="3" t="s">
        <v>27</v>
      </c>
      <c r="O2158" s="3" t="s">
        <v>27</v>
      </c>
      <c r="P2158" s="3" t="s">
        <v>28</v>
      </c>
      <c r="Q2158" s="3" t="s">
        <v>27</v>
      </c>
      <c r="R2158" s="3" t="s">
        <v>27</v>
      </c>
      <c r="S2158" s="3" t="s">
        <v>27</v>
      </c>
      <c r="T2158" s="3" t="s">
        <v>27</v>
      </c>
    </row>
    <row r="2159" spans="1:20" ht="229.5">
      <c r="A2159" s="3">
        <v>2701681</v>
      </c>
      <c r="B2159" s="3">
        <f>HYPERLINK("https://platform.v2.vetology.net/cases/2701681/screening-report/6?type=pdf&amp;v=v6&amp;scorecard=1&amp;secret_key=BX%25IJ%24%2F65ieZ%29f6", 2701681)</f>
        <v>2701681</v>
      </c>
      <c r="C2159" s="3">
        <f>HYPERLINK("https://platform.v2.vetology.net/report/v/final/"&amp;2701681, 2701681)</f>
        <v>2701681</v>
      </c>
      <c r="D2159" s="3" t="s">
        <v>7465</v>
      </c>
      <c r="E2159" s="3" t="s">
        <v>7466</v>
      </c>
      <c r="F2159" s="3" t="s">
        <v>7467</v>
      </c>
      <c r="G2159" s="3" t="s">
        <v>186</v>
      </c>
      <c r="H2159" s="3" t="s">
        <v>7468</v>
      </c>
      <c r="I2159" s="3"/>
      <c r="J2159" s="3" t="s">
        <v>207</v>
      </c>
      <c r="K2159" s="3" t="s">
        <v>28</v>
      </c>
      <c r="L2159" s="3" t="s">
        <v>28</v>
      </c>
      <c r="M2159" s="3" t="s">
        <v>28</v>
      </c>
      <c r="N2159" s="3" t="s">
        <v>28</v>
      </c>
      <c r="O2159" s="3" t="s">
        <v>27</v>
      </c>
      <c r="P2159" s="3" t="s">
        <v>28</v>
      </c>
      <c r="Q2159" s="3" t="s">
        <v>28</v>
      </c>
      <c r="R2159" s="3" t="s">
        <v>28</v>
      </c>
      <c r="S2159" s="3" t="s">
        <v>28</v>
      </c>
      <c r="T2159" s="3" t="s">
        <v>27</v>
      </c>
    </row>
    <row r="2160" spans="1:20" ht="409.6">
      <c r="A2160" s="3">
        <v>2701634</v>
      </c>
      <c r="B2160" s="3">
        <f>HYPERLINK("https://platform.v2.vetology.net/cases/2701634/screening-report/6?type=pdf&amp;v=v6&amp;scorecard=1&amp;secret_key=BX%25IJ%24%2F65ieZ%29f6", 2701634)</f>
        <v>2701634</v>
      </c>
      <c r="C2160" s="3">
        <f>HYPERLINK("https://platform.v2.vetology.net/report/v/final/"&amp;2701634, 2701634)</f>
        <v>2701634</v>
      </c>
      <c r="D2160" s="3" t="s">
        <v>7469</v>
      </c>
      <c r="E2160" s="3" t="s">
        <v>7470</v>
      </c>
      <c r="F2160" s="3" t="s">
        <v>22</v>
      </c>
      <c r="G2160" s="3" t="s">
        <v>23</v>
      </c>
      <c r="H2160" s="3" t="s">
        <v>7471</v>
      </c>
      <c r="I2160" s="3" t="s">
        <v>2943</v>
      </c>
      <c r="J2160" s="3" t="s">
        <v>597</v>
      </c>
      <c r="K2160" s="3" t="s">
        <v>28</v>
      </c>
      <c r="L2160" s="3" t="s">
        <v>27</v>
      </c>
      <c r="M2160" s="3" t="s">
        <v>28</v>
      </c>
      <c r="N2160" s="3" t="s">
        <v>28</v>
      </c>
      <c r="O2160" s="3" t="s">
        <v>28</v>
      </c>
      <c r="P2160" s="3" t="s">
        <v>28</v>
      </c>
      <c r="Q2160" s="3" t="s">
        <v>28</v>
      </c>
      <c r="R2160" s="3" t="s">
        <v>27</v>
      </c>
      <c r="S2160" s="3" t="s">
        <v>28</v>
      </c>
      <c r="T2160" s="3" t="s">
        <v>27</v>
      </c>
    </row>
    <row r="2161" spans="1:20" ht="409.6">
      <c r="A2161" s="3">
        <v>2701625</v>
      </c>
      <c r="B2161" s="3">
        <f>HYPERLINK("https://platform.v2.vetology.net/cases/2701625/screening-report/6?type=pdf&amp;v=v6&amp;scorecard=1&amp;secret_key=BX%25IJ%24%2F65ieZ%29f6", 2701625)</f>
        <v>2701625</v>
      </c>
      <c r="C2161" s="3">
        <f>HYPERLINK("https://platform.v2.vetology.net/report/v/final/"&amp;2701625, 2701625)</f>
        <v>2701625</v>
      </c>
      <c r="D2161" s="3" t="s">
        <v>7472</v>
      </c>
      <c r="E2161" s="3" t="s">
        <v>7473</v>
      </c>
      <c r="F2161" s="3" t="s">
        <v>7474</v>
      </c>
      <c r="G2161" s="3" t="s">
        <v>186</v>
      </c>
      <c r="H2161" s="3" t="s">
        <v>7475</v>
      </c>
      <c r="I2161" s="3" t="s">
        <v>7476</v>
      </c>
      <c r="J2161" s="3" t="s">
        <v>7477</v>
      </c>
      <c r="K2161" s="3" t="s">
        <v>27</v>
      </c>
      <c r="L2161" s="3" t="s">
        <v>28</v>
      </c>
      <c r="M2161" s="3" t="s">
        <v>27</v>
      </c>
      <c r="N2161" s="3" t="s">
        <v>28</v>
      </c>
      <c r="O2161" s="3" t="s">
        <v>27</v>
      </c>
      <c r="P2161" s="3" t="s">
        <v>28</v>
      </c>
      <c r="Q2161" s="3" t="s">
        <v>27</v>
      </c>
      <c r="R2161" s="3" t="s">
        <v>28</v>
      </c>
      <c r="S2161" s="3" t="s">
        <v>28</v>
      </c>
      <c r="T2161" s="3" t="s">
        <v>28</v>
      </c>
    </row>
    <row r="2162" spans="1:20" ht="409.6">
      <c r="A2162" s="3">
        <v>2701607</v>
      </c>
      <c r="B2162" s="3">
        <f>HYPERLINK("https://platform.v2.vetology.net/cases/2701607/screening-report/6?type=pdf&amp;v=v6&amp;scorecard=1&amp;secret_key=BX%25IJ%24%2F65ieZ%29f6", 2701607)</f>
        <v>2701607</v>
      </c>
      <c r="C2162" s="3">
        <f>HYPERLINK("https://platform.v2.vetology.net/report/v/final/"&amp;2701607, 2701607)</f>
        <v>2701607</v>
      </c>
      <c r="D2162" s="3" t="s">
        <v>7478</v>
      </c>
      <c r="E2162" s="3" t="s">
        <v>7479</v>
      </c>
      <c r="F2162" s="3" t="s">
        <v>7480</v>
      </c>
      <c r="G2162" s="3" t="s">
        <v>186</v>
      </c>
      <c r="H2162" s="3" t="s">
        <v>112</v>
      </c>
      <c r="I2162" s="3" t="s">
        <v>1417</v>
      </c>
      <c r="J2162" s="3" t="s">
        <v>1418</v>
      </c>
      <c r="K2162" s="3" t="s">
        <v>27</v>
      </c>
      <c r="L2162" s="3" t="s">
        <v>28</v>
      </c>
      <c r="M2162" s="3" t="s">
        <v>27</v>
      </c>
      <c r="N2162" s="3" t="s">
        <v>28</v>
      </c>
      <c r="O2162" s="3" t="s">
        <v>27</v>
      </c>
      <c r="P2162" s="3" t="s">
        <v>27</v>
      </c>
      <c r="Q2162" s="3" t="s">
        <v>27</v>
      </c>
      <c r="R2162" s="3" t="s">
        <v>28</v>
      </c>
      <c r="S2162" s="3" t="s">
        <v>28</v>
      </c>
      <c r="T2162" s="3" t="s">
        <v>28</v>
      </c>
    </row>
    <row r="2163" spans="1:20" ht="381.75">
      <c r="A2163" s="3">
        <v>2701602</v>
      </c>
      <c r="B2163" s="3">
        <f>HYPERLINK("https://platform.v2.vetology.net/cases/2701602/screening-report/6?type=pdf&amp;v=v6&amp;scorecard=1&amp;secret_key=BX%25IJ%24%2F65ieZ%29f6", 2701602)</f>
        <v>2701602</v>
      </c>
      <c r="C2163" s="3">
        <f>HYPERLINK("https://platform.v2.vetology.net/report/v/final/"&amp;2701602, 2701602)</f>
        <v>2701602</v>
      </c>
      <c r="D2163" s="3" t="s">
        <v>7481</v>
      </c>
      <c r="E2163" s="3" t="s">
        <v>7482</v>
      </c>
      <c r="F2163" s="3" t="s">
        <v>7483</v>
      </c>
      <c r="G2163" s="3" t="s">
        <v>23</v>
      </c>
      <c r="H2163" s="3" t="s">
        <v>7484</v>
      </c>
      <c r="I2163" s="3" t="s">
        <v>2271</v>
      </c>
      <c r="J2163" s="3" t="s">
        <v>2272</v>
      </c>
      <c r="K2163" s="3" t="s">
        <v>27</v>
      </c>
      <c r="L2163" s="3" t="s">
        <v>28</v>
      </c>
      <c r="M2163" s="3" t="s">
        <v>28</v>
      </c>
      <c r="N2163" s="3" t="s">
        <v>28</v>
      </c>
      <c r="O2163" s="3" t="s">
        <v>27</v>
      </c>
      <c r="P2163" s="3" t="s">
        <v>27</v>
      </c>
      <c r="Q2163" s="3" t="s">
        <v>27</v>
      </c>
      <c r="R2163" s="3" t="s">
        <v>28</v>
      </c>
      <c r="S2163" s="3" t="s">
        <v>28</v>
      </c>
      <c r="T2163" s="3" t="s">
        <v>28</v>
      </c>
    </row>
    <row r="2164" spans="1:20" ht="259.5">
      <c r="A2164" s="3">
        <v>2701587</v>
      </c>
      <c r="B2164" s="3">
        <f>HYPERLINK("https://platform.v2.vetology.net/cases/2701587/screening-report/6?type=pdf&amp;v=v6&amp;scorecard=1&amp;secret_key=BX%25IJ%24%2F65ieZ%29f6", 2701587)</f>
        <v>2701587</v>
      </c>
      <c r="C2164" s="3">
        <f>HYPERLINK("https://platform.v2.vetology.net/report/v/final/"&amp;2701587, 2701587)</f>
        <v>2701587</v>
      </c>
      <c r="D2164" s="3" t="s">
        <v>7485</v>
      </c>
      <c r="E2164" s="3" t="s">
        <v>7486</v>
      </c>
      <c r="F2164" s="3" t="s">
        <v>1762</v>
      </c>
      <c r="G2164" s="3" t="s">
        <v>100</v>
      </c>
      <c r="H2164" s="3" t="s">
        <v>135</v>
      </c>
      <c r="I2164" s="3" t="s">
        <v>136</v>
      </c>
      <c r="J2164" s="3" t="s">
        <v>424</v>
      </c>
      <c r="K2164" s="3" t="s">
        <v>28</v>
      </c>
      <c r="L2164" s="3" t="s">
        <v>27</v>
      </c>
      <c r="M2164" s="3" t="s">
        <v>28</v>
      </c>
      <c r="N2164" s="3" t="s">
        <v>28</v>
      </c>
      <c r="O2164" s="3" t="s">
        <v>27</v>
      </c>
      <c r="P2164" s="3" t="s">
        <v>28</v>
      </c>
      <c r="Q2164" s="3" t="s">
        <v>27</v>
      </c>
      <c r="R2164" s="3" t="s">
        <v>27</v>
      </c>
      <c r="S2164" s="3" t="s">
        <v>28</v>
      </c>
      <c r="T2164" s="3" t="s">
        <v>27</v>
      </c>
    </row>
    <row r="2165" spans="1:20" ht="396.75">
      <c r="A2165" s="3">
        <v>2701584</v>
      </c>
      <c r="B2165" s="3">
        <f>HYPERLINK("https://platform.v2.vetology.net/cases/2701584/screening-report/6?type=pdf&amp;v=v6&amp;scorecard=1&amp;secret_key=BX%25IJ%24%2F65ieZ%29f6", 2701584)</f>
        <v>2701584</v>
      </c>
      <c r="C2165" s="3">
        <f>HYPERLINK("https://platform.v2.vetology.net/report/v/final/"&amp;2701584, 2701584)</f>
        <v>2701584</v>
      </c>
      <c r="D2165" s="3" t="s">
        <v>7487</v>
      </c>
      <c r="E2165" s="3" t="s">
        <v>7488</v>
      </c>
      <c r="F2165" s="3" t="s">
        <v>22</v>
      </c>
      <c r="G2165" s="3" t="s">
        <v>23</v>
      </c>
      <c r="H2165" s="3" t="s">
        <v>31</v>
      </c>
      <c r="I2165" s="3" t="s">
        <v>32</v>
      </c>
      <c r="J2165" s="3" t="s">
        <v>33</v>
      </c>
      <c r="K2165" s="3" t="s">
        <v>28</v>
      </c>
      <c r="L2165" s="3" t="s">
        <v>28</v>
      </c>
      <c r="M2165" s="3" t="s">
        <v>28</v>
      </c>
      <c r="N2165" s="3" t="s">
        <v>28</v>
      </c>
      <c r="O2165" s="3" t="s">
        <v>28</v>
      </c>
      <c r="P2165" s="3" t="s">
        <v>28</v>
      </c>
      <c r="Q2165" s="3" t="s">
        <v>28</v>
      </c>
      <c r="R2165" s="3" t="s">
        <v>28</v>
      </c>
      <c r="S2165" s="3" t="s">
        <v>28</v>
      </c>
      <c r="T2165" s="3" t="s">
        <v>28</v>
      </c>
    </row>
    <row r="2166" spans="1:20" ht="409.6">
      <c r="A2166" s="3">
        <v>2701569</v>
      </c>
      <c r="B2166" s="3">
        <f>HYPERLINK("https://platform.v2.vetology.net/cases/2701569/screening-report/6?type=pdf&amp;v=v6&amp;scorecard=1&amp;secret_key=BX%25IJ%24%2F65ieZ%29f6", 2701569)</f>
        <v>2701569</v>
      </c>
      <c r="C2166" s="3">
        <f>HYPERLINK("https://platform.v2.vetology.net/report/v/final/"&amp;2701569, 2701569)</f>
        <v>2701569</v>
      </c>
      <c r="D2166" s="3" t="s">
        <v>7489</v>
      </c>
      <c r="E2166" s="3" t="s">
        <v>7490</v>
      </c>
      <c r="F2166" s="3" t="s">
        <v>7491</v>
      </c>
      <c r="G2166" s="3" t="s">
        <v>64</v>
      </c>
      <c r="H2166" s="3" t="s">
        <v>31</v>
      </c>
      <c r="I2166" s="3" t="s">
        <v>32</v>
      </c>
      <c r="J2166" s="3" t="s">
        <v>33</v>
      </c>
      <c r="K2166" s="3" t="s">
        <v>28</v>
      </c>
      <c r="L2166" s="3" t="s">
        <v>28</v>
      </c>
      <c r="M2166" s="3" t="s">
        <v>28</v>
      </c>
      <c r="N2166" s="3" t="s">
        <v>28</v>
      </c>
      <c r="O2166" s="3" t="s">
        <v>28</v>
      </c>
      <c r="P2166" s="3" t="s">
        <v>28</v>
      </c>
      <c r="Q2166" s="3" t="s">
        <v>28</v>
      </c>
      <c r="R2166" s="3" t="s">
        <v>28</v>
      </c>
      <c r="S2166" s="3" t="s">
        <v>28</v>
      </c>
      <c r="T2166" s="3" t="s">
        <v>28</v>
      </c>
    </row>
    <row r="2167" spans="1:20" ht="321">
      <c r="A2167" s="3">
        <v>2701536</v>
      </c>
      <c r="B2167" s="3">
        <f>HYPERLINK("https://platform.v2.vetology.net/cases/2701536/screening-report/6?type=pdf&amp;v=v6&amp;scorecard=1&amp;secret_key=BX%25IJ%24%2F65ieZ%29f6", 2701536)</f>
        <v>2701536</v>
      </c>
      <c r="C2167" s="3">
        <f>HYPERLINK("https://platform.v2.vetology.net/report/v/final/"&amp;2701536, 2701536)</f>
        <v>2701536</v>
      </c>
      <c r="D2167" s="3" t="s">
        <v>7492</v>
      </c>
      <c r="E2167" s="3" t="s">
        <v>7493</v>
      </c>
      <c r="F2167" s="3" t="s">
        <v>22</v>
      </c>
      <c r="G2167" s="3" t="s">
        <v>23</v>
      </c>
      <c r="H2167" s="3" t="s">
        <v>4877</v>
      </c>
      <c r="I2167" s="3" t="s">
        <v>2024</v>
      </c>
      <c r="J2167" s="3" t="s">
        <v>207</v>
      </c>
      <c r="K2167" s="3" t="s">
        <v>28</v>
      </c>
      <c r="L2167" s="3" t="s">
        <v>28</v>
      </c>
      <c r="M2167" s="3" t="s">
        <v>28</v>
      </c>
      <c r="N2167" s="3" t="s">
        <v>28</v>
      </c>
      <c r="O2167" s="3" t="s">
        <v>27</v>
      </c>
      <c r="P2167" s="3" t="s">
        <v>27</v>
      </c>
      <c r="Q2167" s="3" t="s">
        <v>28</v>
      </c>
      <c r="R2167" s="3" t="s">
        <v>28</v>
      </c>
      <c r="S2167" s="3" t="s">
        <v>28</v>
      </c>
      <c r="T2167" s="3" t="s">
        <v>28</v>
      </c>
    </row>
    <row r="2168" spans="1:20" ht="409.6">
      <c r="A2168" s="3">
        <v>2701520</v>
      </c>
      <c r="B2168" s="3">
        <f>HYPERLINK("https://platform.v2.vetology.net/cases/2701520/screening-report/6?type=pdf&amp;v=v6&amp;scorecard=1&amp;secret_key=BX%25IJ%24%2F65ieZ%29f6", 2701520)</f>
        <v>2701520</v>
      </c>
      <c r="C2168" s="3">
        <f>HYPERLINK("https://platform.v2.vetology.net/report/v/final/"&amp;2701520, 2701520)</f>
        <v>2701520</v>
      </c>
      <c r="D2168" s="3" t="s">
        <v>7494</v>
      </c>
      <c r="E2168" s="3" t="s">
        <v>7495</v>
      </c>
      <c r="F2168" s="3" t="s">
        <v>7496</v>
      </c>
      <c r="G2168" s="3" t="s">
        <v>64</v>
      </c>
      <c r="H2168" s="3" t="s">
        <v>2058</v>
      </c>
      <c r="I2168" s="3" t="s">
        <v>357</v>
      </c>
      <c r="J2168" s="3" t="s">
        <v>7497</v>
      </c>
      <c r="K2168" s="3" t="s">
        <v>28</v>
      </c>
      <c r="L2168" s="3" t="s">
        <v>28</v>
      </c>
      <c r="M2168" s="3" t="s">
        <v>28</v>
      </c>
      <c r="N2168" s="3" t="s">
        <v>27</v>
      </c>
      <c r="O2168" s="3" t="s">
        <v>28</v>
      </c>
      <c r="P2168" s="3" t="s">
        <v>28</v>
      </c>
      <c r="Q2168" s="3" t="s">
        <v>28</v>
      </c>
      <c r="R2168" s="3" t="s">
        <v>28</v>
      </c>
      <c r="S2168" s="3" t="s">
        <v>28</v>
      </c>
      <c r="T2168" s="3" t="s">
        <v>27</v>
      </c>
    </row>
    <row r="2169" spans="1:20" ht="381.75">
      <c r="A2169" s="3">
        <v>2701519</v>
      </c>
      <c r="B2169" s="3">
        <f>HYPERLINK("https://platform.v2.vetology.net/cases/2701519/screening-report/6?type=pdf&amp;v=v6&amp;scorecard=1&amp;secret_key=BX%25IJ%24%2F65ieZ%29f6", 2701519)</f>
        <v>2701519</v>
      </c>
      <c r="C2169" s="3">
        <f>HYPERLINK("https://platform.v2.vetology.net/report/v/final/"&amp;2701519, 2701519)</f>
        <v>2701519</v>
      </c>
      <c r="D2169" s="3" t="s">
        <v>7498</v>
      </c>
      <c r="E2169" s="3" t="s">
        <v>7499</v>
      </c>
      <c r="F2169" s="3" t="s">
        <v>7500</v>
      </c>
      <c r="G2169" s="3" t="s">
        <v>23</v>
      </c>
      <c r="H2169" s="3" t="s">
        <v>31</v>
      </c>
      <c r="I2169" s="3" t="s">
        <v>32</v>
      </c>
      <c r="J2169" s="3" t="s">
        <v>33</v>
      </c>
      <c r="K2169" s="3" t="s">
        <v>28</v>
      </c>
      <c r="L2169" s="3" t="s">
        <v>28</v>
      </c>
      <c r="M2169" s="3" t="s">
        <v>28</v>
      </c>
      <c r="N2169" s="3" t="s">
        <v>28</v>
      </c>
      <c r="O2169" s="3" t="s">
        <v>28</v>
      </c>
      <c r="P2169" s="3" t="s">
        <v>28</v>
      </c>
      <c r="Q2169" s="3" t="s">
        <v>28</v>
      </c>
      <c r="R2169" s="3" t="s">
        <v>28</v>
      </c>
      <c r="S2169" s="3" t="s">
        <v>28</v>
      </c>
      <c r="T2169" s="3" t="s">
        <v>28</v>
      </c>
    </row>
    <row r="2170" spans="1:20" ht="336">
      <c r="A2170" s="3">
        <v>2701481</v>
      </c>
      <c r="B2170" s="3">
        <f>HYPERLINK("https://platform.v2.vetology.net/cases/2701481/screening-report/6?type=pdf&amp;v=v6&amp;scorecard=1&amp;secret_key=BX%25IJ%24%2F65ieZ%29f6", 2701481)</f>
        <v>2701481</v>
      </c>
      <c r="C2170" s="3">
        <f>HYPERLINK("https://platform.v2.vetology.net/report/v/final/"&amp;2701481, 2701481)</f>
        <v>2701481</v>
      </c>
      <c r="D2170" s="3" t="s">
        <v>7501</v>
      </c>
      <c r="E2170" s="3" t="s">
        <v>294</v>
      </c>
      <c r="F2170" s="3" t="s">
        <v>22</v>
      </c>
      <c r="G2170" s="3" t="s">
        <v>23</v>
      </c>
      <c r="H2170" s="3" t="s">
        <v>7502</v>
      </c>
      <c r="I2170" s="3" t="s">
        <v>25</v>
      </c>
      <c r="J2170" s="3" t="s">
        <v>26</v>
      </c>
      <c r="K2170" s="3" t="s">
        <v>28</v>
      </c>
      <c r="L2170" s="3" t="s">
        <v>28</v>
      </c>
      <c r="M2170" s="3" t="s">
        <v>28</v>
      </c>
      <c r="N2170" s="3" t="s">
        <v>28</v>
      </c>
      <c r="O2170" s="3" t="s">
        <v>27</v>
      </c>
      <c r="P2170" s="3" t="s">
        <v>28</v>
      </c>
      <c r="Q2170" s="3" t="s">
        <v>27</v>
      </c>
      <c r="R2170" s="3" t="s">
        <v>28</v>
      </c>
      <c r="S2170" s="3" t="s">
        <v>27</v>
      </c>
      <c r="T2170" s="3" t="s">
        <v>28</v>
      </c>
    </row>
    <row r="2171" spans="1:20" ht="244.5">
      <c r="A2171" s="3">
        <v>2701478</v>
      </c>
      <c r="B2171" s="3">
        <f>HYPERLINK("https://platform.v2.vetology.net/cases/2701478/screening-report/6?type=pdf&amp;v=v6&amp;scorecard=1&amp;secret_key=BX%25IJ%24%2F65ieZ%29f6", 2701478)</f>
        <v>2701478</v>
      </c>
      <c r="C2171" s="3">
        <f>HYPERLINK("https://platform.v2.vetology.net/report/v/final/"&amp;2701478, 2701478)</f>
        <v>2701478</v>
      </c>
      <c r="D2171" s="3" t="s">
        <v>7503</v>
      </c>
      <c r="E2171" s="3" t="s">
        <v>7504</v>
      </c>
      <c r="F2171" s="3" t="s">
        <v>7505</v>
      </c>
      <c r="G2171" s="3" t="s">
        <v>186</v>
      </c>
      <c r="H2171" s="3" t="s">
        <v>31</v>
      </c>
      <c r="I2171" s="3" t="s">
        <v>1497</v>
      </c>
      <c r="J2171" s="3" t="s">
        <v>847</v>
      </c>
      <c r="K2171" s="3" t="s">
        <v>28</v>
      </c>
      <c r="L2171" s="3" t="s">
        <v>28</v>
      </c>
      <c r="M2171" s="3" t="s">
        <v>28</v>
      </c>
      <c r="N2171" s="3" t="s">
        <v>28</v>
      </c>
      <c r="O2171" s="3" t="s">
        <v>27</v>
      </c>
      <c r="P2171" s="3" t="s">
        <v>28</v>
      </c>
      <c r="Q2171" s="3" t="s">
        <v>28</v>
      </c>
      <c r="R2171" s="3" t="s">
        <v>28</v>
      </c>
      <c r="S2171" s="3" t="s">
        <v>28</v>
      </c>
      <c r="T2171" s="3" t="s">
        <v>28</v>
      </c>
    </row>
    <row r="2172" spans="1:20" ht="305.25">
      <c r="A2172" s="3">
        <v>2701455</v>
      </c>
      <c r="B2172" s="3">
        <f>HYPERLINK("https://platform.v2.vetology.net/cases/2701455/screening-report/6?type=pdf&amp;v=v6&amp;scorecard=1&amp;secret_key=BX%25IJ%24%2F65ieZ%29f6", 2701455)</f>
        <v>2701455</v>
      </c>
      <c r="C2172" s="3">
        <f>HYPERLINK("https://platform.v2.vetology.net/report/v/final/"&amp;2701455, 2701455)</f>
        <v>2701455</v>
      </c>
      <c r="D2172" s="3" t="s">
        <v>7506</v>
      </c>
      <c r="E2172" s="3" t="s">
        <v>2036</v>
      </c>
      <c r="F2172" s="3" t="s">
        <v>6805</v>
      </c>
      <c r="G2172" s="3" t="s">
        <v>186</v>
      </c>
      <c r="H2172" s="3" t="s">
        <v>7507</v>
      </c>
      <c r="I2172" s="3" t="s">
        <v>2438</v>
      </c>
      <c r="J2172" s="3" t="s">
        <v>2439</v>
      </c>
      <c r="K2172" s="3" t="s">
        <v>28</v>
      </c>
      <c r="L2172" s="3" t="s">
        <v>28</v>
      </c>
      <c r="M2172" s="3" t="s">
        <v>28</v>
      </c>
      <c r="N2172" s="3" t="s">
        <v>28</v>
      </c>
      <c r="O2172" s="3" t="s">
        <v>28</v>
      </c>
      <c r="P2172" s="3" t="s">
        <v>27</v>
      </c>
      <c r="Q2172" s="3" t="s">
        <v>28</v>
      </c>
      <c r="R2172" s="3" t="s">
        <v>28</v>
      </c>
      <c r="S2172" s="3" t="s">
        <v>28</v>
      </c>
      <c r="T2172" s="3" t="s">
        <v>28</v>
      </c>
    </row>
    <row r="2173" spans="1:20" ht="336">
      <c r="A2173" s="3">
        <v>2701434</v>
      </c>
      <c r="B2173" s="3">
        <f>HYPERLINK("https://platform.v2.vetology.net/cases/2701434/screening-report/6?type=pdf&amp;v=v6&amp;scorecard=1&amp;secret_key=BX%25IJ%24%2F65ieZ%29f6", 2701434)</f>
        <v>2701434</v>
      </c>
      <c r="C2173" s="3">
        <f>HYPERLINK("https://platform.v2.vetology.net/report/v/final/"&amp;2701434, 2701434)</f>
        <v>2701434</v>
      </c>
      <c r="D2173" s="3" t="s">
        <v>7508</v>
      </c>
      <c r="E2173" s="3" t="s">
        <v>7509</v>
      </c>
      <c r="F2173" s="3" t="s">
        <v>4495</v>
      </c>
      <c r="G2173" s="3" t="s">
        <v>57</v>
      </c>
      <c r="H2173" s="3" t="s">
        <v>31</v>
      </c>
      <c r="I2173" s="3" t="s">
        <v>32</v>
      </c>
      <c r="J2173" s="3" t="s">
        <v>33</v>
      </c>
      <c r="K2173" s="3" t="s">
        <v>28</v>
      </c>
      <c r="L2173" s="3" t="s">
        <v>28</v>
      </c>
      <c r="M2173" s="3" t="s">
        <v>28</v>
      </c>
      <c r="N2173" s="3" t="s">
        <v>28</v>
      </c>
      <c r="O2173" s="3" t="s">
        <v>28</v>
      </c>
      <c r="P2173" s="3" t="s">
        <v>28</v>
      </c>
      <c r="Q2173" s="3" t="s">
        <v>28</v>
      </c>
      <c r="R2173" s="3" t="s">
        <v>28</v>
      </c>
      <c r="S2173" s="3" t="s">
        <v>28</v>
      </c>
      <c r="T2173" s="3" t="s">
        <v>28</v>
      </c>
    </row>
    <row r="2174" spans="1:20" ht="409.6">
      <c r="A2174" s="3">
        <v>2701272</v>
      </c>
      <c r="B2174" s="3">
        <f>HYPERLINK("https://platform.v2.vetology.net/cases/2701272/screening-report/6?type=pdf&amp;v=v6&amp;scorecard=1&amp;secret_key=BX%25IJ%24%2F65ieZ%29f6", 2701272)</f>
        <v>2701272</v>
      </c>
      <c r="C2174" s="3">
        <f>HYPERLINK("https://platform.v2.vetology.net/report/v/final/"&amp;2701272, 2701272)</f>
        <v>2701272</v>
      </c>
      <c r="D2174" s="3" t="s">
        <v>7510</v>
      </c>
      <c r="E2174" s="3" t="s">
        <v>7511</v>
      </c>
      <c r="F2174" s="3" t="s">
        <v>7512</v>
      </c>
      <c r="G2174" s="3" t="s">
        <v>64</v>
      </c>
      <c r="H2174" s="3" t="s">
        <v>350</v>
      </c>
      <c r="I2174" s="3" t="s">
        <v>351</v>
      </c>
      <c r="J2174" s="3" t="s">
        <v>352</v>
      </c>
      <c r="K2174" s="3" t="s">
        <v>28</v>
      </c>
      <c r="L2174" s="3" t="s">
        <v>28</v>
      </c>
      <c r="M2174" s="3" t="s">
        <v>28</v>
      </c>
      <c r="N2174" s="3" t="s">
        <v>28</v>
      </c>
      <c r="O2174" s="3" t="s">
        <v>28</v>
      </c>
      <c r="P2174" s="3" t="s">
        <v>28</v>
      </c>
      <c r="Q2174" s="3" t="s">
        <v>28</v>
      </c>
      <c r="R2174" s="3" t="s">
        <v>28</v>
      </c>
      <c r="S2174" s="3" t="s">
        <v>28</v>
      </c>
      <c r="T2174" s="3" t="s">
        <v>27</v>
      </c>
    </row>
    <row r="2175" spans="1:20" ht="381.75">
      <c r="A2175" s="3">
        <v>2701270</v>
      </c>
      <c r="B2175" s="3">
        <f>HYPERLINK("https://platform.v2.vetology.net/cases/2701270/screening-report/6?type=pdf&amp;v=v6&amp;scorecard=1&amp;secret_key=BX%25IJ%24%2F65ieZ%29f6", 2701270)</f>
        <v>2701270</v>
      </c>
      <c r="C2175" s="3">
        <f>HYPERLINK("https://platform.v2.vetology.net/report/v/final/"&amp;2701270, 2701270)</f>
        <v>2701270</v>
      </c>
      <c r="D2175" s="3" t="s">
        <v>7513</v>
      </c>
      <c r="E2175" s="3" t="s">
        <v>7514</v>
      </c>
      <c r="F2175" s="3" t="s">
        <v>7515</v>
      </c>
      <c r="G2175" s="3" t="s">
        <v>1772</v>
      </c>
      <c r="H2175" s="3" t="s">
        <v>245</v>
      </c>
      <c r="I2175" s="3" t="s">
        <v>200</v>
      </c>
      <c r="J2175" s="3" t="s">
        <v>219</v>
      </c>
      <c r="K2175" s="3" t="s">
        <v>27</v>
      </c>
      <c r="L2175" s="3" t="s">
        <v>28</v>
      </c>
      <c r="M2175" s="3" t="s">
        <v>27</v>
      </c>
      <c r="N2175" s="3" t="s">
        <v>28</v>
      </c>
      <c r="O2175" s="3" t="s">
        <v>27</v>
      </c>
      <c r="P2175" s="3" t="s">
        <v>28</v>
      </c>
      <c r="Q2175" s="3" t="s">
        <v>28</v>
      </c>
      <c r="R2175" s="3" t="s">
        <v>28</v>
      </c>
      <c r="S2175" s="3" t="s">
        <v>28</v>
      </c>
      <c r="T2175" s="3" t="s">
        <v>28</v>
      </c>
    </row>
    <row r="2176" spans="1:20" ht="409.6">
      <c r="A2176" s="3">
        <v>2701258</v>
      </c>
      <c r="B2176" s="3">
        <f>HYPERLINK("https://platform.v2.vetology.net/cases/2701258/screening-report/6?type=pdf&amp;v=v6&amp;scorecard=1&amp;secret_key=BX%25IJ%24%2F65ieZ%29f6", 2701258)</f>
        <v>2701258</v>
      </c>
      <c r="C2176" s="3">
        <f>HYPERLINK("https://platform.v2.vetology.net/report/v/final/"&amp;2701258, 2701258)</f>
        <v>2701258</v>
      </c>
      <c r="D2176" s="3" t="s">
        <v>7516</v>
      </c>
      <c r="E2176" s="3" t="s">
        <v>7517</v>
      </c>
      <c r="F2176" s="3" t="s">
        <v>7518</v>
      </c>
      <c r="G2176" s="3" t="s">
        <v>57</v>
      </c>
      <c r="H2176" s="3" t="s">
        <v>7519</v>
      </c>
      <c r="I2176" s="3" t="s">
        <v>2854</v>
      </c>
      <c r="J2176" s="3" t="s">
        <v>2855</v>
      </c>
      <c r="K2176" s="3" t="s">
        <v>28</v>
      </c>
      <c r="L2176" s="3" t="s">
        <v>28</v>
      </c>
      <c r="M2176" s="3" t="s">
        <v>28</v>
      </c>
      <c r="N2176" s="3" t="s">
        <v>28</v>
      </c>
      <c r="O2176" s="3" t="s">
        <v>27</v>
      </c>
      <c r="P2176" s="3" t="s">
        <v>28</v>
      </c>
      <c r="Q2176" s="3" t="s">
        <v>28</v>
      </c>
      <c r="R2176" s="3" t="s">
        <v>28</v>
      </c>
      <c r="S2176" s="3" t="s">
        <v>28</v>
      </c>
      <c r="T2176" s="3" t="s">
        <v>28</v>
      </c>
    </row>
    <row r="2177" spans="1:20" ht="275.25">
      <c r="A2177" s="3">
        <v>2701220</v>
      </c>
      <c r="B2177" s="3">
        <f>HYPERLINK("https://platform.v2.vetology.net/cases/2701220/screening-report/6?type=pdf&amp;v=v6&amp;scorecard=1&amp;secret_key=BX%25IJ%24%2F65ieZ%29f6", 2701220)</f>
        <v>2701220</v>
      </c>
      <c r="C2177" s="3">
        <f>HYPERLINK("https://platform.v2.vetology.net/report/v/final/"&amp;2701220, 2701220)</f>
        <v>2701220</v>
      </c>
      <c r="D2177" s="3" t="s">
        <v>7520</v>
      </c>
      <c r="E2177" s="3" t="s">
        <v>7521</v>
      </c>
      <c r="F2177" s="3" t="s">
        <v>7522</v>
      </c>
      <c r="G2177" s="3" t="s">
        <v>100</v>
      </c>
      <c r="H2177" s="3" t="s">
        <v>7523</v>
      </c>
      <c r="I2177" s="3" t="s">
        <v>72</v>
      </c>
      <c r="J2177" s="3" t="s">
        <v>207</v>
      </c>
      <c r="K2177" s="3" t="s">
        <v>28</v>
      </c>
      <c r="L2177" s="3" t="s">
        <v>28</v>
      </c>
      <c r="M2177" s="3" t="s">
        <v>27</v>
      </c>
      <c r="N2177" s="3" t="s">
        <v>28</v>
      </c>
      <c r="O2177" s="3" t="s">
        <v>27</v>
      </c>
      <c r="P2177" s="3" t="s">
        <v>28</v>
      </c>
      <c r="Q2177" s="3" t="s">
        <v>28</v>
      </c>
      <c r="R2177" s="3" t="s">
        <v>28</v>
      </c>
      <c r="S2177" s="3" t="s">
        <v>28</v>
      </c>
      <c r="T2177" s="3" t="s">
        <v>27</v>
      </c>
    </row>
    <row r="2178" spans="1:20" ht="381.75">
      <c r="A2178" s="3">
        <v>2701173</v>
      </c>
      <c r="B2178" s="3">
        <f>HYPERLINK("https://platform.v2.vetology.net/cases/2701173/screening-report/6?type=pdf&amp;v=v6&amp;scorecard=1&amp;secret_key=BX%25IJ%24%2F65ieZ%29f6", 2701173)</f>
        <v>2701173</v>
      </c>
      <c r="C2178" s="3">
        <f>HYPERLINK("https://platform.v2.vetology.net/report/v/final/"&amp;2701173, 2701173)</f>
        <v>2701173</v>
      </c>
      <c r="D2178" s="3" t="s">
        <v>7524</v>
      </c>
      <c r="E2178" s="3" t="s">
        <v>7525</v>
      </c>
      <c r="F2178" s="3" t="s">
        <v>7526</v>
      </c>
      <c r="G2178" s="3" t="s">
        <v>1772</v>
      </c>
      <c r="H2178" s="3" t="s">
        <v>7527</v>
      </c>
      <c r="I2178" s="3" t="s">
        <v>856</v>
      </c>
      <c r="J2178" s="3" t="s">
        <v>857</v>
      </c>
      <c r="K2178" s="3" t="s">
        <v>27</v>
      </c>
      <c r="L2178" s="3" t="s">
        <v>28</v>
      </c>
      <c r="M2178" s="3" t="s">
        <v>28</v>
      </c>
      <c r="N2178" s="3" t="s">
        <v>28</v>
      </c>
      <c r="O2178" s="3" t="s">
        <v>27</v>
      </c>
      <c r="P2178" s="3" t="s">
        <v>28</v>
      </c>
      <c r="Q2178" s="3" t="s">
        <v>28</v>
      </c>
      <c r="R2178" s="3" t="s">
        <v>28</v>
      </c>
      <c r="S2178" s="3" t="s">
        <v>28</v>
      </c>
      <c r="T2178" s="3" t="s">
        <v>28</v>
      </c>
    </row>
    <row r="2179" spans="1:20" ht="409.6">
      <c r="A2179" s="3">
        <v>2701162</v>
      </c>
      <c r="B2179" s="3">
        <f>HYPERLINK("https://platform.v2.vetology.net/cases/2701162/screening-report/6?type=pdf&amp;v=v6&amp;scorecard=1&amp;secret_key=BX%25IJ%24%2F65ieZ%29f6", 2701162)</f>
        <v>2701162</v>
      </c>
      <c r="C2179" s="3">
        <f>HYPERLINK("https://platform.v2.vetology.net/report/v/final/"&amp;2701162, 2701162)</f>
        <v>2701162</v>
      </c>
      <c r="D2179" s="3" t="s">
        <v>7528</v>
      </c>
      <c r="E2179" s="3" t="s">
        <v>7529</v>
      </c>
      <c r="F2179" s="3" t="s">
        <v>7530</v>
      </c>
      <c r="G2179" s="3" t="s">
        <v>179</v>
      </c>
      <c r="H2179" s="3" t="s">
        <v>851</v>
      </c>
      <c r="I2179" s="3" t="s">
        <v>32</v>
      </c>
      <c r="J2179" s="3" t="s">
        <v>119</v>
      </c>
      <c r="K2179" s="3" t="s">
        <v>28</v>
      </c>
      <c r="L2179" s="3" t="s">
        <v>28</v>
      </c>
      <c r="M2179" s="3" t="s">
        <v>28</v>
      </c>
      <c r="N2179" s="3" t="s">
        <v>28</v>
      </c>
      <c r="O2179" s="3" t="s">
        <v>28</v>
      </c>
      <c r="P2179" s="3" t="s">
        <v>28</v>
      </c>
      <c r="Q2179" s="3" t="s">
        <v>28</v>
      </c>
      <c r="R2179" s="3" t="s">
        <v>28</v>
      </c>
      <c r="S2179" s="3" t="s">
        <v>28</v>
      </c>
      <c r="T2179" s="3" t="s">
        <v>28</v>
      </c>
    </row>
    <row r="2180" spans="1:20" ht="381.75">
      <c r="A2180" s="3">
        <v>2701156</v>
      </c>
      <c r="B2180" s="3">
        <f>HYPERLINK("https://platform.v2.vetology.net/cases/2701156/screening-report/6?type=pdf&amp;v=v6&amp;scorecard=1&amp;secret_key=BX%25IJ%24%2F65ieZ%29f6", 2701156)</f>
        <v>2701156</v>
      </c>
      <c r="C2180" s="3">
        <f>HYPERLINK("https://platform.v2.vetology.net/report/v/final/"&amp;2701156, 2701156)</f>
        <v>2701156</v>
      </c>
      <c r="D2180" s="3" t="s">
        <v>7531</v>
      </c>
      <c r="E2180" s="3" t="s">
        <v>7532</v>
      </c>
      <c r="F2180" s="3" t="s">
        <v>7533</v>
      </c>
      <c r="G2180" s="3" t="s">
        <v>23</v>
      </c>
      <c r="H2180" s="3" t="s">
        <v>855</v>
      </c>
      <c r="I2180" s="3" t="s">
        <v>856</v>
      </c>
      <c r="J2180" s="3" t="s">
        <v>857</v>
      </c>
      <c r="K2180" s="3" t="s">
        <v>28</v>
      </c>
      <c r="L2180" s="3" t="s">
        <v>28</v>
      </c>
      <c r="M2180" s="3" t="s">
        <v>28</v>
      </c>
      <c r="N2180" s="3" t="s">
        <v>28</v>
      </c>
      <c r="O2180" s="3" t="s">
        <v>27</v>
      </c>
      <c r="P2180" s="3" t="s">
        <v>28</v>
      </c>
      <c r="Q2180" s="3" t="s">
        <v>28</v>
      </c>
      <c r="R2180" s="3" t="s">
        <v>28</v>
      </c>
      <c r="S2180" s="3" t="s">
        <v>28</v>
      </c>
      <c r="T2180" s="3" t="s">
        <v>28</v>
      </c>
    </row>
    <row r="2181" spans="1:20" ht="409.6">
      <c r="A2181" s="3">
        <v>2701094</v>
      </c>
      <c r="B2181" s="3">
        <f>HYPERLINK("https://platform.v2.vetology.net/cases/2701094/screening-report/6?type=pdf&amp;v=v6&amp;scorecard=1&amp;secret_key=BX%25IJ%24%2F65ieZ%29f6", 2701094)</f>
        <v>2701094</v>
      </c>
      <c r="C2181" s="3">
        <f>HYPERLINK("https://platform.v2.vetology.net/report/v/final/"&amp;2701094, 2701094)</f>
        <v>2701094</v>
      </c>
      <c r="D2181" s="3" t="s">
        <v>7534</v>
      </c>
      <c r="E2181" s="3" t="s">
        <v>7535</v>
      </c>
      <c r="F2181" s="3" t="s">
        <v>7536</v>
      </c>
      <c r="G2181" s="3" t="s">
        <v>179</v>
      </c>
      <c r="H2181" s="3" t="s">
        <v>1372</v>
      </c>
      <c r="I2181" s="3" t="s">
        <v>1373</v>
      </c>
      <c r="J2181" s="3" t="s">
        <v>1374</v>
      </c>
      <c r="K2181" s="3" t="s">
        <v>27</v>
      </c>
      <c r="L2181" s="3" t="s">
        <v>28</v>
      </c>
      <c r="M2181" s="3" t="s">
        <v>27</v>
      </c>
      <c r="N2181" s="3" t="s">
        <v>27</v>
      </c>
      <c r="O2181" s="3" t="s">
        <v>27</v>
      </c>
      <c r="P2181" s="3" t="s">
        <v>28</v>
      </c>
      <c r="Q2181" s="3" t="s">
        <v>27</v>
      </c>
      <c r="R2181" s="3" t="s">
        <v>28</v>
      </c>
      <c r="S2181" s="3" t="s">
        <v>28</v>
      </c>
      <c r="T2181" s="3" t="s">
        <v>27</v>
      </c>
    </row>
    <row r="2182" spans="1:20" ht="381.75">
      <c r="A2182" s="3">
        <v>2701086</v>
      </c>
      <c r="B2182" s="3">
        <f>HYPERLINK("https://platform.v2.vetology.net/cases/2701086/screening-report/6?type=pdf&amp;v=v6&amp;scorecard=1&amp;secret_key=BX%25IJ%24%2F65ieZ%29f6", 2701086)</f>
        <v>2701086</v>
      </c>
      <c r="C2182" s="3">
        <f>HYPERLINK("https://platform.v2.vetology.net/report/v/final/"&amp;2701086, 2701086)</f>
        <v>2701086</v>
      </c>
      <c r="D2182" s="3" t="s">
        <v>7537</v>
      </c>
      <c r="E2182" s="3" t="s">
        <v>7538</v>
      </c>
      <c r="F2182" s="3" t="s">
        <v>7539</v>
      </c>
      <c r="G2182" s="3" t="s">
        <v>186</v>
      </c>
      <c r="H2182" s="3" t="s">
        <v>1478</v>
      </c>
      <c r="I2182" s="3" t="s">
        <v>279</v>
      </c>
      <c r="J2182" s="3" t="s">
        <v>280</v>
      </c>
      <c r="K2182" s="3" t="s">
        <v>28</v>
      </c>
      <c r="L2182" s="3" t="s">
        <v>28</v>
      </c>
      <c r="M2182" s="3" t="s">
        <v>28</v>
      </c>
      <c r="N2182" s="3" t="s">
        <v>28</v>
      </c>
      <c r="O2182" s="3" t="s">
        <v>28</v>
      </c>
      <c r="P2182" s="3" t="s">
        <v>28</v>
      </c>
      <c r="Q2182" s="3" t="s">
        <v>28</v>
      </c>
      <c r="R2182" s="3" t="s">
        <v>28</v>
      </c>
      <c r="S2182" s="3" t="s">
        <v>28</v>
      </c>
      <c r="T2182" s="3" t="s">
        <v>27</v>
      </c>
    </row>
    <row r="2183" spans="1:20" ht="305.25">
      <c r="A2183" s="3">
        <v>2701079</v>
      </c>
      <c r="B2183" s="3">
        <f>HYPERLINK("https://platform.v2.vetology.net/cases/2701079/screening-report/6?type=pdf&amp;v=v6&amp;scorecard=1&amp;secret_key=BX%25IJ%24%2F65ieZ%29f6", 2701079)</f>
        <v>2701079</v>
      </c>
      <c r="C2183" s="3">
        <f>HYPERLINK("https://platform.v2.vetology.net/report/v/final/"&amp;2701079, 2701079)</f>
        <v>2701079</v>
      </c>
      <c r="D2183" s="3" t="s">
        <v>7540</v>
      </c>
      <c r="E2183" s="3" t="s">
        <v>4960</v>
      </c>
      <c r="F2183" s="3" t="s">
        <v>22</v>
      </c>
      <c r="G2183" s="3" t="s">
        <v>23</v>
      </c>
      <c r="H2183" s="3" t="s">
        <v>6822</v>
      </c>
      <c r="I2183" s="3" t="s">
        <v>2438</v>
      </c>
      <c r="J2183" s="3" t="s">
        <v>2439</v>
      </c>
      <c r="K2183" s="3" t="s">
        <v>28</v>
      </c>
      <c r="L2183" s="3" t="s">
        <v>28</v>
      </c>
      <c r="M2183" s="3" t="s">
        <v>28</v>
      </c>
      <c r="N2183" s="3" t="s">
        <v>28</v>
      </c>
      <c r="O2183" s="3" t="s">
        <v>28</v>
      </c>
      <c r="P2183" s="3" t="s">
        <v>27</v>
      </c>
      <c r="Q2183" s="3" t="s">
        <v>28</v>
      </c>
      <c r="R2183" s="3" t="s">
        <v>28</v>
      </c>
      <c r="S2183" s="3" t="s">
        <v>28</v>
      </c>
      <c r="T2183" s="3" t="s">
        <v>28</v>
      </c>
    </row>
    <row r="2184" spans="1:20" ht="409.6">
      <c r="A2184" s="3">
        <v>2701077</v>
      </c>
      <c r="B2184" s="3">
        <f>HYPERLINK("https://platform.v2.vetology.net/cases/2701077/screening-report/6?type=pdf&amp;v=v6&amp;scorecard=1&amp;secret_key=BX%25IJ%24%2F65ieZ%29f6", 2701077)</f>
        <v>2701077</v>
      </c>
      <c r="C2184" s="3">
        <f>HYPERLINK("https://platform.v2.vetology.net/report/v/final/"&amp;2701077, 2701077)</f>
        <v>2701077</v>
      </c>
      <c r="D2184" s="3" t="s">
        <v>7541</v>
      </c>
      <c r="E2184" s="3" t="s">
        <v>7542</v>
      </c>
      <c r="F2184" s="3" t="s">
        <v>6912</v>
      </c>
      <c r="G2184" s="3" t="s">
        <v>186</v>
      </c>
      <c r="H2184" s="3" t="s">
        <v>7543</v>
      </c>
      <c r="I2184" s="3" t="s">
        <v>2686</v>
      </c>
      <c r="J2184" s="3" t="s">
        <v>2687</v>
      </c>
      <c r="K2184" s="3" t="s">
        <v>28</v>
      </c>
      <c r="L2184" s="3" t="s">
        <v>27</v>
      </c>
      <c r="M2184" s="3" t="s">
        <v>27</v>
      </c>
      <c r="N2184" s="3" t="s">
        <v>27</v>
      </c>
      <c r="O2184" s="3" t="s">
        <v>27</v>
      </c>
      <c r="P2184" s="3" t="s">
        <v>28</v>
      </c>
      <c r="Q2184" s="3" t="s">
        <v>27</v>
      </c>
      <c r="R2184" s="3" t="s">
        <v>27</v>
      </c>
      <c r="S2184" s="3" t="s">
        <v>27</v>
      </c>
      <c r="T2184" s="3" t="s">
        <v>27</v>
      </c>
    </row>
    <row r="2185" spans="1:20" ht="409.6">
      <c r="A2185" s="3">
        <v>2701064</v>
      </c>
      <c r="B2185" s="3">
        <f>HYPERLINK("https://platform.v2.vetology.net/cases/2701064/screening-report/6?type=pdf&amp;v=v6&amp;scorecard=1&amp;secret_key=BX%25IJ%24%2F65ieZ%29f6", 2701064)</f>
        <v>2701064</v>
      </c>
      <c r="C2185" s="3">
        <f>HYPERLINK("https://platform.v2.vetology.net/report/v/final/"&amp;2701064, 2701064)</f>
        <v>2701064</v>
      </c>
      <c r="D2185" s="3" t="s">
        <v>7544</v>
      </c>
      <c r="E2185" s="3" t="s">
        <v>7545</v>
      </c>
      <c r="F2185" s="3" t="s">
        <v>7546</v>
      </c>
      <c r="G2185" s="3" t="s">
        <v>186</v>
      </c>
      <c r="H2185" s="3" t="s">
        <v>2475</v>
      </c>
      <c r="I2185" s="3" t="s">
        <v>1497</v>
      </c>
      <c r="J2185" s="3" t="s">
        <v>1340</v>
      </c>
      <c r="K2185" s="3" t="s">
        <v>28</v>
      </c>
      <c r="L2185" s="3" t="s">
        <v>28</v>
      </c>
      <c r="M2185" s="3" t="s">
        <v>28</v>
      </c>
      <c r="N2185" s="3" t="s">
        <v>28</v>
      </c>
      <c r="O2185" s="3" t="s">
        <v>27</v>
      </c>
      <c r="P2185" s="3" t="s">
        <v>28</v>
      </c>
      <c r="Q2185" s="3" t="s">
        <v>27</v>
      </c>
      <c r="R2185" s="3" t="s">
        <v>28</v>
      </c>
      <c r="S2185" s="3" t="s">
        <v>28</v>
      </c>
      <c r="T2185" s="3" t="s">
        <v>28</v>
      </c>
    </row>
    <row r="2186" spans="1:20" ht="229.5">
      <c r="A2186" s="3">
        <v>2701045</v>
      </c>
      <c r="B2186" s="3">
        <f>HYPERLINK("https://platform.v2.vetology.net/cases/2701045/screening-report/6?type=pdf&amp;v=v6&amp;scorecard=1&amp;secret_key=BX%25IJ%24%2F65ieZ%29f6", 2701045)</f>
        <v>2701045</v>
      </c>
      <c r="C2186" s="3">
        <f>HYPERLINK("https://platform.v2.vetology.net/report/v/final/"&amp;2701045, 2701045)</f>
        <v>2701045</v>
      </c>
      <c r="D2186" s="3" t="s">
        <v>7547</v>
      </c>
      <c r="E2186" s="3" t="s">
        <v>7548</v>
      </c>
      <c r="F2186" s="3" t="s">
        <v>7549</v>
      </c>
      <c r="G2186" s="3" t="s">
        <v>186</v>
      </c>
      <c r="H2186" s="3" t="s">
        <v>300</v>
      </c>
      <c r="I2186" s="3" t="s">
        <v>1497</v>
      </c>
      <c r="J2186" s="3" t="s">
        <v>847</v>
      </c>
      <c r="K2186" s="3" t="s">
        <v>28</v>
      </c>
      <c r="L2186" s="3" t="s">
        <v>28</v>
      </c>
      <c r="M2186" s="3" t="s">
        <v>28</v>
      </c>
      <c r="N2186" s="3" t="s">
        <v>28</v>
      </c>
      <c r="O2186" s="3" t="s">
        <v>28</v>
      </c>
      <c r="P2186" s="3" t="s">
        <v>28</v>
      </c>
      <c r="Q2186" s="3" t="s">
        <v>28</v>
      </c>
      <c r="R2186" s="3" t="s">
        <v>28</v>
      </c>
      <c r="S2186" s="3" t="s">
        <v>28</v>
      </c>
      <c r="T2186" s="3" t="s">
        <v>27</v>
      </c>
    </row>
    <row r="2187" spans="1:20" ht="381.75">
      <c r="A2187" s="3">
        <v>2700973</v>
      </c>
      <c r="B2187" s="3">
        <f>HYPERLINK("https://platform.v2.vetology.net/cases/2700973/screening-report/6?type=pdf&amp;v=v6&amp;scorecard=1&amp;secret_key=BX%25IJ%24%2F65ieZ%29f6", 2700973)</f>
        <v>2700973</v>
      </c>
      <c r="C2187" s="3">
        <f>HYPERLINK("https://platform.v2.vetology.net/report/v/final/"&amp;2700973, 2700973)</f>
        <v>2700973</v>
      </c>
      <c r="D2187" s="3" t="s">
        <v>7550</v>
      </c>
      <c r="E2187" s="3" t="s">
        <v>7551</v>
      </c>
      <c r="F2187" s="3" t="s">
        <v>7552</v>
      </c>
      <c r="G2187" s="3" t="s">
        <v>23</v>
      </c>
      <c r="H2187" s="3" t="s">
        <v>7553</v>
      </c>
      <c r="I2187" s="3" t="s">
        <v>2011</v>
      </c>
      <c r="J2187" s="3" t="s">
        <v>225</v>
      </c>
      <c r="K2187" s="3" t="s">
        <v>28</v>
      </c>
      <c r="L2187" s="3" t="s">
        <v>27</v>
      </c>
      <c r="M2187" s="3" t="s">
        <v>28</v>
      </c>
      <c r="N2187" s="3" t="s">
        <v>27</v>
      </c>
      <c r="O2187" s="3" t="s">
        <v>27</v>
      </c>
      <c r="P2187" s="3" t="s">
        <v>28</v>
      </c>
      <c r="Q2187" s="3" t="s">
        <v>27</v>
      </c>
      <c r="R2187" s="3" t="s">
        <v>27</v>
      </c>
      <c r="S2187" s="3" t="s">
        <v>27</v>
      </c>
      <c r="T2187" s="3" t="s">
        <v>27</v>
      </c>
    </row>
    <row r="2188" spans="1:20" ht="336">
      <c r="A2188" s="3">
        <v>2700935</v>
      </c>
      <c r="B2188" s="3">
        <f>HYPERLINK("https://platform.v2.vetology.net/cases/2700935/screening-report/6?type=pdf&amp;v=v6&amp;scorecard=1&amp;secret_key=BX%25IJ%24%2F65ieZ%29f6", 2700935)</f>
        <v>2700935</v>
      </c>
      <c r="C2188" s="3">
        <f>HYPERLINK("https://platform.v2.vetology.net/report/v/final/"&amp;2700935, 2700935)</f>
        <v>2700935</v>
      </c>
      <c r="D2188" s="3" t="s">
        <v>7554</v>
      </c>
      <c r="E2188" s="3" t="s">
        <v>7555</v>
      </c>
      <c r="F2188" s="3" t="s">
        <v>7556</v>
      </c>
      <c r="G2188" s="3" t="s">
        <v>1772</v>
      </c>
      <c r="H2188" s="3" t="s">
        <v>7557</v>
      </c>
      <c r="I2188" s="3" t="s">
        <v>763</v>
      </c>
      <c r="J2188" s="3" t="s">
        <v>764</v>
      </c>
      <c r="K2188" s="3" t="s">
        <v>27</v>
      </c>
      <c r="L2188" s="3" t="s">
        <v>28</v>
      </c>
      <c r="M2188" s="3" t="s">
        <v>27</v>
      </c>
      <c r="N2188" s="3" t="s">
        <v>28</v>
      </c>
      <c r="O2188" s="3" t="s">
        <v>27</v>
      </c>
      <c r="P2188" s="3" t="s">
        <v>28</v>
      </c>
      <c r="Q2188" s="3" t="s">
        <v>27</v>
      </c>
      <c r="R2188" s="3" t="s">
        <v>28</v>
      </c>
      <c r="S2188" s="3" t="s">
        <v>28</v>
      </c>
      <c r="T2188" s="3" t="s">
        <v>28</v>
      </c>
    </row>
    <row r="2189" spans="1:20" ht="275.25">
      <c r="A2189" s="3">
        <v>2700849</v>
      </c>
      <c r="B2189" s="3">
        <f>HYPERLINK("https://platform.v2.vetology.net/cases/2700849/screening-report/6?type=pdf&amp;v=v6&amp;scorecard=1&amp;secret_key=BX%25IJ%24%2F65ieZ%29f6", 2700849)</f>
        <v>2700849</v>
      </c>
      <c r="C2189" s="3">
        <f>HYPERLINK("https://platform.v2.vetology.net/report/v/final/"&amp;2700849, 2700849)</f>
        <v>2700849</v>
      </c>
      <c r="D2189" s="3" t="s">
        <v>7558</v>
      </c>
      <c r="E2189" s="3" t="s">
        <v>2330</v>
      </c>
      <c r="F2189" s="3" t="s">
        <v>22</v>
      </c>
      <c r="G2189" s="3" t="s">
        <v>23</v>
      </c>
      <c r="H2189" s="3" t="s">
        <v>7559</v>
      </c>
      <c r="I2189" s="3" t="s">
        <v>7560</v>
      </c>
      <c r="J2189" s="3" t="s">
        <v>502</v>
      </c>
      <c r="K2189" s="3" t="s">
        <v>27</v>
      </c>
      <c r="L2189" s="3" t="s">
        <v>28</v>
      </c>
      <c r="M2189" s="3" t="s">
        <v>27</v>
      </c>
      <c r="N2189" s="3" t="s">
        <v>28</v>
      </c>
      <c r="O2189" s="3" t="s">
        <v>27</v>
      </c>
      <c r="P2189" s="3" t="s">
        <v>28</v>
      </c>
      <c r="Q2189" s="3" t="s">
        <v>27</v>
      </c>
      <c r="R2189" s="3" t="s">
        <v>28</v>
      </c>
      <c r="S2189" s="3" t="s">
        <v>27</v>
      </c>
      <c r="T2189" s="3" t="s">
        <v>28</v>
      </c>
    </row>
    <row r="2190" spans="1:20" ht="409.6">
      <c r="A2190" s="3">
        <v>2700836</v>
      </c>
      <c r="B2190" s="3">
        <f>HYPERLINK("https://platform.v2.vetology.net/cases/2700836/screening-report/6?type=pdf&amp;v=v6&amp;scorecard=1&amp;secret_key=BX%25IJ%24%2F65ieZ%29f6", 2700836)</f>
        <v>2700836</v>
      </c>
      <c r="C2190" s="3">
        <f>HYPERLINK("https://platform.v2.vetology.net/report/v/final/"&amp;2700836, 2700836)</f>
        <v>2700836</v>
      </c>
      <c r="D2190" s="3" t="s">
        <v>7561</v>
      </c>
      <c r="E2190" s="3" t="s">
        <v>7562</v>
      </c>
      <c r="F2190" s="3"/>
      <c r="G2190" s="3" t="s">
        <v>122</v>
      </c>
      <c r="H2190" s="3" t="s">
        <v>548</v>
      </c>
      <c r="I2190" s="3" t="s">
        <v>549</v>
      </c>
      <c r="J2190" s="3" t="s">
        <v>550</v>
      </c>
      <c r="K2190" s="3" t="s">
        <v>28</v>
      </c>
      <c r="L2190" s="3" t="s">
        <v>28</v>
      </c>
      <c r="M2190" s="3" t="s">
        <v>28</v>
      </c>
      <c r="N2190" s="3" t="s">
        <v>27</v>
      </c>
      <c r="O2190" s="3" t="s">
        <v>27</v>
      </c>
      <c r="P2190" s="3" t="s">
        <v>28</v>
      </c>
      <c r="Q2190" s="3" t="s">
        <v>28</v>
      </c>
      <c r="R2190" s="3" t="s">
        <v>27</v>
      </c>
      <c r="S2190" s="3" t="s">
        <v>27</v>
      </c>
      <c r="T2190" s="3" t="s">
        <v>27</v>
      </c>
    </row>
    <row r="2191" spans="1:20" ht="305.25">
      <c r="A2191" s="3">
        <v>2700800</v>
      </c>
      <c r="B2191" s="3">
        <f>HYPERLINK("https://platform.v2.vetology.net/cases/2700800/screening-report/6?type=pdf&amp;v=v6&amp;scorecard=1&amp;secret_key=BX%25IJ%24%2F65ieZ%29f6", 2700800)</f>
        <v>2700800</v>
      </c>
      <c r="C2191" s="3">
        <f>HYPERLINK("https://platform.v2.vetology.net/report/v/final/"&amp;2700800, 2700800)</f>
        <v>2700800</v>
      </c>
      <c r="D2191" s="3" t="s">
        <v>7563</v>
      </c>
      <c r="E2191" s="3" t="s">
        <v>7564</v>
      </c>
      <c r="F2191" s="3" t="s">
        <v>7565</v>
      </c>
      <c r="G2191" s="3" t="s">
        <v>179</v>
      </c>
      <c r="H2191" s="3" t="s">
        <v>951</v>
      </c>
      <c r="I2191" s="3" t="s">
        <v>952</v>
      </c>
      <c r="J2191" s="3" t="s">
        <v>953</v>
      </c>
      <c r="K2191" s="3" t="s">
        <v>28</v>
      </c>
      <c r="L2191" s="3" t="s">
        <v>28</v>
      </c>
      <c r="M2191" s="3" t="s">
        <v>28</v>
      </c>
      <c r="N2191" s="3" t="s">
        <v>27</v>
      </c>
      <c r="O2191" s="3" t="s">
        <v>27</v>
      </c>
      <c r="P2191" s="3" t="s">
        <v>28</v>
      </c>
      <c r="Q2191" s="3" t="s">
        <v>28</v>
      </c>
      <c r="R2191" s="3" t="s">
        <v>28</v>
      </c>
      <c r="S2191" s="3" t="s">
        <v>28</v>
      </c>
      <c r="T2191" s="3" t="s">
        <v>27</v>
      </c>
    </row>
    <row r="2192" spans="1:20" ht="409.6">
      <c r="A2192" s="3">
        <v>2700776</v>
      </c>
      <c r="B2192" s="3">
        <f>HYPERLINK("https://platform.v2.vetology.net/cases/2700776/screening-report/6?type=pdf&amp;v=v6&amp;scorecard=1&amp;secret_key=BX%25IJ%24%2F65ieZ%29f6", 2700776)</f>
        <v>2700776</v>
      </c>
      <c r="C2192" s="3">
        <f>HYPERLINK("https://platform.v2.vetology.net/report/v/final/"&amp;2700776, 2700776)</f>
        <v>2700776</v>
      </c>
      <c r="D2192" s="3" t="s">
        <v>7566</v>
      </c>
      <c r="E2192" s="3" t="s">
        <v>7567</v>
      </c>
      <c r="F2192" s="3" t="s">
        <v>7568</v>
      </c>
      <c r="G2192" s="3" t="s">
        <v>64</v>
      </c>
      <c r="H2192" s="3" t="s">
        <v>7569</v>
      </c>
      <c r="I2192" s="3" t="s">
        <v>147</v>
      </c>
      <c r="J2192" s="3" t="s">
        <v>148</v>
      </c>
      <c r="K2192" s="3" t="s">
        <v>28</v>
      </c>
      <c r="L2192" s="3" t="s">
        <v>28</v>
      </c>
      <c r="M2192" s="3" t="s">
        <v>28</v>
      </c>
      <c r="N2192" s="3" t="s">
        <v>28</v>
      </c>
      <c r="O2192" s="3" t="s">
        <v>27</v>
      </c>
      <c r="P2192" s="3" t="s">
        <v>28</v>
      </c>
      <c r="Q2192" s="3" t="s">
        <v>28</v>
      </c>
      <c r="R2192" s="3" t="s">
        <v>28</v>
      </c>
      <c r="S2192" s="3" t="s">
        <v>28</v>
      </c>
      <c r="T2192" s="3" t="s">
        <v>28</v>
      </c>
    </row>
    <row r="2193" spans="1:20" ht="396.75">
      <c r="A2193" s="3">
        <v>2700774</v>
      </c>
      <c r="B2193" s="3">
        <f>HYPERLINK("https://platform.v2.vetology.net/cases/2700774/screening-report/6?type=pdf&amp;v=v6&amp;scorecard=1&amp;secret_key=BX%25IJ%24%2F65ieZ%29f6", 2700774)</f>
        <v>2700774</v>
      </c>
      <c r="C2193" s="3">
        <f>HYPERLINK("https://platform.v2.vetology.net/report/v/final/"&amp;2700774, 2700774)</f>
        <v>2700774</v>
      </c>
      <c r="D2193" s="3" t="s">
        <v>7570</v>
      </c>
      <c r="E2193" s="3" t="s">
        <v>7571</v>
      </c>
      <c r="F2193" s="3"/>
      <c r="G2193" s="3" t="s">
        <v>122</v>
      </c>
      <c r="H2193" s="3" t="s">
        <v>2892</v>
      </c>
      <c r="I2193" s="3" t="s">
        <v>2108</v>
      </c>
      <c r="J2193" s="3" t="s">
        <v>679</v>
      </c>
      <c r="K2193" s="3" t="s">
        <v>28</v>
      </c>
      <c r="L2193" s="3" t="s">
        <v>27</v>
      </c>
      <c r="M2193" s="3" t="s">
        <v>28</v>
      </c>
      <c r="N2193" s="3" t="s">
        <v>27</v>
      </c>
      <c r="O2193" s="3" t="s">
        <v>27</v>
      </c>
      <c r="P2193" s="3" t="s">
        <v>27</v>
      </c>
      <c r="Q2193" s="3" t="s">
        <v>27</v>
      </c>
      <c r="R2193" s="3" t="s">
        <v>27</v>
      </c>
      <c r="S2193" s="3" t="s">
        <v>27</v>
      </c>
      <c r="T2193" s="3" t="s">
        <v>27</v>
      </c>
    </row>
    <row r="2194" spans="1:20" ht="351">
      <c r="A2194" s="3">
        <v>2700765</v>
      </c>
      <c r="B2194" s="3">
        <f>HYPERLINK("https://platform.v2.vetology.net/cases/2700765/screening-report/6?type=pdf&amp;v=v6&amp;scorecard=1&amp;secret_key=BX%25IJ%24%2F65ieZ%29f6", 2700765)</f>
        <v>2700765</v>
      </c>
      <c r="C2194" s="3">
        <f>HYPERLINK("https://platform.v2.vetology.net/report/v/final/"&amp;2700765, 2700765)</f>
        <v>2700765</v>
      </c>
      <c r="D2194" s="3" t="s">
        <v>7572</v>
      </c>
      <c r="E2194" s="3" t="s">
        <v>7573</v>
      </c>
      <c r="F2194" s="3" t="s">
        <v>7574</v>
      </c>
      <c r="G2194" s="3" t="s">
        <v>211</v>
      </c>
      <c r="H2194" s="3" t="s">
        <v>135</v>
      </c>
      <c r="I2194" s="3" t="s">
        <v>136</v>
      </c>
      <c r="J2194" s="3" t="s">
        <v>424</v>
      </c>
      <c r="K2194" s="3" t="s">
        <v>28</v>
      </c>
      <c r="L2194" s="3" t="s">
        <v>28</v>
      </c>
      <c r="M2194" s="3" t="s">
        <v>28</v>
      </c>
      <c r="N2194" s="3" t="s">
        <v>28</v>
      </c>
      <c r="O2194" s="3" t="s">
        <v>27</v>
      </c>
      <c r="P2194" s="3" t="s">
        <v>28</v>
      </c>
      <c r="Q2194" s="3" t="s">
        <v>28</v>
      </c>
      <c r="R2194" s="3" t="s">
        <v>28</v>
      </c>
      <c r="S2194" s="3" t="s">
        <v>28</v>
      </c>
      <c r="T2194" s="3" t="s">
        <v>27</v>
      </c>
    </row>
    <row r="2195" spans="1:20" ht="409.6">
      <c r="A2195" s="3">
        <v>2700760</v>
      </c>
      <c r="B2195" s="3">
        <f>HYPERLINK("https://platform.v2.vetology.net/cases/2700760/screening-report/6?type=pdf&amp;v=v6&amp;scorecard=1&amp;secret_key=BX%25IJ%24%2F65ieZ%29f6", 2700760)</f>
        <v>2700760</v>
      </c>
      <c r="C2195" s="3">
        <f>HYPERLINK("https://platform.v2.vetology.net/report/v/final/"&amp;2700760, 2700760)</f>
        <v>2700760</v>
      </c>
      <c r="D2195" s="3" t="s">
        <v>7575</v>
      </c>
      <c r="E2195" s="3" t="s">
        <v>7576</v>
      </c>
      <c r="F2195" s="3" t="s">
        <v>7577</v>
      </c>
      <c r="G2195" s="3" t="s">
        <v>179</v>
      </c>
      <c r="H2195" s="3" t="s">
        <v>7578</v>
      </c>
      <c r="I2195" s="3" t="s">
        <v>310</v>
      </c>
      <c r="J2195" s="3" t="s">
        <v>311</v>
      </c>
      <c r="K2195" s="3" t="s">
        <v>28</v>
      </c>
      <c r="L2195" s="3" t="s">
        <v>27</v>
      </c>
      <c r="M2195" s="3" t="s">
        <v>27</v>
      </c>
      <c r="N2195" s="3" t="s">
        <v>27</v>
      </c>
      <c r="O2195" s="3" t="s">
        <v>27</v>
      </c>
      <c r="P2195" s="3" t="s">
        <v>28</v>
      </c>
      <c r="Q2195" s="3" t="s">
        <v>27</v>
      </c>
      <c r="R2195" s="3" t="s">
        <v>27</v>
      </c>
      <c r="S2195" s="3" t="s">
        <v>27</v>
      </c>
      <c r="T2195" s="3" t="s">
        <v>27</v>
      </c>
    </row>
    <row r="2196" spans="1:20" ht="409.6">
      <c r="A2196" s="3">
        <v>2700697</v>
      </c>
      <c r="B2196" s="3">
        <f>HYPERLINK("https://platform.v2.vetology.net/cases/2700697/screening-report/6?type=pdf&amp;v=v6&amp;scorecard=1&amp;secret_key=BX%25IJ%24%2F65ieZ%29f6", 2700697)</f>
        <v>2700697</v>
      </c>
      <c r="C2196" s="3">
        <f>HYPERLINK("https://platform.v2.vetology.net/report/v/final/"&amp;2700697, 2700697)</f>
        <v>2700697</v>
      </c>
      <c r="D2196" s="3" t="s">
        <v>7579</v>
      </c>
      <c r="E2196" s="3" t="s">
        <v>7580</v>
      </c>
      <c r="F2196" s="3" t="s">
        <v>7581</v>
      </c>
      <c r="G2196" s="3" t="s">
        <v>64</v>
      </c>
      <c r="H2196" s="3" t="s">
        <v>5439</v>
      </c>
      <c r="I2196" s="3" t="s">
        <v>3369</v>
      </c>
      <c r="J2196" s="3" t="s">
        <v>207</v>
      </c>
      <c r="K2196" s="3" t="s">
        <v>28</v>
      </c>
      <c r="L2196" s="3" t="s">
        <v>28</v>
      </c>
      <c r="M2196" s="3" t="s">
        <v>28</v>
      </c>
      <c r="N2196" s="3" t="s">
        <v>28</v>
      </c>
      <c r="O2196" s="3" t="s">
        <v>28</v>
      </c>
      <c r="P2196" s="3" t="s">
        <v>28</v>
      </c>
      <c r="Q2196" s="3" t="s">
        <v>28</v>
      </c>
      <c r="R2196" s="3" t="s">
        <v>28</v>
      </c>
      <c r="S2196" s="3" t="s">
        <v>28</v>
      </c>
      <c r="T2196" s="3" t="s">
        <v>28</v>
      </c>
    </row>
    <row r="2197" spans="1:20" ht="213">
      <c r="A2197" s="3">
        <v>2700654</v>
      </c>
      <c r="B2197" s="3">
        <f>HYPERLINK("https://platform.v2.vetology.net/cases/2700654/screening-report/6?type=pdf&amp;v=v6&amp;scorecard=1&amp;secret_key=BX%25IJ%24%2F65ieZ%29f6", 2700654)</f>
        <v>2700654</v>
      </c>
      <c r="C2197" s="3">
        <f>HYPERLINK("https://platform.v2.vetology.net/report/v/final/"&amp;2700654, 2700654)</f>
        <v>2700654</v>
      </c>
      <c r="D2197" s="3" t="s">
        <v>7582</v>
      </c>
      <c r="E2197" s="3" t="s">
        <v>7583</v>
      </c>
      <c r="F2197" s="3" t="s">
        <v>7584</v>
      </c>
      <c r="G2197" s="3" t="s">
        <v>23</v>
      </c>
      <c r="H2197" s="3" t="s">
        <v>7585</v>
      </c>
      <c r="I2197" s="3" t="s">
        <v>305</v>
      </c>
      <c r="J2197" s="3" t="s">
        <v>799</v>
      </c>
      <c r="K2197" s="3" t="s">
        <v>28</v>
      </c>
      <c r="L2197" s="3" t="s">
        <v>28</v>
      </c>
      <c r="M2197" s="3" t="s">
        <v>28</v>
      </c>
      <c r="N2197" s="3" t="s">
        <v>28</v>
      </c>
      <c r="O2197" s="3" t="s">
        <v>28</v>
      </c>
      <c r="P2197" s="3" t="s">
        <v>28</v>
      </c>
      <c r="Q2197" s="3" t="s">
        <v>28</v>
      </c>
      <c r="R2197" s="3" t="s">
        <v>28</v>
      </c>
      <c r="S2197" s="3" t="s">
        <v>28</v>
      </c>
      <c r="T2197" s="3" t="s">
        <v>28</v>
      </c>
    </row>
    <row r="2198" spans="1:20" ht="351">
      <c r="A2198" s="3">
        <v>2700624</v>
      </c>
      <c r="B2198" s="3">
        <f>HYPERLINK("https://platform.v2.vetology.net/cases/2700624/screening-report/6?type=pdf&amp;v=v6&amp;scorecard=1&amp;secret_key=BX%25IJ%24%2F65ieZ%29f6", 2700624)</f>
        <v>2700624</v>
      </c>
      <c r="C2198" s="3">
        <f>HYPERLINK("https://platform.v2.vetology.net/report/v/final/"&amp;2700624, 2700624)</f>
        <v>2700624</v>
      </c>
      <c r="D2198" s="3" t="s">
        <v>7586</v>
      </c>
      <c r="E2198" s="3" t="s">
        <v>7587</v>
      </c>
      <c r="F2198" s="3" t="s">
        <v>22</v>
      </c>
      <c r="G2198" s="3" t="s">
        <v>100</v>
      </c>
      <c r="H2198" s="3" t="s">
        <v>7588</v>
      </c>
      <c r="I2198" s="3" t="s">
        <v>2545</v>
      </c>
      <c r="J2198" s="3" t="s">
        <v>2546</v>
      </c>
      <c r="K2198" s="3" t="s">
        <v>27</v>
      </c>
      <c r="L2198" s="3" t="s">
        <v>27</v>
      </c>
      <c r="M2198" s="3" t="s">
        <v>27</v>
      </c>
      <c r="N2198" s="3" t="s">
        <v>28</v>
      </c>
      <c r="O2198" s="3" t="s">
        <v>27</v>
      </c>
      <c r="P2198" s="3" t="s">
        <v>28</v>
      </c>
      <c r="Q2198" s="3" t="s">
        <v>27</v>
      </c>
      <c r="R2198" s="3" t="s">
        <v>27</v>
      </c>
      <c r="S2198" s="3" t="s">
        <v>27</v>
      </c>
      <c r="T2198" s="3" t="s">
        <v>28</v>
      </c>
    </row>
    <row r="2199" spans="1:20" ht="409.6">
      <c r="A2199" s="3">
        <v>2700590</v>
      </c>
      <c r="B2199" s="3">
        <f>HYPERLINK("https://platform.v2.vetology.net/cases/2700590/screening-report/6?type=pdf&amp;v=v6&amp;scorecard=1&amp;secret_key=BX%25IJ%24%2F65ieZ%29f6", 2700590)</f>
        <v>2700590</v>
      </c>
      <c r="C2199" s="3">
        <f>HYPERLINK("https://platform.v2.vetology.net/report/v/final/"&amp;2700590, 2700590)</f>
        <v>2700590</v>
      </c>
      <c r="D2199" s="3" t="s">
        <v>7589</v>
      </c>
      <c r="E2199" s="3" t="s">
        <v>7590</v>
      </c>
      <c r="F2199" s="3" t="s">
        <v>22</v>
      </c>
      <c r="G2199" s="3" t="s">
        <v>23</v>
      </c>
      <c r="H2199" s="3" t="s">
        <v>7591</v>
      </c>
      <c r="I2199" s="3" t="s">
        <v>939</v>
      </c>
      <c r="J2199" s="3" t="s">
        <v>940</v>
      </c>
      <c r="K2199" s="3" t="s">
        <v>27</v>
      </c>
      <c r="L2199" s="3" t="s">
        <v>28</v>
      </c>
      <c r="M2199" s="3" t="s">
        <v>28</v>
      </c>
      <c r="N2199" s="3" t="s">
        <v>28</v>
      </c>
      <c r="O2199" s="3" t="s">
        <v>27</v>
      </c>
      <c r="P2199" s="3" t="s">
        <v>27</v>
      </c>
      <c r="Q2199" s="3" t="s">
        <v>28</v>
      </c>
      <c r="R2199" s="3" t="s">
        <v>28</v>
      </c>
      <c r="S2199" s="3" t="s">
        <v>28</v>
      </c>
      <c r="T2199" s="3" t="s">
        <v>28</v>
      </c>
    </row>
    <row r="2200" spans="1:20" ht="409.6">
      <c r="A2200" s="3">
        <v>2700573</v>
      </c>
      <c r="B2200" s="3">
        <f>HYPERLINK("https://platform.v2.vetology.net/cases/2700573/screening-report/6?type=pdf&amp;v=v6&amp;scorecard=1&amp;secret_key=BX%25IJ%24%2F65ieZ%29f6", 2700573)</f>
        <v>2700573</v>
      </c>
      <c r="C2200" s="3">
        <f>HYPERLINK("https://platform.v2.vetology.net/report/v/final/"&amp;2700573, 2700573)</f>
        <v>2700573</v>
      </c>
      <c r="D2200" s="3" t="s">
        <v>7592</v>
      </c>
      <c r="E2200" s="3" t="s">
        <v>7593</v>
      </c>
      <c r="F2200" s="3" t="s">
        <v>7594</v>
      </c>
      <c r="G2200" s="3" t="s">
        <v>57</v>
      </c>
      <c r="H2200" s="3" t="s">
        <v>7595</v>
      </c>
      <c r="I2200" s="3" t="s">
        <v>2068</v>
      </c>
      <c r="J2200" s="3" t="s">
        <v>2069</v>
      </c>
      <c r="K2200" s="3" t="s">
        <v>28</v>
      </c>
      <c r="L2200" s="3" t="s">
        <v>27</v>
      </c>
      <c r="M2200" s="3" t="s">
        <v>27</v>
      </c>
      <c r="N2200" s="3" t="s">
        <v>27</v>
      </c>
      <c r="O2200" s="3" t="s">
        <v>27</v>
      </c>
      <c r="P2200" s="3" t="s">
        <v>28</v>
      </c>
      <c r="Q2200" s="3" t="s">
        <v>27</v>
      </c>
      <c r="R2200" s="3" t="s">
        <v>27</v>
      </c>
      <c r="S2200" s="3" t="s">
        <v>27</v>
      </c>
      <c r="T2200" s="3" t="s">
        <v>27</v>
      </c>
    </row>
    <row r="2201" spans="1:20" ht="409.6">
      <c r="A2201" s="3">
        <v>2700561</v>
      </c>
      <c r="B2201" s="3">
        <f>HYPERLINK("https://platform.v2.vetology.net/cases/2700561/screening-report/6?type=pdf&amp;v=v6&amp;scorecard=1&amp;secret_key=BX%25IJ%24%2F65ieZ%29f6", 2700561)</f>
        <v>2700561</v>
      </c>
      <c r="C2201" s="3">
        <f>HYPERLINK("https://platform.v2.vetology.net/report/v/final/"&amp;2700561, 2700561)</f>
        <v>2700561</v>
      </c>
      <c r="D2201" s="3" t="s">
        <v>7596</v>
      </c>
      <c r="E2201" s="3" t="s">
        <v>7597</v>
      </c>
      <c r="F2201" s="3" t="s">
        <v>7598</v>
      </c>
      <c r="G2201" s="3" t="s">
        <v>179</v>
      </c>
      <c r="H2201" s="3" t="s">
        <v>7599</v>
      </c>
      <c r="I2201" s="3" t="s">
        <v>1417</v>
      </c>
      <c r="J2201" s="3" t="s">
        <v>1418</v>
      </c>
      <c r="K2201" s="3" t="s">
        <v>27</v>
      </c>
      <c r="L2201" s="3" t="s">
        <v>28</v>
      </c>
      <c r="M2201" s="3" t="s">
        <v>27</v>
      </c>
      <c r="N2201" s="3" t="s">
        <v>28</v>
      </c>
      <c r="O2201" s="3" t="s">
        <v>27</v>
      </c>
      <c r="P2201" s="3" t="s">
        <v>27</v>
      </c>
      <c r="Q2201" s="3" t="s">
        <v>27</v>
      </c>
      <c r="R2201" s="3" t="s">
        <v>28</v>
      </c>
      <c r="S2201" s="3" t="s">
        <v>28</v>
      </c>
      <c r="T2201" s="3" t="s">
        <v>28</v>
      </c>
    </row>
    <row r="2202" spans="1:20" ht="366">
      <c r="A2202" s="3">
        <v>2700554</v>
      </c>
      <c r="B2202" s="3">
        <f>HYPERLINK("https://platform.v2.vetology.net/cases/2700554/screening-report/6?type=pdf&amp;v=v6&amp;scorecard=1&amp;secret_key=BX%25IJ%24%2F65ieZ%29f6", 2700554)</f>
        <v>2700554</v>
      </c>
      <c r="C2202" s="3">
        <f>HYPERLINK("https://platform.v2.vetology.net/report/v/final/"&amp;2700554, 2700554)</f>
        <v>2700554</v>
      </c>
      <c r="D2202" s="3" t="s">
        <v>7600</v>
      </c>
      <c r="E2202" s="3" t="s">
        <v>7601</v>
      </c>
      <c r="F2202" s="3" t="s">
        <v>7602</v>
      </c>
      <c r="G2202" s="3" t="s">
        <v>211</v>
      </c>
      <c r="H2202" s="3" t="s">
        <v>4035</v>
      </c>
      <c r="I2202" s="3"/>
      <c r="J2202" s="3" t="s">
        <v>207</v>
      </c>
      <c r="K2202" s="3" t="s">
        <v>28</v>
      </c>
      <c r="L2202" s="3" t="s">
        <v>28</v>
      </c>
      <c r="M2202" s="3" t="s">
        <v>28</v>
      </c>
      <c r="N2202" s="3" t="s">
        <v>28</v>
      </c>
      <c r="O2202" s="3" t="s">
        <v>27</v>
      </c>
      <c r="P2202" s="3" t="s">
        <v>28</v>
      </c>
      <c r="Q2202" s="3" t="s">
        <v>28</v>
      </c>
      <c r="R2202" s="3" t="s">
        <v>28</v>
      </c>
      <c r="S2202" s="3" t="s">
        <v>28</v>
      </c>
      <c r="T2202" s="3" t="s">
        <v>27</v>
      </c>
    </row>
    <row r="2203" spans="1:20" ht="409.6">
      <c r="A2203" s="3">
        <v>2700521</v>
      </c>
      <c r="B2203" s="3">
        <f>HYPERLINK("https://platform.v2.vetology.net/cases/2700521/screening-report/6?type=pdf&amp;v=v6&amp;scorecard=1&amp;secret_key=BX%25IJ%24%2F65ieZ%29f6", 2700521)</f>
        <v>2700521</v>
      </c>
      <c r="C2203" s="3">
        <f>HYPERLINK("https://platform.v2.vetology.net/report/v/final/"&amp;2700521, 2700521)</f>
        <v>2700521</v>
      </c>
      <c r="D2203" s="3" t="s">
        <v>7603</v>
      </c>
      <c r="E2203" s="3" t="s">
        <v>7604</v>
      </c>
      <c r="F2203" s="3" t="s">
        <v>7605</v>
      </c>
      <c r="G2203" s="3" t="s">
        <v>57</v>
      </c>
      <c r="H2203" s="3" t="s">
        <v>855</v>
      </c>
      <c r="I2203" s="3" t="s">
        <v>856</v>
      </c>
      <c r="J2203" s="3" t="s">
        <v>857</v>
      </c>
      <c r="K2203" s="3" t="s">
        <v>27</v>
      </c>
      <c r="L2203" s="3" t="s">
        <v>28</v>
      </c>
      <c r="M2203" s="3" t="s">
        <v>28</v>
      </c>
      <c r="N2203" s="3" t="s">
        <v>28</v>
      </c>
      <c r="O2203" s="3" t="s">
        <v>27</v>
      </c>
      <c r="P2203" s="3" t="s">
        <v>28</v>
      </c>
      <c r="Q2203" s="3" t="s">
        <v>28</v>
      </c>
      <c r="R2203" s="3" t="s">
        <v>28</v>
      </c>
      <c r="S2203" s="3" t="s">
        <v>28</v>
      </c>
      <c r="T2203" s="3" t="s">
        <v>28</v>
      </c>
    </row>
    <row r="2204" spans="1:20" ht="305.25">
      <c r="A2204" s="3">
        <v>2700511</v>
      </c>
      <c r="B2204" s="3">
        <f>HYPERLINK("https://platform.v2.vetology.net/cases/2700511/screening-report/6?type=pdf&amp;v=v6&amp;scorecard=1&amp;secret_key=BX%25IJ%24%2F65ieZ%29f6", 2700511)</f>
        <v>2700511</v>
      </c>
      <c r="C2204" s="3">
        <f>HYPERLINK("https://platform.v2.vetology.net/report/v/final/"&amp;2700511, 2700511)</f>
        <v>2700511</v>
      </c>
      <c r="D2204" s="3" t="s">
        <v>7606</v>
      </c>
      <c r="E2204" s="3" t="s">
        <v>7607</v>
      </c>
      <c r="F2204" s="3" t="s">
        <v>7608</v>
      </c>
      <c r="G2204" s="3" t="s">
        <v>179</v>
      </c>
      <c r="H2204" s="3" t="s">
        <v>31</v>
      </c>
      <c r="I2204" s="3" t="s">
        <v>32</v>
      </c>
      <c r="J2204" s="3" t="s">
        <v>33</v>
      </c>
      <c r="K2204" s="3" t="s">
        <v>28</v>
      </c>
      <c r="L2204" s="3" t="s">
        <v>28</v>
      </c>
      <c r="M2204" s="3" t="s">
        <v>28</v>
      </c>
      <c r="N2204" s="3" t="s">
        <v>28</v>
      </c>
      <c r="O2204" s="3" t="s">
        <v>28</v>
      </c>
      <c r="P2204" s="3" t="s">
        <v>28</v>
      </c>
      <c r="Q2204" s="3" t="s">
        <v>28</v>
      </c>
      <c r="R2204" s="3" t="s">
        <v>28</v>
      </c>
      <c r="S2204" s="3" t="s">
        <v>28</v>
      </c>
      <c r="T2204" s="3" t="s">
        <v>28</v>
      </c>
    </row>
    <row r="2205" spans="1:20" ht="305.25">
      <c r="A2205" s="3">
        <v>2700506</v>
      </c>
      <c r="B2205" s="3">
        <f>HYPERLINK("https://platform.v2.vetology.net/cases/2700506/screening-report/6?type=pdf&amp;v=v6&amp;scorecard=1&amp;secret_key=BX%25IJ%24%2F65ieZ%29f6", 2700506)</f>
        <v>2700506</v>
      </c>
      <c r="C2205" s="3">
        <f>HYPERLINK("https://platform.v2.vetology.net/report/v/final/"&amp;2700506, 2700506)</f>
        <v>2700506</v>
      </c>
      <c r="D2205" s="3" t="s">
        <v>7609</v>
      </c>
      <c r="E2205" s="3" t="s">
        <v>7610</v>
      </c>
      <c r="F2205" s="3" t="s">
        <v>22</v>
      </c>
      <c r="G2205" s="3" t="s">
        <v>23</v>
      </c>
      <c r="H2205" s="3" t="s">
        <v>7611</v>
      </c>
      <c r="I2205" s="3" t="s">
        <v>3369</v>
      </c>
      <c r="J2205" s="3" t="s">
        <v>207</v>
      </c>
      <c r="K2205" s="3" t="s">
        <v>28</v>
      </c>
      <c r="L2205" s="3" t="s">
        <v>28</v>
      </c>
      <c r="M2205" s="3" t="s">
        <v>28</v>
      </c>
      <c r="N2205" s="3" t="s">
        <v>28</v>
      </c>
      <c r="O2205" s="3" t="s">
        <v>28</v>
      </c>
      <c r="P2205" s="3" t="s">
        <v>28</v>
      </c>
      <c r="Q2205" s="3" t="s">
        <v>28</v>
      </c>
      <c r="R2205" s="3" t="s">
        <v>28</v>
      </c>
      <c r="S2205" s="3" t="s">
        <v>28</v>
      </c>
      <c r="T2205" s="3" t="s">
        <v>28</v>
      </c>
    </row>
    <row r="2206" spans="1:20" ht="409.6">
      <c r="A2206" s="3">
        <v>2700489</v>
      </c>
      <c r="B2206" s="3">
        <f>HYPERLINK("https://platform.v2.vetology.net/cases/2700489/screening-report/6?type=pdf&amp;v=v6&amp;scorecard=1&amp;secret_key=BX%25IJ%24%2F65ieZ%29f6", 2700489)</f>
        <v>2700489</v>
      </c>
      <c r="C2206" s="3">
        <f>HYPERLINK("https://platform.v2.vetology.net/report/v/final/"&amp;2700489, 2700489)</f>
        <v>2700489</v>
      </c>
      <c r="D2206" s="3" t="s">
        <v>7612</v>
      </c>
      <c r="E2206" s="3" t="s">
        <v>7613</v>
      </c>
      <c r="F2206" s="3" t="s">
        <v>4896</v>
      </c>
      <c r="G2206" s="3" t="s">
        <v>57</v>
      </c>
      <c r="H2206" s="3" t="s">
        <v>7614</v>
      </c>
      <c r="I2206" s="3" t="s">
        <v>555</v>
      </c>
      <c r="J2206" s="3" t="s">
        <v>556</v>
      </c>
      <c r="K2206" s="3" t="s">
        <v>27</v>
      </c>
      <c r="L2206" s="3" t="s">
        <v>28</v>
      </c>
      <c r="M2206" s="3" t="s">
        <v>28</v>
      </c>
      <c r="N2206" s="3" t="s">
        <v>28</v>
      </c>
      <c r="O2206" s="3" t="s">
        <v>28</v>
      </c>
      <c r="P2206" s="3" t="s">
        <v>28</v>
      </c>
      <c r="Q2206" s="3" t="s">
        <v>28</v>
      </c>
      <c r="R2206" s="3" t="s">
        <v>28</v>
      </c>
      <c r="S2206" s="3" t="s">
        <v>28</v>
      </c>
      <c r="T2206" s="3" t="s">
        <v>28</v>
      </c>
    </row>
    <row r="2207" spans="1:20" ht="409.6">
      <c r="A2207" s="3">
        <v>2700432</v>
      </c>
      <c r="B2207" s="3">
        <f>HYPERLINK("https://platform.v2.vetology.net/cases/2700432/screening-report/6?type=pdf&amp;v=v6&amp;scorecard=1&amp;secret_key=BX%25IJ%24%2F65ieZ%29f6", 2700432)</f>
        <v>2700432</v>
      </c>
      <c r="C2207" s="3">
        <f>HYPERLINK("https://platform.v2.vetology.net/report/v/final/"&amp;2700432, 2700432)</f>
        <v>2700432</v>
      </c>
      <c r="D2207" s="3" t="s">
        <v>7615</v>
      </c>
      <c r="E2207" s="3" t="s">
        <v>7616</v>
      </c>
      <c r="F2207" s="3" t="s">
        <v>56</v>
      </c>
      <c r="G2207" s="3" t="s">
        <v>57</v>
      </c>
      <c r="H2207" s="3" t="s">
        <v>1421</v>
      </c>
      <c r="I2207" s="3" t="s">
        <v>32</v>
      </c>
      <c r="J2207" s="3" t="s">
        <v>119</v>
      </c>
      <c r="K2207" s="3" t="s">
        <v>28</v>
      </c>
      <c r="L2207" s="3" t="s">
        <v>28</v>
      </c>
      <c r="M2207" s="3" t="s">
        <v>28</v>
      </c>
      <c r="N2207" s="3" t="s">
        <v>28</v>
      </c>
      <c r="O2207" s="3" t="s">
        <v>28</v>
      </c>
      <c r="P2207" s="3" t="s">
        <v>28</v>
      </c>
      <c r="Q2207" s="3" t="s">
        <v>28</v>
      </c>
      <c r="R2207" s="3" t="s">
        <v>28</v>
      </c>
      <c r="S2207" s="3" t="s">
        <v>28</v>
      </c>
      <c r="T2207" s="3" t="s">
        <v>28</v>
      </c>
    </row>
    <row r="2208" spans="1:20" ht="409.6">
      <c r="A2208" s="3">
        <v>2700422</v>
      </c>
      <c r="B2208" s="3">
        <f>HYPERLINK("https://platform.v2.vetology.net/cases/2700422/screening-report/6?type=pdf&amp;v=v6&amp;scorecard=1&amp;secret_key=BX%25IJ%24%2F65ieZ%29f6", 2700422)</f>
        <v>2700422</v>
      </c>
      <c r="C2208" s="3">
        <f>HYPERLINK("https://platform.v2.vetology.net/report/v/final/"&amp;2700422, 2700422)</f>
        <v>2700422</v>
      </c>
      <c r="D2208" s="3" t="s">
        <v>7617</v>
      </c>
      <c r="E2208" s="3" t="s">
        <v>7618</v>
      </c>
      <c r="F2208" s="3" t="s">
        <v>7619</v>
      </c>
      <c r="G2208" s="3" t="s">
        <v>179</v>
      </c>
      <c r="H2208" s="3" t="s">
        <v>7620</v>
      </c>
      <c r="I2208" s="3" t="s">
        <v>1057</v>
      </c>
      <c r="J2208" s="3" t="s">
        <v>1058</v>
      </c>
      <c r="K2208" s="3" t="s">
        <v>28</v>
      </c>
      <c r="L2208" s="3" t="s">
        <v>28</v>
      </c>
      <c r="M2208" s="3" t="s">
        <v>28</v>
      </c>
      <c r="N2208" s="3" t="s">
        <v>28</v>
      </c>
      <c r="O2208" s="3" t="s">
        <v>27</v>
      </c>
      <c r="P2208" s="3" t="s">
        <v>28</v>
      </c>
      <c r="Q2208" s="3" t="s">
        <v>28</v>
      </c>
      <c r="R2208" s="3" t="s">
        <v>28</v>
      </c>
      <c r="S2208" s="3" t="s">
        <v>28</v>
      </c>
      <c r="T2208" s="3" t="s">
        <v>27</v>
      </c>
    </row>
    <row r="2209" spans="1:20" ht="409.6">
      <c r="A2209" s="3">
        <v>2700421</v>
      </c>
      <c r="B2209" s="3">
        <f>HYPERLINK("https://platform.v2.vetology.net/cases/2700421/screening-report/6?type=pdf&amp;v=v6&amp;scorecard=1&amp;secret_key=BX%25IJ%24%2F65ieZ%29f6", 2700421)</f>
        <v>2700421</v>
      </c>
      <c r="C2209" s="3">
        <f>HYPERLINK("https://platform.v2.vetology.net/report/v/final/"&amp;2700421, 2700421)</f>
        <v>2700421</v>
      </c>
      <c r="D2209" s="3" t="s">
        <v>7621</v>
      </c>
      <c r="E2209" s="3" t="s">
        <v>7622</v>
      </c>
      <c r="F2209" s="3" t="s">
        <v>7623</v>
      </c>
      <c r="G2209" s="3" t="s">
        <v>211</v>
      </c>
      <c r="H2209" s="3" t="s">
        <v>7624</v>
      </c>
      <c r="I2209" s="3" t="s">
        <v>659</v>
      </c>
      <c r="J2209" s="3" t="s">
        <v>660</v>
      </c>
      <c r="K2209" s="3" t="s">
        <v>28</v>
      </c>
      <c r="L2209" s="3" t="s">
        <v>28</v>
      </c>
      <c r="M2209" s="3" t="s">
        <v>27</v>
      </c>
      <c r="N2209" s="3" t="s">
        <v>28</v>
      </c>
      <c r="O2209" s="3" t="s">
        <v>28</v>
      </c>
      <c r="P2209" s="3" t="s">
        <v>28</v>
      </c>
      <c r="Q2209" s="3" t="s">
        <v>28</v>
      </c>
      <c r="R2209" s="3" t="s">
        <v>28</v>
      </c>
      <c r="S2209" s="3" t="s">
        <v>27</v>
      </c>
      <c r="T2209" s="3" t="s">
        <v>28</v>
      </c>
    </row>
    <row r="2210" spans="1:20" ht="381.75">
      <c r="A2210" s="3">
        <v>2700361</v>
      </c>
      <c r="B2210" s="3">
        <f>HYPERLINK("https://platform.v2.vetology.net/cases/2700361/screening-report/6?type=pdf&amp;v=v6&amp;scorecard=1&amp;secret_key=BX%25IJ%24%2F65ieZ%29f6", 2700361)</f>
        <v>2700361</v>
      </c>
      <c r="C2210" s="3">
        <f>HYPERLINK("https://platform.v2.vetology.net/report/v/final/"&amp;2700361, 2700361)</f>
        <v>2700361</v>
      </c>
      <c r="D2210" s="3" t="s">
        <v>7625</v>
      </c>
      <c r="E2210" s="3" t="s">
        <v>7626</v>
      </c>
      <c r="F2210" s="3" t="s">
        <v>7627</v>
      </c>
      <c r="G2210" s="3" t="s">
        <v>186</v>
      </c>
      <c r="H2210" s="3" t="s">
        <v>2864</v>
      </c>
      <c r="I2210" s="3" t="s">
        <v>993</v>
      </c>
      <c r="J2210" s="3" t="s">
        <v>994</v>
      </c>
      <c r="K2210" s="3" t="s">
        <v>28</v>
      </c>
      <c r="L2210" s="3" t="s">
        <v>28</v>
      </c>
      <c r="M2210" s="3" t="s">
        <v>28</v>
      </c>
      <c r="N2210" s="3" t="s">
        <v>28</v>
      </c>
      <c r="O2210" s="3" t="s">
        <v>27</v>
      </c>
      <c r="P2210" s="3" t="s">
        <v>28</v>
      </c>
      <c r="Q2210" s="3" t="s">
        <v>28</v>
      </c>
      <c r="R2210" s="3" t="s">
        <v>28</v>
      </c>
      <c r="S2210" s="3" t="s">
        <v>28</v>
      </c>
      <c r="T2210" s="3" t="s">
        <v>28</v>
      </c>
    </row>
    <row r="2211" spans="1:20" ht="275.25">
      <c r="A2211" s="3">
        <v>2700224</v>
      </c>
      <c r="B2211" s="3">
        <f>HYPERLINK("https://platform.v2.vetology.net/cases/2700224/screening-report/6?type=pdf&amp;v=v6&amp;scorecard=1&amp;secret_key=BX%25IJ%24%2F65ieZ%29f6", 2700224)</f>
        <v>2700224</v>
      </c>
      <c r="C2211" s="3">
        <f>HYPERLINK("https://platform.v2.vetology.net/report/v/final/"&amp;2700224, 2700224)</f>
        <v>2700224</v>
      </c>
      <c r="D2211" s="3" t="s">
        <v>7628</v>
      </c>
      <c r="E2211" s="3" t="s">
        <v>7629</v>
      </c>
      <c r="F2211" s="3" t="s">
        <v>260</v>
      </c>
      <c r="G2211" s="3" t="s">
        <v>186</v>
      </c>
      <c r="H2211" s="3" t="s">
        <v>7630</v>
      </c>
      <c r="I2211" s="3" t="s">
        <v>2200</v>
      </c>
      <c r="J2211" s="3" t="s">
        <v>2201</v>
      </c>
      <c r="K2211" s="3" t="s">
        <v>28</v>
      </c>
      <c r="L2211" s="3" t="s">
        <v>28</v>
      </c>
      <c r="M2211" s="3" t="s">
        <v>28</v>
      </c>
      <c r="N2211" s="3" t="s">
        <v>28</v>
      </c>
      <c r="O2211" s="3" t="s">
        <v>28</v>
      </c>
      <c r="P2211" s="3" t="s">
        <v>28</v>
      </c>
      <c r="Q2211" s="3" t="s">
        <v>28</v>
      </c>
      <c r="R2211" s="3" t="s">
        <v>28</v>
      </c>
      <c r="S2211" s="3" t="s">
        <v>28</v>
      </c>
      <c r="T2211" s="3" t="s">
        <v>27</v>
      </c>
    </row>
    <row r="2212" spans="1:20" ht="321">
      <c r="A2212" s="3">
        <v>2700215</v>
      </c>
      <c r="B2212" s="3">
        <f>HYPERLINK("https://platform.v2.vetology.net/cases/2700215/screening-report/6?type=pdf&amp;v=v6&amp;scorecard=1&amp;secret_key=BX%25IJ%24%2F65ieZ%29f6", 2700215)</f>
        <v>2700215</v>
      </c>
      <c r="C2212" s="3">
        <f>HYPERLINK("https://platform.v2.vetology.net/report/v/final/"&amp;2700215, 2700215)</f>
        <v>2700215</v>
      </c>
      <c r="D2212" s="3" t="s">
        <v>7631</v>
      </c>
      <c r="E2212" s="3" t="s">
        <v>7632</v>
      </c>
      <c r="F2212" s="3" t="s">
        <v>7633</v>
      </c>
      <c r="G2212" s="3" t="s">
        <v>186</v>
      </c>
      <c r="H2212" s="3" t="s">
        <v>7634</v>
      </c>
      <c r="I2212" s="3" t="s">
        <v>233</v>
      </c>
      <c r="J2212" s="3" t="s">
        <v>234</v>
      </c>
      <c r="K2212" s="3" t="s">
        <v>28</v>
      </c>
      <c r="L2212" s="3" t="s">
        <v>28</v>
      </c>
      <c r="M2212" s="3" t="s">
        <v>27</v>
      </c>
      <c r="N2212" s="3" t="s">
        <v>28</v>
      </c>
      <c r="O2212" s="3" t="s">
        <v>27</v>
      </c>
      <c r="P2212" s="3" t="s">
        <v>28</v>
      </c>
      <c r="Q2212" s="3" t="s">
        <v>28</v>
      </c>
      <c r="R2212" s="3" t="s">
        <v>28</v>
      </c>
      <c r="S2212" s="3" t="s">
        <v>28</v>
      </c>
      <c r="T2212" s="3" t="s">
        <v>28</v>
      </c>
    </row>
    <row r="2213" spans="1:20" ht="275.25">
      <c r="A2213" s="3">
        <v>2700180</v>
      </c>
      <c r="B2213" s="3">
        <f>HYPERLINK("https://platform.v2.vetology.net/cases/2700180/screening-report/6?type=pdf&amp;v=v6&amp;scorecard=1&amp;secret_key=BX%25IJ%24%2F65ieZ%29f6", 2700180)</f>
        <v>2700180</v>
      </c>
      <c r="C2213" s="3">
        <f>HYPERLINK("https://platform.v2.vetology.net/report/v/final/"&amp;2700180, 2700180)</f>
        <v>2700180</v>
      </c>
      <c r="D2213" s="3" t="s">
        <v>7635</v>
      </c>
      <c r="E2213" s="3" t="s">
        <v>7636</v>
      </c>
      <c r="F2213" s="3" t="s">
        <v>7637</v>
      </c>
      <c r="G2213" s="3" t="s">
        <v>186</v>
      </c>
      <c r="H2213" s="3" t="s">
        <v>223</v>
      </c>
      <c r="I2213" s="3" t="s">
        <v>224</v>
      </c>
      <c r="J2213" s="3" t="s">
        <v>225</v>
      </c>
      <c r="K2213" s="3" t="s">
        <v>28</v>
      </c>
      <c r="L2213" s="3" t="s">
        <v>28</v>
      </c>
      <c r="M2213" s="3" t="s">
        <v>28</v>
      </c>
      <c r="N2213" s="3" t="s">
        <v>28</v>
      </c>
      <c r="O2213" s="3" t="s">
        <v>27</v>
      </c>
      <c r="P2213" s="3" t="s">
        <v>28</v>
      </c>
      <c r="Q2213" s="3" t="s">
        <v>28</v>
      </c>
      <c r="R2213" s="3" t="s">
        <v>28</v>
      </c>
      <c r="S2213" s="3" t="s">
        <v>27</v>
      </c>
      <c r="T2213" s="3" t="s">
        <v>27</v>
      </c>
    </row>
    <row r="2214" spans="1:20" ht="351">
      <c r="A2214" s="3">
        <v>2700166</v>
      </c>
      <c r="B2214" s="3">
        <f>HYPERLINK("https://platform.v2.vetology.net/cases/2700166/screening-report/6?type=pdf&amp;v=v6&amp;scorecard=1&amp;secret_key=BX%25IJ%24%2F65ieZ%29f6", 2700166)</f>
        <v>2700166</v>
      </c>
      <c r="C2214" s="3">
        <f>HYPERLINK("https://platform.v2.vetology.net/report/v/final/"&amp;2700166, 2700166)</f>
        <v>2700166</v>
      </c>
      <c r="D2214" s="3" t="s">
        <v>7638</v>
      </c>
      <c r="E2214" s="3" t="s">
        <v>7639</v>
      </c>
      <c r="F2214" s="3" t="s">
        <v>7640</v>
      </c>
      <c r="G2214" s="3" t="s">
        <v>23</v>
      </c>
      <c r="H2214" s="3" t="s">
        <v>7641</v>
      </c>
      <c r="I2214" s="3" t="s">
        <v>181</v>
      </c>
      <c r="J2214" s="3" t="s">
        <v>182</v>
      </c>
      <c r="K2214" s="3" t="s">
        <v>28</v>
      </c>
      <c r="L2214" s="3" t="s">
        <v>27</v>
      </c>
      <c r="M2214" s="3" t="s">
        <v>27</v>
      </c>
      <c r="N2214" s="3" t="s">
        <v>27</v>
      </c>
      <c r="O2214" s="3" t="s">
        <v>27</v>
      </c>
      <c r="P2214" s="3" t="s">
        <v>28</v>
      </c>
      <c r="Q2214" s="3" t="s">
        <v>28</v>
      </c>
      <c r="R2214" s="3" t="s">
        <v>27</v>
      </c>
      <c r="S2214" s="3" t="s">
        <v>27</v>
      </c>
      <c r="T2214" s="3" t="s">
        <v>27</v>
      </c>
    </row>
    <row r="2215" spans="1:20" ht="290.25">
      <c r="A2215" s="3">
        <v>2700158</v>
      </c>
      <c r="B2215" s="3">
        <f>HYPERLINK("https://platform.v2.vetology.net/cases/2700158/screening-report/6?type=pdf&amp;v=v6&amp;scorecard=1&amp;secret_key=BX%25IJ%24%2F65ieZ%29f6", 2700158)</f>
        <v>2700158</v>
      </c>
      <c r="C2215" s="3">
        <f>HYPERLINK("https://platform.v2.vetology.net/report/v/final/"&amp;2700158, 2700158)</f>
        <v>2700158</v>
      </c>
      <c r="D2215" s="3" t="s">
        <v>7642</v>
      </c>
      <c r="E2215" s="3" t="s">
        <v>7643</v>
      </c>
      <c r="F2215" s="3"/>
      <c r="G2215" s="3" t="s">
        <v>122</v>
      </c>
      <c r="H2215" s="3" t="s">
        <v>419</v>
      </c>
      <c r="I2215" s="3" t="s">
        <v>316</v>
      </c>
      <c r="J2215" s="3" t="s">
        <v>317</v>
      </c>
      <c r="K2215" s="3" t="s">
        <v>28</v>
      </c>
      <c r="L2215" s="3" t="s">
        <v>28</v>
      </c>
      <c r="M2215" s="3" t="s">
        <v>28</v>
      </c>
      <c r="N2215" s="3" t="s">
        <v>28</v>
      </c>
      <c r="O2215" s="3" t="s">
        <v>27</v>
      </c>
      <c r="P2215" s="3" t="s">
        <v>28</v>
      </c>
      <c r="Q2215" s="3" t="s">
        <v>28</v>
      </c>
      <c r="R2215" s="3" t="s">
        <v>28</v>
      </c>
      <c r="S2215" s="3" t="s">
        <v>28</v>
      </c>
      <c r="T2215" s="3" t="s">
        <v>28</v>
      </c>
    </row>
    <row r="2216" spans="1:20" ht="336">
      <c r="A2216" s="3">
        <v>2700030</v>
      </c>
      <c r="B2216" s="3">
        <f>HYPERLINK("https://platform.v2.vetology.net/cases/2700030/screening-report/6?type=pdf&amp;v=v6&amp;scorecard=1&amp;secret_key=BX%25IJ%24%2F65ieZ%29f6", 2700030)</f>
        <v>2700030</v>
      </c>
      <c r="C2216" s="3">
        <f>HYPERLINK("https://platform.v2.vetology.net/report/v/final/"&amp;2700030, 2700030)</f>
        <v>2700030</v>
      </c>
      <c r="D2216" s="3" t="s">
        <v>7644</v>
      </c>
      <c r="E2216" s="3" t="s">
        <v>7645</v>
      </c>
      <c r="F2216" s="3" t="s">
        <v>22</v>
      </c>
      <c r="G2216" s="3" t="s">
        <v>23</v>
      </c>
      <c r="H2216" s="3" t="s">
        <v>7646</v>
      </c>
      <c r="I2216" s="3" t="s">
        <v>2413</v>
      </c>
      <c r="J2216" s="3" t="s">
        <v>2414</v>
      </c>
      <c r="K2216" s="3" t="s">
        <v>27</v>
      </c>
      <c r="L2216" s="3" t="s">
        <v>28</v>
      </c>
      <c r="M2216" s="3" t="s">
        <v>28</v>
      </c>
      <c r="N2216" s="3" t="s">
        <v>28</v>
      </c>
      <c r="O2216" s="3" t="s">
        <v>28</v>
      </c>
      <c r="P2216" s="3" t="s">
        <v>28</v>
      </c>
      <c r="Q2216" s="3" t="s">
        <v>28</v>
      </c>
      <c r="R2216" s="3" t="s">
        <v>28</v>
      </c>
      <c r="S2216" s="3" t="s">
        <v>28</v>
      </c>
      <c r="T2216" s="3" t="s">
        <v>28</v>
      </c>
    </row>
    <row r="2217" spans="1:20" ht="351">
      <c r="A2217" s="3">
        <v>2700024</v>
      </c>
      <c r="B2217" s="3">
        <f>HYPERLINK("https://platform.v2.vetology.net/cases/2700024/screening-report/6?type=pdf&amp;v=v6&amp;scorecard=1&amp;secret_key=BX%25IJ%24%2F65ieZ%29f6", 2700024)</f>
        <v>2700024</v>
      </c>
      <c r="C2217" s="3">
        <f>HYPERLINK("https://platform.v2.vetology.net/report/v/final/"&amp;2700024, 2700024)</f>
        <v>2700024</v>
      </c>
      <c r="D2217" s="3" t="s">
        <v>7647</v>
      </c>
      <c r="E2217" s="3" t="s">
        <v>7648</v>
      </c>
      <c r="F2217" s="3" t="s">
        <v>7282</v>
      </c>
      <c r="G2217" s="3" t="s">
        <v>186</v>
      </c>
      <c r="H2217" s="3" t="s">
        <v>7649</v>
      </c>
      <c r="I2217" s="3" t="s">
        <v>4052</v>
      </c>
      <c r="J2217" s="3" t="s">
        <v>4053</v>
      </c>
      <c r="K2217" s="3" t="s">
        <v>27</v>
      </c>
      <c r="L2217" s="3" t="s">
        <v>28</v>
      </c>
      <c r="M2217" s="3" t="s">
        <v>28</v>
      </c>
      <c r="N2217" s="3" t="s">
        <v>28</v>
      </c>
      <c r="O2217" s="3" t="s">
        <v>27</v>
      </c>
      <c r="P2217" s="3" t="s">
        <v>28</v>
      </c>
      <c r="Q2217" s="3" t="s">
        <v>27</v>
      </c>
      <c r="R2217" s="3" t="s">
        <v>28</v>
      </c>
      <c r="S2217" s="3" t="s">
        <v>27</v>
      </c>
      <c r="T2217" s="3" t="s">
        <v>28</v>
      </c>
    </row>
    <row r="2218" spans="1:20" ht="381.75">
      <c r="A2218" s="3">
        <v>2700011</v>
      </c>
      <c r="B2218" s="3">
        <f>HYPERLINK("https://platform.v2.vetology.net/cases/2700011/screening-report/6?type=pdf&amp;v=v6&amp;scorecard=1&amp;secret_key=BX%25IJ%24%2F65ieZ%29f6", 2700011)</f>
        <v>2700011</v>
      </c>
      <c r="C2218" s="3">
        <f>HYPERLINK("https://platform.v2.vetology.net/report/v/final/"&amp;2700011, 2700011)</f>
        <v>2700011</v>
      </c>
      <c r="D2218" s="3" t="s">
        <v>7650</v>
      </c>
      <c r="E2218" s="3" t="s">
        <v>7651</v>
      </c>
      <c r="F2218" s="3" t="s">
        <v>7652</v>
      </c>
      <c r="G2218" s="3" t="s">
        <v>186</v>
      </c>
      <c r="H2218" s="3" t="s">
        <v>533</v>
      </c>
      <c r="I2218" s="3" t="s">
        <v>345</v>
      </c>
      <c r="J2218" s="3" t="s">
        <v>534</v>
      </c>
      <c r="K2218" s="3" t="s">
        <v>28</v>
      </c>
      <c r="L2218" s="3" t="s">
        <v>28</v>
      </c>
      <c r="M2218" s="3" t="s">
        <v>28</v>
      </c>
      <c r="N2218" s="3" t="s">
        <v>27</v>
      </c>
      <c r="O2218" s="3" t="s">
        <v>28</v>
      </c>
      <c r="P2218" s="3" t="s">
        <v>28</v>
      </c>
      <c r="Q2218" s="3" t="s">
        <v>28</v>
      </c>
      <c r="R2218" s="3" t="s">
        <v>27</v>
      </c>
      <c r="S2218" s="3" t="s">
        <v>27</v>
      </c>
      <c r="T2218" s="3" t="s">
        <v>27</v>
      </c>
    </row>
    <row r="2219" spans="1:20" ht="409.6">
      <c r="A2219" s="3">
        <v>2699962</v>
      </c>
      <c r="B2219" s="3">
        <f>HYPERLINK("https://platform.v2.vetology.net/cases/2699962/screening-report/6?type=pdf&amp;v=v6&amp;scorecard=1&amp;secret_key=BX%25IJ%24%2F65ieZ%29f6", 2699962)</f>
        <v>2699962</v>
      </c>
      <c r="C2219" s="3">
        <f>HYPERLINK("https://platform.v2.vetology.net/report/v/final/"&amp;2699962, 2699962)</f>
        <v>2699962</v>
      </c>
      <c r="D2219" s="3" t="s">
        <v>7653</v>
      </c>
      <c r="E2219" s="3" t="s">
        <v>7654</v>
      </c>
      <c r="F2219" s="3" t="s">
        <v>1377</v>
      </c>
      <c r="G2219" s="3" t="s">
        <v>186</v>
      </c>
      <c r="H2219" s="3" t="s">
        <v>4041</v>
      </c>
      <c r="I2219" s="3" t="s">
        <v>113</v>
      </c>
      <c r="J2219" s="3" t="s">
        <v>114</v>
      </c>
      <c r="K2219" s="3" t="s">
        <v>27</v>
      </c>
      <c r="L2219" s="3" t="s">
        <v>27</v>
      </c>
      <c r="M2219" s="3" t="s">
        <v>27</v>
      </c>
      <c r="N2219" s="3" t="s">
        <v>28</v>
      </c>
      <c r="O2219" s="3" t="s">
        <v>27</v>
      </c>
      <c r="P2219" s="3" t="s">
        <v>27</v>
      </c>
      <c r="Q2219" s="3" t="s">
        <v>27</v>
      </c>
      <c r="R2219" s="3" t="s">
        <v>28</v>
      </c>
      <c r="S2219" s="3" t="s">
        <v>28</v>
      </c>
      <c r="T2219" s="3" t="s">
        <v>28</v>
      </c>
    </row>
    <row r="2220" spans="1:20" ht="305.25">
      <c r="A2220" s="3">
        <v>2699936</v>
      </c>
      <c r="B2220" s="3">
        <f>HYPERLINK("https://platform.v2.vetology.net/cases/2699936/screening-report/6?type=pdf&amp;v=v6&amp;scorecard=1&amp;secret_key=BX%25IJ%24%2F65ieZ%29f6", 2699936)</f>
        <v>2699936</v>
      </c>
      <c r="C2220" s="3">
        <f>HYPERLINK("https://platform.v2.vetology.net/report/v/final/"&amp;2699936, 2699936)</f>
        <v>2699936</v>
      </c>
      <c r="D2220" s="3" t="s">
        <v>7655</v>
      </c>
      <c r="E2220" s="3" t="s">
        <v>7656</v>
      </c>
      <c r="F2220" s="3" t="s">
        <v>7657</v>
      </c>
      <c r="G2220" s="3" t="s">
        <v>186</v>
      </c>
      <c r="H2220" s="3" t="s">
        <v>158</v>
      </c>
      <c r="I2220" s="3" t="s">
        <v>32</v>
      </c>
      <c r="J2220" s="3" t="s">
        <v>33</v>
      </c>
      <c r="K2220" s="3" t="s">
        <v>28</v>
      </c>
      <c r="L2220" s="3" t="s">
        <v>28</v>
      </c>
      <c r="M2220" s="3" t="s">
        <v>28</v>
      </c>
      <c r="N2220" s="3" t="s">
        <v>28</v>
      </c>
      <c r="O2220" s="3" t="s">
        <v>28</v>
      </c>
      <c r="P2220" s="3" t="s">
        <v>28</v>
      </c>
      <c r="Q2220" s="3" t="s">
        <v>28</v>
      </c>
      <c r="R2220" s="3" t="s">
        <v>28</v>
      </c>
      <c r="S2220" s="3" t="s">
        <v>28</v>
      </c>
      <c r="T2220" s="3" t="s">
        <v>28</v>
      </c>
    </row>
    <row r="2221" spans="1:20" ht="409.6">
      <c r="A2221" s="3">
        <v>2699887</v>
      </c>
      <c r="B2221" s="3">
        <f>HYPERLINK("https://platform.v2.vetology.net/cases/2699887/screening-report/6?type=pdf&amp;v=v6&amp;scorecard=1&amp;secret_key=BX%25IJ%24%2F65ieZ%29f6", 2699887)</f>
        <v>2699887</v>
      </c>
      <c r="C2221" s="3">
        <f>HYPERLINK("https://platform.v2.vetology.net/report/v/final/"&amp;2699887, 2699887)</f>
        <v>2699887</v>
      </c>
      <c r="D2221" s="3" t="s">
        <v>7658</v>
      </c>
      <c r="E2221" s="3" t="s">
        <v>7659</v>
      </c>
      <c r="F2221" s="3" t="s">
        <v>22</v>
      </c>
      <c r="G2221" s="3" t="s">
        <v>23</v>
      </c>
      <c r="H2221" s="3" t="s">
        <v>505</v>
      </c>
      <c r="I2221" s="3" t="s">
        <v>72</v>
      </c>
      <c r="J2221" s="3" t="s">
        <v>363</v>
      </c>
      <c r="K2221" s="3" t="s">
        <v>28</v>
      </c>
      <c r="L2221" s="3" t="s">
        <v>28</v>
      </c>
      <c r="M2221" s="3" t="s">
        <v>28</v>
      </c>
      <c r="N2221" s="3" t="s">
        <v>27</v>
      </c>
      <c r="O2221" s="3" t="s">
        <v>27</v>
      </c>
      <c r="P2221" s="3" t="s">
        <v>28</v>
      </c>
      <c r="Q2221" s="3" t="s">
        <v>28</v>
      </c>
      <c r="R2221" s="3" t="s">
        <v>28</v>
      </c>
      <c r="S2221" s="3" t="s">
        <v>28</v>
      </c>
      <c r="T2221" s="3" t="s">
        <v>27</v>
      </c>
    </row>
    <row r="2222" spans="1:20" ht="396.75">
      <c r="A2222" s="3">
        <v>2699860</v>
      </c>
      <c r="B2222" s="3">
        <f>HYPERLINK("https://platform.v2.vetology.net/cases/2699860/screening-report/6?type=pdf&amp;v=v6&amp;scorecard=1&amp;secret_key=BX%25IJ%24%2F65ieZ%29f6", 2699860)</f>
        <v>2699860</v>
      </c>
      <c r="C2222" s="3">
        <f>HYPERLINK("https://platform.v2.vetology.net/report/v/final/"&amp;2699860, 2699860)</f>
        <v>2699860</v>
      </c>
      <c r="D2222" s="3" t="s">
        <v>7660</v>
      </c>
      <c r="E2222" s="3" t="s">
        <v>7661</v>
      </c>
      <c r="F2222" s="3" t="s">
        <v>5418</v>
      </c>
      <c r="G2222" s="3" t="s">
        <v>186</v>
      </c>
      <c r="H2222" s="3" t="s">
        <v>1218</v>
      </c>
      <c r="I2222" s="3" t="s">
        <v>351</v>
      </c>
      <c r="J2222" s="3" t="s">
        <v>352</v>
      </c>
      <c r="K2222" s="3" t="s">
        <v>28</v>
      </c>
      <c r="L2222" s="3" t="s">
        <v>28</v>
      </c>
      <c r="M2222" s="3" t="s">
        <v>28</v>
      </c>
      <c r="N2222" s="3" t="s">
        <v>28</v>
      </c>
      <c r="O2222" s="3" t="s">
        <v>27</v>
      </c>
      <c r="P2222" s="3" t="s">
        <v>28</v>
      </c>
      <c r="Q2222" s="3" t="s">
        <v>28</v>
      </c>
      <c r="R2222" s="3" t="s">
        <v>28</v>
      </c>
      <c r="S2222" s="3" t="s">
        <v>28</v>
      </c>
      <c r="T2222" s="3" t="s">
        <v>27</v>
      </c>
    </row>
    <row r="2223" spans="1:20" ht="409.6">
      <c r="A2223" s="3">
        <v>2699855</v>
      </c>
      <c r="B2223" s="3">
        <f>HYPERLINK("https://platform.v2.vetology.net/cases/2699855/screening-report/6?type=pdf&amp;v=v6&amp;scorecard=1&amp;secret_key=BX%25IJ%24%2F65ieZ%29f6", 2699855)</f>
        <v>2699855</v>
      </c>
      <c r="C2223" s="3">
        <f>HYPERLINK("https://platform.v2.vetology.net/report/v/final/"&amp;2699855, 2699855)</f>
        <v>2699855</v>
      </c>
      <c r="D2223" s="3" t="s">
        <v>7662</v>
      </c>
      <c r="E2223" s="3" t="s">
        <v>7663</v>
      </c>
      <c r="F2223" s="3" t="s">
        <v>7664</v>
      </c>
      <c r="G2223" s="3" t="s">
        <v>57</v>
      </c>
      <c r="H2223" s="3" t="s">
        <v>2475</v>
      </c>
      <c r="I2223" s="3" t="s">
        <v>1497</v>
      </c>
      <c r="J2223" s="3" t="s">
        <v>1340</v>
      </c>
      <c r="K2223" s="3" t="s">
        <v>28</v>
      </c>
      <c r="L2223" s="3" t="s">
        <v>28</v>
      </c>
      <c r="M2223" s="3" t="s">
        <v>28</v>
      </c>
      <c r="N2223" s="3" t="s">
        <v>28</v>
      </c>
      <c r="O2223" s="3" t="s">
        <v>27</v>
      </c>
      <c r="P2223" s="3" t="s">
        <v>28</v>
      </c>
      <c r="Q2223" s="3" t="s">
        <v>27</v>
      </c>
      <c r="R2223" s="3" t="s">
        <v>28</v>
      </c>
      <c r="S2223" s="3" t="s">
        <v>28</v>
      </c>
      <c r="T2223" s="3" t="s">
        <v>28</v>
      </c>
    </row>
    <row r="2224" spans="1:20" ht="409.6">
      <c r="A2224" s="3">
        <v>2699815</v>
      </c>
      <c r="B2224" s="3">
        <f>HYPERLINK("https://platform.v2.vetology.net/cases/2699815/screening-report/6?type=pdf&amp;v=v6&amp;scorecard=1&amp;secret_key=BX%25IJ%24%2F65ieZ%29f6", 2699815)</f>
        <v>2699815</v>
      </c>
      <c r="C2224" s="3">
        <f>HYPERLINK("https://platform.v2.vetology.net/report/v/final/"&amp;2699815, 2699815)</f>
        <v>2699815</v>
      </c>
      <c r="D2224" s="3" t="s">
        <v>7665</v>
      </c>
      <c r="E2224" s="3" t="s">
        <v>7666</v>
      </c>
      <c r="F2224" s="3" t="s">
        <v>7667</v>
      </c>
      <c r="G2224" s="3" t="s">
        <v>736</v>
      </c>
      <c r="H2224" s="3" t="s">
        <v>7668</v>
      </c>
      <c r="I2224" s="3" t="s">
        <v>572</v>
      </c>
      <c r="J2224" s="3" t="s">
        <v>573</v>
      </c>
      <c r="K2224" s="3" t="s">
        <v>27</v>
      </c>
      <c r="L2224" s="3" t="s">
        <v>28</v>
      </c>
      <c r="M2224" s="3" t="s">
        <v>28</v>
      </c>
      <c r="N2224" s="3" t="s">
        <v>28</v>
      </c>
      <c r="O2224" s="3" t="s">
        <v>27</v>
      </c>
      <c r="P2224" s="3" t="s">
        <v>28</v>
      </c>
      <c r="Q2224" s="3" t="s">
        <v>27</v>
      </c>
      <c r="R2224" s="3" t="s">
        <v>28</v>
      </c>
      <c r="S2224" s="3" t="s">
        <v>28</v>
      </c>
      <c r="T2224" s="3" t="s">
        <v>28</v>
      </c>
    </row>
    <row r="2225" spans="1:20" ht="409.6">
      <c r="A2225" s="3">
        <v>2699732</v>
      </c>
      <c r="B2225" s="3">
        <f>HYPERLINK("https://platform.v2.vetology.net/cases/2699732/screening-report/6?type=pdf&amp;v=v6&amp;scorecard=1&amp;secret_key=BX%25IJ%24%2F65ieZ%29f6", 2699732)</f>
        <v>2699732</v>
      </c>
      <c r="C2225" s="3">
        <f>HYPERLINK("https://platform.v2.vetology.net/report/v/final/"&amp;2699732, 2699732)</f>
        <v>2699732</v>
      </c>
      <c r="D2225" s="3" t="s">
        <v>3124</v>
      </c>
      <c r="E2225" s="3" t="s">
        <v>1230</v>
      </c>
      <c r="F2225" s="3" t="s">
        <v>1049</v>
      </c>
      <c r="G2225" s="3" t="s">
        <v>100</v>
      </c>
      <c r="H2225" s="3" t="s">
        <v>7669</v>
      </c>
      <c r="I2225" s="3" t="s">
        <v>3788</v>
      </c>
      <c r="J2225" s="3" t="s">
        <v>3789</v>
      </c>
      <c r="K2225" s="3" t="s">
        <v>27</v>
      </c>
      <c r="L2225" s="3" t="s">
        <v>27</v>
      </c>
      <c r="M2225" s="3" t="s">
        <v>27</v>
      </c>
      <c r="N2225" s="3" t="s">
        <v>28</v>
      </c>
      <c r="O2225" s="3" t="s">
        <v>27</v>
      </c>
      <c r="P2225" s="3" t="s">
        <v>28</v>
      </c>
      <c r="Q2225" s="3" t="s">
        <v>27</v>
      </c>
      <c r="R2225" s="3" t="s">
        <v>27</v>
      </c>
      <c r="S2225" s="3" t="s">
        <v>27</v>
      </c>
      <c r="T2225" s="3" t="s">
        <v>28</v>
      </c>
    </row>
    <row r="2226" spans="1:20" ht="409.6">
      <c r="A2226" s="3">
        <v>2699711</v>
      </c>
      <c r="B2226" s="3">
        <f>HYPERLINK("https://platform.v2.vetology.net/cases/2699711/screening-report/6?type=pdf&amp;v=v6&amp;scorecard=1&amp;secret_key=BX%25IJ%24%2F65ieZ%29f6", 2699711)</f>
        <v>2699711</v>
      </c>
      <c r="C2226" s="3">
        <f>HYPERLINK("https://platform.v2.vetology.net/report/v/final/"&amp;2699711, 2699711)</f>
        <v>2699711</v>
      </c>
      <c r="D2226" s="3" t="s">
        <v>7670</v>
      </c>
      <c r="E2226" s="3" t="s">
        <v>7671</v>
      </c>
      <c r="F2226" s="3" t="s">
        <v>22</v>
      </c>
      <c r="G2226" s="3" t="s">
        <v>372</v>
      </c>
      <c r="H2226" s="3" t="s">
        <v>7672</v>
      </c>
      <c r="I2226" s="3" t="s">
        <v>2686</v>
      </c>
      <c r="J2226" s="3" t="s">
        <v>2687</v>
      </c>
      <c r="K2226" s="3" t="s">
        <v>27</v>
      </c>
      <c r="L2226" s="3" t="s">
        <v>27</v>
      </c>
      <c r="M2226" s="3" t="s">
        <v>27</v>
      </c>
      <c r="N2226" s="3" t="s">
        <v>27</v>
      </c>
      <c r="O2226" s="3" t="s">
        <v>27</v>
      </c>
      <c r="P2226" s="3" t="s">
        <v>28</v>
      </c>
      <c r="Q2226" s="3" t="s">
        <v>27</v>
      </c>
      <c r="R2226" s="3" t="s">
        <v>27</v>
      </c>
      <c r="S2226" s="3" t="s">
        <v>27</v>
      </c>
      <c r="T2226" s="3" t="s">
        <v>27</v>
      </c>
    </row>
    <row r="2227" spans="1:20" ht="167.25">
      <c r="A2227" s="3">
        <v>2699665</v>
      </c>
      <c r="B2227" s="3">
        <f>HYPERLINK("https://platform.v2.vetology.net/cases/2699665/screening-report/6?type=pdf&amp;v=v6&amp;scorecard=1&amp;secret_key=BX%25IJ%24%2F65ieZ%29f6", 2699665)</f>
        <v>2699665</v>
      </c>
      <c r="C2227" s="3">
        <f>HYPERLINK("https://platform.v2.vetology.net/report/v/final/"&amp;2699665, 2699665)</f>
        <v>2699665</v>
      </c>
      <c r="D2227" s="3" t="s">
        <v>7673</v>
      </c>
      <c r="E2227" s="3" t="s">
        <v>7674</v>
      </c>
      <c r="F2227" s="3" t="s">
        <v>22</v>
      </c>
      <c r="G2227" s="3" t="s">
        <v>100</v>
      </c>
      <c r="H2227" s="3" t="s">
        <v>2331</v>
      </c>
      <c r="I2227" s="3" t="s">
        <v>305</v>
      </c>
      <c r="J2227" s="3" t="s">
        <v>847</v>
      </c>
      <c r="K2227" s="3" t="s">
        <v>28</v>
      </c>
      <c r="L2227" s="3" t="s">
        <v>28</v>
      </c>
      <c r="M2227" s="3" t="s">
        <v>28</v>
      </c>
      <c r="N2227" s="3" t="s">
        <v>28</v>
      </c>
      <c r="O2227" s="3" t="s">
        <v>28</v>
      </c>
      <c r="P2227" s="3" t="s">
        <v>28</v>
      </c>
      <c r="Q2227" s="3" t="s">
        <v>28</v>
      </c>
      <c r="R2227" s="3" t="s">
        <v>28</v>
      </c>
      <c r="S2227" s="3" t="s">
        <v>28</v>
      </c>
      <c r="T2227" s="3" t="s">
        <v>28</v>
      </c>
    </row>
    <row r="2228" spans="1:20" ht="366">
      <c r="A2228" s="3">
        <v>2699664</v>
      </c>
      <c r="B2228" s="3">
        <f>HYPERLINK("https://platform.v2.vetology.net/cases/2699664/screening-report/6?type=pdf&amp;v=v6&amp;scorecard=1&amp;secret_key=BX%25IJ%24%2F65ieZ%29f6", 2699664)</f>
        <v>2699664</v>
      </c>
      <c r="C2228" s="3">
        <f>HYPERLINK("https://platform.v2.vetology.net/report/v/final/"&amp;2699664, 2699664)</f>
        <v>2699664</v>
      </c>
      <c r="D2228" s="3" t="s">
        <v>7675</v>
      </c>
      <c r="E2228" s="3" t="s">
        <v>7676</v>
      </c>
      <c r="F2228" s="3" t="s">
        <v>22</v>
      </c>
      <c r="G2228" s="3" t="s">
        <v>100</v>
      </c>
      <c r="H2228" s="3" t="s">
        <v>3559</v>
      </c>
      <c r="I2228" s="3" t="s">
        <v>993</v>
      </c>
      <c r="J2228" s="3" t="s">
        <v>994</v>
      </c>
      <c r="K2228" s="3" t="s">
        <v>27</v>
      </c>
      <c r="L2228" s="3" t="s">
        <v>28</v>
      </c>
      <c r="M2228" s="3" t="s">
        <v>28</v>
      </c>
      <c r="N2228" s="3" t="s">
        <v>28</v>
      </c>
      <c r="O2228" s="3" t="s">
        <v>28</v>
      </c>
      <c r="P2228" s="3" t="s">
        <v>28</v>
      </c>
      <c r="Q2228" s="3" t="s">
        <v>28</v>
      </c>
      <c r="R2228" s="3" t="s">
        <v>28</v>
      </c>
      <c r="S2228" s="3" t="s">
        <v>28</v>
      </c>
      <c r="T2228" s="3" t="s">
        <v>28</v>
      </c>
    </row>
    <row r="2229" spans="1:20" ht="366">
      <c r="A2229" s="3">
        <v>2699618</v>
      </c>
      <c r="B2229" s="3">
        <f>HYPERLINK("https://platform.v2.vetology.net/cases/2699618/screening-report/6?type=pdf&amp;v=v6&amp;scorecard=1&amp;secret_key=BX%25IJ%24%2F65ieZ%29f6", 2699618)</f>
        <v>2699618</v>
      </c>
      <c r="C2229" s="3">
        <f>HYPERLINK("https://platform.v2.vetology.net/report/v/final/"&amp;2699618, 2699618)</f>
        <v>2699618</v>
      </c>
      <c r="D2229" s="3" t="s">
        <v>7677</v>
      </c>
      <c r="E2229" s="3" t="s">
        <v>7678</v>
      </c>
      <c r="F2229" s="3" t="s">
        <v>7679</v>
      </c>
      <c r="G2229" s="3" t="s">
        <v>23</v>
      </c>
      <c r="H2229" s="3" t="s">
        <v>1630</v>
      </c>
      <c r="I2229" s="3" t="s">
        <v>993</v>
      </c>
      <c r="J2229" s="3" t="s">
        <v>994</v>
      </c>
      <c r="K2229" s="3" t="s">
        <v>28</v>
      </c>
      <c r="L2229" s="3" t="s">
        <v>28</v>
      </c>
      <c r="M2229" s="3" t="s">
        <v>28</v>
      </c>
      <c r="N2229" s="3" t="s">
        <v>28</v>
      </c>
      <c r="O2229" s="3" t="s">
        <v>28</v>
      </c>
      <c r="P2229" s="3" t="s">
        <v>28</v>
      </c>
      <c r="Q2229" s="3" t="s">
        <v>28</v>
      </c>
      <c r="R2229" s="3" t="s">
        <v>28</v>
      </c>
      <c r="S2229" s="3" t="s">
        <v>28</v>
      </c>
      <c r="T2229" s="3" t="s">
        <v>28</v>
      </c>
    </row>
    <row r="2230" spans="1:20" ht="290.25">
      <c r="A2230" s="3">
        <v>2699534</v>
      </c>
      <c r="B2230" s="3">
        <f>HYPERLINK("https://platform.v2.vetology.net/cases/2699534/screening-report/6?type=pdf&amp;v=v6&amp;scorecard=1&amp;secret_key=BX%25IJ%24%2F65ieZ%29f6", 2699534)</f>
        <v>2699534</v>
      </c>
      <c r="C2230" s="3">
        <f>HYPERLINK("https://platform.v2.vetology.net/report/v/final/"&amp;2699534, 2699534)</f>
        <v>2699534</v>
      </c>
      <c r="D2230" s="3" t="s">
        <v>7680</v>
      </c>
      <c r="E2230" s="3" t="s">
        <v>1089</v>
      </c>
      <c r="F2230" s="3" t="s">
        <v>1090</v>
      </c>
      <c r="G2230" s="3" t="s">
        <v>100</v>
      </c>
      <c r="H2230" s="3" t="s">
        <v>7681</v>
      </c>
      <c r="I2230" s="3" t="s">
        <v>4099</v>
      </c>
      <c r="J2230" s="3" t="s">
        <v>4100</v>
      </c>
      <c r="K2230" s="3" t="s">
        <v>27</v>
      </c>
      <c r="L2230" s="3" t="s">
        <v>28</v>
      </c>
      <c r="M2230" s="3" t="s">
        <v>27</v>
      </c>
      <c r="N2230" s="3" t="s">
        <v>28</v>
      </c>
      <c r="O2230" s="3" t="s">
        <v>27</v>
      </c>
      <c r="P2230" s="3" t="s">
        <v>28</v>
      </c>
      <c r="Q2230" s="3" t="s">
        <v>27</v>
      </c>
      <c r="R2230" s="3" t="s">
        <v>28</v>
      </c>
      <c r="S2230" s="3" t="s">
        <v>28</v>
      </c>
      <c r="T2230" s="3" t="s">
        <v>28</v>
      </c>
    </row>
    <row r="2231" spans="1:20" ht="366">
      <c r="A2231" s="3">
        <v>2699495</v>
      </c>
      <c r="B2231" s="3">
        <f>HYPERLINK("https://platform.v2.vetology.net/cases/2699495/screening-report/6?type=pdf&amp;v=v6&amp;scorecard=1&amp;secret_key=BX%25IJ%24%2F65ieZ%29f6", 2699495)</f>
        <v>2699495</v>
      </c>
      <c r="C2231" s="3">
        <f>HYPERLINK("https://platform.v2.vetology.net/report/v/final/"&amp;2699495, 2699495)</f>
        <v>2699495</v>
      </c>
      <c r="D2231" s="3" t="s">
        <v>7682</v>
      </c>
      <c r="E2231" s="3" t="s">
        <v>7683</v>
      </c>
      <c r="F2231" s="3" t="s">
        <v>7684</v>
      </c>
      <c r="G2231" s="3" t="s">
        <v>57</v>
      </c>
      <c r="H2231" s="3" t="s">
        <v>31</v>
      </c>
      <c r="I2231" s="3" t="s">
        <v>32</v>
      </c>
      <c r="J2231" s="3" t="s">
        <v>119</v>
      </c>
      <c r="K2231" s="3" t="s">
        <v>28</v>
      </c>
      <c r="L2231" s="3" t="s">
        <v>28</v>
      </c>
      <c r="M2231" s="3" t="s">
        <v>28</v>
      </c>
      <c r="N2231" s="3" t="s">
        <v>28</v>
      </c>
      <c r="O2231" s="3" t="s">
        <v>27</v>
      </c>
      <c r="P2231" s="3" t="s">
        <v>28</v>
      </c>
      <c r="Q2231" s="3" t="s">
        <v>28</v>
      </c>
      <c r="R2231" s="3" t="s">
        <v>28</v>
      </c>
      <c r="S2231" s="3" t="s">
        <v>28</v>
      </c>
      <c r="T2231" s="3" t="s">
        <v>28</v>
      </c>
    </row>
    <row r="2232" spans="1:20" ht="351">
      <c r="A2232" s="3">
        <v>2699460</v>
      </c>
      <c r="B2232" s="3">
        <f>HYPERLINK("https://platform.v2.vetology.net/cases/2699460/screening-report/6?type=pdf&amp;v=v6&amp;scorecard=1&amp;secret_key=BX%25IJ%24%2F65ieZ%29f6", 2699460)</f>
        <v>2699460</v>
      </c>
      <c r="C2232" s="3">
        <f>HYPERLINK("https://platform.v2.vetology.net/report/v/final/"&amp;2699460, 2699460)</f>
        <v>2699460</v>
      </c>
      <c r="D2232" s="3" t="s">
        <v>7685</v>
      </c>
      <c r="E2232" s="3" t="s">
        <v>7686</v>
      </c>
      <c r="F2232" s="3" t="s">
        <v>7687</v>
      </c>
      <c r="G2232" s="3" t="s">
        <v>57</v>
      </c>
      <c r="H2232" s="3" t="s">
        <v>7688</v>
      </c>
      <c r="I2232" s="3" t="s">
        <v>7689</v>
      </c>
      <c r="J2232" s="3" t="s">
        <v>7690</v>
      </c>
      <c r="K2232" s="3" t="s">
        <v>27</v>
      </c>
      <c r="L2232" s="3" t="s">
        <v>27</v>
      </c>
      <c r="M2232" s="3" t="s">
        <v>27</v>
      </c>
      <c r="N2232" s="3" t="s">
        <v>27</v>
      </c>
      <c r="O2232" s="3" t="s">
        <v>27</v>
      </c>
      <c r="P2232" s="3" t="s">
        <v>28</v>
      </c>
      <c r="Q2232" s="3" t="s">
        <v>27</v>
      </c>
      <c r="R2232" s="3" t="s">
        <v>28</v>
      </c>
      <c r="S2232" s="3" t="s">
        <v>28</v>
      </c>
      <c r="T2232" s="3" t="s">
        <v>27</v>
      </c>
    </row>
    <row r="2233" spans="1:20" ht="409.6">
      <c r="A2233" s="3">
        <v>2699445</v>
      </c>
      <c r="B2233" s="3">
        <f>HYPERLINK("https://platform.v2.vetology.net/cases/2699445/screening-report/6?type=pdf&amp;v=v6&amp;scorecard=1&amp;secret_key=BX%25IJ%24%2F65ieZ%29f6", 2699445)</f>
        <v>2699445</v>
      </c>
      <c r="C2233" s="3">
        <f>HYPERLINK("https://platform.v2.vetology.net/report/v/final/"&amp;2699445, 2699445)</f>
        <v>2699445</v>
      </c>
      <c r="D2233" s="3" t="s">
        <v>7691</v>
      </c>
      <c r="E2233" s="3" t="s">
        <v>7692</v>
      </c>
      <c r="F2233" s="3" t="s">
        <v>7693</v>
      </c>
      <c r="G2233" s="3" t="s">
        <v>23</v>
      </c>
      <c r="H2233" s="3" t="s">
        <v>7694</v>
      </c>
      <c r="I2233" s="3" t="s">
        <v>429</v>
      </c>
      <c r="J2233" s="3" t="s">
        <v>430</v>
      </c>
      <c r="K2233" s="3" t="s">
        <v>27</v>
      </c>
      <c r="L2233" s="3" t="s">
        <v>27</v>
      </c>
      <c r="M2233" s="3" t="s">
        <v>28</v>
      </c>
      <c r="N2233" s="3" t="s">
        <v>27</v>
      </c>
      <c r="O2233" s="3" t="s">
        <v>27</v>
      </c>
      <c r="P2233" s="3" t="s">
        <v>28</v>
      </c>
      <c r="Q2233" s="3" t="s">
        <v>27</v>
      </c>
      <c r="R2233" s="3" t="s">
        <v>27</v>
      </c>
      <c r="S2233" s="3" t="s">
        <v>28</v>
      </c>
      <c r="T2233" s="3" t="s">
        <v>27</v>
      </c>
    </row>
    <row r="2234" spans="1:20" ht="290.25">
      <c r="A2234" s="3">
        <v>2699441</v>
      </c>
      <c r="B2234" s="3">
        <f>HYPERLINK("https://platform.v2.vetology.net/cases/2699441/screening-report/6?type=pdf&amp;v=v6&amp;scorecard=1&amp;secret_key=BX%25IJ%24%2F65ieZ%29f6", 2699441)</f>
        <v>2699441</v>
      </c>
      <c r="C2234" s="3">
        <f>HYPERLINK("https://platform.v2.vetology.net/report/v/final/"&amp;2699441, 2699441)</f>
        <v>2699441</v>
      </c>
      <c r="D2234" s="3" t="s">
        <v>7695</v>
      </c>
      <c r="E2234" s="3" t="s">
        <v>7696</v>
      </c>
      <c r="F2234" s="3" t="s">
        <v>3376</v>
      </c>
      <c r="G2234" s="3" t="s">
        <v>179</v>
      </c>
      <c r="H2234" s="3" t="s">
        <v>3824</v>
      </c>
      <c r="I2234" s="3" t="s">
        <v>316</v>
      </c>
      <c r="J2234" s="3" t="s">
        <v>317</v>
      </c>
      <c r="K2234" s="3" t="s">
        <v>27</v>
      </c>
      <c r="L2234" s="3" t="s">
        <v>28</v>
      </c>
      <c r="M2234" s="3" t="s">
        <v>28</v>
      </c>
      <c r="N2234" s="3" t="s">
        <v>28</v>
      </c>
      <c r="O2234" s="3" t="s">
        <v>27</v>
      </c>
      <c r="P2234" s="3" t="s">
        <v>28</v>
      </c>
      <c r="Q2234" s="3" t="s">
        <v>28</v>
      </c>
      <c r="R2234" s="3" t="s">
        <v>28</v>
      </c>
      <c r="S2234" s="3" t="s">
        <v>28</v>
      </c>
      <c r="T2234" s="3" t="s">
        <v>28</v>
      </c>
    </row>
    <row r="2235" spans="1:20" ht="259.5">
      <c r="A2235" s="3">
        <v>2699416</v>
      </c>
      <c r="B2235" s="3">
        <f>HYPERLINK("https://platform.v2.vetology.net/cases/2699416/screening-report/6?type=pdf&amp;v=v6&amp;scorecard=1&amp;secret_key=BX%25IJ%24%2F65ieZ%29f6", 2699416)</f>
        <v>2699416</v>
      </c>
      <c r="C2235" s="3">
        <f>HYPERLINK("https://platform.v2.vetology.net/report/v/final/"&amp;2699416, 2699416)</f>
        <v>2699416</v>
      </c>
      <c r="D2235" s="3" t="s">
        <v>7697</v>
      </c>
      <c r="E2235" s="3" t="s">
        <v>7698</v>
      </c>
      <c r="F2235" s="3" t="s">
        <v>22</v>
      </c>
      <c r="G2235" s="3" t="s">
        <v>100</v>
      </c>
      <c r="H2235" s="3" t="s">
        <v>135</v>
      </c>
      <c r="I2235" s="3" t="s">
        <v>136</v>
      </c>
      <c r="J2235" s="3" t="s">
        <v>137</v>
      </c>
      <c r="K2235" s="3" t="s">
        <v>28</v>
      </c>
      <c r="L2235" s="3" t="s">
        <v>28</v>
      </c>
      <c r="M2235" s="3" t="s">
        <v>28</v>
      </c>
      <c r="N2235" s="3" t="s">
        <v>27</v>
      </c>
      <c r="O2235" s="3" t="s">
        <v>27</v>
      </c>
      <c r="P2235" s="3" t="s">
        <v>28</v>
      </c>
      <c r="Q2235" s="3" t="s">
        <v>28</v>
      </c>
      <c r="R2235" s="3" t="s">
        <v>28</v>
      </c>
      <c r="S2235" s="3" t="s">
        <v>27</v>
      </c>
      <c r="T2235" s="3" t="s">
        <v>27</v>
      </c>
    </row>
    <row r="2236" spans="1:20" ht="409.6">
      <c r="A2236" s="3">
        <v>2699389</v>
      </c>
      <c r="B2236" s="3">
        <f>HYPERLINK("https://platform.v2.vetology.net/cases/2699389/screening-report/6?type=pdf&amp;v=v6&amp;scorecard=1&amp;secret_key=BX%25IJ%24%2F65ieZ%29f6", 2699389)</f>
        <v>2699389</v>
      </c>
      <c r="C2236" s="3">
        <f>HYPERLINK("https://platform.v2.vetology.net/report/v/final/"&amp;2699389, 2699389)</f>
        <v>2699389</v>
      </c>
      <c r="D2236" s="3" t="s">
        <v>7699</v>
      </c>
      <c r="E2236" s="3" t="s">
        <v>7700</v>
      </c>
      <c r="F2236" s="3" t="s">
        <v>4448</v>
      </c>
      <c r="G2236" s="3" t="s">
        <v>57</v>
      </c>
      <c r="H2236" s="3" t="s">
        <v>7269</v>
      </c>
      <c r="I2236" s="3" t="s">
        <v>7270</v>
      </c>
      <c r="J2236" s="3" t="s">
        <v>2046</v>
      </c>
      <c r="K2236" s="3" t="s">
        <v>27</v>
      </c>
      <c r="L2236" s="3" t="s">
        <v>27</v>
      </c>
      <c r="M2236" s="3" t="s">
        <v>27</v>
      </c>
      <c r="N2236" s="3" t="s">
        <v>28</v>
      </c>
      <c r="O2236" s="3" t="s">
        <v>27</v>
      </c>
      <c r="P2236" s="3" t="s">
        <v>27</v>
      </c>
      <c r="Q2236" s="3" t="s">
        <v>27</v>
      </c>
      <c r="R2236" s="3" t="s">
        <v>28</v>
      </c>
      <c r="S2236" s="3" t="s">
        <v>28</v>
      </c>
      <c r="T2236" s="3" t="s">
        <v>28</v>
      </c>
    </row>
    <row r="2237" spans="1:20" ht="305.25">
      <c r="A2237" s="3">
        <v>2699347</v>
      </c>
      <c r="B2237" s="3">
        <f>HYPERLINK("https://platform.v2.vetology.net/cases/2699347/screening-report/6?type=pdf&amp;v=v6&amp;scorecard=1&amp;secret_key=BX%25IJ%24%2F65ieZ%29f6", 2699347)</f>
        <v>2699347</v>
      </c>
      <c r="C2237" s="3">
        <f>HYPERLINK("https://platform.v2.vetology.net/report/v/final/"&amp;2699347, 2699347)</f>
        <v>2699347</v>
      </c>
      <c r="D2237" s="3" t="s">
        <v>7701</v>
      </c>
      <c r="E2237" s="3" t="s">
        <v>7702</v>
      </c>
      <c r="F2237" s="3" t="s">
        <v>7483</v>
      </c>
      <c r="G2237" s="3" t="s">
        <v>23</v>
      </c>
      <c r="H2237" s="3" t="s">
        <v>7703</v>
      </c>
      <c r="I2237" s="3" t="s">
        <v>793</v>
      </c>
      <c r="J2237" s="3" t="s">
        <v>794</v>
      </c>
      <c r="K2237" s="3" t="s">
        <v>28</v>
      </c>
      <c r="L2237" s="3" t="s">
        <v>28</v>
      </c>
      <c r="M2237" s="3" t="s">
        <v>28</v>
      </c>
      <c r="N2237" s="3" t="s">
        <v>28</v>
      </c>
      <c r="O2237" s="3" t="s">
        <v>28</v>
      </c>
      <c r="P2237" s="3" t="s">
        <v>28</v>
      </c>
      <c r="Q2237" s="3" t="s">
        <v>28</v>
      </c>
      <c r="R2237" s="3" t="s">
        <v>28</v>
      </c>
      <c r="S2237" s="3" t="s">
        <v>28</v>
      </c>
      <c r="T2237" s="3" t="s">
        <v>28</v>
      </c>
    </row>
    <row r="2238" spans="1:20" ht="290.25">
      <c r="A2238" s="3">
        <v>2699340</v>
      </c>
      <c r="B2238" s="3">
        <f>HYPERLINK("https://platform.v2.vetology.net/cases/2699340/screening-report/6?type=pdf&amp;v=v6&amp;scorecard=1&amp;secret_key=BX%25IJ%24%2F65ieZ%29f6", 2699340)</f>
        <v>2699340</v>
      </c>
      <c r="C2238" s="3">
        <f>HYPERLINK("https://platform.v2.vetology.net/report/v/final/"&amp;2699340, 2699340)</f>
        <v>2699340</v>
      </c>
      <c r="D2238" s="3" t="s">
        <v>7704</v>
      </c>
      <c r="E2238" s="3" t="s">
        <v>7705</v>
      </c>
      <c r="F2238" s="3" t="s">
        <v>7706</v>
      </c>
      <c r="G2238" s="3" t="s">
        <v>23</v>
      </c>
      <c r="H2238" s="3" t="s">
        <v>158</v>
      </c>
      <c r="I2238" s="3" t="s">
        <v>32</v>
      </c>
      <c r="J2238" s="3" t="s">
        <v>119</v>
      </c>
      <c r="K2238" s="3" t="s">
        <v>28</v>
      </c>
      <c r="L2238" s="3" t="s">
        <v>28</v>
      </c>
      <c r="M2238" s="3" t="s">
        <v>28</v>
      </c>
      <c r="N2238" s="3" t="s">
        <v>28</v>
      </c>
      <c r="O2238" s="3" t="s">
        <v>27</v>
      </c>
      <c r="P2238" s="3" t="s">
        <v>28</v>
      </c>
      <c r="Q2238" s="3" t="s">
        <v>28</v>
      </c>
      <c r="R2238" s="3" t="s">
        <v>28</v>
      </c>
      <c r="S2238" s="3" t="s">
        <v>28</v>
      </c>
      <c r="T2238" s="3" t="s">
        <v>28</v>
      </c>
    </row>
    <row r="2239" spans="1:20" ht="366">
      <c r="A2239" s="3">
        <v>2699338</v>
      </c>
      <c r="B2239" s="3">
        <f>HYPERLINK("https://platform.v2.vetology.net/cases/2699338/screening-report/6?type=pdf&amp;v=v6&amp;scorecard=1&amp;secret_key=BX%25IJ%24%2F65ieZ%29f6", 2699338)</f>
        <v>2699338</v>
      </c>
      <c r="C2239" s="3">
        <f>HYPERLINK("https://platform.v2.vetology.net/report/v/final/"&amp;2699338, 2699338)</f>
        <v>2699338</v>
      </c>
      <c r="D2239" s="3" t="s">
        <v>7707</v>
      </c>
      <c r="E2239" s="3" t="s">
        <v>7708</v>
      </c>
      <c r="F2239" s="3" t="s">
        <v>22</v>
      </c>
      <c r="G2239" s="3" t="s">
        <v>100</v>
      </c>
      <c r="H2239" s="3" t="s">
        <v>2864</v>
      </c>
      <c r="I2239" s="3" t="s">
        <v>993</v>
      </c>
      <c r="J2239" s="3" t="s">
        <v>994</v>
      </c>
      <c r="K2239" s="3" t="s">
        <v>28</v>
      </c>
      <c r="L2239" s="3" t="s">
        <v>28</v>
      </c>
      <c r="M2239" s="3" t="s">
        <v>28</v>
      </c>
      <c r="N2239" s="3" t="s">
        <v>28</v>
      </c>
      <c r="O2239" s="3" t="s">
        <v>28</v>
      </c>
      <c r="P2239" s="3" t="s">
        <v>28</v>
      </c>
      <c r="Q2239" s="3" t="s">
        <v>28</v>
      </c>
      <c r="R2239" s="3" t="s">
        <v>28</v>
      </c>
      <c r="S2239" s="3" t="s">
        <v>28</v>
      </c>
      <c r="T2239" s="3" t="s">
        <v>28</v>
      </c>
    </row>
    <row r="2240" spans="1:20" ht="381.75">
      <c r="A2240" s="3">
        <v>2699265</v>
      </c>
      <c r="B2240" s="3">
        <f>HYPERLINK("https://platform.v2.vetology.net/cases/2699265/screening-report/6?type=pdf&amp;v=v6&amp;scorecard=1&amp;secret_key=BX%25IJ%24%2F65ieZ%29f6", 2699265)</f>
        <v>2699265</v>
      </c>
      <c r="C2240" s="3">
        <f>HYPERLINK("https://platform.v2.vetology.net/report/v/final/"&amp;2699265, 2699265)</f>
        <v>2699265</v>
      </c>
      <c r="D2240" s="3" t="s">
        <v>7709</v>
      </c>
      <c r="E2240" s="3" t="s">
        <v>7710</v>
      </c>
      <c r="F2240" s="3" t="s">
        <v>7711</v>
      </c>
      <c r="G2240" s="3" t="s">
        <v>186</v>
      </c>
      <c r="H2240" s="3" t="s">
        <v>7712</v>
      </c>
      <c r="I2240" s="3" t="s">
        <v>856</v>
      </c>
      <c r="J2240" s="3" t="s">
        <v>857</v>
      </c>
      <c r="K2240" s="3" t="s">
        <v>28</v>
      </c>
      <c r="L2240" s="3" t="s">
        <v>28</v>
      </c>
      <c r="M2240" s="3" t="s">
        <v>28</v>
      </c>
      <c r="N2240" s="3" t="s">
        <v>28</v>
      </c>
      <c r="O2240" s="3" t="s">
        <v>27</v>
      </c>
      <c r="P2240" s="3" t="s">
        <v>28</v>
      </c>
      <c r="Q2240" s="3" t="s">
        <v>28</v>
      </c>
      <c r="R2240" s="3" t="s">
        <v>28</v>
      </c>
      <c r="S2240" s="3" t="s">
        <v>28</v>
      </c>
      <c r="T2240" s="3" t="s">
        <v>28</v>
      </c>
    </row>
    <row r="2241" spans="1:20" ht="409.6">
      <c r="A2241" s="3">
        <v>2699247</v>
      </c>
      <c r="B2241" s="3">
        <f>HYPERLINK("https://platform.v2.vetology.net/cases/2699247/screening-report/6?type=pdf&amp;v=v6&amp;scorecard=1&amp;secret_key=BX%25IJ%24%2F65ieZ%29f6", 2699247)</f>
        <v>2699247</v>
      </c>
      <c r="C2241" s="3">
        <f>HYPERLINK("https://platform.v2.vetology.net/report/v/final/"&amp;2699247, 2699247)</f>
        <v>2699247</v>
      </c>
      <c r="D2241" s="3" t="s">
        <v>7713</v>
      </c>
      <c r="E2241" s="3" t="s">
        <v>7714</v>
      </c>
      <c r="F2241" s="3" t="s">
        <v>7715</v>
      </c>
      <c r="G2241" s="3" t="s">
        <v>64</v>
      </c>
      <c r="H2241" s="3" t="s">
        <v>7716</v>
      </c>
      <c r="I2241" s="3" t="s">
        <v>856</v>
      </c>
      <c r="J2241" s="3" t="s">
        <v>857</v>
      </c>
      <c r="K2241" s="3" t="s">
        <v>27</v>
      </c>
      <c r="L2241" s="3" t="s">
        <v>28</v>
      </c>
      <c r="M2241" s="3" t="s">
        <v>28</v>
      </c>
      <c r="N2241" s="3" t="s">
        <v>28</v>
      </c>
      <c r="O2241" s="3" t="s">
        <v>27</v>
      </c>
      <c r="P2241" s="3" t="s">
        <v>28</v>
      </c>
      <c r="Q2241" s="3" t="s">
        <v>28</v>
      </c>
      <c r="R2241" s="3" t="s">
        <v>28</v>
      </c>
      <c r="S2241" s="3" t="s">
        <v>28</v>
      </c>
      <c r="T2241" s="3" t="s">
        <v>28</v>
      </c>
    </row>
    <row r="2242" spans="1:20" ht="305.25">
      <c r="A2242" s="3">
        <v>2699243</v>
      </c>
      <c r="B2242" s="3">
        <f>HYPERLINK("https://platform.v2.vetology.net/cases/2699243/screening-report/6?type=pdf&amp;v=v6&amp;scorecard=1&amp;secret_key=BX%25IJ%24%2F65ieZ%29f6", 2699243)</f>
        <v>2699243</v>
      </c>
      <c r="C2242" s="3">
        <f>HYPERLINK("https://platform.v2.vetology.net/report/v/final/"&amp;2699243, 2699243)</f>
        <v>2699243</v>
      </c>
      <c r="D2242" s="3" t="s">
        <v>7717</v>
      </c>
      <c r="E2242" s="3" t="s">
        <v>7718</v>
      </c>
      <c r="F2242" s="3" t="s">
        <v>22</v>
      </c>
      <c r="G2242" s="3" t="s">
        <v>23</v>
      </c>
      <c r="H2242" s="3" t="s">
        <v>31</v>
      </c>
      <c r="I2242" s="3" t="s">
        <v>129</v>
      </c>
      <c r="J2242" s="3" t="s">
        <v>119</v>
      </c>
      <c r="K2242" s="3" t="s">
        <v>28</v>
      </c>
      <c r="L2242" s="3" t="s">
        <v>28</v>
      </c>
      <c r="M2242" s="3" t="s">
        <v>28</v>
      </c>
      <c r="N2242" s="3" t="s">
        <v>28</v>
      </c>
      <c r="O2242" s="3" t="s">
        <v>27</v>
      </c>
      <c r="P2242" s="3" t="s">
        <v>28</v>
      </c>
      <c r="Q2242" s="3" t="s">
        <v>28</v>
      </c>
      <c r="R2242" s="3" t="s">
        <v>28</v>
      </c>
      <c r="S2242" s="3" t="s">
        <v>28</v>
      </c>
      <c r="T2242" s="3" t="s">
        <v>28</v>
      </c>
    </row>
    <row r="2243" spans="1:20" ht="409.6">
      <c r="A2243" s="3">
        <v>2699228</v>
      </c>
      <c r="B2243" s="3">
        <f>HYPERLINK("https://platform.v2.vetology.net/cases/2699228/screening-report/6?type=pdf&amp;v=v6&amp;scorecard=1&amp;secret_key=BX%25IJ%24%2F65ieZ%29f6", 2699228)</f>
        <v>2699228</v>
      </c>
      <c r="C2243" s="3">
        <f>HYPERLINK("https://platform.v2.vetology.net/report/v/final/"&amp;2699228, 2699228)</f>
        <v>2699228</v>
      </c>
      <c r="D2243" s="3" t="s">
        <v>7719</v>
      </c>
      <c r="E2243" s="3" t="s">
        <v>7720</v>
      </c>
      <c r="F2243" s="3" t="s">
        <v>22</v>
      </c>
      <c r="G2243" s="3" t="s">
        <v>23</v>
      </c>
      <c r="H2243" s="3" t="s">
        <v>135</v>
      </c>
      <c r="I2243" s="3" t="s">
        <v>136</v>
      </c>
      <c r="J2243" s="3" t="s">
        <v>137</v>
      </c>
      <c r="K2243" s="3" t="s">
        <v>27</v>
      </c>
      <c r="L2243" s="3" t="s">
        <v>28</v>
      </c>
      <c r="M2243" s="3" t="s">
        <v>28</v>
      </c>
      <c r="N2243" s="3" t="s">
        <v>28</v>
      </c>
      <c r="O2243" s="3" t="s">
        <v>27</v>
      </c>
      <c r="P2243" s="3" t="s">
        <v>28</v>
      </c>
      <c r="Q2243" s="3" t="s">
        <v>28</v>
      </c>
      <c r="R2243" s="3" t="s">
        <v>28</v>
      </c>
      <c r="S2243" s="3" t="s">
        <v>28</v>
      </c>
      <c r="T2243" s="3" t="s">
        <v>27</v>
      </c>
    </row>
    <row r="2244" spans="1:20" ht="409.6">
      <c r="A2244" s="3">
        <v>2699224</v>
      </c>
      <c r="B2244" s="3">
        <f>HYPERLINK("https://platform.v2.vetology.net/cases/2699224/screening-report/6?type=pdf&amp;v=v6&amp;scorecard=1&amp;secret_key=BX%25IJ%24%2F65ieZ%29f6", 2699224)</f>
        <v>2699224</v>
      </c>
      <c r="C2244" s="3">
        <f>HYPERLINK("https://platform.v2.vetology.net/report/v/final/"&amp;2699224, 2699224)</f>
        <v>2699224</v>
      </c>
      <c r="D2244" s="3" t="s">
        <v>7721</v>
      </c>
      <c r="E2244" s="3" t="s">
        <v>7722</v>
      </c>
      <c r="F2244" s="3" t="s">
        <v>7723</v>
      </c>
      <c r="G2244" s="3" t="s">
        <v>186</v>
      </c>
      <c r="H2244" s="3" t="s">
        <v>3801</v>
      </c>
      <c r="I2244" s="3" t="s">
        <v>2045</v>
      </c>
      <c r="J2244" s="3" t="s">
        <v>2046</v>
      </c>
      <c r="K2244" s="3" t="s">
        <v>28</v>
      </c>
      <c r="L2244" s="3" t="s">
        <v>27</v>
      </c>
      <c r="M2244" s="3" t="s">
        <v>27</v>
      </c>
      <c r="N2244" s="3" t="s">
        <v>28</v>
      </c>
      <c r="O2244" s="3" t="s">
        <v>27</v>
      </c>
      <c r="P2244" s="3" t="s">
        <v>28</v>
      </c>
      <c r="Q2244" s="3" t="s">
        <v>27</v>
      </c>
      <c r="R2244" s="3" t="s">
        <v>28</v>
      </c>
      <c r="S2244" s="3" t="s">
        <v>28</v>
      </c>
      <c r="T2244" s="3" t="s">
        <v>28</v>
      </c>
    </row>
    <row r="2245" spans="1:20" ht="409.6">
      <c r="A2245" s="3">
        <v>2699164</v>
      </c>
      <c r="B2245" s="3">
        <f>HYPERLINK("https://platform.v2.vetology.net/cases/2699164/screening-report/6?type=pdf&amp;v=v6&amp;scorecard=1&amp;secret_key=BX%25IJ%24%2F65ieZ%29f6", 2699164)</f>
        <v>2699164</v>
      </c>
      <c r="C2245" s="3">
        <f>HYPERLINK("https://platform.v2.vetology.net/report/v/final/"&amp;2699164, 2699164)</f>
        <v>2699164</v>
      </c>
      <c r="D2245" s="3" t="s">
        <v>7724</v>
      </c>
      <c r="E2245" s="3" t="s">
        <v>7725</v>
      </c>
      <c r="F2245" s="3" t="s">
        <v>7726</v>
      </c>
      <c r="G2245" s="3" t="s">
        <v>186</v>
      </c>
      <c r="H2245" s="3" t="s">
        <v>7727</v>
      </c>
      <c r="I2245" s="3" t="s">
        <v>1404</v>
      </c>
      <c r="J2245" s="3" t="s">
        <v>1405</v>
      </c>
      <c r="K2245" s="3" t="s">
        <v>27</v>
      </c>
      <c r="L2245" s="3" t="s">
        <v>28</v>
      </c>
      <c r="M2245" s="3" t="s">
        <v>27</v>
      </c>
      <c r="N2245" s="3" t="s">
        <v>28</v>
      </c>
      <c r="O2245" s="3" t="s">
        <v>27</v>
      </c>
      <c r="P2245" s="3" t="s">
        <v>28</v>
      </c>
      <c r="Q2245" s="3" t="s">
        <v>27</v>
      </c>
      <c r="R2245" s="3" t="s">
        <v>28</v>
      </c>
      <c r="S2245" s="3" t="s">
        <v>28</v>
      </c>
      <c r="T2245" s="3" t="s">
        <v>28</v>
      </c>
    </row>
    <row r="2246" spans="1:20" ht="305.25">
      <c r="A2246" s="3">
        <v>2699091</v>
      </c>
      <c r="B2246" s="3">
        <f>HYPERLINK("https://platform.v2.vetology.net/cases/2699091/screening-report/6?type=pdf&amp;v=v6&amp;scorecard=1&amp;secret_key=BX%25IJ%24%2F65ieZ%29f6", 2699091)</f>
        <v>2699091</v>
      </c>
      <c r="C2246" s="3">
        <f>HYPERLINK("https://platform.v2.vetology.net/report/v/final/"&amp;2699091, 2699091)</f>
        <v>2699091</v>
      </c>
      <c r="D2246" s="3" t="s">
        <v>7728</v>
      </c>
      <c r="E2246" s="3" t="s">
        <v>7729</v>
      </c>
      <c r="F2246" s="3"/>
      <c r="G2246" s="3" t="s">
        <v>122</v>
      </c>
      <c r="H2246" s="3" t="s">
        <v>31</v>
      </c>
      <c r="I2246" s="3" t="s">
        <v>32</v>
      </c>
      <c r="J2246" s="3" t="s">
        <v>33</v>
      </c>
      <c r="K2246" s="3" t="s">
        <v>28</v>
      </c>
      <c r="L2246" s="3" t="s">
        <v>28</v>
      </c>
      <c r="M2246" s="3" t="s">
        <v>28</v>
      </c>
      <c r="N2246" s="3" t="s">
        <v>28</v>
      </c>
      <c r="O2246" s="3" t="s">
        <v>28</v>
      </c>
      <c r="P2246" s="3" t="s">
        <v>28</v>
      </c>
      <c r="Q2246" s="3" t="s">
        <v>28</v>
      </c>
      <c r="R2246" s="3" t="s">
        <v>28</v>
      </c>
      <c r="S2246" s="3" t="s">
        <v>28</v>
      </c>
      <c r="T2246" s="3" t="s">
        <v>28</v>
      </c>
    </row>
    <row r="2247" spans="1:20" ht="409.6">
      <c r="A2247" s="3">
        <v>2699071</v>
      </c>
      <c r="B2247" s="3">
        <f>HYPERLINK("https://platform.v2.vetology.net/cases/2699071/screening-report/6?type=pdf&amp;v=v6&amp;scorecard=1&amp;secret_key=BX%25IJ%24%2F65ieZ%29f6", 2699071)</f>
        <v>2699071</v>
      </c>
      <c r="C2247" s="3">
        <f>HYPERLINK("https://platform.v2.vetology.net/report/v/final/"&amp;2699071, 2699071)</f>
        <v>2699071</v>
      </c>
      <c r="D2247" s="3" t="s">
        <v>7730</v>
      </c>
      <c r="E2247" s="3" t="s">
        <v>7731</v>
      </c>
      <c r="F2247" s="3" t="s">
        <v>7732</v>
      </c>
      <c r="G2247" s="3" t="s">
        <v>57</v>
      </c>
      <c r="H2247" s="3" t="s">
        <v>7733</v>
      </c>
      <c r="I2247" s="3" t="s">
        <v>310</v>
      </c>
      <c r="J2247" s="3" t="s">
        <v>5283</v>
      </c>
      <c r="K2247" s="3" t="s">
        <v>28</v>
      </c>
      <c r="L2247" s="3" t="s">
        <v>27</v>
      </c>
      <c r="M2247" s="3" t="s">
        <v>28</v>
      </c>
      <c r="N2247" s="3" t="s">
        <v>27</v>
      </c>
      <c r="O2247" s="3" t="s">
        <v>27</v>
      </c>
      <c r="P2247" s="3" t="s">
        <v>28</v>
      </c>
      <c r="Q2247" s="3" t="s">
        <v>27</v>
      </c>
      <c r="R2247" s="3" t="s">
        <v>27</v>
      </c>
      <c r="S2247" s="3" t="s">
        <v>27</v>
      </c>
      <c r="T2247" s="3" t="s">
        <v>27</v>
      </c>
    </row>
    <row r="2248" spans="1:20" ht="321">
      <c r="A2248" s="3">
        <v>2699068</v>
      </c>
      <c r="B2248" s="3">
        <f>HYPERLINK("https://platform.v2.vetology.net/cases/2699068/screening-report/6?type=pdf&amp;v=v6&amp;scorecard=1&amp;secret_key=BX%25IJ%24%2F65ieZ%29f6", 2699068)</f>
        <v>2699068</v>
      </c>
      <c r="C2248" s="3">
        <f>HYPERLINK("https://platform.v2.vetology.net/report/v/final/"&amp;2699068, 2699068)</f>
        <v>2699068</v>
      </c>
      <c r="D2248" s="3" t="s">
        <v>7734</v>
      </c>
      <c r="E2248" s="3" t="s">
        <v>7735</v>
      </c>
      <c r="F2248" s="3"/>
      <c r="G2248" s="3" t="s">
        <v>100</v>
      </c>
      <c r="H2248" s="3" t="s">
        <v>828</v>
      </c>
      <c r="I2248" s="3" t="s">
        <v>829</v>
      </c>
      <c r="J2248" s="3" t="s">
        <v>830</v>
      </c>
      <c r="K2248" s="3" t="s">
        <v>27</v>
      </c>
      <c r="L2248" s="3" t="s">
        <v>27</v>
      </c>
      <c r="M2248" s="3" t="s">
        <v>27</v>
      </c>
      <c r="N2248" s="3" t="s">
        <v>27</v>
      </c>
      <c r="O2248" s="3" t="s">
        <v>27</v>
      </c>
      <c r="P2248" s="3" t="s">
        <v>28</v>
      </c>
      <c r="Q2248" s="3" t="s">
        <v>27</v>
      </c>
      <c r="R2248" s="3" t="s">
        <v>27</v>
      </c>
      <c r="S2248" s="3" t="s">
        <v>27</v>
      </c>
      <c r="T2248" s="3" t="s">
        <v>27</v>
      </c>
    </row>
    <row r="2249" spans="1:20" ht="396.75">
      <c r="A2249" s="3">
        <v>2699061</v>
      </c>
      <c r="B2249" s="3">
        <f>HYPERLINK("https://platform.v2.vetology.net/cases/2699061/screening-report/6?type=pdf&amp;v=v6&amp;scorecard=1&amp;secret_key=BX%25IJ%24%2F65ieZ%29f6", 2699061)</f>
        <v>2699061</v>
      </c>
      <c r="C2249" s="3">
        <f>HYPERLINK("https://platform.v2.vetology.net/report/v/final/"&amp;2699061, 2699061)</f>
        <v>2699061</v>
      </c>
      <c r="D2249" s="3" t="s">
        <v>954</v>
      </c>
      <c r="E2249" s="3" t="s">
        <v>955</v>
      </c>
      <c r="F2249" s="3" t="s">
        <v>956</v>
      </c>
      <c r="G2249" s="3" t="s">
        <v>100</v>
      </c>
      <c r="H2249" s="3" t="s">
        <v>571</v>
      </c>
      <c r="I2249" s="3" t="s">
        <v>572</v>
      </c>
      <c r="J2249" s="3" t="s">
        <v>573</v>
      </c>
      <c r="K2249" s="3" t="s">
        <v>27</v>
      </c>
      <c r="L2249" s="3" t="s">
        <v>28</v>
      </c>
      <c r="M2249" s="3" t="s">
        <v>27</v>
      </c>
      <c r="N2249" s="3" t="s">
        <v>28</v>
      </c>
      <c r="O2249" s="3" t="s">
        <v>27</v>
      </c>
      <c r="P2249" s="3" t="s">
        <v>28</v>
      </c>
      <c r="Q2249" s="3" t="s">
        <v>28</v>
      </c>
      <c r="R2249" s="3" t="s">
        <v>28</v>
      </c>
      <c r="S2249" s="3" t="s">
        <v>28</v>
      </c>
      <c r="T2249" s="3" t="s">
        <v>28</v>
      </c>
    </row>
    <row r="2250" spans="1:20" ht="259.5">
      <c r="A2250" s="3">
        <v>2699053</v>
      </c>
      <c r="B2250" s="3">
        <f>HYPERLINK("https://platform.v2.vetology.net/cases/2699053/screening-report/6?type=pdf&amp;v=v6&amp;scorecard=1&amp;secret_key=BX%25IJ%24%2F65ieZ%29f6", 2699053)</f>
        <v>2699053</v>
      </c>
      <c r="C2250" s="3">
        <f>HYPERLINK("https://platform.v2.vetology.net/report/v/final/"&amp;2699053, 2699053)</f>
        <v>2699053</v>
      </c>
      <c r="D2250" s="3" t="s">
        <v>7736</v>
      </c>
      <c r="E2250" s="3" t="s">
        <v>7737</v>
      </c>
      <c r="F2250" s="3"/>
      <c r="G2250" s="3" t="s">
        <v>122</v>
      </c>
      <c r="H2250" s="3" t="s">
        <v>135</v>
      </c>
      <c r="I2250" s="3" t="s">
        <v>136</v>
      </c>
      <c r="J2250" s="3" t="s">
        <v>424</v>
      </c>
      <c r="K2250" s="3" t="s">
        <v>28</v>
      </c>
      <c r="L2250" s="3" t="s">
        <v>28</v>
      </c>
      <c r="M2250" s="3" t="s">
        <v>28</v>
      </c>
      <c r="N2250" s="3" t="s">
        <v>28</v>
      </c>
      <c r="O2250" s="3" t="s">
        <v>27</v>
      </c>
      <c r="P2250" s="3" t="s">
        <v>28</v>
      </c>
      <c r="Q2250" s="3" t="s">
        <v>28</v>
      </c>
      <c r="R2250" s="3" t="s">
        <v>28</v>
      </c>
      <c r="S2250" s="3" t="s">
        <v>28</v>
      </c>
      <c r="T2250" s="3" t="s">
        <v>27</v>
      </c>
    </row>
    <row r="2251" spans="1:20" ht="275.25">
      <c r="A2251" s="3">
        <v>2699031</v>
      </c>
      <c r="B2251" s="3">
        <f>HYPERLINK("https://platform.v2.vetology.net/cases/2699031/screening-report/6?type=pdf&amp;v=v6&amp;scorecard=1&amp;secret_key=BX%25IJ%24%2F65ieZ%29f6", 2699031)</f>
        <v>2699031</v>
      </c>
      <c r="C2251" s="3">
        <f>HYPERLINK("https://platform.v2.vetology.net/report/v/final/"&amp;2699031, 2699031)</f>
        <v>2699031</v>
      </c>
      <c r="D2251" s="3" t="s">
        <v>7738</v>
      </c>
      <c r="E2251" s="3" t="s">
        <v>7739</v>
      </c>
      <c r="F2251" s="3"/>
      <c r="G2251" s="3" t="s">
        <v>122</v>
      </c>
      <c r="H2251" s="3" t="s">
        <v>590</v>
      </c>
      <c r="I2251" s="3" t="s">
        <v>291</v>
      </c>
      <c r="J2251" s="3" t="s">
        <v>225</v>
      </c>
      <c r="K2251" s="3" t="s">
        <v>28</v>
      </c>
      <c r="L2251" s="3" t="s">
        <v>28</v>
      </c>
      <c r="M2251" s="3" t="s">
        <v>28</v>
      </c>
      <c r="N2251" s="3" t="s">
        <v>27</v>
      </c>
      <c r="O2251" s="3" t="s">
        <v>27</v>
      </c>
      <c r="P2251" s="3" t="s">
        <v>28</v>
      </c>
      <c r="Q2251" s="3" t="s">
        <v>28</v>
      </c>
      <c r="R2251" s="3" t="s">
        <v>28</v>
      </c>
      <c r="S2251" s="3" t="s">
        <v>27</v>
      </c>
      <c r="T2251" s="3" t="s">
        <v>27</v>
      </c>
    </row>
    <row r="2252" spans="1:20" ht="409.6">
      <c r="A2252" s="3">
        <v>2699023</v>
      </c>
      <c r="B2252" s="3">
        <f>HYPERLINK("https://platform.v2.vetology.net/cases/2699023/screening-report/6?type=pdf&amp;v=v6&amp;scorecard=1&amp;secret_key=BX%25IJ%24%2F65ieZ%29f6", 2699023)</f>
        <v>2699023</v>
      </c>
      <c r="C2252" s="3">
        <f>HYPERLINK("https://platform.v2.vetology.net/report/v/final/"&amp;2699023, 2699023)</f>
        <v>2699023</v>
      </c>
      <c r="D2252" s="3" t="s">
        <v>7740</v>
      </c>
      <c r="E2252" s="3" t="s">
        <v>7741</v>
      </c>
      <c r="F2252" s="3" t="s">
        <v>7742</v>
      </c>
      <c r="G2252" s="3" t="s">
        <v>64</v>
      </c>
      <c r="H2252" s="3" t="s">
        <v>350</v>
      </c>
      <c r="I2252" s="3" t="s">
        <v>351</v>
      </c>
      <c r="J2252" s="3" t="s">
        <v>352</v>
      </c>
      <c r="K2252" s="3" t="s">
        <v>28</v>
      </c>
      <c r="L2252" s="3" t="s">
        <v>28</v>
      </c>
      <c r="M2252" s="3" t="s">
        <v>28</v>
      </c>
      <c r="N2252" s="3" t="s">
        <v>28</v>
      </c>
      <c r="O2252" s="3" t="s">
        <v>28</v>
      </c>
      <c r="P2252" s="3" t="s">
        <v>28</v>
      </c>
      <c r="Q2252" s="3" t="s">
        <v>28</v>
      </c>
      <c r="R2252" s="3" t="s">
        <v>28</v>
      </c>
      <c r="S2252" s="3" t="s">
        <v>28</v>
      </c>
      <c r="T2252" s="3" t="s">
        <v>27</v>
      </c>
    </row>
    <row r="2253" spans="1:20" ht="229.5">
      <c r="A2253" s="3">
        <v>2699020</v>
      </c>
      <c r="B2253" s="3">
        <f>HYPERLINK("https://platform.v2.vetology.net/cases/2699020/screening-report/6?type=pdf&amp;v=v6&amp;scorecard=1&amp;secret_key=BX%25IJ%24%2F65ieZ%29f6", 2699020)</f>
        <v>2699020</v>
      </c>
      <c r="C2253" s="3">
        <f>HYPERLINK("https://platform.v2.vetology.net/report/v/final/"&amp;2699020, 2699020)</f>
        <v>2699020</v>
      </c>
      <c r="D2253" s="3" t="s">
        <v>7743</v>
      </c>
      <c r="E2253" s="3" t="s">
        <v>6313</v>
      </c>
      <c r="F2253" s="3" t="s">
        <v>22</v>
      </c>
      <c r="G2253" s="3" t="s">
        <v>100</v>
      </c>
      <c r="H2253" s="3" t="s">
        <v>7744</v>
      </c>
      <c r="I2253" s="3" t="s">
        <v>2165</v>
      </c>
      <c r="J2253" s="3" t="s">
        <v>207</v>
      </c>
      <c r="K2253" s="3" t="s">
        <v>28</v>
      </c>
      <c r="L2253" s="3" t="s">
        <v>28</v>
      </c>
      <c r="M2253" s="3" t="s">
        <v>28</v>
      </c>
      <c r="N2253" s="3" t="s">
        <v>28</v>
      </c>
      <c r="O2253" s="3" t="s">
        <v>27</v>
      </c>
      <c r="P2253" s="3" t="s">
        <v>28</v>
      </c>
      <c r="Q2253" s="3" t="s">
        <v>28</v>
      </c>
      <c r="R2253" s="3" t="s">
        <v>28</v>
      </c>
      <c r="S2253" s="3" t="s">
        <v>28</v>
      </c>
      <c r="T2253" s="3" t="s">
        <v>28</v>
      </c>
    </row>
    <row r="2254" spans="1:20" ht="396.75">
      <c r="A2254" s="3">
        <v>2699011</v>
      </c>
      <c r="B2254" s="3">
        <f>HYPERLINK("https://platform.v2.vetology.net/cases/2699011/screening-report/6?type=pdf&amp;v=v6&amp;scorecard=1&amp;secret_key=BX%25IJ%24%2F65ieZ%29f6", 2699011)</f>
        <v>2699011</v>
      </c>
      <c r="C2254" s="3">
        <f>HYPERLINK("https://platform.v2.vetology.net/report/v/final/"&amp;2699011, 2699011)</f>
        <v>2699011</v>
      </c>
      <c r="D2254" s="3" t="s">
        <v>7745</v>
      </c>
      <c r="E2254" s="3" t="s">
        <v>7746</v>
      </c>
      <c r="F2254" s="3" t="s">
        <v>22</v>
      </c>
      <c r="G2254" s="3" t="s">
        <v>372</v>
      </c>
      <c r="H2254" s="3" t="s">
        <v>7747</v>
      </c>
      <c r="I2254" s="3" t="s">
        <v>1227</v>
      </c>
      <c r="J2254" s="3" t="s">
        <v>1228</v>
      </c>
      <c r="K2254" s="3" t="s">
        <v>28</v>
      </c>
      <c r="L2254" s="3" t="s">
        <v>28</v>
      </c>
      <c r="M2254" s="3" t="s">
        <v>28</v>
      </c>
      <c r="N2254" s="3" t="s">
        <v>27</v>
      </c>
      <c r="O2254" s="3" t="s">
        <v>27</v>
      </c>
      <c r="P2254" s="3" t="s">
        <v>28</v>
      </c>
      <c r="Q2254" s="3" t="s">
        <v>28</v>
      </c>
      <c r="R2254" s="3" t="s">
        <v>27</v>
      </c>
      <c r="S2254" s="3" t="s">
        <v>28</v>
      </c>
      <c r="T2254" s="3" t="s">
        <v>27</v>
      </c>
    </row>
    <row r="2255" spans="1:20" ht="409.6">
      <c r="A2255" s="3">
        <v>2698996</v>
      </c>
      <c r="B2255" s="3">
        <f>HYPERLINK("https://platform.v2.vetology.net/cases/2698996/screening-report/6?type=pdf&amp;v=v6&amp;scorecard=1&amp;secret_key=BX%25IJ%24%2F65ieZ%29f6", 2698996)</f>
        <v>2698996</v>
      </c>
      <c r="C2255" s="3">
        <f>HYPERLINK("https://platform.v2.vetology.net/report/v/final/"&amp;2698996, 2698996)</f>
        <v>2698996</v>
      </c>
      <c r="D2255" s="3" t="s">
        <v>7748</v>
      </c>
      <c r="E2255" s="3" t="s">
        <v>7749</v>
      </c>
      <c r="F2255" s="3" t="s">
        <v>7750</v>
      </c>
      <c r="G2255" s="3" t="s">
        <v>736</v>
      </c>
      <c r="H2255" s="3" t="s">
        <v>7751</v>
      </c>
      <c r="I2255" s="3" t="s">
        <v>549</v>
      </c>
      <c r="J2255" s="3" t="s">
        <v>550</v>
      </c>
      <c r="K2255" s="3" t="s">
        <v>28</v>
      </c>
      <c r="L2255" s="3" t="s">
        <v>27</v>
      </c>
      <c r="M2255" s="3" t="s">
        <v>28</v>
      </c>
      <c r="N2255" s="3" t="s">
        <v>27</v>
      </c>
      <c r="O2255" s="3" t="s">
        <v>27</v>
      </c>
      <c r="P2255" s="3" t="s">
        <v>28</v>
      </c>
      <c r="Q2255" s="3" t="s">
        <v>28</v>
      </c>
      <c r="R2255" s="3" t="s">
        <v>27</v>
      </c>
      <c r="S2255" s="3" t="s">
        <v>27</v>
      </c>
      <c r="T2255" s="3" t="s">
        <v>27</v>
      </c>
    </row>
    <row r="2256" spans="1:20" ht="409.6">
      <c r="A2256" s="3">
        <v>2698961</v>
      </c>
      <c r="B2256" s="3">
        <f>HYPERLINK("https://platform.v2.vetology.net/cases/2698961/screening-report/6?type=pdf&amp;v=v6&amp;scorecard=1&amp;secret_key=BX%25IJ%24%2F65ieZ%29f6", 2698961)</f>
        <v>2698961</v>
      </c>
      <c r="C2256" s="3">
        <f>HYPERLINK("https://platform.v2.vetology.net/report/v/final/"&amp;2698961, 2698961)</f>
        <v>2698961</v>
      </c>
      <c r="D2256" s="3" t="s">
        <v>7752</v>
      </c>
      <c r="E2256" s="3" t="s">
        <v>7753</v>
      </c>
      <c r="F2256" s="3" t="s">
        <v>7754</v>
      </c>
      <c r="G2256" s="3" t="s">
        <v>100</v>
      </c>
      <c r="H2256" s="3" t="s">
        <v>7755</v>
      </c>
      <c r="I2256" s="3" t="s">
        <v>856</v>
      </c>
      <c r="J2256" s="3" t="s">
        <v>857</v>
      </c>
      <c r="K2256" s="3" t="s">
        <v>27</v>
      </c>
      <c r="L2256" s="3" t="s">
        <v>28</v>
      </c>
      <c r="M2256" s="3" t="s">
        <v>28</v>
      </c>
      <c r="N2256" s="3" t="s">
        <v>28</v>
      </c>
      <c r="O2256" s="3" t="s">
        <v>27</v>
      </c>
      <c r="P2256" s="3" t="s">
        <v>28</v>
      </c>
      <c r="Q2256" s="3" t="s">
        <v>28</v>
      </c>
      <c r="R2256" s="3" t="s">
        <v>28</v>
      </c>
      <c r="S2256" s="3" t="s">
        <v>28</v>
      </c>
      <c r="T2256" s="3" t="s">
        <v>28</v>
      </c>
    </row>
    <row r="2257" spans="1:20" ht="259.5">
      <c r="A2257" s="3">
        <v>2698951</v>
      </c>
      <c r="B2257" s="3">
        <f>HYPERLINK("https://platform.v2.vetology.net/cases/2698951/screening-report/6?type=pdf&amp;v=v6&amp;scorecard=1&amp;secret_key=BX%25IJ%24%2F65ieZ%29f6", 2698951)</f>
        <v>2698951</v>
      </c>
      <c r="C2257" s="3">
        <f>HYPERLINK("https://platform.v2.vetology.net/report/v/final/"&amp;2698951, 2698951)</f>
        <v>2698951</v>
      </c>
      <c r="D2257" s="3" t="s">
        <v>7756</v>
      </c>
      <c r="E2257" s="3" t="s">
        <v>1884</v>
      </c>
      <c r="F2257" s="3" t="s">
        <v>2317</v>
      </c>
      <c r="G2257" s="3" t="s">
        <v>186</v>
      </c>
      <c r="H2257" s="3" t="s">
        <v>864</v>
      </c>
      <c r="I2257" s="3" t="s">
        <v>865</v>
      </c>
      <c r="J2257" s="3" t="s">
        <v>866</v>
      </c>
      <c r="K2257" s="3" t="s">
        <v>28</v>
      </c>
      <c r="L2257" s="3" t="s">
        <v>28</v>
      </c>
      <c r="M2257" s="3" t="s">
        <v>28</v>
      </c>
      <c r="N2257" s="3" t="s">
        <v>28</v>
      </c>
      <c r="O2257" s="3" t="s">
        <v>27</v>
      </c>
      <c r="P2257" s="3" t="s">
        <v>28</v>
      </c>
      <c r="Q2257" s="3" t="s">
        <v>28</v>
      </c>
      <c r="R2257" s="3" t="s">
        <v>28</v>
      </c>
      <c r="S2257" s="3" t="s">
        <v>28</v>
      </c>
      <c r="T2257" s="3" t="s">
        <v>28</v>
      </c>
    </row>
    <row r="2258" spans="1:20" ht="396.75">
      <c r="A2258" s="3">
        <v>2698922</v>
      </c>
      <c r="B2258" s="3">
        <f>HYPERLINK("https://platform.v2.vetology.net/cases/2698922/screening-report/6?type=pdf&amp;v=v6&amp;scorecard=1&amp;secret_key=BX%25IJ%24%2F65ieZ%29f6", 2698922)</f>
        <v>2698922</v>
      </c>
      <c r="C2258" s="3">
        <f>HYPERLINK("https://platform.v2.vetology.net/report/v/final/"&amp;2698922, 2698922)</f>
        <v>2698922</v>
      </c>
      <c r="D2258" s="3" t="s">
        <v>7757</v>
      </c>
      <c r="E2258" s="3" t="s">
        <v>7758</v>
      </c>
      <c r="F2258" s="3" t="s">
        <v>7759</v>
      </c>
      <c r="G2258" s="3" t="s">
        <v>211</v>
      </c>
      <c r="H2258" s="3" t="s">
        <v>5525</v>
      </c>
      <c r="I2258" s="3" t="s">
        <v>469</v>
      </c>
      <c r="J2258" s="3" t="s">
        <v>470</v>
      </c>
      <c r="K2258" s="3" t="s">
        <v>28</v>
      </c>
      <c r="L2258" s="3" t="s">
        <v>28</v>
      </c>
      <c r="M2258" s="3" t="s">
        <v>28</v>
      </c>
      <c r="N2258" s="3" t="s">
        <v>28</v>
      </c>
      <c r="O2258" s="3" t="s">
        <v>27</v>
      </c>
      <c r="P2258" s="3" t="s">
        <v>28</v>
      </c>
      <c r="Q2258" s="3" t="s">
        <v>28</v>
      </c>
      <c r="R2258" s="3" t="s">
        <v>28</v>
      </c>
      <c r="S2258" s="3" t="s">
        <v>28</v>
      </c>
      <c r="T2258" s="3" t="s">
        <v>28</v>
      </c>
    </row>
    <row r="2259" spans="1:20" ht="409.6">
      <c r="A2259" s="3">
        <v>2698920</v>
      </c>
      <c r="B2259" s="3">
        <f>HYPERLINK("https://platform.v2.vetology.net/cases/2698920/screening-report/6?type=pdf&amp;v=v6&amp;scorecard=1&amp;secret_key=BX%25IJ%24%2F65ieZ%29f6", 2698920)</f>
        <v>2698920</v>
      </c>
      <c r="C2259" s="3">
        <f>HYPERLINK("https://platform.v2.vetology.net/report/v/final/"&amp;2698920, 2698920)</f>
        <v>2698920</v>
      </c>
      <c r="D2259" s="3" t="s">
        <v>7760</v>
      </c>
      <c r="E2259" s="3" t="s">
        <v>7761</v>
      </c>
      <c r="F2259" s="3" t="s">
        <v>7762</v>
      </c>
      <c r="G2259" s="3" t="s">
        <v>566</v>
      </c>
      <c r="H2259" s="3" t="s">
        <v>7763</v>
      </c>
      <c r="I2259" s="3" t="s">
        <v>380</v>
      </c>
      <c r="J2259" s="3" t="s">
        <v>297</v>
      </c>
      <c r="K2259" s="3" t="s">
        <v>28</v>
      </c>
      <c r="L2259" s="3" t="s">
        <v>28</v>
      </c>
      <c r="M2259" s="3" t="s">
        <v>28</v>
      </c>
      <c r="N2259" s="3" t="s">
        <v>28</v>
      </c>
      <c r="O2259" s="3" t="s">
        <v>28</v>
      </c>
      <c r="P2259" s="3" t="s">
        <v>28</v>
      </c>
      <c r="Q2259" s="3" t="s">
        <v>28</v>
      </c>
      <c r="R2259" s="3" t="s">
        <v>28</v>
      </c>
      <c r="S2259" s="3" t="s">
        <v>28</v>
      </c>
      <c r="T2259" s="3" t="s">
        <v>27</v>
      </c>
    </row>
    <row r="2260" spans="1:20" ht="396.75">
      <c r="A2260" s="3">
        <v>2698912</v>
      </c>
      <c r="B2260" s="3">
        <f>HYPERLINK("https://platform.v2.vetology.net/cases/2698912/screening-report/6?type=pdf&amp;v=v6&amp;scorecard=1&amp;secret_key=BX%25IJ%24%2F65ieZ%29f6", 2698912)</f>
        <v>2698912</v>
      </c>
      <c r="C2260" s="3">
        <f>HYPERLINK("https://platform.v2.vetology.net/report/v/final/"&amp;2698912, 2698912)</f>
        <v>2698912</v>
      </c>
      <c r="D2260" s="3" t="s">
        <v>7764</v>
      </c>
      <c r="E2260" s="3" t="s">
        <v>7765</v>
      </c>
      <c r="F2260" s="3" t="s">
        <v>7766</v>
      </c>
      <c r="G2260" s="3" t="s">
        <v>211</v>
      </c>
      <c r="H2260" s="3" t="s">
        <v>1372</v>
      </c>
      <c r="I2260" s="3" t="s">
        <v>1373</v>
      </c>
      <c r="J2260" s="3" t="s">
        <v>207</v>
      </c>
      <c r="K2260" s="3" t="s">
        <v>28</v>
      </c>
      <c r="L2260" s="3" t="s">
        <v>28</v>
      </c>
      <c r="M2260" s="3" t="s">
        <v>27</v>
      </c>
      <c r="N2260" s="3" t="s">
        <v>28</v>
      </c>
      <c r="O2260" s="3" t="s">
        <v>27</v>
      </c>
      <c r="P2260" s="3" t="s">
        <v>27</v>
      </c>
      <c r="Q2260" s="3" t="s">
        <v>27</v>
      </c>
      <c r="R2260" s="3" t="s">
        <v>28</v>
      </c>
      <c r="S2260" s="3" t="s">
        <v>28</v>
      </c>
      <c r="T2260" s="3" t="s">
        <v>27</v>
      </c>
    </row>
    <row r="2261" spans="1:20" ht="409.6">
      <c r="A2261" s="3">
        <v>2698883</v>
      </c>
      <c r="B2261" s="3">
        <f>HYPERLINK("https://platform.v2.vetology.net/cases/2698883/screening-report/6?type=pdf&amp;v=v6&amp;scorecard=1&amp;secret_key=BX%25IJ%24%2F65ieZ%29f6", 2698883)</f>
        <v>2698883</v>
      </c>
      <c r="C2261" s="3">
        <f>HYPERLINK("https://platform.v2.vetology.net/report/v/final/"&amp;2698883, 2698883)</f>
        <v>2698883</v>
      </c>
      <c r="D2261" s="3" t="s">
        <v>7767</v>
      </c>
      <c r="E2261" s="3" t="s">
        <v>7768</v>
      </c>
      <c r="F2261" s="3" t="s">
        <v>7769</v>
      </c>
      <c r="G2261" s="3" t="s">
        <v>64</v>
      </c>
      <c r="H2261" s="3" t="s">
        <v>1271</v>
      </c>
      <c r="I2261" s="3" t="s">
        <v>883</v>
      </c>
      <c r="J2261" s="3" t="s">
        <v>884</v>
      </c>
      <c r="K2261" s="3" t="s">
        <v>27</v>
      </c>
      <c r="L2261" s="3" t="s">
        <v>28</v>
      </c>
      <c r="M2261" s="3" t="s">
        <v>28</v>
      </c>
      <c r="N2261" s="3" t="s">
        <v>28</v>
      </c>
      <c r="O2261" s="3" t="s">
        <v>28</v>
      </c>
      <c r="P2261" s="3" t="s">
        <v>28</v>
      </c>
      <c r="Q2261" s="3" t="s">
        <v>28</v>
      </c>
      <c r="R2261" s="3" t="s">
        <v>28</v>
      </c>
      <c r="S2261" s="3" t="s">
        <v>28</v>
      </c>
      <c r="T2261" s="3" t="s">
        <v>28</v>
      </c>
    </row>
    <row r="2262" spans="1:20" ht="366">
      <c r="A2262" s="3">
        <v>2698858</v>
      </c>
      <c r="B2262" s="3">
        <f>HYPERLINK("https://platform.v2.vetology.net/cases/2698858/screening-report/6?type=pdf&amp;v=v6&amp;scorecard=1&amp;secret_key=BX%25IJ%24%2F65ieZ%29f6", 2698858)</f>
        <v>2698858</v>
      </c>
      <c r="C2262" s="3">
        <f>HYPERLINK("https://platform.v2.vetology.net/report/v/final/"&amp;2698858, 2698858)</f>
        <v>2698858</v>
      </c>
      <c r="D2262" s="3" t="s">
        <v>7770</v>
      </c>
      <c r="E2262" s="3" t="s">
        <v>7771</v>
      </c>
      <c r="F2262" s="3" t="s">
        <v>7772</v>
      </c>
      <c r="G2262" s="3" t="s">
        <v>496</v>
      </c>
      <c r="H2262" s="3" t="s">
        <v>7432</v>
      </c>
      <c r="I2262" s="3" t="s">
        <v>2963</v>
      </c>
      <c r="J2262" s="3" t="s">
        <v>2964</v>
      </c>
      <c r="K2262" s="3" t="s">
        <v>27</v>
      </c>
      <c r="L2262" s="3" t="s">
        <v>28</v>
      </c>
      <c r="M2262" s="3" t="s">
        <v>27</v>
      </c>
      <c r="N2262" s="3" t="s">
        <v>28</v>
      </c>
      <c r="O2262" s="3" t="s">
        <v>27</v>
      </c>
      <c r="P2262" s="3" t="s">
        <v>28</v>
      </c>
      <c r="Q2262" s="3" t="s">
        <v>27</v>
      </c>
      <c r="R2262" s="3" t="s">
        <v>28</v>
      </c>
      <c r="S2262" s="3" t="s">
        <v>28</v>
      </c>
      <c r="T2262" s="3" t="s">
        <v>28</v>
      </c>
    </row>
    <row r="2263" spans="1:20" ht="305.25">
      <c r="A2263" s="3">
        <v>2698809</v>
      </c>
      <c r="B2263" s="3">
        <f>HYPERLINK("https://platform.v2.vetology.net/cases/2698809/screening-report/6?type=pdf&amp;v=v6&amp;scorecard=1&amp;secret_key=BX%25IJ%24%2F65ieZ%29f6", 2698809)</f>
        <v>2698809</v>
      </c>
      <c r="C2263" s="3">
        <f>HYPERLINK("https://platform.v2.vetology.net/report/v/final/"&amp;2698809, 2698809)</f>
        <v>2698809</v>
      </c>
      <c r="D2263" s="3" t="s">
        <v>7773</v>
      </c>
      <c r="E2263" s="3" t="s">
        <v>7774</v>
      </c>
      <c r="F2263" s="3" t="s">
        <v>22</v>
      </c>
      <c r="G2263" s="3" t="s">
        <v>372</v>
      </c>
      <c r="H2263" s="3" t="s">
        <v>7775</v>
      </c>
      <c r="I2263" s="3" t="s">
        <v>1082</v>
      </c>
      <c r="J2263" s="3" t="s">
        <v>1083</v>
      </c>
      <c r="K2263" s="3" t="s">
        <v>28</v>
      </c>
      <c r="L2263" s="3" t="s">
        <v>28</v>
      </c>
      <c r="M2263" s="3" t="s">
        <v>27</v>
      </c>
      <c r="N2263" s="3" t="s">
        <v>28</v>
      </c>
      <c r="O2263" s="3" t="s">
        <v>27</v>
      </c>
      <c r="P2263" s="3" t="s">
        <v>28</v>
      </c>
      <c r="Q2263" s="3" t="s">
        <v>28</v>
      </c>
      <c r="R2263" s="3" t="s">
        <v>28</v>
      </c>
      <c r="S2263" s="3" t="s">
        <v>28</v>
      </c>
      <c r="T2263" s="3" t="s">
        <v>27</v>
      </c>
    </row>
    <row r="2264" spans="1:20" ht="366">
      <c r="A2264" s="3">
        <v>2698790</v>
      </c>
      <c r="B2264" s="3">
        <f>HYPERLINK("https://platform.v2.vetology.net/cases/2698790/screening-report/6?type=pdf&amp;v=v6&amp;scorecard=1&amp;secret_key=BX%25IJ%24%2F65ieZ%29f6", 2698790)</f>
        <v>2698790</v>
      </c>
      <c r="C2264" s="3">
        <f>HYPERLINK("https://platform.v2.vetology.net/report/v/final/"&amp;2698790, 2698790)</f>
        <v>2698790</v>
      </c>
      <c r="D2264" s="3" t="s">
        <v>7776</v>
      </c>
      <c r="E2264" s="3" t="s">
        <v>7777</v>
      </c>
      <c r="F2264" s="3" t="s">
        <v>7778</v>
      </c>
      <c r="G2264" s="3" t="s">
        <v>64</v>
      </c>
      <c r="H2264" s="3" t="s">
        <v>7426</v>
      </c>
      <c r="I2264" s="3" t="s">
        <v>2565</v>
      </c>
      <c r="J2264" s="3" t="s">
        <v>2566</v>
      </c>
      <c r="K2264" s="3" t="s">
        <v>27</v>
      </c>
      <c r="L2264" s="3" t="s">
        <v>27</v>
      </c>
      <c r="M2264" s="3" t="s">
        <v>28</v>
      </c>
      <c r="N2264" s="3" t="s">
        <v>27</v>
      </c>
      <c r="O2264" s="3" t="s">
        <v>27</v>
      </c>
      <c r="P2264" s="3" t="s">
        <v>28</v>
      </c>
      <c r="Q2264" s="3" t="s">
        <v>28</v>
      </c>
      <c r="R2264" s="3" t="s">
        <v>27</v>
      </c>
      <c r="S2264" s="3" t="s">
        <v>27</v>
      </c>
      <c r="T2264" s="3" t="s">
        <v>27</v>
      </c>
    </row>
    <row r="2265" spans="1:20" ht="409.6">
      <c r="A2265" s="3">
        <v>2698760</v>
      </c>
      <c r="B2265" s="3">
        <f>HYPERLINK("https://platform.v2.vetology.net/cases/2698760/screening-report/6?type=pdf&amp;v=v6&amp;scorecard=1&amp;secret_key=BX%25IJ%24%2F65ieZ%29f6", 2698760)</f>
        <v>2698760</v>
      </c>
      <c r="C2265" s="3">
        <f>HYPERLINK("https://platform.v2.vetology.net/report/v/final/"&amp;2698760, 2698760)</f>
        <v>2698760</v>
      </c>
      <c r="D2265" s="3" t="s">
        <v>7779</v>
      </c>
      <c r="E2265" s="3" t="s">
        <v>7780</v>
      </c>
      <c r="F2265" s="3" t="s">
        <v>7781</v>
      </c>
      <c r="G2265" s="3" t="s">
        <v>186</v>
      </c>
      <c r="H2265" s="3" t="s">
        <v>7782</v>
      </c>
      <c r="I2265" s="3" t="s">
        <v>429</v>
      </c>
      <c r="J2265" s="3" t="s">
        <v>430</v>
      </c>
      <c r="K2265" s="3" t="s">
        <v>27</v>
      </c>
      <c r="L2265" s="3" t="s">
        <v>27</v>
      </c>
      <c r="M2265" s="3" t="s">
        <v>27</v>
      </c>
      <c r="N2265" s="3" t="s">
        <v>27</v>
      </c>
      <c r="O2265" s="3" t="s">
        <v>27</v>
      </c>
      <c r="P2265" s="3" t="s">
        <v>28</v>
      </c>
      <c r="Q2265" s="3" t="s">
        <v>27</v>
      </c>
      <c r="R2265" s="3" t="s">
        <v>27</v>
      </c>
      <c r="S2265" s="3" t="s">
        <v>28</v>
      </c>
      <c r="T2265" s="3" t="s">
        <v>27</v>
      </c>
    </row>
    <row r="2266" spans="1:20" ht="366">
      <c r="A2266" s="3">
        <v>2698753</v>
      </c>
      <c r="B2266" s="3">
        <f>HYPERLINK("https://platform.v2.vetology.net/cases/2698753/screening-report/6?type=pdf&amp;v=v6&amp;scorecard=1&amp;secret_key=BX%25IJ%24%2F65ieZ%29f6", 2698753)</f>
        <v>2698753</v>
      </c>
      <c r="C2266" s="3">
        <f>HYPERLINK("https://platform.v2.vetology.net/report/v/final/"&amp;2698753, 2698753)</f>
        <v>2698753</v>
      </c>
      <c r="D2266" s="3" t="s">
        <v>7783</v>
      </c>
      <c r="E2266" s="3" t="s">
        <v>7784</v>
      </c>
      <c r="F2266" s="3" t="s">
        <v>7785</v>
      </c>
      <c r="G2266" s="3" t="s">
        <v>100</v>
      </c>
      <c r="H2266" s="3" t="s">
        <v>1271</v>
      </c>
      <c r="I2266" s="3" t="s">
        <v>883</v>
      </c>
      <c r="J2266" s="3" t="s">
        <v>884</v>
      </c>
      <c r="K2266" s="3" t="s">
        <v>27</v>
      </c>
      <c r="L2266" s="3" t="s">
        <v>28</v>
      </c>
      <c r="M2266" s="3" t="s">
        <v>28</v>
      </c>
      <c r="N2266" s="3" t="s">
        <v>28</v>
      </c>
      <c r="O2266" s="3" t="s">
        <v>28</v>
      </c>
      <c r="P2266" s="3" t="s">
        <v>28</v>
      </c>
      <c r="Q2266" s="3" t="s">
        <v>28</v>
      </c>
      <c r="R2266" s="3" t="s">
        <v>28</v>
      </c>
      <c r="S2266" s="3" t="s">
        <v>28</v>
      </c>
      <c r="T2266" s="3" t="s">
        <v>28</v>
      </c>
    </row>
    <row r="2267" spans="1:20" ht="351">
      <c r="A2267" s="3">
        <v>2698710</v>
      </c>
      <c r="B2267" s="3">
        <f>HYPERLINK("https://platform.v2.vetology.net/cases/2698710/screening-report/6?type=pdf&amp;v=v6&amp;scorecard=1&amp;secret_key=BX%25IJ%24%2F65ieZ%29f6", 2698710)</f>
        <v>2698710</v>
      </c>
      <c r="C2267" s="3">
        <f>HYPERLINK("https://platform.v2.vetology.net/report/v/final/"&amp;2698710, 2698710)</f>
        <v>2698710</v>
      </c>
      <c r="D2267" s="3" t="s">
        <v>7786</v>
      </c>
      <c r="E2267" s="3" t="s">
        <v>7787</v>
      </c>
      <c r="F2267" s="3" t="s">
        <v>7788</v>
      </c>
      <c r="G2267" s="3" t="s">
        <v>211</v>
      </c>
      <c r="H2267" s="3" t="s">
        <v>2103</v>
      </c>
      <c r="I2267" s="3" t="s">
        <v>643</v>
      </c>
      <c r="J2267" s="3" t="s">
        <v>143</v>
      </c>
      <c r="K2267" s="3" t="s">
        <v>28</v>
      </c>
      <c r="L2267" s="3" t="s">
        <v>28</v>
      </c>
      <c r="M2267" s="3" t="s">
        <v>28</v>
      </c>
      <c r="N2267" s="3" t="s">
        <v>28</v>
      </c>
      <c r="O2267" s="3" t="s">
        <v>27</v>
      </c>
      <c r="P2267" s="3" t="s">
        <v>28</v>
      </c>
      <c r="Q2267" s="3" t="s">
        <v>28</v>
      </c>
      <c r="R2267" s="3" t="s">
        <v>28</v>
      </c>
      <c r="S2267" s="3" t="s">
        <v>28</v>
      </c>
      <c r="T2267" s="3" t="s">
        <v>27</v>
      </c>
    </row>
    <row r="2268" spans="1:20" ht="366">
      <c r="A2268" s="3">
        <v>2698707</v>
      </c>
      <c r="B2268" s="3">
        <f>HYPERLINK("https://platform.v2.vetology.net/cases/2698707/screening-report/6?type=pdf&amp;v=v6&amp;scorecard=1&amp;secret_key=BX%25IJ%24%2F65ieZ%29f6", 2698707)</f>
        <v>2698707</v>
      </c>
      <c r="C2268" s="3">
        <f>HYPERLINK("https://platform.v2.vetology.net/report/v/final/"&amp;2698707, 2698707)</f>
        <v>2698707</v>
      </c>
      <c r="D2268" s="3" t="s">
        <v>7789</v>
      </c>
      <c r="E2268" s="3" t="s">
        <v>7790</v>
      </c>
      <c r="F2268" s="3" t="s">
        <v>7791</v>
      </c>
      <c r="G2268" s="3" t="s">
        <v>211</v>
      </c>
      <c r="H2268" s="3" t="s">
        <v>7792</v>
      </c>
      <c r="I2268" s="3" t="s">
        <v>2963</v>
      </c>
      <c r="J2268" s="3" t="s">
        <v>2964</v>
      </c>
      <c r="K2268" s="3" t="s">
        <v>27</v>
      </c>
      <c r="L2268" s="3" t="s">
        <v>28</v>
      </c>
      <c r="M2268" s="3" t="s">
        <v>28</v>
      </c>
      <c r="N2268" s="3" t="s">
        <v>28</v>
      </c>
      <c r="O2268" s="3" t="s">
        <v>27</v>
      </c>
      <c r="P2268" s="3" t="s">
        <v>28</v>
      </c>
      <c r="Q2268" s="3" t="s">
        <v>28</v>
      </c>
      <c r="R2268" s="3" t="s">
        <v>28</v>
      </c>
      <c r="S2268" s="3" t="s">
        <v>28</v>
      </c>
      <c r="T2268" s="3" t="s">
        <v>28</v>
      </c>
    </row>
    <row r="2269" spans="1:20" ht="336">
      <c r="A2269" s="3">
        <v>2698701</v>
      </c>
      <c r="B2269" s="3">
        <f>HYPERLINK("https://platform.v2.vetology.net/cases/2698701/screening-report/6?type=pdf&amp;v=v6&amp;scorecard=1&amp;secret_key=BX%25IJ%24%2F65ieZ%29f6", 2698701)</f>
        <v>2698701</v>
      </c>
      <c r="C2269" s="3">
        <f>HYPERLINK("https://platform.v2.vetology.net/report/v/final/"&amp;2698701, 2698701)</f>
        <v>2698701</v>
      </c>
      <c r="D2269" s="3" t="s">
        <v>7793</v>
      </c>
      <c r="E2269" s="3" t="s">
        <v>7794</v>
      </c>
      <c r="F2269" s="3" t="s">
        <v>7795</v>
      </c>
      <c r="G2269" s="3" t="s">
        <v>179</v>
      </c>
      <c r="H2269" s="3" t="s">
        <v>7796</v>
      </c>
      <c r="I2269" s="3" t="s">
        <v>124</v>
      </c>
      <c r="J2269" s="3" t="s">
        <v>125</v>
      </c>
      <c r="K2269" s="3" t="s">
        <v>27</v>
      </c>
      <c r="L2269" s="3" t="s">
        <v>28</v>
      </c>
      <c r="M2269" s="3" t="s">
        <v>27</v>
      </c>
      <c r="N2269" s="3" t="s">
        <v>28</v>
      </c>
      <c r="O2269" s="3" t="s">
        <v>27</v>
      </c>
      <c r="P2269" s="3" t="s">
        <v>28</v>
      </c>
      <c r="Q2269" s="3" t="s">
        <v>28</v>
      </c>
      <c r="R2269" s="3" t="s">
        <v>28</v>
      </c>
      <c r="S2269" s="3" t="s">
        <v>28</v>
      </c>
      <c r="T2269" s="3" t="s">
        <v>28</v>
      </c>
    </row>
    <row r="2270" spans="1:20" ht="396.75">
      <c r="A2270" s="3">
        <v>2698661</v>
      </c>
      <c r="B2270" s="3">
        <f>HYPERLINK("https://platform.v2.vetology.net/cases/2698661/screening-report/6?type=pdf&amp;v=v6&amp;scorecard=1&amp;secret_key=BX%25IJ%24%2F65ieZ%29f6", 2698661)</f>
        <v>2698661</v>
      </c>
      <c r="C2270" s="3">
        <f>HYPERLINK("https://platform.v2.vetology.net/report/v/final/"&amp;2698661, 2698661)</f>
        <v>2698661</v>
      </c>
      <c r="D2270" s="3" t="s">
        <v>7797</v>
      </c>
      <c r="E2270" s="3" t="s">
        <v>7678</v>
      </c>
      <c r="F2270" s="3" t="s">
        <v>7798</v>
      </c>
      <c r="G2270" s="3" t="s">
        <v>23</v>
      </c>
      <c r="H2270" s="3" t="s">
        <v>5525</v>
      </c>
      <c r="I2270" s="3" t="s">
        <v>469</v>
      </c>
      <c r="J2270" s="3" t="s">
        <v>470</v>
      </c>
      <c r="K2270" s="3" t="s">
        <v>28</v>
      </c>
      <c r="L2270" s="3" t="s">
        <v>28</v>
      </c>
      <c r="M2270" s="3" t="s">
        <v>28</v>
      </c>
      <c r="N2270" s="3" t="s">
        <v>28</v>
      </c>
      <c r="O2270" s="3" t="s">
        <v>27</v>
      </c>
      <c r="P2270" s="3" t="s">
        <v>28</v>
      </c>
      <c r="Q2270" s="3" t="s">
        <v>28</v>
      </c>
      <c r="R2270" s="3" t="s">
        <v>28</v>
      </c>
      <c r="S2270" s="3" t="s">
        <v>28</v>
      </c>
      <c r="T2270" s="3" t="s">
        <v>28</v>
      </c>
    </row>
    <row r="2271" spans="1:20" ht="409.6">
      <c r="A2271" s="3">
        <v>2698645</v>
      </c>
      <c r="B2271" s="3">
        <f>HYPERLINK("https://platform.v2.vetology.net/cases/2698645/screening-report/6?type=pdf&amp;v=v6&amp;scorecard=1&amp;secret_key=BX%25IJ%24%2F65ieZ%29f6", 2698645)</f>
        <v>2698645</v>
      </c>
      <c r="C2271" s="3">
        <f>HYPERLINK("https://platform.v2.vetology.net/report/v/final/"&amp;2698645, 2698645)</f>
        <v>2698645</v>
      </c>
      <c r="D2271" s="3" t="s">
        <v>7799</v>
      </c>
      <c r="E2271" s="3" t="s">
        <v>7800</v>
      </c>
      <c r="F2271" s="3" t="s">
        <v>22</v>
      </c>
      <c r="G2271" s="3" t="s">
        <v>100</v>
      </c>
      <c r="H2271" s="3" t="s">
        <v>7801</v>
      </c>
      <c r="I2271" s="3" t="s">
        <v>878</v>
      </c>
      <c r="J2271" s="3" t="s">
        <v>879</v>
      </c>
      <c r="K2271" s="3" t="s">
        <v>27</v>
      </c>
      <c r="L2271" s="3" t="s">
        <v>27</v>
      </c>
      <c r="M2271" s="3" t="s">
        <v>28</v>
      </c>
      <c r="N2271" s="3" t="s">
        <v>27</v>
      </c>
      <c r="O2271" s="3" t="s">
        <v>27</v>
      </c>
      <c r="P2271" s="3" t="s">
        <v>28</v>
      </c>
      <c r="Q2271" s="3" t="s">
        <v>27</v>
      </c>
      <c r="R2271" s="3" t="s">
        <v>27</v>
      </c>
      <c r="S2271" s="3" t="s">
        <v>27</v>
      </c>
      <c r="T2271" s="3" t="s">
        <v>27</v>
      </c>
    </row>
    <row r="2272" spans="1:20" ht="409.6">
      <c r="A2272" s="3">
        <v>2698640</v>
      </c>
      <c r="B2272" s="3">
        <f>HYPERLINK("https://platform.v2.vetology.net/cases/2698640/screening-report/6?type=pdf&amp;v=v6&amp;scorecard=1&amp;secret_key=BX%25IJ%24%2F65ieZ%29f6", 2698640)</f>
        <v>2698640</v>
      </c>
      <c r="C2272" s="3">
        <f>HYPERLINK("https://platform.v2.vetology.net/report/v/final/"&amp;2698640, 2698640)</f>
        <v>2698640</v>
      </c>
      <c r="D2272" s="3" t="s">
        <v>7802</v>
      </c>
      <c r="E2272" s="3" t="s">
        <v>7803</v>
      </c>
      <c r="F2272" s="3" t="s">
        <v>7804</v>
      </c>
      <c r="G2272" s="3" t="s">
        <v>64</v>
      </c>
      <c r="H2272" s="3" t="s">
        <v>2760</v>
      </c>
      <c r="I2272" s="3" t="s">
        <v>37</v>
      </c>
      <c r="J2272" s="3" t="s">
        <v>38</v>
      </c>
      <c r="K2272" s="3" t="s">
        <v>28</v>
      </c>
      <c r="L2272" s="3" t="s">
        <v>28</v>
      </c>
      <c r="M2272" s="3" t="s">
        <v>28</v>
      </c>
      <c r="N2272" s="3" t="s">
        <v>28</v>
      </c>
      <c r="O2272" s="3" t="s">
        <v>27</v>
      </c>
      <c r="P2272" s="3" t="s">
        <v>28</v>
      </c>
      <c r="Q2272" s="3" t="s">
        <v>28</v>
      </c>
      <c r="R2272" s="3" t="s">
        <v>28</v>
      </c>
      <c r="S2272" s="3" t="s">
        <v>28</v>
      </c>
      <c r="T2272" s="3" t="s">
        <v>28</v>
      </c>
    </row>
    <row r="2273" spans="1:20" ht="409.6">
      <c r="A2273" s="3">
        <v>2698635</v>
      </c>
      <c r="B2273" s="3">
        <f>HYPERLINK("https://platform.v2.vetology.net/cases/2698635/screening-report/6?type=pdf&amp;v=v6&amp;scorecard=1&amp;secret_key=BX%25IJ%24%2F65ieZ%29f6", 2698635)</f>
        <v>2698635</v>
      </c>
      <c r="C2273" s="3">
        <f>HYPERLINK("https://platform.v2.vetology.net/report/v/final/"&amp;2698635, 2698635)</f>
        <v>2698635</v>
      </c>
      <c r="D2273" s="3" t="s">
        <v>7805</v>
      </c>
      <c r="E2273" s="3" t="s">
        <v>7806</v>
      </c>
      <c r="F2273" s="3" t="s">
        <v>7807</v>
      </c>
      <c r="G2273" s="3" t="s">
        <v>179</v>
      </c>
      <c r="H2273" s="3" t="s">
        <v>31</v>
      </c>
      <c r="I2273" s="3" t="s">
        <v>7808</v>
      </c>
      <c r="J2273" s="3" t="s">
        <v>7809</v>
      </c>
      <c r="K2273" s="3" t="s">
        <v>27</v>
      </c>
      <c r="L2273" s="3" t="s">
        <v>28</v>
      </c>
      <c r="M2273" s="3" t="s">
        <v>28</v>
      </c>
      <c r="N2273" s="3" t="s">
        <v>28</v>
      </c>
      <c r="O2273" s="3" t="s">
        <v>28</v>
      </c>
      <c r="P2273" s="3" t="s">
        <v>28</v>
      </c>
      <c r="Q2273" s="3" t="s">
        <v>28</v>
      </c>
      <c r="R2273" s="3" t="s">
        <v>28</v>
      </c>
      <c r="S2273" s="3" t="s">
        <v>28</v>
      </c>
      <c r="T2273" s="3" t="s">
        <v>28</v>
      </c>
    </row>
    <row r="2274" spans="1:20" ht="409.6">
      <c r="A2274" s="3">
        <v>2698634</v>
      </c>
      <c r="B2274" s="3">
        <f>HYPERLINK("https://platform.v2.vetology.net/cases/2698634/screening-report/6?type=pdf&amp;v=v6&amp;scorecard=1&amp;secret_key=BX%25IJ%24%2F65ieZ%29f6", 2698634)</f>
        <v>2698634</v>
      </c>
      <c r="C2274" s="3">
        <f>HYPERLINK("https://platform.v2.vetology.net/report/v/final/"&amp;2698634, 2698634)</f>
        <v>2698634</v>
      </c>
      <c r="D2274" s="3" t="s">
        <v>7810</v>
      </c>
      <c r="E2274" s="3" t="s">
        <v>7811</v>
      </c>
      <c r="F2274" s="3" t="s">
        <v>7812</v>
      </c>
      <c r="G2274" s="3" t="s">
        <v>64</v>
      </c>
      <c r="H2274" s="3" t="s">
        <v>677</v>
      </c>
      <c r="I2274" s="3" t="s">
        <v>678</v>
      </c>
      <c r="J2274" s="3" t="s">
        <v>679</v>
      </c>
      <c r="K2274" s="3" t="s">
        <v>28</v>
      </c>
      <c r="L2274" s="3" t="s">
        <v>27</v>
      </c>
      <c r="M2274" s="3" t="s">
        <v>28</v>
      </c>
      <c r="N2274" s="3" t="s">
        <v>27</v>
      </c>
      <c r="O2274" s="3" t="s">
        <v>27</v>
      </c>
      <c r="P2274" s="3" t="s">
        <v>28</v>
      </c>
      <c r="Q2274" s="3" t="s">
        <v>28</v>
      </c>
      <c r="R2274" s="3" t="s">
        <v>27</v>
      </c>
      <c r="S2274" s="3" t="s">
        <v>27</v>
      </c>
      <c r="T2274" s="3" t="s">
        <v>27</v>
      </c>
    </row>
    <row r="2275" spans="1:20" ht="409.6">
      <c r="A2275" s="3">
        <v>2698601</v>
      </c>
      <c r="B2275" s="3">
        <f>HYPERLINK("https://platform.v2.vetology.net/cases/2698601/screening-report/6?type=pdf&amp;v=v6&amp;scorecard=1&amp;secret_key=BX%25IJ%24%2F65ieZ%29f6", 2698601)</f>
        <v>2698601</v>
      </c>
      <c r="C2275" s="3">
        <f>HYPERLINK("https://platform.v2.vetology.net/report/v/final/"&amp;2698601, 2698601)</f>
        <v>2698601</v>
      </c>
      <c r="D2275" s="3" t="s">
        <v>7813</v>
      </c>
      <c r="E2275" s="3" t="s">
        <v>7814</v>
      </c>
      <c r="F2275" s="3" t="s">
        <v>7815</v>
      </c>
      <c r="G2275" s="3" t="s">
        <v>64</v>
      </c>
      <c r="H2275" s="3" t="s">
        <v>3956</v>
      </c>
      <c r="I2275" s="3" t="s">
        <v>793</v>
      </c>
      <c r="J2275" s="3" t="s">
        <v>794</v>
      </c>
      <c r="K2275" s="3" t="s">
        <v>28</v>
      </c>
      <c r="L2275" s="3" t="s">
        <v>28</v>
      </c>
      <c r="M2275" s="3" t="s">
        <v>28</v>
      </c>
      <c r="N2275" s="3" t="s">
        <v>28</v>
      </c>
      <c r="O2275" s="3" t="s">
        <v>27</v>
      </c>
      <c r="P2275" s="3" t="s">
        <v>28</v>
      </c>
      <c r="Q2275" s="3" t="s">
        <v>28</v>
      </c>
      <c r="R2275" s="3" t="s">
        <v>28</v>
      </c>
      <c r="S2275" s="3" t="s">
        <v>28</v>
      </c>
      <c r="T2275" s="3" t="s">
        <v>28</v>
      </c>
    </row>
    <row r="2276" spans="1:20" ht="244.5">
      <c r="A2276" s="3">
        <v>2698594</v>
      </c>
      <c r="B2276" s="3">
        <f>HYPERLINK("https://platform.v2.vetology.net/cases/2698594/screening-report/6?type=pdf&amp;v=v6&amp;scorecard=1&amp;secret_key=BX%25IJ%24%2F65ieZ%29f6", 2698594)</f>
        <v>2698594</v>
      </c>
      <c r="C2276" s="3">
        <f>HYPERLINK("https://platform.v2.vetology.net/report/v/final/"&amp;2698594, 2698594)</f>
        <v>2698594</v>
      </c>
      <c r="D2276" s="3" t="s">
        <v>7816</v>
      </c>
      <c r="E2276" s="3" t="s">
        <v>7817</v>
      </c>
      <c r="F2276" s="3" t="s">
        <v>7818</v>
      </c>
      <c r="G2276" s="3" t="s">
        <v>186</v>
      </c>
      <c r="H2276" s="3" t="s">
        <v>1932</v>
      </c>
      <c r="I2276" s="3" t="s">
        <v>136</v>
      </c>
      <c r="J2276" s="3" t="s">
        <v>137</v>
      </c>
      <c r="K2276" s="3" t="s">
        <v>28</v>
      </c>
      <c r="L2276" s="3" t="s">
        <v>28</v>
      </c>
      <c r="M2276" s="3" t="s">
        <v>28</v>
      </c>
      <c r="N2276" s="3" t="s">
        <v>28</v>
      </c>
      <c r="O2276" s="3" t="s">
        <v>28</v>
      </c>
      <c r="P2276" s="3" t="s">
        <v>28</v>
      </c>
      <c r="Q2276" s="3" t="s">
        <v>28</v>
      </c>
      <c r="R2276" s="3" t="s">
        <v>28</v>
      </c>
      <c r="S2276" s="3" t="s">
        <v>27</v>
      </c>
      <c r="T2276" s="3" t="s">
        <v>27</v>
      </c>
    </row>
    <row r="2277" spans="1:20" ht="409.6">
      <c r="A2277" s="3">
        <v>2698519</v>
      </c>
      <c r="B2277" s="3">
        <f>HYPERLINK("https://platform.v2.vetology.net/cases/2698519/screening-report/6?type=pdf&amp;v=v6&amp;scorecard=1&amp;secret_key=BX%25IJ%24%2F65ieZ%29f6", 2698519)</f>
        <v>2698519</v>
      </c>
      <c r="C2277" s="3">
        <f>HYPERLINK("https://platform.v2.vetology.net/report/v/final/"&amp;2698519, 2698519)</f>
        <v>2698519</v>
      </c>
      <c r="D2277" s="3" t="s">
        <v>7819</v>
      </c>
      <c r="E2277" s="3" t="s">
        <v>7820</v>
      </c>
      <c r="F2277" s="3" t="s">
        <v>7821</v>
      </c>
      <c r="G2277" s="3" t="s">
        <v>186</v>
      </c>
      <c r="H2277" s="3" t="s">
        <v>463</v>
      </c>
      <c r="I2277" s="3" t="s">
        <v>464</v>
      </c>
      <c r="J2277" s="3" t="s">
        <v>297</v>
      </c>
      <c r="K2277" s="3" t="s">
        <v>28</v>
      </c>
      <c r="L2277" s="3" t="s">
        <v>28</v>
      </c>
      <c r="M2277" s="3" t="s">
        <v>28</v>
      </c>
      <c r="N2277" s="3" t="s">
        <v>28</v>
      </c>
      <c r="O2277" s="3" t="s">
        <v>27</v>
      </c>
      <c r="P2277" s="3" t="s">
        <v>28</v>
      </c>
      <c r="Q2277" s="3" t="s">
        <v>28</v>
      </c>
      <c r="R2277" s="3" t="s">
        <v>28</v>
      </c>
      <c r="S2277" s="3" t="s">
        <v>28</v>
      </c>
      <c r="T2277" s="3" t="s">
        <v>28</v>
      </c>
    </row>
    <row r="2278" spans="1:20" ht="259.5">
      <c r="A2278" s="3">
        <v>2698499</v>
      </c>
      <c r="B2278" s="3">
        <f>HYPERLINK("https://platform.v2.vetology.net/cases/2698499/screening-report/6?type=pdf&amp;v=v6&amp;scorecard=1&amp;secret_key=BX%25IJ%24%2F65ieZ%29f6", 2698499)</f>
        <v>2698499</v>
      </c>
      <c r="C2278" s="3">
        <f>HYPERLINK("https://platform.v2.vetology.net/report/v/final/"&amp;2698499, 2698499)</f>
        <v>2698499</v>
      </c>
      <c r="D2278" s="3" t="s">
        <v>7822</v>
      </c>
      <c r="E2278" s="3" t="s">
        <v>7823</v>
      </c>
      <c r="F2278" s="3" t="s">
        <v>956</v>
      </c>
      <c r="G2278" s="3" t="s">
        <v>100</v>
      </c>
      <c r="H2278" s="3" t="s">
        <v>1372</v>
      </c>
      <c r="I2278" s="3" t="s">
        <v>1373</v>
      </c>
      <c r="J2278" s="3" t="s">
        <v>1374</v>
      </c>
      <c r="K2278" s="3" t="s">
        <v>27</v>
      </c>
      <c r="L2278" s="3" t="s">
        <v>27</v>
      </c>
      <c r="M2278" s="3" t="s">
        <v>28</v>
      </c>
      <c r="N2278" s="3" t="s">
        <v>27</v>
      </c>
      <c r="O2278" s="3" t="s">
        <v>27</v>
      </c>
      <c r="P2278" s="3" t="s">
        <v>28</v>
      </c>
      <c r="Q2278" s="3" t="s">
        <v>28</v>
      </c>
      <c r="R2278" s="3" t="s">
        <v>28</v>
      </c>
      <c r="S2278" s="3" t="s">
        <v>28</v>
      </c>
      <c r="T2278" s="3" t="s">
        <v>27</v>
      </c>
    </row>
    <row r="2279" spans="1:20" ht="409.6">
      <c r="A2279" s="3">
        <v>2698473</v>
      </c>
      <c r="B2279" s="3">
        <f>HYPERLINK("https://platform.v2.vetology.net/cases/2698473/screening-report/6?type=pdf&amp;v=v6&amp;scorecard=1&amp;secret_key=BX%25IJ%24%2F65ieZ%29f6", 2698473)</f>
        <v>2698473</v>
      </c>
      <c r="C2279" s="3">
        <f>HYPERLINK("https://platform.v2.vetology.net/report/v/final/"&amp;2698473, 2698473)</f>
        <v>2698473</v>
      </c>
      <c r="D2279" s="3" t="s">
        <v>7824</v>
      </c>
      <c r="E2279" s="3" t="s">
        <v>7825</v>
      </c>
      <c r="F2279" s="3" t="s">
        <v>7826</v>
      </c>
      <c r="G2279" s="3" t="s">
        <v>64</v>
      </c>
      <c r="H2279" s="3" t="s">
        <v>7827</v>
      </c>
      <c r="I2279" s="3" t="s">
        <v>659</v>
      </c>
      <c r="J2279" s="3" t="s">
        <v>660</v>
      </c>
      <c r="K2279" s="3" t="s">
        <v>27</v>
      </c>
      <c r="L2279" s="3" t="s">
        <v>28</v>
      </c>
      <c r="M2279" s="3" t="s">
        <v>28</v>
      </c>
      <c r="N2279" s="3" t="s">
        <v>28</v>
      </c>
      <c r="O2279" s="3" t="s">
        <v>27</v>
      </c>
      <c r="P2279" s="3" t="s">
        <v>28</v>
      </c>
      <c r="Q2279" s="3" t="s">
        <v>28</v>
      </c>
      <c r="R2279" s="3" t="s">
        <v>28</v>
      </c>
      <c r="S2279" s="3" t="s">
        <v>28</v>
      </c>
      <c r="T2279" s="3" t="s">
        <v>28</v>
      </c>
    </row>
    <row r="2280" spans="1:20" ht="381.75">
      <c r="A2280" s="3">
        <v>2698460</v>
      </c>
      <c r="B2280" s="3">
        <f>HYPERLINK("https://platform.v2.vetology.net/cases/2698460/screening-report/6?type=pdf&amp;v=v6&amp;scorecard=1&amp;secret_key=BX%25IJ%24%2F65ieZ%29f6", 2698460)</f>
        <v>2698460</v>
      </c>
      <c r="C2280" s="3">
        <f>HYPERLINK("https://platform.v2.vetology.net/report/v/final/"&amp;2698460, 2698460)</f>
        <v>2698460</v>
      </c>
      <c r="D2280" s="3" t="s">
        <v>7828</v>
      </c>
      <c r="E2280" s="3" t="s">
        <v>7829</v>
      </c>
      <c r="F2280" s="3"/>
      <c r="G2280" s="3" t="s">
        <v>372</v>
      </c>
      <c r="H2280" s="3" t="s">
        <v>7830</v>
      </c>
      <c r="I2280" s="3" t="s">
        <v>392</v>
      </c>
      <c r="J2280" s="3" t="s">
        <v>393</v>
      </c>
      <c r="K2280" s="3" t="s">
        <v>28</v>
      </c>
      <c r="L2280" s="3" t="s">
        <v>28</v>
      </c>
      <c r="M2280" s="3" t="s">
        <v>28</v>
      </c>
      <c r="N2280" s="3" t="s">
        <v>28</v>
      </c>
      <c r="O2280" s="3" t="s">
        <v>28</v>
      </c>
      <c r="P2280" s="3" t="s">
        <v>28</v>
      </c>
      <c r="Q2280" s="3" t="s">
        <v>28</v>
      </c>
      <c r="R2280" s="3" t="s">
        <v>28</v>
      </c>
      <c r="S2280" s="3" t="s">
        <v>28</v>
      </c>
      <c r="T2280" s="3" t="s">
        <v>27</v>
      </c>
    </row>
    <row r="2281" spans="1:20" ht="409.6">
      <c r="A2281" s="3">
        <v>2698457</v>
      </c>
      <c r="B2281" s="3">
        <f>HYPERLINK("https://platform.v2.vetology.net/cases/2698457/screening-report/6?type=pdf&amp;v=v6&amp;scorecard=1&amp;secret_key=BX%25IJ%24%2F65ieZ%29f6", 2698457)</f>
        <v>2698457</v>
      </c>
      <c r="C2281" s="3">
        <f>HYPERLINK("https://platform.v2.vetology.net/report/v/final/"&amp;2698457, 2698457)</f>
        <v>2698457</v>
      </c>
      <c r="D2281" s="3" t="s">
        <v>7831</v>
      </c>
      <c r="E2281" s="3" t="s">
        <v>7832</v>
      </c>
      <c r="F2281" s="3" t="s">
        <v>7833</v>
      </c>
      <c r="G2281" s="3" t="s">
        <v>64</v>
      </c>
      <c r="H2281" s="3" t="s">
        <v>7834</v>
      </c>
      <c r="I2281" s="3" t="s">
        <v>1822</v>
      </c>
      <c r="J2281" s="3" t="s">
        <v>660</v>
      </c>
      <c r="K2281" s="3" t="s">
        <v>27</v>
      </c>
      <c r="L2281" s="3" t="s">
        <v>28</v>
      </c>
      <c r="M2281" s="3" t="s">
        <v>27</v>
      </c>
      <c r="N2281" s="3" t="s">
        <v>28</v>
      </c>
      <c r="O2281" s="3" t="s">
        <v>27</v>
      </c>
      <c r="P2281" s="3" t="s">
        <v>28</v>
      </c>
      <c r="Q2281" s="3" t="s">
        <v>27</v>
      </c>
      <c r="R2281" s="3" t="s">
        <v>28</v>
      </c>
      <c r="S2281" s="3" t="s">
        <v>28</v>
      </c>
      <c r="T2281" s="3" t="s">
        <v>28</v>
      </c>
    </row>
    <row r="2282" spans="1:20" ht="409.6">
      <c r="A2282" s="3">
        <v>2698399</v>
      </c>
      <c r="B2282" s="3">
        <f>HYPERLINK("https://platform.v2.vetology.net/cases/2698399/screening-report/6?type=pdf&amp;v=v6&amp;scorecard=1&amp;secret_key=BX%25IJ%24%2F65ieZ%29f6", 2698399)</f>
        <v>2698399</v>
      </c>
      <c r="C2282" s="3">
        <f>HYPERLINK("https://platform.v2.vetology.net/report/v/final/"&amp;2698399, 2698399)</f>
        <v>2698399</v>
      </c>
      <c r="D2282" s="3" t="s">
        <v>7835</v>
      </c>
      <c r="E2282" s="3" t="s">
        <v>7836</v>
      </c>
      <c r="F2282" s="3" t="s">
        <v>7282</v>
      </c>
      <c r="G2282" s="3" t="s">
        <v>186</v>
      </c>
      <c r="H2282" s="3" t="s">
        <v>7837</v>
      </c>
      <c r="I2282" s="3" t="s">
        <v>59</v>
      </c>
      <c r="J2282" s="3" t="s">
        <v>60</v>
      </c>
      <c r="K2282" s="3" t="s">
        <v>27</v>
      </c>
      <c r="L2282" s="3" t="s">
        <v>28</v>
      </c>
      <c r="M2282" s="3" t="s">
        <v>28</v>
      </c>
      <c r="N2282" s="3" t="s">
        <v>28</v>
      </c>
      <c r="O2282" s="3" t="s">
        <v>27</v>
      </c>
      <c r="P2282" s="3" t="s">
        <v>28</v>
      </c>
      <c r="Q2282" s="3" t="s">
        <v>28</v>
      </c>
      <c r="R2282" s="3" t="s">
        <v>28</v>
      </c>
      <c r="S2282" s="3" t="s">
        <v>28</v>
      </c>
      <c r="T2282" s="3" t="s">
        <v>27</v>
      </c>
    </row>
    <row r="2283" spans="1:20" ht="321">
      <c r="A2283" s="3">
        <v>2698356</v>
      </c>
      <c r="B2283" s="3">
        <f>HYPERLINK("https://platform.v2.vetology.net/cases/2698356/screening-report/6?type=pdf&amp;v=v6&amp;scorecard=1&amp;secret_key=BX%25IJ%24%2F65ieZ%29f6", 2698356)</f>
        <v>2698356</v>
      </c>
      <c r="C2283" s="3">
        <f>HYPERLINK("https://platform.v2.vetology.net/report/v/final/"&amp;2698356, 2698356)</f>
        <v>2698356</v>
      </c>
      <c r="D2283" s="3" t="s">
        <v>7838</v>
      </c>
      <c r="E2283" s="3" t="s">
        <v>7087</v>
      </c>
      <c r="F2283" s="3" t="s">
        <v>7839</v>
      </c>
      <c r="G2283" s="3" t="s">
        <v>100</v>
      </c>
      <c r="H2283" s="3" t="s">
        <v>7840</v>
      </c>
      <c r="I2283" s="3" t="s">
        <v>163</v>
      </c>
      <c r="J2283" s="3" t="s">
        <v>164</v>
      </c>
      <c r="K2283" s="3" t="s">
        <v>28</v>
      </c>
      <c r="L2283" s="3" t="s">
        <v>28</v>
      </c>
      <c r="M2283" s="3" t="s">
        <v>28</v>
      </c>
      <c r="N2283" s="3" t="s">
        <v>28</v>
      </c>
      <c r="O2283" s="3" t="s">
        <v>28</v>
      </c>
      <c r="P2283" s="3" t="s">
        <v>28</v>
      </c>
      <c r="Q2283" s="3" t="s">
        <v>28</v>
      </c>
      <c r="R2283" s="3" t="s">
        <v>28</v>
      </c>
      <c r="S2283" s="3" t="s">
        <v>28</v>
      </c>
      <c r="T2283" s="3" t="s">
        <v>27</v>
      </c>
    </row>
    <row r="2284" spans="1:20" ht="259.5">
      <c r="A2284" s="3">
        <v>2698267</v>
      </c>
      <c r="B2284" s="3">
        <f>HYPERLINK("https://platform.v2.vetology.net/cases/2698267/screening-report/6?type=pdf&amp;v=v6&amp;scorecard=1&amp;secret_key=BX%25IJ%24%2F65ieZ%29f6", 2698267)</f>
        <v>2698267</v>
      </c>
      <c r="C2284" s="3">
        <f>HYPERLINK("https://platform.v2.vetology.net/report/v/final/"&amp;2698267, 2698267)</f>
        <v>2698267</v>
      </c>
      <c r="D2284" s="3" t="s">
        <v>7841</v>
      </c>
      <c r="E2284" s="3" t="s">
        <v>7842</v>
      </c>
      <c r="F2284" s="3"/>
      <c r="G2284" s="3" t="s">
        <v>372</v>
      </c>
      <c r="H2284" s="3" t="s">
        <v>5314</v>
      </c>
      <c r="I2284" s="3" t="s">
        <v>72</v>
      </c>
      <c r="J2284" s="3" t="s">
        <v>5315</v>
      </c>
      <c r="K2284" s="3" t="s">
        <v>28</v>
      </c>
      <c r="L2284" s="3" t="s">
        <v>28</v>
      </c>
      <c r="M2284" s="3" t="s">
        <v>28</v>
      </c>
      <c r="N2284" s="3" t="s">
        <v>28</v>
      </c>
      <c r="O2284" s="3" t="s">
        <v>28</v>
      </c>
      <c r="P2284" s="3" t="s">
        <v>28</v>
      </c>
      <c r="Q2284" s="3" t="s">
        <v>28</v>
      </c>
      <c r="R2284" s="3" t="s">
        <v>28</v>
      </c>
      <c r="S2284" s="3" t="s">
        <v>28</v>
      </c>
      <c r="T2284" s="3" t="s">
        <v>27</v>
      </c>
    </row>
    <row r="2285" spans="1:20" ht="409.6">
      <c r="A2285" s="3">
        <v>2698218</v>
      </c>
      <c r="B2285" s="3">
        <f>HYPERLINK("https://platform.v2.vetology.net/cases/2698218/screening-report/6?type=pdf&amp;v=v6&amp;scorecard=1&amp;secret_key=BX%25IJ%24%2F65ieZ%29f6", 2698218)</f>
        <v>2698218</v>
      </c>
      <c r="C2285" s="3">
        <f>HYPERLINK("https://platform.v2.vetology.net/report/v/final/"&amp;2698218, 2698218)</f>
        <v>2698218</v>
      </c>
      <c r="D2285" s="3" t="s">
        <v>7843</v>
      </c>
      <c r="E2285" s="3" t="s">
        <v>7844</v>
      </c>
      <c r="F2285" s="3" t="s">
        <v>7845</v>
      </c>
      <c r="G2285" s="3" t="s">
        <v>186</v>
      </c>
      <c r="H2285" s="3" t="s">
        <v>7846</v>
      </c>
      <c r="I2285" s="3" t="s">
        <v>606</v>
      </c>
      <c r="J2285" s="3" t="s">
        <v>207</v>
      </c>
      <c r="K2285" s="3" t="s">
        <v>28</v>
      </c>
      <c r="L2285" s="3" t="s">
        <v>27</v>
      </c>
      <c r="M2285" s="3" t="s">
        <v>28</v>
      </c>
      <c r="N2285" s="3" t="s">
        <v>27</v>
      </c>
      <c r="O2285" s="3" t="s">
        <v>27</v>
      </c>
      <c r="P2285" s="3" t="s">
        <v>28</v>
      </c>
      <c r="Q2285" s="3" t="s">
        <v>28</v>
      </c>
      <c r="R2285" s="3" t="s">
        <v>27</v>
      </c>
      <c r="S2285" s="3" t="s">
        <v>27</v>
      </c>
      <c r="T2285" s="3" t="s">
        <v>27</v>
      </c>
    </row>
    <row r="2286" spans="1:20" ht="396.75">
      <c r="A2286" s="3">
        <v>2698189</v>
      </c>
      <c r="B2286" s="3">
        <f>HYPERLINK("https://platform.v2.vetology.net/cases/2698189/screening-report/6?type=pdf&amp;v=v6&amp;scorecard=1&amp;secret_key=BX%25IJ%24%2F65ieZ%29f6", 2698189)</f>
        <v>2698189</v>
      </c>
      <c r="C2286" s="3">
        <f>HYPERLINK("https://platform.v2.vetology.net/report/v/final/"&amp;2698189, 2698189)</f>
        <v>2698189</v>
      </c>
      <c r="D2286" s="3" t="s">
        <v>7847</v>
      </c>
      <c r="E2286" s="3" t="s">
        <v>7848</v>
      </c>
      <c r="F2286" s="3" t="s">
        <v>7849</v>
      </c>
      <c r="G2286" s="3" t="s">
        <v>186</v>
      </c>
      <c r="H2286" s="3" t="s">
        <v>1508</v>
      </c>
      <c r="I2286" s="3" t="s">
        <v>351</v>
      </c>
      <c r="J2286" s="3" t="s">
        <v>352</v>
      </c>
      <c r="K2286" s="3" t="s">
        <v>28</v>
      </c>
      <c r="L2286" s="3" t="s">
        <v>28</v>
      </c>
      <c r="M2286" s="3" t="s">
        <v>28</v>
      </c>
      <c r="N2286" s="3" t="s">
        <v>28</v>
      </c>
      <c r="O2286" s="3" t="s">
        <v>28</v>
      </c>
      <c r="P2286" s="3" t="s">
        <v>28</v>
      </c>
      <c r="Q2286" s="3" t="s">
        <v>28</v>
      </c>
      <c r="R2286" s="3" t="s">
        <v>28</v>
      </c>
      <c r="S2286" s="3" t="s">
        <v>28</v>
      </c>
      <c r="T2286" s="3" t="s">
        <v>27</v>
      </c>
    </row>
    <row r="2287" spans="1:20" ht="409.6">
      <c r="A2287" s="3">
        <v>2698185</v>
      </c>
      <c r="B2287" s="3">
        <f>HYPERLINK("https://platform.v2.vetology.net/cases/2698185/screening-report/6?type=pdf&amp;v=v6&amp;scorecard=1&amp;secret_key=BX%25IJ%24%2F65ieZ%29f6", 2698185)</f>
        <v>2698185</v>
      </c>
      <c r="C2287" s="3">
        <f>HYPERLINK("https://platform.v2.vetology.net/report/v/final/"&amp;2698185, 2698185)</f>
        <v>2698185</v>
      </c>
      <c r="D2287" s="3" t="s">
        <v>7850</v>
      </c>
      <c r="E2287" s="3" t="s">
        <v>7851</v>
      </c>
      <c r="F2287" s="3" t="s">
        <v>22</v>
      </c>
      <c r="G2287" s="3" t="s">
        <v>100</v>
      </c>
      <c r="H2287" s="3" t="s">
        <v>7852</v>
      </c>
      <c r="I2287" s="3" t="s">
        <v>4591</v>
      </c>
      <c r="J2287" s="3" t="s">
        <v>4592</v>
      </c>
      <c r="K2287" s="3" t="s">
        <v>28</v>
      </c>
      <c r="L2287" s="3" t="s">
        <v>27</v>
      </c>
      <c r="M2287" s="3" t="s">
        <v>28</v>
      </c>
      <c r="N2287" s="3" t="s">
        <v>28</v>
      </c>
      <c r="O2287" s="3" t="s">
        <v>28</v>
      </c>
      <c r="P2287" s="3" t="s">
        <v>28</v>
      </c>
      <c r="Q2287" s="3" t="s">
        <v>28</v>
      </c>
      <c r="R2287" s="3" t="s">
        <v>28</v>
      </c>
      <c r="S2287" s="3" t="s">
        <v>27</v>
      </c>
      <c r="T2287" s="3" t="s">
        <v>28</v>
      </c>
    </row>
    <row r="2288" spans="1:20" ht="409.6">
      <c r="A2288" s="3">
        <v>2698161</v>
      </c>
      <c r="B2288" s="3">
        <f>HYPERLINK("https://platform.v2.vetology.net/cases/2698161/screening-report/6?type=pdf&amp;v=v6&amp;scorecard=1&amp;secret_key=BX%25IJ%24%2F65ieZ%29f6", 2698161)</f>
        <v>2698161</v>
      </c>
      <c r="C2288" s="3">
        <f>HYPERLINK("https://platform.v2.vetology.net/report/v/final/"&amp;2698161, 2698161)</f>
        <v>2698161</v>
      </c>
      <c r="D2288" s="3" t="s">
        <v>7853</v>
      </c>
      <c r="E2288" s="3" t="s">
        <v>7854</v>
      </c>
      <c r="F2288" s="3" t="s">
        <v>7855</v>
      </c>
      <c r="G2288" s="3" t="s">
        <v>64</v>
      </c>
      <c r="H2288" s="3" t="s">
        <v>7856</v>
      </c>
      <c r="I2288" s="3" t="s">
        <v>345</v>
      </c>
      <c r="J2288" s="3" t="s">
        <v>534</v>
      </c>
      <c r="K2288" s="3" t="s">
        <v>28</v>
      </c>
      <c r="L2288" s="3" t="s">
        <v>28</v>
      </c>
      <c r="M2288" s="3" t="s">
        <v>28</v>
      </c>
      <c r="N2288" s="3" t="s">
        <v>27</v>
      </c>
      <c r="O2288" s="3" t="s">
        <v>28</v>
      </c>
      <c r="P2288" s="3" t="s">
        <v>28</v>
      </c>
      <c r="Q2288" s="3" t="s">
        <v>28</v>
      </c>
      <c r="R2288" s="3" t="s">
        <v>27</v>
      </c>
      <c r="S2288" s="3" t="s">
        <v>27</v>
      </c>
      <c r="T2288" s="3" t="s">
        <v>27</v>
      </c>
    </row>
    <row r="2289" spans="1:20" ht="381.75">
      <c r="A2289" s="3">
        <v>2698141</v>
      </c>
      <c r="B2289" s="3">
        <f>HYPERLINK("https://platform.v2.vetology.net/cases/2698141/screening-report/6?type=pdf&amp;v=v6&amp;scorecard=1&amp;secret_key=BX%25IJ%24%2F65ieZ%29f6", 2698141)</f>
        <v>2698141</v>
      </c>
      <c r="C2289" s="3">
        <f>HYPERLINK("https://platform.v2.vetology.net/report/v/final/"&amp;2698141, 2698141)</f>
        <v>2698141</v>
      </c>
      <c r="D2289" s="3" t="s">
        <v>7857</v>
      </c>
      <c r="E2289" s="3" t="s">
        <v>7858</v>
      </c>
      <c r="F2289" s="3" t="s">
        <v>7859</v>
      </c>
      <c r="G2289" s="3" t="s">
        <v>186</v>
      </c>
      <c r="H2289" s="3" t="s">
        <v>171</v>
      </c>
      <c r="I2289" s="3" t="s">
        <v>172</v>
      </c>
      <c r="J2289" s="3" t="s">
        <v>109</v>
      </c>
      <c r="K2289" s="3" t="s">
        <v>28</v>
      </c>
      <c r="L2289" s="3" t="s">
        <v>27</v>
      </c>
      <c r="M2289" s="3" t="s">
        <v>28</v>
      </c>
      <c r="N2289" s="3" t="s">
        <v>28</v>
      </c>
      <c r="O2289" s="3" t="s">
        <v>27</v>
      </c>
      <c r="P2289" s="3" t="s">
        <v>28</v>
      </c>
      <c r="Q2289" s="3" t="s">
        <v>28</v>
      </c>
      <c r="R2289" s="3" t="s">
        <v>27</v>
      </c>
      <c r="S2289" s="3" t="s">
        <v>27</v>
      </c>
      <c r="T2289" s="3" t="s">
        <v>27</v>
      </c>
    </row>
    <row r="2290" spans="1:20" ht="409.6">
      <c r="A2290" s="3">
        <v>2698060</v>
      </c>
      <c r="B2290" s="3">
        <f>HYPERLINK("https://platform.v2.vetology.net/cases/2698060/screening-report/6?type=pdf&amp;v=v6&amp;scorecard=1&amp;secret_key=BX%25IJ%24%2F65ieZ%29f6", 2698060)</f>
        <v>2698060</v>
      </c>
      <c r="C2290" s="3">
        <f>HYPERLINK("https://platform.v2.vetology.net/report/v/final/"&amp;2698060, 2698060)</f>
        <v>2698060</v>
      </c>
      <c r="D2290" s="3" t="s">
        <v>7860</v>
      </c>
      <c r="E2290" s="3" t="s">
        <v>7861</v>
      </c>
      <c r="F2290" s="3" t="s">
        <v>22</v>
      </c>
      <c r="G2290" s="3" t="s">
        <v>23</v>
      </c>
      <c r="H2290" s="3" t="s">
        <v>7862</v>
      </c>
      <c r="I2290" s="3" t="s">
        <v>2108</v>
      </c>
      <c r="J2290" s="3" t="s">
        <v>7863</v>
      </c>
      <c r="K2290" s="3" t="s">
        <v>28</v>
      </c>
      <c r="L2290" s="3" t="s">
        <v>27</v>
      </c>
      <c r="M2290" s="3" t="s">
        <v>28</v>
      </c>
      <c r="N2290" s="3" t="s">
        <v>27</v>
      </c>
      <c r="O2290" s="3" t="s">
        <v>27</v>
      </c>
      <c r="P2290" s="3" t="s">
        <v>27</v>
      </c>
      <c r="Q2290" s="3" t="s">
        <v>27</v>
      </c>
      <c r="R2290" s="3" t="s">
        <v>27</v>
      </c>
      <c r="S2290" s="3" t="s">
        <v>27</v>
      </c>
      <c r="T2290" s="3" t="s">
        <v>27</v>
      </c>
    </row>
    <row r="2291" spans="1:20" ht="336">
      <c r="A2291" s="3">
        <v>2698026</v>
      </c>
      <c r="B2291" s="3">
        <f>HYPERLINK("https://platform.v2.vetology.net/cases/2698026/screening-report/6?type=pdf&amp;v=v6&amp;scorecard=1&amp;secret_key=BX%25IJ%24%2F65ieZ%29f6", 2698026)</f>
        <v>2698026</v>
      </c>
      <c r="C2291" s="3">
        <f>HYPERLINK("https://platform.v2.vetology.net/report/v/final/"&amp;2698026, 2698026)</f>
        <v>2698026</v>
      </c>
      <c r="D2291" s="3" t="s">
        <v>7864</v>
      </c>
      <c r="E2291" s="3" t="s">
        <v>7865</v>
      </c>
      <c r="F2291" s="3" t="s">
        <v>7866</v>
      </c>
      <c r="G2291" s="3" t="s">
        <v>211</v>
      </c>
      <c r="H2291" s="3" t="s">
        <v>31</v>
      </c>
      <c r="I2291" s="3" t="s">
        <v>32</v>
      </c>
      <c r="J2291" s="3" t="s">
        <v>33</v>
      </c>
      <c r="K2291" s="3" t="s">
        <v>28</v>
      </c>
      <c r="L2291" s="3" t="s">
        <v>28</v>
      </c>
      <c r="M2291" s="3" t="s">
        <v>27</v>
      </c>
      <c r="N2291" s="3" t="s">
        <v>28</v>
      </c>
      <c r="O2291" s="3" t="s">
        <v>27</v>
      </c>
      <c r="P2291" s="3" t="s">
        <v>28</v>
      </c>
      <c r="Q2291" s="3" t="s">
        <v>27</v>
      </c>
      <c r="R2291" s="3" t="s">
        <v>28</v>
      </c>
      <c r="S2291" s="3" t="s">
        <v>28</v>
      </c>
      <c r="T2291" s="3" t="s">
        <v>27</v>
      </c>
    </row>
    <row r="2292" spans="1:20" ht="366">
      <c r="A2292" s="3">
        <v>2698019</v>
      </c>
      <c r="B2292" s="3">
        <f>HYPERLINK("https://platform.v2.vetology.net/cases/2698019/screening-report/6?type=pdf&amp;v=v6&amp;scorecard=1&amp;secret_key=BX%25IJ%24%2F65ieZ%29f6", 2698019)</f>
        <v>2698019</v>
      </c>
      <c r="C2292" s="3">
        <f>HYPERLINK("https://platform.v2.vetology.net/report/v/final/"&amp;2698019, 2698019)</f>
        <v>2698019</v>
      </c>
      <c r="D2292" s="3" t="s">
        <v>7867</v>
      </c>
      <c r="E2292" s="3" t="s">
        <v>7868</v>
      </c>
      <c r="F2292" s="3" t="s">
        <v>7869</v>
      </c>
      <c r="G2292" s="3" t="s">
        <v>64</v>
      </c>
      <c r="H2292" s="3" t="s">
        <v>135</v>
      </c>
      <c r="I2292" s="3" t="s">
        <v>136</v>
      </c>
      <c r="J2292" s="3" t="s">
        <v>424</v>
      </c>
      <c r="K2292" s="3" t="s">
        <v>28</v>
      </c>
      <c r="L2292" s="3" t="s">
        <v>28</v>
      </c>
      <c r="M2292" s="3" t="s">
        <v>28</v>
      </c>
      <c r="N2292" s="3" t="s">
        <v>28</v>
      </c>
      <c r="O2292" s="3" t="s">
        <v>27</v>
      </c>
      <c r="P2292" s="3" t="s">
        <v>28</v>
      </c>
      <c r="Q2292" s="3" t="s">
        <v>28</v>
      </c>
      <c r="R2292" s="3" t="s">
        <v>27</v>
      </c>
      <c r="S2292" s="3" t="s">
        <v>28</v>
      </c>
      <c r="T2292" s="3" t="s">
        <v>27</v>
      </c>
    </row>
    <row r="2293" spans="1:20" ht="409.6">
      <c r="A2293" s="3">
        <v>2697993</v>
      </c>
      <c r="B2293" s="3">
        <f>HYPERLINK("https://platform.v2.vetology.net/cases/2697993/screening-report/6?type=pdf&amp;v=v6&amp;scorecard=1&amp;secret_key=BX%25IJ%24%2F65ieZ%29f6", 2697993)</f>
        <v>2697993</v>
      </c>
      <c r="C2293" s="3">
        <f>HYPERLINK("https://platform.v2.vetology.net/report/v/final/"&amp;2697993, 2697993)</f>
        <v>2697993</v>
      </c>
      <c r="D2293" s="3" t="s">
        <v>7870</v>
      </c>
      <c r="E2293" s="3" t="s">
        <v>7871</v>
      </c>
      <c r="F2293" s="3" t="s">
        <v>7872</v>
      </c>
      <c r="G2293" s="3" t="s">
        <v>64</v>
      </c>
      <c r="H2293" s="3" t="s">
        <v>7873</v>
      </c>
      <c r="I2293" s="3" t="s">
        <v>305</v>
      </c>
      <c r="J2293" s="3" t="s">
        <v>799</v>
      </c>
      <c r="K2293" s="3" t="s">
        <v>28</v>
      </c>
      <c r="L2293" s="3" t="s">
        <v>28</v>
      </c>
      <c r="M2293" s="3" t="s">
        <v>28</v>
      </c>
      <c r="N2293" s="3" t="s">
        <v>28</v>
      </c>
      <c r="O2293" s="3" t="s">
        <v>28</v>
      </c>
      <c r="P2293" s="3" t="s">
        <v>28</v>
      </c>
      <c r="Q2293" s="3" t="s">
        <v>28</v>
      </c>
      <c r="R2293" s="3" t="s">
        <v>28</v>
      </c>
      <c r="S2293" s="3" t="s">
        <v>27</v>
      </c>
      <c r="T2293" s="3" t="s">
        <v>28</v>
      </c>
    </row>
    <row r="2294" spans="1:20" ht="409.6">
      <c r="A2294" s="3">
        <v>2697866</v>
      </c>
      <c r="B2294" s="3">
        <f>HYPERLINK("https://platform.v2.vetology.net/cases/2697866/screening-report/6?type=pdf&amp;v=v6&amp;scorecard=1&amp;secret_key=BX%25IJ%24%2F65ieZ%29f6", 2697866)</f>
        <v>2697866</v>
      </c>
      <c r="C2294" s="3">
        <f>HYPERLINK("https://platform.v2.vetology.net/report/v/final/"&amp;2697866, 2697866)</f>
        <v>2697866</v>
      </c>
      <c r="D2294" s="3" t="s">
        <v>7874</v>
      </c>
      <c r="E2294" s="3" t="s">
        <v>7875</v>
      </c>
      <c r="F2294" s="3" t="s">
        <v>7876</v>
      </c>
      <c r="G2294" s="3" t="s">
        <v>57</v>
      </c>
      <c r="H2294" s="3" t="s">
        <v>571</v>
      </c>
      <c r="I2294" s="3" t="s">
        <v>572</v>
      </c>
      <c r="J2294" s="3" t="s">
        <v>573</v>
      </c>
      <c r="K2294" s="3" t="s">
        <v>27</v>
      </c>
      <c r="L2294" s="3" t="s">
        <v>28</v>
      </c>
      <c r="M2294" s="3" t="s">
        <v>27</v>
      </c>
      <c r="N2294" s="3" t="s">
        <v>28</v>
      </c>
      <c r="O2294" s="3" t="s">
        <v>28</v>
      </c>
      <c r="P2294" s="3" t="s">
        <v>28</v>
      </c>
      <c r="Q2294" s="3" t="s">
        <v>27</v>
      </c>
      <c r="R2294" s="3" t="s">
        <v>28</v>
      </c>
      <c r="S2294" s="3" t="s">
        <v>28</v>
      </c>
      <c r="T2294" s="3" t="s">
        <v>27</v>
      </c>
    </row>
    <row r="2295" spans="1:20" ht="409.6">
      <c r="A2295" s="3">
        <v>2697865</v>
      </c>
      <c r="B2295" s="3">
        <f>HYPERLINK("https://platform.v2.vetology.net/cases/2697865/screening-report/6?type=pdf&amp;v=v6&amp;scorecard=1&amp;secret_key=BX%25IJ%24%2F65ieZ%29f6", 2697865)</f>
        <v>2697865</v>
      </c>
      <c r="C2295" s="3">
        <f>HYPERLINK("https://platform.v2.vetology.net/report/v/final/"&amp;2697865, 2697865)</f>
        <v>2697865</v>
      </c>
      <c r="D2295" s="3" t="s">
        <v>7877</v>
      </c>
      <c r="E2295" s="3" t="s">
        <v>7878</v>
      </c>
      <c r="F2295" s="3"/>
      <c r="G2295" s="3" t="s">
        <v>122</v>
      </c>
      <c r="H2295" s="3" t="s">
        <v>7879</v>
      </c>
      <c r="I2295" s="3" t="s">
        <v>7880</v>
      </c>
      <c r="J2295" s="3" t="s">
        <v>7881</v>
      </c>
      <c r="K2295" s="3" t="s">
        <v>27</v>
      </c>
      <c r="L2295" s="3" t="s">
        <v>27</v>
      </c>
      <c r="M2295" s="3" t="s">
        <v>27</v>
      </c>
      <c r="N2295" s="3" t="s">
        <v>27</v>
      </c>
      <c r="O2295" s="3" t="s">
        <v>27</v>
      </c>
      <c r="P2295" s="3" t="s">
        <v>28</v>
      </c>
      <c r="Q2295" s="3" t="s">
        <v>27</v>
      </c>
      <c r="R2295" s="3" t="s">
        <v>27</v>
      </c>
      <c r="S2295" s="3" t="s">
        <v>27</v>
      </c>
      <c r="T2295" s="3" t="s">
        <v>27</v>
      </c>
    </row>
    <row r="2296" spans="1:20" ht="336">
      <c r="A2296" s="3">
        <v>2697831</v>
      </c>
      <c r="B2296" s="3">
        <f>HYPERLINK("https://platform.v2.vetology.net/cases/2697831/screening-report/6?type=pdf&amp;v=v6&amp;scorecard=1&amp;secret_key=BX%25IJ%24%2F65ieZ%29f6", 2697831)</f>
        <v>2697831</v>
      </c>
      <c r="C2296" s="3">
        <f>HYPERLINK("https://platform.v2.vetology.net/report/v/final/"&amp;2697831, 2697831)</f>
        <v>2697831</v>
      </c>
      <c r="D2296" s="3" t="s">
        <v>7882</v>
      </c>
      <c r="E2296" s="3" t="s">
        <v>7883</v>
      </c>
      <c r="F2296" s="3" t="s">
        <v>22</v>
      </c>
      <c r="G2296" s="3" t="s">
        <v>23</v>
      </c>
      <c r="H2296" s="3" t="s">
        <v>328</v>
      </c>
      <c r="I2296" s="3"/>
      <c r="J2296" s="3" t="s">
        <v>207</v>
      </c>
      <c r="K2296" s="3" t="s">
        <v>28</v>
      </c>
      <c r="L2296" s="3" t="s">
        <v>28</v>
      </c>
      <c r="M2296" s="3" t="s">
        <v>28</v>
      </c>
      <c r="N2296" s="3" t="s">
        <v>28</v>
      </c>
      <c r="O2296" s="3" t="s">
        <v>27</v>
      </c>
      <c r="P2296" s="3" t="s">
        <v>28</v>
      </c>
      <c r="Q2296" s="3" t="s">
        <v>28</v>
      </c>
      <c r="R2296" s="3" t="s">
        <v>28</v>
      </c>
      <c r="S2296" s="3" t="s">
        <v>28</v>
      </c>
      <c r="T2296" s="3" t="s">
        <v>28</v>
      </c>
    </row>
    <row r="2297" spans="1:20" ht="409.6">
      <c r="A2297" s="3">
        <v>2697829</v>
      </c>
      <c r="B2297" s="3">
        <f>HYPERLINK("https://platform.v2.vetology.net/cases/2697829/screening-report/6?type=pdf&amp;v=v6&amp;scorecard=1&amp;secret_key=BX%25IJ%24%2F65ieZ%29f6", 2697829)</f>
        <v>2697829</v>
      </c>
      <c r="C2297" s="3">
        <f>HYPERLINK("https://platform.v2.vetology.net/report/v/final/"&amp;2697829, 2697829)</f>
        <v>2697829</v>
      </c>
      <c r="D2297" s="3" t="s">
        <v>7884</v>
      </c>
      <c r="E2297" s="3" t="s">
        <v>7885</v>
      </c>
      <c r="F2297" s="3" t="s">
        <v>7886</v>
      </c>
      <c r="G2297" s="3" t="s">
        <v>64</v>
      </c>
      <c r="H2297" s="3" t="s">
        <v>7887</v>
      </c>
      <c r="I2297" s="3" t="s">
        <v>368</v>
      </c>
      <c r="J2297" s="3" t="s">
        <v>369</v>
      </c>
      <c r="K2297" s="3" t="s">
        <v>27</v>
      </c>
      <c r="L2297" s="3" t="s">
        <v>28</v>
      </c>
      <c r="M2297" s="3" t="s">
        <v>27</v>
      </c>
      <c r="N2297" s="3" t="s">
        <v>28</v>
      </c>
      <c r="O2297" s="3" t="s">
        <v>27</v>
      </c>
      <c r="P2297" s="3" t="s">
        <v>28</v>
      </c>
      <c r="Q2297" s="3" t="s">
        <v>27</v>
      </c>
      <c r="R2297" s="3" t="s">
        <v>28</v>
      </c>
      <c r="S2297" s="3" t="s">
        <v>28</v>
      </c>
      <c r="T2297" s="3" t="s">
        <v>28</v>
      </c>
    </row>
    <row r="2298" spans="1:20" ht="336">
      <c r="A2298" s="3">
        <v>2697823</v>
      </c>
      <c r="B2298" s="3">
        <f>HYPERLINK("https://platform.v2.vetology.net/cases/2697823/screening-report/6?type=pdf&amp;v=v6&amp;scorecard=1&amp;secret_key=BX%25IJ%24%2F65ieZ%29f6", 2697823)</f>
        <v>2697823</v>
      </c>
      <c r="C2298" s="3">
        <f>HYPERLINK("https://platform.v2.vetology.net/report/v/final/"&amp;2697823, 2697823)</f>
        <v>2697823</v>
      </c>
      <c r="D2298" s="3" t="s">
        <v>7888</v>
      </c>
      <c r="E2298" s="3" t="s">
        <v>7889</v>
      </c>
      <c r="F2298" s="3" t="s">
        <v>7890</v>
      </c>
      <c r="G2298" s="3" t="s">
        <v>186</v>
      </c>
      <c r="H2298" s="3" t="s">
        <v>7891</v>
      </c>
      <c r="I2298" s="3" t="s">
        <v>66</v>
      </c>
      <c r="J2298" s="3" t="s">
        <v>67</v>
      </c>
      <c r="K2298" s="3" t="s">
        <v>27</v>
      </c>
      <c r="L2298" s="3" t="s">
        <v>28</v>
      </c>
      <c r="M2298" s="3" t="s">
        <v>28</v>
      </c>
      <c r="N2298" s="3" t="s">
        <v>28</v>
      </c>
      <c r="O2298" s="3" t="s">
        <v>28</v>
      </c>
      <c r="P2298" s="3" t="s">
        <v>28</v>
      </c>
      <c r="Q2298" s="3" t="s">
        <v>28</v>
      </c>
      <c r="R2298" s="3" t="s">
        <v>28</v>
      </c>
      <c r="S2298" s="3" t="s">
        <v>28</v>
      </c>
      <c r="T2298" s="3" t="s">
        <v>28</v>
      </c>
    </row>
    <row r="2299" spans="1:20" ht="409.6">
      <c r="A2299" s="3">
        <v>2697820</v>
      </c>
      <c r="B2299" s="3">
        <f>HYPERLINK("https://platform.v2.vetology.net/cases/2697820/screening-report/6?type=pdf&amp;v=v6&amp;scorecard=1&amp;secret_key=BX%25IJ%24%2F65ieZ%29f6", 2697820)</f>
        <v>2697820</v>
      </c>
      <c r="C2299" s="3">
        <f>HYPERLINK("https://platform.v2.vetology.net/report/v/final/"&amp;2697820, 2697820)</f>
        <v>2697820</v>
      </c>
      <c r="D2299" s="3" t="s">
        <v>7892</v>
      </c>
      <c r="E2299" s="3" t="s">
        <v>7893</v>
      </c>
      <c r="F2299" s="3" t="s">
        <v>7894</v>
      </c>
      <c r="G2299" s="3" t="s">
        <v>64</v>
      </c>
      <c r="H2299" s="3" t="s">
        <v>7895</v>
      </c>
      <c r="I2299" s="3" t="s">
        <v>2560</v>
      </c>
      <c r="J2299" s="3" t="s">
        <v>479</v>
      </c>
      <c r="K2299" s="3" t="s">
        <v>28</v>
      </c>
      <c r="L2299" s="3" t="s">
        <v>28</v>
      </c>
      <c r="M2299" s="3" t="s">
        <v>28</v>
      </c>
      <c r="N2299" s="3" t="s">
        <v>28</v>
      </c>
      <c r="O2299" s="3" t="s">
        <v>28</v>
      </c>
      <c r="P2299" s="3" t="s">
        <v>27</v>
      </c>
      <c r="Q2299" s="3" t="s">
        <v>28</v>
      </c>
      <c r="R2299" s="3" t="s">
        <v>28</v>
      </c>
      <c r="S2299" s="3" t="s">
        <v>27</v>
      </c>
      <c r="T2299" s="3" t="s">
        <v>27</v>
      </c>
    </row>
    <row r="2300" spans="1:20" ht="396.75">
      <c r="A2300" s="3">
        <v>2697785</v>
      </c>
      <c r="B2300" s="3">
        <f>HYPERLINK("https://platform.v2.vetology.net/cases/2697785/screening-report/6?type=pdf&amp;v=v6&amp;scorecard=1&amp;secret_key=BX%25IJ%24%2F65ieZ%29f6", 2697785)</f>
        <v>2697785</v>
      </c>
      <c r="C2300" s="3">
        <f>HYPERLINK("https://platform.v2.vetology.net/report/v/final/"&amp;2697785, 2697785)</f>
        <v>2697785</v>
      </c>
      <c r="D2300" s="3" t="s">
        <v>7896</v>
      </c>
      <c r="E2300" s="3" t="s">
        <v>7897</v>
      </c>
      <c r="F2300" s="3" t="s">
        <v>7898</v>
      </c>
      <c r="G2300" s="3" t="s">
        <v>179</v>
      </c>
      <c r="H2300" s="3" t="s">
        <v>31</v>
      </c>
      <c r="I2300" s="3" t="s">
        <v>32</v>
      </c>
      <c r="J2300" s="3" t="s">
        <v>33</v>
      </c>
      <c r="K2300" s="3" t="s">
        <v>28</v>
      </c>
      <c r="L2300" s="3" t="s">
        <v>28</v>
      </c>
      <c r="M2300" s="3" t="s">
        <v>28</v>
      </c>
      <c r="N2300" s="3" t="s">
        <v>28</v>
      </c>
      <c r="O2300" s="3" t="s">
        <v>28</v>
      </c>
      <c r="P2300" s="3" t="s">
        <v>28</v>
      </c>
      <c r="Q2300" s="3" t="s">
        <v>28</v>
      </c>
      <c r="R2300" s="3" t="s">
        <v>28</v>
      </c>
      <c r="S2300" s="3" t="s">
        <v>28</v>
      </c>
      <c r="T2300" s="3" t="s">
        <v>28</v>
      </c>
    </row>
    <row r="2301" spans="1:20" ht="366">
      <c r="A2301" s="3">
        <v>2697784</v>
      </c>
      <c r="B2301" s="3">
        <f>HYPERLINK("https://platform.v2.vetology.net/cases/2697784/screening-report/6?type=pdf&amp;v=v6&amp;scorecard=1&amp;secret_key=BX%25IJ%24%2F65ieZ%29f6", 2697784)</f>
        <v>2697784</v>
      </c>
      <c r="C2301" s="3">
        <f>HYPERLINK("https://platform.v2.vetology.net/report/v/final/"&amp;2697784, 2697784)</f>
        <v>2697784</v>
      </c>
      <c r="D2301" s="3" t="s">
        <v>7899</v>
      </c>
      <c r="E2301" s="3" t="s">
        <v>7900</v>
      </c>
      <c r="F2301" s="3" t="s">
        <v>7901</v>
      </c>
      <c r="G2301" s="3" t="s">
        <v>179</v>
      </c>
      <c r="H2301" s="3" t="s">
        <v>7902</v>
      </c>
      <c r="I2301" s="3" t="s">
        <v>7903</v>
      </c>
      <c r="J2301" s="3" t="s">
        <v>7904</v>
      </c>
      <c r="K2301" s="3" t="s">
        <v>27</v>
      </c>
      <c r="L2301" s="3" t="s">
        <v>28</v>
      </c>
      <c r="M2301" s="3" t="s">
        <v>27</v>
      </c>
      <c r="N2301" s="3" t="s">
        <v>28</v>
      </c>
      <c r="O2301" s="3" t="s">
        <v>27</v>
      </c>
      <c r="P2301" s="3" t="s">
        <v>28</v>
      </c>
      <c r="Q2301" s="3" t="s">
        <v>27</v>
      </c>
      <c r="R2301" s="3" t="s">
        <v>28</v>
      </c>
      <c r="S2301" s="3" t="s">
        <v>27</v>
      </c>
      <c r="T2301" s="3" t="s">
        <v>28</v>
      </c>
    </row>
    <row r="2302" spans="1:20" ht="351">
      <c r="A2302" s="3">
        <v>2697780</v>
      </c>
      <c r="B2302" s="3">
        <f>HYPERLINK("https://platform.v2.vetology.net/cases/2697780/screening-report/6?type=pdf&amp;v=v6&amp;scorecard=1&amp;secret_key=BX%25IJ%24%2F65ieZ%29f6", 2697780)</f>
        <v>2697780</v>
      </c>
      <c r="C2302" s="3">
        <f>HYPERLINK("https://platform.v2.vetology.net/report/v/final/"&amp;2697780, 2697780)</f>
        <v>2697780</v>
      </c>
      <c r="D2302" s="3" t="s">
        <v>7905</v>
      </c>
      <c r="E2302" s="3" t="s">
        <v>7906</v>
      </c>
      <c r="F2302" s="3" t="s">
        <v>7907</v>
      </c>
      <c r="G2302" s="3" t="s">
        <v>186</v>
      </c>
      <c r="H2302" s="3" t="s">
        <v>295</v>
      </c>
      <c r="I2302" s="3" t="s">
        <v>32</v>
      </c>
      <c r="J2302" s="3" t="s">
        <v>33</v>
      </c>
      <c r="K2302" s="3" t="s">
        <v>28</v>
      </c>
      <c r="L2302" s="3" t="s">
        <v>28</v>
      </c>
      <c r="M2302" s="3" t="s">
        <v>28</v>
      </c>
      <c r="N2302" s="3" t="s">
        <v>28</v>
      </c>
      <c r="O2302" s="3" t="s">
        <v>28</v>
      </c>
      <c r="P2302" s="3" t="s">
        <v>28</v>
      </c>
      <c r="Q2302" s="3" t="s">
        <v>28</v>
      </c>
      <c r="R2302" s="3" t="s">
        <v>28</v>
      </c>
      <c r="S2302" s="3" t="s">
        <v>28</v>
      </c>
      <c r="T2302" s="3" t="s">
        <v>28</v>
      </c>
    </row>
    <row r="2303" spans="1:20" ht="409.6">
      <c r="A2303" s="3">
        <v>2697742</v>
      </c>
      <c r="B2303" s="3">
        <f>HYPERLINK("https://platform.v2.vetology.net/cases/2697742/screening-report/6?type=pdf&amp;v=v6&amp;scorecard=1&amp;secret_key=BX%25IJ%24%2F65ieZ%29f6", 2697742)</f>
        <v>2697742</v>
      </c>
      <c r="C2303" s="3">
        <f>HYPERLINK("https://platform.v2.vetology.net/report/v/final/"&amp;2697742, 2697742)</f>
        <v>2697742</v>
      </c>
      <c r="D2303" s="3" t="s">
        <v>7908</v>
      </c>
      <c r="E2303" s="3" t="s">
        <v>7909</v>
      </c>
      <c r="F2303" s="3" t="s">
        <v>7910</v>
      </c>
      <c r="G2303" s="3" t="s">
        <v>179</v>
      </c>
      <c r="H2303" s="3" t="s">
        <v>6353</v>
      </c>
      <c r="I2303" s="3" t="s">
        <v>678</v>
      </c>
      <c r="J2303" s="3" t="s">
        <v>679</v>
      </c>
      <c r="K2303" s="3" t="s">
        <v>27</v>
      </c>
      <c r="L2303" s="3" t="s">
        <v>27</v>
      </c>
      <c r="M2303" s="3" t="s">
        <v>28</v>
      </c>
      <c r="N2303" s="3" t="s">
        <v>27</v>
      </c>
      <c r="O2303" s="3" t="s">
        <v>28</v>
      </c>
      <c r="P2303" s="3" t="s">
        <v>28</v>
      </c>
      <c r="Q2303" s="3" t="s">
        <v>28</v>
      </c>
      <c r="R2303" s="3" t="s">
        <v>27</v>
      </c>
      <c r="S2303" s="3" t="s">
        <v>27</v>
      </c>
      <c r="T2303" s="3" t="s">
        <v>27</v>
      </c>
    </row>
    <row r="2304" spans="1:20" ht="409.6">
      <c r="A2304" s="3">
        <v>2697727</v>
      </c>
      <c r="B2304" s="3">
        <f>HYPERLINK("https://platform.v2.vetology.net/cases/2697727/screening-report/6?type=pdf&amp;v=v6&amp;scorecard=1&amp;secret_key=BX%25IJ%24%2F65ieZ%29f6", 2697727)</f>
        <v>2697727</v>
      </c>
      <c r="C2304" s="3">
        <f>HYPERLINK("https://platform.v2.vetology.net/report/v/final/"&amp;2697727, 2697727)</f>
        <v>2697727</v>
      </c>
      <c r="D2304" s="3" t="s">
        <v>7911</v>
      </c>
      <c r="E2304" s="3" t="s">
        <v>7912</v>
      </c>
      <c r="F2304" s="3" t="s">
        <v>7913</v>
      </c>
      <c r="G2304" s="3" t="s">
        <v>186</v>
      </c>
      <c r="H2304" s="3" t="s">
        <v>7914</v>
      </c>
      <c r="I2304" s="3" t="s">
        <v>614</v>
      </c>
      <c r="J2304" s="3" t="s">
        <v>7915</v>
      </c>
      <c r="K2304" s="3" t="s">
        <v>28</v>
      </c>
      <c r="L2304" s="3" t="s">
        <v>27</v>
      </c>
      <c r="M2304" s="3" t="s">
        <v>28</v>
      </c>
      <c r="N2304" s="3" t="s">
        <v>27</v>
      </c>
      <c r="O2304" s="3" t="s">
        <v>27</v>
      </c>
      <c r="P2304" s="3" t="s">
        <v>27</v>
      </c>
      <c r="Q2304" s="3" t="s">
        <v>28</v>
      </c>
      <c r="R2304" s="3" t="s">
        <v>27</v>
      </c>
      <c r="S2304" s="3" t="s">
        <v>27</v>
      </c>
      <c r="T2304" s="3" t="s">
        <v>27</v>
      </c>
    </row>
    <row r="2305" spans="1:20" ht="409.6">
      <c r="A2305" s="3">
        <v>2697717</v>
      </c>
      <c r="B2305" s="3">
        <f>HYPERLINK("https://platform.v2.vetology.net/cases/2697717/screening-report/6?type=pdf&amp;v=v6&amp;scorecard=1&amp;secret_key=BX%25IJ%24%2F65ieZ%29f6", 2697717)</f>
        <v>2697717</v>
      </c>
      <c r="C2305" s="3">
        <f>HYPERLINK("https://platform.v2.vetology.net/report/v/final/"&amp;2697717, 2697717)</f>
        <v>2697717</v>
      </c>
      <c r="D2305" s="3" t="s">
        <v>7916</v>
      </c>
      <c r="E2305" s="3" t="s">
        <v>7917</v>
      </c>
      <c r="F2305" s="3" t="s">
        <v>7918</v>
      </c>
      <c r="G2305" s="3" t="s">
        <v>179</v>
      </c>
      <c r="H2305" s="3" t="s">
        <v>7919</v>
      </c>
      <c r="I2305" s="3" t="s">
        <v>549</v>
      </c>
      <c r="J2305" s="3" t="s">
        <v>550</v>
      </c>
      <c r="K2305" s="3" t="s">
        <v>28</v>
      </c>
      <c r="L2305" s="3" t="s">
        <v>27</v>
      </c>
      <c r="M2305" s="3" t="s">
        <v>28</v>
      </c>
      <c r="N2305" s="3" t="s">
        <v>27</v>
      </c>
      <c r="O2305" s="3" t="s">
        <v>27</v>
      </c>
      <c r="P2305" s="3" t="s">
        <v>28</v>
      </c>
      <c r="Q2305" s="3" t="s">
        <v>28</v>
      </c>
      <c r="R2305" s="3" t="s">
        <v>27</v>
      </c>
      <c r="S2305" s="3" t="s">
        <v>27</v>
      </c>
      <c r="T2305" s="3" t="s">
        <v>27</v>
      </c>
    </row>
    <row r="2306" spans="1:20" ht="305.25">
      <c r="A2306" s="3">
        <v>2697691</v>
      </c>
      <c r="B2306" s="3">
        <f>HYPERLINK("https://platform.v2.vetology.net/cases/2697691/screening-report/6?type=pdf&amp;v=v6&amp;scorecard=1&amp;secret_key=BX%25IJ%24%2F65ieZ%29f6", 2697691)</f>
        <v>2697691</v>
      </c>
      <c r="C2306" s="3">
        <f>HYPERLINK("https://platform.v2.vetology.net/report/v/final/"&amp;2697691, 2697691)</f>
        <v>2697691</v>
      </c>
      <c r="D2306" s="3" t="s">
        <v>7920</v>
      </c>
      <c r="E2306" s="3" t="s">
        <v>7921</v>
      </c>
      <c r="F2306" s="3" t="s">
        <v>7922</v>
      </c>
      <c r="G2306" s="3" t="s">
        <v>23</v>
      </c>
      <c r="H2306" s="3" t="s">
        <v>7923</v>
      </c>
      <c r="I2306" s="3" t="s">
        <v>1344</v>
      </c>
      <c r="J2306" s="3" t="s">
        <v>33</v>
      </c>
      <c r="K2306" s="3" t="s">
        <v>28</v>
      </c>
      <c r="L2306" s="3" t="s">
        <v>28</v>
      </c>
      <c r="M2306" s="3" t="s">
        <v>28</v>
      </c>
      <c r="N2306" s="3" t="s">
        <v>28</v>
      </c>
      <c r="O2306" s="3" t="s">
        <v>27</v>
      </c>
      <c r="P2306" s="3" t="s">
        <v>28</v>
      </c>
      <c r="Q2306" s="3" t="s">
        <v>28</v>
      </c>
      <c r="R2306" s="3" t="s">
        <v>28</v>
      </c>
      <c r="S2306" s="3" t="s">
        <v>28</v>
      </c>
      <c r="T2306" s="3" t="s">
        <v>28</v>
      </c>
    </row>
    <row r="2307" spans="1:20" ht="321">
      <c r="A2307" s="3">
        <v>2697687</v>
      </c>
      <c r="B2307" s="3">
        <f>HYPERLINK("https://platform.v2.vetology.net/cases/2697687/screening-report/6?type=pdf&amp;v=v6&amp;scorecard=1&amp;secret_key=BX%25IJ%24%2F65ieZ%29f6", 2697687)</f>
        <v>2697687</v>
      </c>
      <c r="C2307" s="3">
        <f>HYPERLINK("https://platform.v2.vetology.net/report/v/final/"&amp;2697687, 2697687)</f>
        <v>2697687</v>
      </c>
      <c r="D2307" s="3" t="s">
        <v>7924</v>
      </c>
      <c r="E2307" s="3" t="s">
        <v>4043</v>
      </c>
      <c r="F2307" s="3" t="s">
        <v>7925</v>
      </c>
      <c r="G2307" s="3" t="s">
        <v>23</v>
      </c>
      <c r="H2307" s="3" t="s">
        <v>7926</v>
      </c>
      <c r="I2307" s="3" t="s">
        <v>2498</v>
      </c>
      <c r="J2307" s="3" t="s">
        <v>2499</v>
      </c>
      <c r="K2307" s="3" t="s">
        <v>28</v>
      </c>
      <c r="L2307" s="3" t="s">
        <v>28</v>
      </c>
      <c r="M2307" s="3" t="s">
        <v>28</v>
      </c>
      <c r="N2307" s="3" t="s">
        <v>28</v>
      </c>
      <c r="O2307" s="3" t="s">
        <v>28</v>
      </c>
      <c r="P2307" s="3" t="s">
        <v>28</v>
      </c>
      <c r="Q2307" s="3" t="s">
        <v>27</v>
      </c>
      <c r="R2307" s="3" t="s">
        <v>28</v>
      </c>
      <c r="S2307" s="3" t="s">
        <v>28</v>
      </c>
      <c r="T2307" s="3" t="s">
        <v>27</v>
      </c>
    </row>
    <row r="2308" spans="1:20" ht="396.75">
      <c r="A2308" s="3">
        <v>2697677</v>
      </c>
      <c r="B2308" s="3">
        <f>HYPERLINK("https://platform.v2.vetology.net/cases/2697677/screening-report/6?type=pdf&amp;v=v6&amp;scorecard=1&amp;secret_key=BX%25IJ%24%2F65ieZ%29f6", 2697677)</f>
        <v>2697677</v>
      </c>
      <c r="C2308" s="3">
        <f>HYPERLINK("https://platform.v2.vetology.net/report/v/final/"&amp;2697677, 2697677)</f>
        <v>2697677</v>
      </c>
      <c r="D2308" s="3" t="s">
        <v>7927</v>
      </c>
      <c r="E2308" s="3" t="s">
        <v>7928</v>
      </c>
      <c r="F2308" s="3" t="s">
        <v>7929</v>
      </c>
      <c r="G2308" s="3" t="s">
        <v>186</v>
      </c>
      <c r="H2308" s="3" t="s">
        <v>7930</v>
      </c>
      <c r="I2308" s="3" t="s">
        <v>469</v>
      </c>
      <c r="J2308" s="3" t="s">
        <v>470</v>
      </c>
      <c r="K2308" s="3" t="s">
        <v>28</v>
      </c>
      <c r="L2308" s="3" t="s">
        <v>28</v>
      </c>
      <c r="M2308" s="3" t="s">
        <v>28</v>
      </c>
      <c r="N2308" s="3" t="s">
        <v>28</v>
      </c>
      <c r="O2308" s="3" t="s">
        <v>27</v>
      </c>
      <c r="P2308" s="3" t="s">
        <v>28</v>
      </c>
      <c r="Q2308" s="3" t="s">
        <v>28</v>
      </c>
      <c r="R2308" s="3" t="s">
        <v>28</v>
      </c>
      <c r="S2308" s="3" t="s">
        <v>28</v>
      </c>
      <c r="T2308" s="3" t="s">
        <v>28</v>
      </c>
    </row>
    <row r="2309" spans="1:20" ht="336">
      <c r="A2309" s="3">
        <v>2697642</v>
      </c>
      <c r="B2309" s="3">
        <f>HYPERLINK("https://platform.v2.vetology.net/cases/2697642/screening-report/6?type=pdf&amp;v=v6&amp;scorecard=1&amp;secret_key=BX%25IJ%24%2F65ieZ%29f6", 2697642)</f>
        <v>2697642</v>
      </c>
      <c r="C2309" s="3">
        <f>HYPERLINK("https://platform.v2.vetology.net/report/v/final/"&amp;2697642, 2697642)</f>
        <v>2697642</v>
      </c>
      <c r="D2309" s="3" t="s">
        <v>7931</v>
      </c>
      <c r="E2309" s="3" t="s">
        <v>7932</v>
      </c>
      <c r="F2309" s="3" t="s">
        <v>7933</v>
      </c>
      <c r="G2309" s="3" t="s">
        <v>186</v>
      </c>
      <c r="H2309" s="3" t="s">
        <v>7934</v>
      </c>
      <c r="I2309" s="3" t="s">
        <v>464</v>
      </c>
      <c r="J2309" s="3" t="s">
        <v>688</v>
      </c>
      <c r="K2309" s="3" t="s">
        <v>27</v>
      </c>
      <c r="L2309" s="3" t="s">
        <v>28</v>
      </c>
      <c r="M2309" s="3" t="s">
        <v>28</v>
      </c>
      <c r="N2309" s="3" t="s">
        <v>28</v>
      </c>
      <c r="O2309" s="3" t="s">
        <v>28</v>
      </c>
      <c r="P2309" s="3" t="s">
        <v>28</v>
      </c>
      <c r="Q2309" s="3" t="s">
        <v>28</v>
      </c>
      <c r="R2309" s="3" t="s">
        <v>28</v>
      </c>
      <c r="S2309" s="3" t="s">
        <v>28</v>
      </c>
      <c r="T2309" s="3" t="s">
        <v>28</v>
      </c>
    </row>
    <row r="2310" spans="1:20" ht="409.6">
      <c r="A2310" s="3">
        <v>2697590</v>
      </c>
      <c r="B2310" s="3">
        <f>HYPERLINK("https://platform.v2.vetology.net/cases/2697590/screening-report/6?type=pdf&amp;v=v6&amp;scorecard=1&amp;secret_key=BX%25IJ%24%2F65ieZ%29f6", 2697590)</f>
        <v>2697590</v>
      </c>
      <c r="C2310" s="3">
        <f>HYPERLINK("https://platform.v2.vetology.net/report/v/final/"&amp;2697590, 2697590)</f>
        <v>2697590</v>
      </c>
      <c r="D2310" s="3" t="s">
        <v>7935</v>
      </c>
      <c r="E2310" s="3" t="s">
        <v>7936</v>
      </c>
      <c r="F2310" s="3" t="s">
        <v>7937</v>
      </c>
      <c r="G2310" s="3" t="s">
        <v>179</v>
      </c>
      <c r="H2310" s="3" t="s">
        <v>7938</v>
      </c>
      <c r="I2310" s="3" t="s">
        <v>3840</v>
      </c>
      <c r="J2310" s="3" t="s">
        <v>286</v>
      </c>
      <c r="K2310" s="3" t="s">
        <v>27</v>
      </c>
      <c r="L2310" s="3" t="s">
        <v>28</v>
      </c>
      <c r="M2310" s="3" t="s">
        <v>28</v>
      </c>
      <c r="N2310" s="3" t="s">
        <v>28</v>
      </c>
      <c r="O2310" s="3" t="s">
        <v>27</v>
      </c>
      <c r="P2310" s="3" t="s">
        <v>28</v>
      </c>
      <c r="Q2310" s="3" t="s">
        <v>28</v>
      </c>
      <c r="R2310" s="3" t="s">
        <v>28</v>
      </c>
      <c r="S2310" s="3" t="s">
        <v>27</v>
      </c>
      <c r="T2310" s="3" t="s">
        <v>28</v>
      </c>
    </row>
    <row r="2311" spans="1:20" ht="305.25">
      <c r="A2311" s="3">
        <v>2697575</v>
      </c>
      <c r="B2311" s="3">
        <f>HYPERLINK("https://platform.v2.vetology.net/cases/2697575/screening-report/6?type=pdf&amp;v=v6&amp;scorecard=1&amp;secret_key=BX%25IJ%24%2F65ieZ%29f6", 2697575)</f>
        <v>2697575</v>
      </c>
      <c r="C2311" s="3">
        <f>HYPERLINK("https://platform.v2.vetology.net/report/v/final/"&amp;2697575, 2697575)</f>
        <v>2697575</v>
      </c>
      <c r="D2311" s="3" t="s">
        <v>7939</v>
      </c>
      <c r="E2311" s="3" t="s">
        <v>7940</v>
      </c>
      <c r="F2311" s="3" t="s">
        <v>22</v>
      </c>
      <c r="G2311" s="3" t="s">
        <v>23</v>
      </c>
      <c r="H2311" s="3" t="s">
        <v>7941</v>
      </c>
      <c r="I2311" s="3" t="s">
        <v>446</v>
      </c>
      <c r="J2311" s="3" t="s">
        <v>447</v>
      </c>
      <c r="K2311" s="3" t="s">
        <v>27</v>
      </c>
      <c r="L2311" s="3" t="s">
        <v>28</v>
      </c>
      <c r="M2311" s="3" t="s">
        <v>28</v>
      </c>
      <c r="N2311" s="3" t="s">
        <v>28</v>
      </c>
      <c r="O2311" s="3" t="s">
        <v>27</v>
      </c>
      <c r="P2311" s="3" t="s">
        <v>27</v>
      </c>
      <c r="Q2311" s="3" t="s">
        <v>28</v>
      </c>
      <c r="R2311" s="3" t="s">
        <v>28</v>
      </c>
      <c r="S2311" s="3" t="s">
        <v>28</v>
      </c>
      <c r="T2311" s="3" t="s">
        <v>28</v>
      </c>
    </row>
    <row r="2312" spans="1:20" ht="409.6">
      <c r="A2312" s="3">
        <v>2697544</v>
      </c>
      <c r="B2312" s="3">
        <f>HYPERLINK("https://platform.v2.vetology.net/cases/2697544/screening-report/6?type=pdf&amp;v=v6&amp;scorecard=1&amp;secret_key=BX%25IJ%24%2F65ieZ%29f6", 2697544)</f>
        <v>2697544</v>
      </c>
      <c r="C2312" s="3">
        <f>HYPERLINK("https://platform.v2.vetology.net/report/v/final/"&amp;2697544, 2697544)</f>
        <v>2697544</v>
      </c>
      <c r="D2312" s="3" t="s">
        <v>7942</v>
      </c>
      <c r="E2312" s="3" t="s">
        <v>7943</v>
      </c>
      <c r="F2312" s="3" t="s">
        <v>7944</v>
      </c>
      <c r="G2312" s="3" t="s">
        <v>57</v>
      </c>
      <c r="H2312" s="3" t="s">
        <v>350</v>
      </c>
      <c r="I2312" s="3" t="s">
        <v>351</v>
      </c>
      <c r="J2312" s="3" t="s">
        <v>352</v>
      </c>
      <c r="K2312" s="3" t="s">
        <v>28</v>
      </c>
      <c r="L2312" s="3" t="s">
        <v>28</v>
      </c>
      <c r="M2312" s="3" t="s">
        <v>28</v>
      </c>
      <c r="N2312" s="3" t="s">
        <v>28</v>
      </c>
      <c r="O2312" s="3" t="s">
        <v>28</v>
      </c>
      <c r="P2312" s="3" t="s">
        <v>28</v>
      </c>
      <c r="Q2312" s="3" t="s">
        <v>28</v>
      </c>
      <c r="R2312" s="3" t="s">
        <v>28</v>
      </c>
      <c r="S2312" s="3" t="s">
        <v>28</v>
      </c>
      <c r="T2312" s="3" t="s">
        <v>27</v>
      </c>
    </row>
    <row r="2313" spans="1:20" ht="336">
      <c r="A2313" s="3">
        <v>2697541</v>
      </c>
      <c r="B2313" s="3">
        <f>HYPERLINK("https://platform.v2.vetology.net/cases/2697541/screening-report/6?type=pdf&amp;v=v6&amp;scorecard=1&amp;secret_key=BX%25IJ%24%2F65ieZ%29f6", 2697541)</f>
        <v>2697541</v>
      </c>
      <c r="C2313" s="3">
        <f>HYPERLINK("https://platform.v2.vetology.net/report/v/final/"&amp;2697541, 2697541)</f>
        <v>2697541</v>
      </c>
      <c r="D2313" s="3" t="s">
        <v>7945</v>
      </c>
      <c r="E2313" s="3" t="s">
        <v>7946</v>
      </c>
      <c r="F2313" s="3" t="s">
        <v>7947</v>
      </c>
      <c r="G2313" s="3" t="s">
        <v>57</v>
      </c>
      <c r="H2313" s="3" t="s">
        <v>31</v>
      </c>
      <c r="I2313" s="3" t="s">
        <v>32</v>
      </c>
      <c r="J2313" s="3" t="s">
        <v>119</v>
      </c>
      <c r="K2313" s="3" t="s">
        <v>28</v>
      </c>
      <c r="L2313" s="3" t="s">
        <v>28</v>
      </c>
      <c r="M2313" s="3" t="s">
        <v>28</v>
      </c>
      <c r="N2313" s="3" t="s">
        <v>28</v>
      </c>
      <c r="O2313" s="3" t="s">
        <v>28</v>
      </c>
      <c r="P2313" s="3" t="s">
        <v>28</v>
      </c>
      <c r="Q2313" s="3" t="s">
        <v>28</v>
      </c>
      <c r="R2313" s="3" t="s">
        <v>28</v>
      </c>
      <c r="S2313" s="3" t="s">
        <v>28</v>
      </c>
      <c r="T2313" s="3" t="s">
        <v>28</v>
      </c>
    </row>
    <row r="2314" spans="1:20" ht="366">
      <c r="A2314" s="3">
        <v>2697538</v>
      </c>
      <c r="B2314" s="3">
        <f>HYPERLINK("https://platform.v2.vetology.net/cases/2697538/screening-report/6?type=pdf&amp;v=v6&amp;scorecard=1&amp;secret_key=BX%25IJ%24%2F65ieZ%29f6", 2697538)</f>
        <v>2697538</v>
      </c>
      <c r="C2314" s="3">
        <f>HYPERLINK("https://platform.v2.vetology.net/report/v/final/"&amp;2697538, 2697538)</f>
        <v>2697538</v>
      </c>
      <c r="D2314" s="3" t="s">
        <v>7948</v>
      </c>
      <c r="E2314" s="3" t="s">
        <v>7949</v>
      </c>
      <c r="F2314" s="3" t="s">
        <v>7950</v>
      </c>
      <c r="G2314" s="3" t="s">
        <v>64</v>
      </c>
      <c r="H2314" s="3" t="s">
        <v>1425</v>
      </c>
      <c r="I2314" s="3" t="s">
        <v>1426</v>
      </c>
      <c r="J2314" s="3" t="s">
        <v>207</v>
      </c>
      <c r="K2314" s="3" t="s">
        <v>28</v>
      </c>
      <c r="L2314" s="3" t="s">
        <v>28</v>
      </c>
      <c r="M2314" s="3" t="s">
        <v>28</v>
      </c>
      <c r="N2314" s="3" t="s">
        <v>28</v>
      </c>
      <c r="O2314" s="3" t="s">
        <v>27</v>
      </c>
      <c r="P2314" s="3" t="s">
        <v>28</v>
      </c>
      <c r="Q2314" s="3" t="s">
        <v>27</v>
      </c>
      <c r="R2314" s="3" t="s">
        <v>28</v>
      </c>
      <c r="S2314" s="3" t="s">
        <v>27</v>
      </c>
      <c r="T2314" s="3" t="s">
        <v>27</v>
      </c>
    </row>
    <row r="2315" spans="1:20" ht="409.6">
      <c r="A2315" s="3">
        <v>2697530</v>
      </c>
      <c r="B2315" s="3">
        <f>HYPERLINK("https://platform.v2.vetology.net/cases/2697530/screening-report/6?type=pdf&amp;v=v6&amp;scorecard=1&amp;secret_key=BX%25IJ%24%2F65ieZ%29f6", 2697530)</f>
        <v>2697530</v>
      </c>
      <c r="C2315" s="3">
        <f>HYPERLINK("https://platform.v2.vetology.net/report/v/final/"&amp;2697530, 2697530)</f>
        <v>2697530</v>
      </c>
      <c r="D2315" s="3" t="s">
        <v>7951</v>
      </c>
      <c r="E2315" s="3" t="s">
        <v>7952</v>
      </c>
      <c r="F2315" s="3" t="s">
        <v>686</v>
      </c>
      <c r="G2315" s="3" t="s">
        <v>186</v>
      </c>
      <c r="H2315" s="3" t="s">
        <v>1046</v>
      </c>
      <c r="I2315" s="3" t="s">
        <v>59</v>
      </c>
      <c r="J2315" s="3" t="s">
        <v>60</v>
      </c>
      <c r="K2315" s="3" t="s">
        <v>28</v>
      </c>
      <c r="L2315" s="3" t="s">
        <v>28</v>
      </c>
      <c r="M2315" s="3" t="s">
        <v>28</v>
      </c>
      <c r="N2315" s="3" t="s">
        <v>28</v>
      </c>
      <c r="O2315" s="3" t="s">
        <v>27</v>
      </c>
      <c r="P2315" s="3" t="s">
        <v>28</v>
      </c>
      <c r="Q2315" s="3" t="s">
        <v>28</v>
      </c>
      <c r="R2315" s="3" t="s">
        <v>28</v>
      </c>
      <c r="S2315" s="3" t="s">
        <v>28</v>
      </c>
      <c r="T2315" s="3" t="s">
        <v>27</v>
      </c>
    </row>
    <row r="2316" spans="1:20" ht="409.6">
      <c r="A2316" s="3">
        <v>2697466</v>
      </c>
      <c r="B2316" s="3">
        <f>HYPERLINK("https://platform.v2.vetology.net/cases/2697466/screening-report/6?type=pdf&amp;v=v6&amp;scorecard=1&amp;secret_key=BX%25IJ%24%2F65ieZ%29f6", 2697466)</f>
        <v>2697466</v>
      </c>
      <c r="C2316" s="3">
        <f>HYPERLINK("https://platform.v2.vetology.net/report/v/final/"&amp;2697466, 2697466)</f>
        <v>2697466</v>
      </c>
      <c r="D2316" s="3" t="s">
        <v>7953</v>
      </c>
      <c r="E2316" s="3" t="s">
        <v>7954</v>
      </c>
      <c r="F2316" s="3" t="s">
        <v>277</v>
      </c>
      <c r="G2316" s="3" t="s">
        <v>186</v>
      </c>
      <c r="H2316" s="3" t="s">
        <v>7955</v>
      </c>
      <c r="I2316" s="3" t="s">
        <v>142</v>
      </c>
      <c r="J2316" s="3" t="s">
        <v>143</v>
      </c>
      <c r="K2316" s="3" t="s">
        <v>28</v>
      </c>
      <c r="L2316" s="3" t="s">
        <v>28</v>
      </c>
      <c r="M2316" s="3" t="s">
        <v>27</v>
      </c>
      <c r="N2316" s="3" t="s">
        <v>28</v>
      </c>
      <c r="O2316" s="3" t="s">
        <v>28</v>
      </c>
      <c r="P2316" s="3" t="s">
        <v>28</v>
      </c>
      <c r="Q2316" s="3" t="s">
        <v>27</v>
      </c>
      <c r="R2316" s="3" t="s">
        <v>28</v>
      </c>
      <c r="S2316" s="3" t="s">
        <v>28</v>
      </c>
      <c r="T2316" s="3" t="s">
        <v>27</v>
      </c>
    </row>
    <row r="2317" spans="1:20" ht="290.25">
      <c r="A2317" s="3">
        <v>2697452</v>
      </c>
      <c r="B2317" s="3">
        <f>HYPERLINK("https://platform.v2.vetology.net/cases/2697452/screening-report/6?type=pdf&amp;v=v6&amp;scorecard=1&amp;secret_key=BX%25IJ%24%2F65ieZ%29f6", 2697452)</f>
        <v>2697452</v>
      </c>
      <c r="C2317" s="3">
        <f>HYPERLINK("https://platform.v2.vetology.net/report/v/final/"&amp;2697452, 2697452)</f>
        <v>2697452</v>
      </c>
      <c r="D2317" s="3" t="s">
        <v>7956</v>
      </c>
      <c r="E2317" s="3" t="s">
        <v>7957</v>
      </c>
      <c r="F2317" s="3" t="s">
        <v>22</v>
      </c>
      <c r="G2317" s="3" t="s">
        <v>100</v>
      </c>
      <c r="H2317" s="3" t="s">
        <v>4026</v>
      </c>
      <c r="I2317" s="3" t="s">
        <v>291</v>
      </c>
      <c r="J2317" s="3" t="s">
        <v>225</v>
      </c>
      <c r="K2317" s="3" t="s">
        <v>28</v>
      </c>
      <c r="L2317" s="3" t="s">
        <v>27</v>
      </c>
      <c r="M2317" s="3" t="s">
        <v>28</v>
      </c>
      <c r="N2317" s="3" t="s">
        <v>27</v>
      </c>
      <c r="O2317" s="3" t="s">
        <v>27</v>
      </c>
      <c r="P2317" s="3" t="s">
        <v>28</v>
      </c>
      <c r="Q2317" s="3" t="s">
        <v>28</v>
      </c>
      <c r="R2317" s="3" t="s">
        <v>28</v>
      </c>
      <c r="S2317" s="3" t="s">
        <v>27</v>
      </c>
      <c r="T2317" s="3" t="s">
        <v>27</v>
      </c>
    </row>
    <row r="2318" spans="1:20" ht="305.25">
      <c r="A2318" s="3">
        <v>2697430</v>
      </c>
      <c r="B2318" s="3">
        <f>HYPERLINK("https://platform.v2.vetology.net/cases/2697430/screening-report/6?type=pdf&amp;v=v6&amp;scorecard=1&amp;secret_key=BX%25IJ%24%2F65ieZ%29f6", 2697430)</f>
        <v>2697430</v>
      </c>
      <c r="C2318" s="3">
        <f>HYPERLINK("https://platform.v2.vetology.net/report/v/final/"&amp;2697430, 2697430)</f>
        <v>2697430</v>
      </c>
      <c r="D2318" s="3" t="s">
        <v>7958</v>
      </c>
      <c r="E2318" s="3" t="s">
        <v>7959</v>
      </c>
      <c r="F2318" s="3" t="s">
        <v>22</v>
      </c>
      <c r="G2318" s="3" t="s">
        <v>372</v>
      </c>
      <c r="H2318" s="3" t="s">
        <v>158</v>
      </c>
      <c r="I2318" s="3" t="s">
        <v>32</v>
      </c>
      <c r="J2318" s="3" t="s">
        <v>33</v>
      </c>
      <c r="K2318" s="3" t="s">
        <v>28</v>
      </c>
      <c r="L2318" s="3" t="s">
        <v>28</v>
      </c>
      <c r="M2318" s="3" t="s">
        <v>28</v>
      </c>
      <c r="N2318" s="3" t="s">
        <v>28</v>
      </c>
      <c r="O2318" s="3" t="s">
        <v>27</v>
      </c>
      <c r="P2318" s="3" t="s">
        <v>28</v>
      </c>
      <c r="Q2318" s="3" t="s">
        <v>28</v>
      </c>
      <c r="R2318" s="3" t="s">
        <v>28</v>
      </c>
      <c r="S2318" s="3" t="s">
        <v>28</v>
      </c>
      <c r="T2318" s="3" t="s">
        <v>27</v>
      </c>
    </row>
    <row r="2319" spans="1:20" ht="409.6">
      <c r="A2319" s="3">
        <v>2697424</v>
      </c>
      <c r="B2319" s="3">
        <f>HYPERLINK("https://platform.v2.vetology.net/cases/2697424/screening-report/6?type=pdf&amp;v=v6&amp;scorecard=1&amp;secret_key=BX%25IJ%24%2F65ieZ%29f6", 2697424)</f>
        <v>2697424</v>
      </c>
      <c r="C2319" s="3">
        <f>HYPERLINK("https://platform.v2.vetology.net/report/v/final/"&amp;2697424, 2697424)</f>
        <v>2697424</v>
      </c>
      <c r="D2319" s="3" t="s">
        <v>7960</v>
      </c>
      <c r="E2319" s="3" t="s">
        <v>7961</v>
      </c>
      <c r="F2319" s="3" t="s">
        <v>7962</v>
      </c>
      <c r="G2319" s="3" t="s">
        <v>57</v>
      </c>
      <c r="H2319" s="3" t="s">
        <v>135</v>
      </c>
      <c r="I2319" s="3" t="s">
        <v>136</v>
      </c>
      <c r="J2319" s="3" t="s">
        <v>424</v>
      </c>
      <c r="K2319" s="3" t="s">
        <v>28</v>
      </c>
      <c r="L2319" s="3" t="s">
        <v>28</v>
      </c>
      <c r="M2319" s="3" t="s">
        <v>28</v>
      </c>
      <c r="N2319" s="3" t="s">
        <v>28</v>
      </c>
      <c r="O2319" s="3" t="s">
        <v>27</v>
      </c>
      <c r="P2319" s="3" t="s">
        <v>28</v>
      </c>
      <c r="Q2319" s="3" t="s">
        <v>27</v>
      </c>
      <c r="R2319" s="3" t="s">
        <v>28</v>
      </c>
      <c r="S2319" s="3" t="s">
        <v>28</v>
      </c>
      <c r="T2319" s="3" t="s">
        <v>27</v>
      </c>
    </row>
    <row r="2320" spans="1:20" ht="409.6">
      <c r="A2320" s="3">
        <v>2697410</v>
      </c>
      <c r="B2320" s="3">
        <f>HYPERLINK("https://platform.v2.vetology.net/cases/2697410/screening-report/6?type=pdf&amp;v=v6&amp;scorecard=1&amp;secret_key=BX%25IJ%24%2F65ieZ%29f6", 2697410)</f>
        <v>2697410</v>
      </c>
      <c r="C2320" s="3">
        <f>HYPERLINK("https://platform.v2.vetology.net/report/v/final/"&amp;2697410, 2697410)</f>
        <v>2697410</v>
      </c>
      <c r="D2320" s="3" t="s">
        <v>7963</v>
      </c>
      <c r="E2320" s="3" t="s">
        <v>7964</v>
      </c>
      <c r="F2320" s="3"/>
      <c r="G2320" s="3" t="s">
        <v>372</v>
      </c>
      <c r="H2320" s="3" t="s">
        <v>6592</v>
      </c>
      <c r="I2320" s="3" t="s">
        <v>291</v>
      </c>
      <c r="J2320" s="3" t="s">
        <v>207</v>
      </c>
      <c r="K2320" s="3" t="s">
        <v>28</v>
      </c>
      <c r="L2320" s="3" t="s">
        <v>28</v>
      </c>
      <c r="M2320" s="3" t="s">
        <v>28</v>
      </c>
      <c r="N2320" s="3" t="s">
        <v>27</v>
      </c>
      <c r="O2320" s="3" t="s">
        <v>27</v>
      </c>
      <c r="P2320" s="3" t="s">
        <v>28</v>
      </c>
      <c r="Q2320" s="3" t="s">
        <v>28</v>
      </c>
      <c r="R2320" s="3" t="s">
        <v>28</v>
      </c>
      <c r="S2320" s="3" t="s">
        <v>27</v>
      </c>
      <c r="T2320" s="3" t="s">
        <v>27</v>
      </c>
    </row>
    <row r="2321" spans="1:20" ht="409.6">
      <c r="A2321" s="3">
        <v>2697404</v>
      </c>
      <c r="B2321" s="3">
        <f>HYPERLINK("https://platform.v2.vetology.net/cases/2697404/screening-report/6?type=pdf&amp;v=v6&amp;scorecard=1&amp;secret_key=BX%25IJ%24%2F65ieZ%29f6", 2697404)</f>
        <v>2697404</v>
      </c>
      <c r="C2321" s="3">
        <f>HYPERLINK("https://platform.v2.vetology.net/report/v/final/"&amp;2697404, 2697404)</f>
        <v>2697404</v>
      </c>
      <c r="D2321" s="3" t="s">
        <v>7965</v>
      </c>
      <c r="E2321" s="3" t="s">
        <v>7966</v>
      </c>
      <c r="F2321" s="3" t="s">
        <v>7967</v>
      </c>
      <c r="G2321" s="3" t="s">
        <v>64</v>
      </c>
      <c r="H2321" s="3" t="s">
        <v>7968</v>
      </c>
      <c r="I2321" s="3" t="s">
        <v>7969</v>
      </c>
      <c r="J2321" s="3" t="s">
        <v>2826</v>
      </c>
      <c r="K2321" s="3" t="s">
        <v>27</v>
      </c>
      <c r="L2321" s="3" t="s">
        <v>28</v>
      </c>
      <c r="M2321" s="3" t="s">
        <v>27</v>
      </c>
      <c r="N2321" s="3" t="s">
        <v>28</v>
      </c>
      <c r="O2321" s="3" t="s">
        <v>27</v>
      </c>
      <c r="P2321" s="3" t="s">
        <v>28</v>
      </c>
      <c r="Q2321" s="3" t="s">
        <v>27</v>
      </c>
      <c r="R2321" s="3" t="s">
        <v>28</v>
      </c>
      <c r="S2321" s="3" t="s">
        <v>28</v>
      </c>
      <c r="T2321" s="3" t="s">
        <v>28</v>
      </c>
    </row>
    <row r="2322" spans="1:20" ht="366">
      <c r="A2322" s="3">
        <v>2697344</v>
      </c>
      <c r="B2322" s="3">
        <f>HYPERLINK("https://platform.v2.vetology.net/cases/2697344/screening-report/6?type=pdf&amp;v=v6&amp;scorecard=1&amp;secret_key=BX%25IJ%24%2F65ieZ%29f6", 2697344)</f>
        <v>2697344</v>
      </c>
      <c r="C2322" s="3">
        <f>HYPERLINK("https://platform.v2.vetology.net/report/v/final/"&amp;2697344, 2697344)</f>
        <v>2697344</v>
      </c>
      <c r="D2322" s="3" t="s">
        <v>7970</v>
      </c>
      <c r="E2322" s="3" t="s">
        <v>7971</v>
      </c>
      <c r="F2322" s="3" t="s">
        <v>7972</v>
      </c>
      <c r="G2322" s="3" t="s">
        <v>186</v>
      </c>
      <c r="H2322" s="3" t="s">
        <v>7973</v>
      </c>
      <c r="I2322" s="3" t="s">
        <v>768</v>
      </c>
      <c r="J2322" s="3" t="s">
        <v>769</v>
      </c>
      <c r="K2322" s="3" t="s">
        <v>28</v>
      </c>
      <c r="L2322" s="3" t="s">
        <v>28</v>
      </c>
      <c r="M2322" s="3" t="s">
        <v>28</v>
      </c>
      <c r="N2322" s="3" t="s">
        <v>28</v>
      </c>
      <c r="O2322" s="3" t="s">
        <v>27</v>
      </c>
      <c r="P2322" s="3" t="s">
        <v>28</v>
      </c>
      <c r="Q2322" s="3" t="s">
        <v>27</v>
      </c>
      <c r="R2322" s="3" t="s">
        <v>28</v>
      </c>
      <c r="S2322" s="3" t="s">
        <v>28</v>
      </c>
      <c r="T2322" s="3" t="s">
        <v>27</v>
      </c>
    </row>
    <row r="2323" spans="1:20" ht="409.6">
      <c r="A2323" s="3">
        <v>2697334</v>
      </c>
      <c r="B2323" s="3">
        <f>HYPERLINK("https://platform.v2.vetology.net/cases/2697334/screening-report/6?type=pdf&amp;v=v6&amp;scorecard=1&amp;secret_key=BX%25IJ%24%2F65ieZ%29f6", 2697334)</f>
        <v>2697334</v>
      </c>
      <c r="C2323" s="3">
        <f>HYPERLINK("https://platform.v2.vetology.net/report/v/final/"&amp;2697334, 2697334)</f>
        <v>2697334</v>
      </c>
      <c r="D2323" s="3" t="s">
        <v>7974</v>
      </c>
      <c r="E2323" s="3" t="s">
        <v>7975</v>
      </c>
      <c r="F2323" s="3" t="s">
        <v>277</v>
      </c>
      <c r="G2323" s="3" t="s">
        <v>186</v>
      </c>
      <c r="H2323" s="3" t="s">
        <v>2475</v>
      </c>
      <c r="I2323" s="3" t="s">
        <v>1497</v>
      </c>
      <c r="J2323" s="3" t="s">
        <v>1340</v>
      </c>
      <c r="K2323" s="3" t="s">
        <v>28</v>
      </c>
      <c r="L2323" s="3" t="s">
        <v>27</v>
      </c>
      <c r="M2323" s="3" t="s">
        <v>28</v>
      </c>
      <c r="N2323" s="3" t="s">
        <v>28</v>
      </c>
      <c r="O2323" s="3" t="s">
        <v>27</v>
      </c>
      <c r="P2323" s="3" t="s">
        <v>28</v>
      </c>
      <c r="Q2323" s="3" t="s">
        <v>28</v>
      </c>
      <c r="R2323" s="3" t="s">
        <v>28</v>
      </c>
      <c r="S2323" s="3" t="s">
        <v>28</v>
      </c>
      <c r="T2323" s="3" t="s">
        <v>28</v>
      </c>
    </row>
    <row r="2324" spans="1:20" ht="409.6">
      <c r="A2324" s="3">
        <v>2697291</v>
      </c>
      <c r="B2324" s="3">
        <f>HYPERLINK("https://platform.v2.vetology.net/cases/2697291/screening-report/6?type=pdf&amp;v=v6&amp;scorecard=1&amp;secret_key=BX%25IJ%24%2F65ieZ%29f6", 2697291)</f>
        <v>2697291</v>
      </c>
      <c r="C2324" s="3">
        <f>HYPERLINK("https://platform.v2.vetology.net/report/v/final/"&amp;2697291, 2697291)</f>
        <v>2697291</v>
      </c>
      <c r="D2324" s="3" t="s">
        <v>7976</v>
      </c>
      <c r="E2324" s="3" t="s">
        <v>7977</v>
      </c>
      <c r="F2324" s="3" t="s">
        <v>7978</v>
      </c>
      <c r="G2324" s="3" t="s">
        <v>57</v>
      </c>
      <c r="H2324" s="3" t="s">
        <v>31</v>
      </c>
      <c r="I2324" s="3" t="s">
        <v>32</v>
      </c>
      <c r="J2324" s="3" t="s">
        <v>119</v>
      </c>
      <c r="K2324" s="3" t="s">
        <v>28</v>
      </c>
      <c r="L2324" s="3" t="s">
        <v>28</v>
      </c>
      <c r="M2324" s="3" t="s">
        <v>28</v>
      </c>
      <c r="N2324" s="3" t="s">
        <v>28</v>
      </c>
      <c r="O2324" s="3" t="s">
        <v>28</v>
      </c>
      <c r="P2324" s="3" t="s">
        <v>28</v>
      </c>
      <c r="Q2324" s="3" t="s">
        <v>28</v>
      </c>
      <c r="R2324" s="3" t="s">
        <v>28</v>
      </c>
      <c r="S2324" s="3" t="s">
        <v>28</v>
      </c>
      <c r="T2324" s="3" t="s">
        <v>28</v>
      </c>
    </row>
    <row r="2325" spans="1:20" ht="381.75">
      <c r="A2325" s="3">
        <v>2697288</v>
      </c>
      <c r="B2325" s="3">
        <f>HYPERLINK("https://platform.v2.vetology.net/cases/2697288/screening-report/6?type=pdf&amp;v=v6&amp;scorecard=1&amp;secret_key=BX%25IJ%24%2F65ieZ%29f6", 2697288)</f>
        <v>2697288</v>
      </c>
      <c r="C2325" s="3">
        <f>HYPERLINK("https://platform.v2.vetology.net/report/v/final/"&amp;2697288, 2697288)</f>
        <v>2697288</v>
      </c>
      <c r="D2325" s="3" t="s">
        <v>7979</v>
      </c>
      <c r="E2325" s="3" t="s">
        <v>7980</v>
      </c>
      <c r="F2325" s="3" t="s">
        <v>7981</v>
      </c>
      <c r="G2325" s="3" t="s">
        <v>179</v>
      </c>
      <c r="H2325" s="3" t="s">
        <v>855</v>
      </c>
      <c r="I2325" s="3" t="s">
        <v>856</v>
      </c>
      <c r="J2325" s="3" t="s">
        <v>857</v>
      </c>
      <c r="K2325" s="3" t="s">
        <v>27</v>
      </c>
      <c r="L2325" s="3" t="s">
        <v>28</v>
      </c>
      <c r="M2325" s="3" t="s">
        <v>28</v>
      </c>
      <c r="N2325" s="3" t="s">
        <v>28</v>
      </c>
      <c r="O2325" s="3" t="s">
        <v>27</v>
      </c>
      <c r="P2325" s="3" t="s">
        <v>28</v>
      </c>
      <c r="Q2325" s="3" t="s">
        <v>28</v>
      </c>
      <c r="R2325" s="3" t="s">
        <v>28</v>
      </c>
      <c r="S2325" s="3" t="s">
        <v>28</v>
      </c>
      <c r="T2325" s="3" t="s">
        <v>28</v>
      </c>
    </row>
    <row r="2326" spans="1:20" ht="409.6">
      <c r="A2326" s="3">
        <v>2697283</v>
      </c>
      <c r="B2326" s="3">
        <f>HYPERLINK("https://platform.v2.vetology.net/cases/2697283/screening-report/6?type=pdf&amp;v=v6&amp;scorecard=1&amp;secret_key=BX%25IJ%24%2F65ieZ%29f6", 2697283)</f>
        <v>2697283</v>
      </c>
      <c r="C2326" s="3">
        <f>HYPERLINK("https://platform.v2.vetology.net/report/v/final/"&amp;2697283, 2697283)</f>
        <v>2697283</v>
      </c>
      <c r="D2326" s="3" t="s">
        <v>7982</v>
      </c>
      <c r="E2326" s="3" t="s">
        <v>7983</v>
      </c>
      <c r="F2326" s="3" t="s">
        <v>7984</v>
      </c>
      <c r="G2326" s="3" t="s">
        <v>179</v>
      </c>
      <c r="H2326" s="3" t="s">
        <v>146</v>
      </c>
      <c r="I2326" s="3" t="s">
        <v>147</v>
      </c>
      <c r="J2326" s="3" t="s">
        <v>148</v>
      </c>
      <c r="K2326" s="3" t="s">
        <v>28</v>
      </c>
      <c r="L2326" s="3" t="s">
        <v>28</v>
      </c>
      <c r="M2326" s="3" t="s">
        <v>28</v>
      </c>
      <c r="N2326" s="3" t="s">
        <v>28</v>
      </c>
      <c r="O2326" s="3" t="s">
        <v>27</v>
      </c>
      <c r="P2326" s="3" t="s">
        <v>27</v>
      </c>
      <c r="Q2326" s="3" t="s">
        <v>28</v>
      </c>
      <c r="R2326" s="3" t="s">
        <v>28</v>
      </c>
      <c r="S2326" s="3" t="s">
        <v>28</v>
      </c>
      <c r="T2326" s="3" t="s">
        <v>28</v>
      </c>
    </row>
    <row r="2327" spans="1:20" ht="381.75">
      <c r="A2327" s="3">
        <v>2697266</v>
      </c>
      <c r="B2327" s="3">
        <f>HYPERLINK("https://platform.v2.vetology.net/cases/2697266/screening-report/6?type=pdf&amp;v=v6&amp;scorecard=1&amp;secret_key=BX%25IJ%24%2F65ieZ%29f6", 2697266)</f>
        <v>2697266</v>
      </c>
      <c r="C2327" s="3">
        <f>HYPERLINK("https://platform.v2.vetology.net/report/v/final/"&amp;2697266, 2697266)</f>
        <v>2697266</v>
      </c>
      <c r="D2327" s="3" t="s">
        <v>7985</v>
      </c>
      <c r="E2327" s="3" t="s">
        <v>7986</v>
      </c>
      <c r="F2327" s="3" t="s">
        <v>7987</v>
      </c>
      <c r="G2327" s="3" t="s">
        <v>57</v>
      </c>
      <c r="H2327" s="3" t="s">
        <v>7988</v>
      </c>
      <c r="I2327" s="3" t="s">
        <v>124</v>
      </c>
      <c r="J2327" s="3" t="s">
        <v>125</v>
      </c>
      <c r="K2327" s="3" t="s">
        <v>27</v>
      </c>
      <c r="L2327" s="3" t="s">
        <v>28</v>
      </c>
      <c r="M2327" s="3" t="s">
        <v>27</v>
      </c>
      <c r="N2327" s="3" t="s">
        <v>28</v>
      </c>
      <c r="O2327" s="3" t="s">
        <v>27</v>
      </c>
      <c r="P2327" s="3" t="s">
        <v>28</v>
      </c>
      <c r="Q2327" s="3" t="s">
        <v>27</v>
      </c>
      <c r="R2327" s="3" t="s">
        <v>28</v>
      </c>
      <c r="S2327" s="3" t="s">
        <v>28</v>
      </c>
      <c r="T2327" s="3" t="s">
        <v>28</v>
      </c>
    </row>
    <row r="2328" spans="1:20" ht="409.6">
      <c r="A2328" s="3">
        <v>2697254</v>
      </c>
      <c r="B2328" s="3">
        <f>HYPERLINK("https://platform.v2.vetology.net/cases/2697254/screening-report/6?type=pdf&amp;v=v6&amp;scorecard=1&amp;secret_key=BX%25IJ%24%2F65ieZ%29f6", 2697254)</f>
        <v>2697254</v>
      </c>
      <c r="C2328" s="3">
        <f>HYPERLINK("https://platform.v2.vetology.net/report/v/final/"&amp;2697254, 2697254)</f>
        <v>2697254</v>
      </c>
      <c r="D2328" s="3" t="s">
        <v>7989</v>
      </c>
      <c r="E2328" s="3" t="s">
        <v>7990</v>
      </c>
      <c r="F2328" s="3" t="s">
        <v>7991</v>
      </c>
      <c r="G2328" s="3" t="s">
        <v>57</v>
      </c>
      <c r="H2328" s="3" t="s">
        <v>7992</v>
      </c>
      <c r="I2328" s="3" t="s">
        <v>136</v>
      </c>
      <c r="J2328" s="3" t="s">
        <v>137</v>
      </c>
      <c r="K2328" s="3" t="s">
        <v>28</v>
      </c>
      <c r="L2328" s="3" t="s">
        <v>28</v>
      </c>
      <c r="M2328" s="3" t="s">
        <v>28</v>
      </c>
      <c r="N2328" s="3" t="s">
        <v>27</v>
      </c>
      <c r="O2328" s="3" t="s">
        <v>27</v>
      </c>
      <c r="P2328" s="3" t="s">
        <v>28</v>
      </c>
      <c r="Q2328" s="3" t="s">
        <v>28</v>
      </c>
      <c r="R2328" s="3" t="s">
        <v>27</v>
      </c>
      <c r="S2328" s="3" t="s">
        <v>28</v>
      </c>
      <c r="T2328" s="3" t="s">
        <v>27</v>
      </c>
    </row>
    <row r="2329" spans="1:20" ht="336">
      <c r="A2329" s="3">
        <v>2697131</v>
      </c>
      <c r="B2329" s="3">
        <f>HYPERLINK("https://platform.v2.vetology.net/cases/2697131/screening-report/6?type=pdf&amp;v=v6&amp;scorecard=1&amp;secret_key=BX%25IJ%24%2F65ieZ%29f6", 2697131)</f>
        <v>2697131</v>
      </c>
      <c r="C2329" s="3">
        <f>HYPERLINK("https://platform.v2.vetology.net/report/v/final/"&amp;2697131, 2697131)</f>
        <v>2697131</v>
      </c>
      <c r="D2329" s="3" t="s">
        <v>7993</v>
      </c>
      <c r="E2329" s="3" t="s">
        <v>1230</v>
      </c>
      <c r="F2329" s="3" t="s">
        <v>2159</v>
      </c>
      <c r="G2329" s="3" t="s">
        <v>100</v>
      </c>
      <c r="H2329" s="3" t="s">
        <v>123</v>
      </c>
      <c r="I2329" s="3" t="s">
        <v>124</v>
      </c>
      <c r="J2329" s="3" t="s">
        <v>125</v>
      </c>
      <c r="K2329" s="3" t="s">
        <v>27</v>
      </c>
      <c r="L2329" s="3" t="s">
        <v>28</v>
      </c>
      <c r="M2329" s="3" t="s">
        <v>28</v>
      </c>
      <c r="N2329" s="3" t="s">
        <v>28</v>
      </c>
      <c r="O2329" s="3" t="s">
        <v>27</v>
      </c>
      <c r="P2329" s="3" t="s">
        <v>28</v>
      </c>
      <c r="Q2329" s="3" t="s">
        <v>27</v>
      </c>
      <c r="R2329" s="3" t="s">
        <v>28</v>
      </c>
      <c r="S2329" s="3" t="s">
        <v>28</v>
      </c>
      <c r="T2329" s="3" t="s">
        <v>28</v>
      </c>
    </row>
    <row r="2330" spans="1:20" ht="409.6">
      <c r="A2330" s="3">
        <v>2697118</v>
      </c>
      <c r="B2330" s="3">
        <f>HYPERLINK("https://platform.v2.vetology.net/cases/2697118/screening-report/6?type=pdf&amp;v=v6&amp;scorecard=1&amp;secret_key=BX%25IJ%24%2F65ieZ%29f6", 2697118)</f>
        <v>2697118</v>
      </c>
      <c r="C2330" s="3">
        <f>HYPERLINK("https://platform.v2.vetology.net/report/v/final/"&amp;2697118, 2697118)</f>
        <v>2697118</v>
      </c>
      <c r="D2330" s="3" t="s">
        <v>7994</v>
      </c>
      <c r="E2330" s="3" t="s">
        <v>7995</v>
      </c>
      <c r="F2330" s="3" t="s">
        <v>7996</v>
      </c>
      <c r="G2330" s="3" t="s">
        <v>211</v>
      </c>
      <c r="H2330" s="3" t="s">
        <v>7997</v>
      </c>
      <c r="I2330" s="3" t="s">
        <v>939</v>
      </c>
      <c r="J2330" s="3" t="s">
        <v>940</v>
      </c>
      <c r="K2330" s="3" t="s">
        <v>27</v>
      </c>
      <c r="L2330" s="3" t="s">
        <v>28</v>
      </c>
      <c r="M2330" s="3" t="s">
        <v>28</v>
      </c>
      <c r="N2330" s="3" t="s">
        <v>28</v>
      </c>
      <c r="O2330" s="3" t="s">
        <v>27</v>
      </c>
      <c r="P2330" s="3" t="s">
        <v>27</v>
      </c>
      <c r="Q2330" s="3" t="s">
        <v>27</v>
      </c>
      <c r="R2330" s="3" t="s">
        <v>28</v>
      </c>
      <c r="S2330" s="3" t="s">
        <v>28</v>
      </c>
      <c r="T2330" s="3" t="s">
        <v>28</v>
      </c>
    </row>
    <row r="2331" spans="1:20" ht="409.6">
      <c r="A2331" s="3">
        <v>2697016</v>
      </c>
      <c r="B2331" s="3">
        <f>HYPERLINK("https://platform.v2.vetology.net/cases/2697016/screening-report/6?type=pdf&amp;v=v6&amp;scorecard=1&amp;secret_key=BX%25IJ%24%2F65ieZ%29f6", 2697016)</f>
        <v>2697016</v>
      </c>
      <c r="C2331" s="3">
        <f>HYPERLINK("https://platform.v2.vetology.net/report/v/final/"&amp;2697016, 2697016)</f>
        <v>2697016</v>
      </c>
      <c r="D2331" s="3" t="s">
        <v>7998</v>
      </c>
      <c r="E2331" s="3" t="s">
        <v>7999</v>
      </c>
      <c r="F2331" s="3" t="s">
        <v>8000</v>
      </c>
      <c r="G2331" s="3" t="s">
        <v>64</v>
      </c>
      <c r="H2331" s="3" t="s">
        <v>8001</v>
      </c>
      <c r="I2331" s="3" t="s">
        <v>4796</v>
      </c>
      <c r="J2331" s="3" t="s">
        <v>148</v>
      </c>
      <c r="K2331" s="3" t="s">
        <v>27</v>
      </c>
      <c r="L2331" s="3" t="s">
        <v>27</v>
      </c>
      <c r="M2331" s="3" t="s">
        <v>28</v>
      </c>
      <c r="N2331" s="3" t="s">
        <v>28</v>
      </c>
      <c r="O2331" s="3" t="s">
        <v>27</v>
      </c>
      <c r="P2331" s="3" t="s">
        <v>28</v>
      </c>
      <c r="Q2331" s="3" t="s">
        <v>27</v>
      </c>
      <c r="R2331" s="3" t="s">
        <v>28</v>
      </c>
      <c r="S2331" s="3" t="s">
        <v>28</v>
      </c>
      <c r="T2331" s="3" t="s">
        <v>28</v>
      </c>
    </row>
    <row r="2332" spans="1:20" ht="321">
      <c r="A2332" s="3">
        <v>2696942</v>
      </c>
      <c r="B2332" s="3">
        <f>HYPERLINK("https://platform.v2.vetology.net/cases/2696942/screening-report/6?type=pdf&amp;v=v6&amp;scorecard=1&amp;secret_key=BX%25IJ%24%2F65ieZ%29f6", 2696942)</f>
        <v>2696942</v>
      </c>
      <c r="C2332" s="3">
        <f>HYPERLINK("https://platform.v2.vetology.net/report/v/final/"&amp;2696942, 2696942)</f>
        <v>2696942</v>
      </c>
      <c r="D2332" s="3" t="s">
        <v>8002</v>
      </c>
      <c r="E2332" s="3" t="s">
        <v>8003</v>
      </c>
      <c r="F2332" s="3" t="s">
        <v>1486</v>
      </c>
      <c r="G2332" s="3" t="s">
        <v>211</v>
      </c>
      <c r="H2332" s="3" t="s">
        <v>300</v>
      </c>
      <c r="I2332" s="3" t="s">
        <v>32</v>
      </c>
      <c r="J2332" s="3" t="s">
        <v>33</v>
      </c>
      <c r="K2332" s="3" t="s">
        <v>28</v>
      </c>
      <c r="L2332" s="3" t="s">
        <v>28</v>
      </c>
      <c r="M2332" s="3" t="s">
        <v>28</v>
      </c>
      <c r="N2332" s="3" t="s">
        <v>28</v>
      </c>
      <c r="O2332" s="3" t="s">
        <v>28</v>
      </c>
      <c r="P2332" s="3" t="s">
        <v>28</v>
      </c>
      <c r="Q2332" s="3" t="s">
        <v>28</v>
      </c>
      <c r="R2332" s="3" t="s">
        <v>28</v>
      </c>
      <c r="S2332" s="3" t="s">
        <v>28</v>
      </c>
      <c r="T2332" s="3" t="s">
        <v>28</v>
      </c>
    </row>
    <row r="2333" spans="1:20" ht="409.6">
      <c r="A2333" s="3">
        <v>2696928</v>
      </c>
      <c r="B2333" s="3">
        <f>HYPERLINK("https://platform.v2.vetology.net/cases/2696928/screening-report/6?type=pdf&amp;v=v6&amp;scorecard=1&amp;secret_key=BX%25IJ%24%2F65ieZ%29f6", 2696928)</f>
        <v>2696928</v>
      </c>
      <c r="C2333" s="3">
        <f>HYPERLINK("https://platform.v2.vetology.net/report/v/final/"&amp;2696928, 2696928)</f>
        <v>2696928</v>
      </c>
      <c r="D2333" s="3" t="s">
        <v>8004</v>
      </c>
      <c r="E2333" s="3" t="s">
        <v>8005</v>
      </c>
      <c r="F2333" s="3" t="s">
        <v>8006</v>
      </c>
      <c r="G2333" s="3" t="s">
        <v>496</v>
      </c>
      <c r="H2333" s="3" t="s">
        <v>8007</v>
      </c>
      <c r="I2333" s="3" t="s">
        <v>429</v>
      </c>
      <c r="J2333" s="3" t="s">
        <v>430</v>
      </c>
      <c r="K2333" s="3" t="s">
        <v>27</v>
      </c>
      <c r="L2333" s="3" t="s">
        <v>27</v>
      </c>
      <c r="M2333" s="3" t="s">
        <v>28</v>
      </c>
      <c r="N2333" s="3" t="s">
        <v>27</v>
      </c>
      <c r="O2333" s="3" t="s">
        <v>27</v>
      </c>
      <c r="P2333" s="3" t="s">
        <v>28</v>
      </c>
      <c r="Q2333" s="3" t="s">
        <v>27</v>
      </c>
      <c r="R2333" s="3" t="s">
        <v>27</v>
      </c>
      <c r="S2333" s="3" t="s">
        <v>28</v>
      </c>
      <c r="T2333" s="3" t="s">
        <v>27</v>
      </c>
    </row>
    <row r="2334" spans="1:20" ht="396.75">
      <c r="A2334" s="3">
        <v>2696879</v>
      </c>
      <c r="B2334" s="3">
        <f>HYPERLINK("https://platform.v2.vetology.net/cases/2696879/screening-report/6?type=pdf&amp;v=v6&amp;scorecard=1&amp;secret_key=BX%25IJ%24%2F65ieZ%29f6", 2696879)</f>
        <v>2696879</v>
      </c>
      <c r="C2334" s="3">
        <f>HYPERLINK("https://platform.v2.vetology.net/report/v/final/"&amp;2696879, 2696879)</f>
        <v>2696879</v>
      </c>
      <c r="D2334" s="3" t="s">
        <v>8008</v>
      </c>
      <c r="E2334" s="3" t="s">
        <v>8009</v>
      </c>
      <c r="F2334" s="3" t="s">
        <v>8010</v>
      </c>
      <c r="G2334" s="3" t="s">
        <v>211</v>
      </c>
      <c r="H2334" s="3" t="s">
        <v>8011</v>
      </c>
      <c r="I2334" s="3" t="s">
        <v>8012</v>
      </c>
      <c r="J2334" s="3" t="s">
        <v>830</v>
      </c>
      <c r="K2334" s="3" t="s">
        <v>27</v>
      </c>
      <c r="L2334" s="3" t="s">
        <v>27</v>
      </c>
      <c r="M2334" s="3" t="s">
        <v>28</v>
      </c>
      <c r="N2334" s="3" t="s">
        <v>27</v>
      </c>
      <c r="O2334" s="3" t="s">
        <v>28</v>
      </c>
      <c r="P2334" s="3" t="s">
        <v>28</v>
      </c>
      <c r="Q2334" s="3" t="s">
        <v>28</v>
      </c>
      <c r="R2334" s="3" t="s">
        <v>27</v>
      </c>
      <c r="S2334" s="3" t="s">
        <v>27</v>
      </c>
      <c r="T2334" s="3" t="s">
        <v>28</v>
      </c>
    </row>
    <row r="2335" spans="1:20" ht="409.6">
      <c r="A2335" s="3">
        <v>2696867</v>
      </c>
      <c r="B2335" s="3">
        <f>HYPERLINK("https://platform.v2.vetology.net/cases/2696867/screening-report/6?type=pdf&amp;v=v6&amp;scorecard=1&amp;secret_key=BX%25IJ%24%2F65ieZ%29f6", 2696867)</f>
        <v>2696867</v>
      </c>
      <c r="C2335" s="3">
        <f>HYPERLINK("https://platform.v2.vetology.net/report/v/final/"&amp;2696867, 2696867)</f>
        <v>2696867</v>
      </c>
      <c r="D2335" s="3" t="s">
        <v>8013</v>
      </c>
      <c r="E2335" s="3" t="s">
        <v>1089</v>
      </c>
      <c r="F2335" s="3" t="s">
        <v>1090</v>
      </c>
      <c r="G2335" s="3" t="s">
        <v>100</v>
      </c>
      <c r="H2335" s="3" t="s">
        <v>8014</v>
      </c>
      <c r="I2335" s="3" t="s">
        <v>3492</v>
      </c>
      <c r="J2335" s="3" t="s">
        <v>154</v>
      </c>
      <c r="K2335" s="3" t="s">
        <v>27</v>
      </c>
      <c r="L2335" s="3" t="s">
        <v>28</v>
      </c>
      <c r="M2335" s="3" t="s">
        <v>27</v>
      </c>
      <c r="N2335" s="3" t="s">
        <v>28</v>
      </c>
      <c r="O2335" s="3" t="s">
        <v>27</v>
      </c>
      <c r="P2335" s="3" t="s">
        <v>28</v>
      </c>
      <c r="Q2335" s="3" t="s">
        <v>27</v>
      </c>
      <c r="R2335" s="3" t="s">
        <v>28</v>
      </c>
      <c r="S2335" s="3" t="s">
        <v>27</v>
      </c>
      <c r="T2335" s="3" t="s">
        <v>28</v>
      </c>
    </row>
    <row r="2336" spans="1:20" ht="409.6">
      <c r="A2336" s="3">
        <v>2696849</v>
      </c>
      <c r="B2336" s="3">
        <f>HYPERLINK("https://platform.v2.vetology.net/cases/2696849/screening-report/6?type=pdf&amp;v=v6&amp;scorecard=1&amp;secret_key=BX%25IJ%24%2F65ieZ%29f6", 2696849)</f>
        <v>2696849</v>
      </c>
      <c r="C2336" s="3">
        <f>HYPERLINK("https://platform.v2.vetology.net/report/v/final/"&amp;2696849, 2696849)</f>
        <v>2696849</v>
      </c>
      <c r="D2336" s="3" t="s">
        <v>8015</v>
      </c>
      <c r="E2336" s="3" t="s">
        <v>8016</v>
      </c>
      <c r="F2336" s="3" t="s">
        <v>8017</v>
      </c>
      <c r="G2336" s="3" t="s">
        <v>64</v>
      </c>
      <c r="H2336" s="3" t="s">
        <v>31</v>
      </c>
      <c r="I2336" s="3" t="s">
        <v>32</v>
      </c>
      <c r="J2336" s="3" t="s">
        <v>33</v>
      </c>
      <c r="K2336" s="3" t="s">
        <v>28</v>
      </c>
      <c r="L2336" s="3" t="s">
        <v>28</v>
      </c>
      <c r="M2336" s="3" t="s">
        <v>28</v>
      </c>
      <c r="N2336" s="3" t="s">
        <v>28</v>
      </c>
      <c r="O2336" s="3" t="s">
        <v>28</v>
      </c>
      <c r="P2336" s="3" t="s">
        <v>28</v>
      </c>
      <c r="Q2336" s="3" t="s">
        <v>28</v>
      </c>
      <c r="R2336" s="3" t="s">
        <v>28</v>
      </c>
      <c r="S2336" s="3" t="s">
        <v>28</v>
      </c>
      <c r="T2336" s="3" t="s">
        <v>28</v>
      </c>
    </row>
    <row r="2337" spans="1:20" ht="366">
      <c r="A2337" s="3">
        <v>2696842</v>
      </c>
      <c r="B2337" s="3">
        <f>HYPERLINK("https://platform.v2.vetology.net/cases/2696842/screening-report/6?type=pdf&amp;v=v6&amp;scorecard=1&amp;secret_key=BX%25IJ%24%2F65ieZ%29f6", 2696842)</f>
        <v>2696842</v>
      </c>
      <c r="C2337" s="3">
        <f>HYPERLINK("https://platform.v2.vetology.net/report/v/final/"&amp;2696842, 2696842)</f>
        <v>2696842</v>
      </c>
      <c r="D2337" s="3" t="s">
        <v>8018</v>
      </c>
      <c r="E2337" s="3" t="s">
        <v>8019</v>
      </c>
      <c r="F2337" s="3" t="s">
        <v>22</v>
      </c>
      <c r="G2337" s="3" t="s">
        <v>23</v>
      </c>
      <c r="H2337" s="3" t="s">
        <v>8020</v>
      </c>
      <c r="I2337" s="3" t="s">
        <v>2432</v>
      </c>
      <c r="J2337" s="3" t="s">
        <v>2433</v>
      </c>
      <c r="K2337" s="3" t="s">
        <v>28</v>
      </c>
      <c r="L2337" s="3" t="s">
        <v>27</v>
      </c>
      <c r="M2337" s="3" t="s">
        <v>28</v>
      </c>
      <c r="N2337" s="3" t="s">
        <v>27</v>
      </c>
      <c r="O2337" s="3" t="s">
        <v>28</v>
      </c>
      <c r="P2337" s="3" t="s">
        <v>28</v>
      </c>
      <c r="Q2337" s="3" t="s">
        <v>28</v>
      </c>
      <c r="R2337" s="3" t="s">
        <v>27</v>
      </c>
      <c r="S2337" s="3" t="s">
        <v>28</v>
      </c>
      <c r="T2337" s="3" t="s">
        <v>27</v>
      </c>
    </row>
    <row r="2338" spans="1:20" ht="198">
      <c r="A2338" s="3">
        <v>2696801</v>
      </c>
      <c r="B2338" s="3">
        <f>HYPERLINK("https://platform.v2.vetology.net/cases/2696801/screening-report/6?type=pdf&amp;v=v6&amp;scorecard=1&amp;secret_key=BX%25IJ%24%2F65ieZ%29f6", 2696801)</f>
        <v>2696801</v>
      </c>
      <c r="C2338" s="3">
        <f>HYPERLINK("https://platform.v2.vetology.net/report/v/final/"&amp;2696801, 2696801)</f>
        <v>2696801</v>
      </c>
      <c r="D2338" s="3" t="s">
        <v>8021</v>
      </c>
      <c r="E2338" s="3" t="s">
        <v>8022</v>
      </c>
      <c r="F2338" s="3" t="s">
        <v>8023</v>
      </c>
      <c r="G2338" s="3" t="s">
        <v>186</v>
      </c>
      <c r="H2338" s="3" t="s">
        <v>362</v>
      </c>
      <c r="I2338" s="3" t="s">
        <v>72</v>
      </c>
      <c r="J2338" s="3" t="s">
        <v>363</v>
      </c>
      <c r="K2338" s="3" t="s">
        <v>28</v>
      </c>
      <c r="L2338" s="3" t="s">
        <v>28</v>
      </c>
      <c r="M2338" s="3" t="s">
        <v>28</v>
      </c>
      <c r="N2338" s="3" t="s">
        <v>28</v>
      </c>
      <c r="O2338" s="3" t="s">
        <v>27</v>
      </c>
      <c r="P2338" s="3" t="s">
        <v>28</v>
      </c>
      <c r="Q2338" s="3" t="s">
        <v>28</v>
      </c>
      <c r="R2338" s="3" t="s">
        <v>28</v>
      </c>
      <c r="S2338" s="3" t="s">
        <v>28</v>
      </c>
      <c r="T2338" s="3" t="s">
        <v>27</v>
      </c>
    </row>
    <row r="2339" spans="1:20" ht="396.75">
      <c r="A2339" s="3">
        <v>2696742</v>
      </c>
      <c r="B2339" s="3">
        <f>HYPERLINK("https://platform.v2.vetology.net/cases/2696742/screening-report/6?type=pdf&amp;v=v6&amp;scorecard=1&amp;secret_key=BX%25IJ%24%2F65ieZ%29f6", 2696742)</f>
        <v>2696742</v>
      </c>
      <c r="C2339" s="3">
        <f>HYPERLINK("https://platform.v2.vetology.net/report/v/final/"&amp;2696742, 2696742)</f>
        <v>2696742</v>
      </c>
      <c r="D2339" s="3" t="s">
        <v>8024</v>
      </c>
      <c r="E2339" s="3" t="s">
        <v>8025</v>
      </c>
      <c r="F2339" s="3" t="s">
        <v>8026</v>
      </c>
      <c r="G2339" s="3" t="s">
        <v>179</v>
      </c>
      <c r="H2339" s="3" t="s">
        <v>8027</v>
      </c>
      <c r="I2339" s="3" t="s">
        <v>816</v>
      </c>
      <c r="J2339" s="3" t="s">
        <v>817</v>
      </c>
      <c r="K2339" s="3" t="s">
        <v>28</v>
      </c>
      <c r="L2339" s="3" t="s">
        <v>28</v>
      </c>
      <c r="M2339" s="3" t="s">
        <v>28</v>
      </c>
      <c r="N2339" s="3" t="s">
        <v>27</v>
      </c>
      <c r="O2339" s="3" t="s">
        <v>27</v>
      </c>
      <c r="P2339" s="3" t="s">
        <v>28</v>
      </c>
      <c r="Q2339" s="3" t="s">
        <v>28</v>
      </c>
      <c r="R2339" s="3" t="s">
        <v>27</v>
      </c>
      <c r="S2339" s="3" t="s">
        <v>27</v>
      </c>
      <c r="T2339" s="3" t="s">
        <v>27</v>
      </c>
    </row>
    <row r="2340" spans="1:20" ht="396.75">
      <c r="A2340" s="3">
        <v>2696740</v>
      </c>
      <c r="B2340" s="3">
        <f>HYPERLINK("https://platform.v2.vetology.net/cases/2696740/screening-report/6?type=pdf&amp;v=v6&amp;scorecard=1&amp;secret_key=BX%25IJ%24%2F65ieZ%29f6", 2696740)</f>
        <v>2696740</v>
      </c>
      <c r="C2340" s="3">
        <f>HYPERLINK("https://platform.v2.vetology.net/report/v/final/"&amp;2696740, 2696740)</f>
        <v>2696740</v>
      </c>
      <c r="D2340" s="3" t="s">
        <v>8028</v>
      </c>
      <c r="E2340" s="3" t="s">
        <v>8029</v>
      </c>
      <c r="F2340" s="3" t="s">
        <v>609</v>
      </c>
      <c r="G2340" s="3" t="s">
        <v>179</v>
      </c>
      <c r="H2340" s="3" t="s">
        <v>7930</v>
      </c>
      <c r="I2340" s="3" t="s">
        <v>469</v>
      </c>
      <c r="J2340" s="3" t="s">
        <v>470</v>
      </c>
      <c r="K2340" s="3" t="s">
        <v>28</v>
      </c>
      <c r="L2340" s="3" t="s">
        <v>28</v>
      </c>
      <c r="M2340" s="3" t="s">
        <v>28</v>
      </c>
      <c r="N2340" s="3" t="s">
        <v>28</v>
      </c>
      <c r="O2340" s="3" t="s">
        <v>27</v>
      </c>
      <c r="P2340" s="3" t="s">
        <v>28</v>
      </c>
      <c r="Q2340" s="3" t="s">
        <v>28</v>
      </c>
      <c r="R2340" s="3" t="s">
        <v>28</v>
      </c>
      <c r="S2340" s="3" t="s">
        <v>28</v>
      </c>
      <c r="T2340" s="3" t="s">
        <v>28</v>
      </c>
    </row>
    <row r="2341" spans="1:20" ht="381.75">
      <c r="A2341" s="3">
        <v>2696707</v>
      </c>
      <c r="B2341" s="3">
        <f>HYPERLINK("https://platform.v2.vetology.net/cases/2696707/screening-report/6?type=pdf&amp;v=v6&amp;scorecard=1&amp;secret_key=BX%25IJ%24%2F65ieZ%29f6", 2696707)</f>
        <v>2696707</v>
      </c>
      <c r="C2341" s="3">
        <f>HYPERLINK("https://platform.v2.vetology.net/report/v/final/"&amp;2696707, 2696707)</f>
        <v>2696707</v>
      </c>
      <c r="D2341" s="3" t="s">
        <v>8030</v>
      </c>
      <c r="E2341" s="3" t="s">
        <v>8031</v>
      </c>
      <c r="F2341" s="3" t="s">
        <v>8032</v>
      </c>
      <c r="G2341" s="3" t="s">
        <v>57</v>
      </c>
      <c r="H2341" s="3" t="s">
        <v>8033</v>
      </c>
      <c r="I2341" s="3" t="s">
        <v>279</v>
      </c>
      <c r="J2341" s="3" t="s">
        <v>280</v>
      </c>
      <c r="K2341" s="3" t="s">
        <v>28</v>
      </c>
      <c r="L2341" s="3" t="s">
        <v>28</v>
      </c>
      <c r="M2341" s="3" t="s">
        <v>28</v>
      </c>
      <c r="N2341" s="3" t="s">
        <v>28</v>
      </c>
      <c r="O2341" s="3" t="s">
        <v>28</v>
      </c>
      <c r="P2341" s="3" t="s">
        <v>28</v>
      </c>
      <c r="Q2341" s="3" t="s">
        <v>28</v>
      </c>
      <c r="R2341" s="3" t="s">
        <v>28</v>
      </c>
      <c r="S2341" s="3" t="s">
        <v>28</v>
      </c>
      <c r="T2341" s="3" t="s">
        <v>27</v>
      </c>
    </row>
    <row r="2342" spans="1:20" ht="351">
      <c r="A2342" s="3">
        <v>2696706</v>
      </c>
      <c r="B2342" s="3">
        <f>HYPERLINK("https://platform.v2.vetology.net/cases/2696706/screening-report/6?type=pdf&amp;v=v6&amp;scorecard=1&amp;secret_key=BX%25IJ%24%2F65ieZ%29f6", 2696706)</f>
        <v>2696706</v>
      </c>
      <c r="C2342" s="3">
        <f>HYPERLINK("https://platform.v2.vetology.net/report/v/final/"&amp;2696706, 2696706)</f>
        <v>2696706</v>
      </c>
      <c r="D2342" s="3" t="s">
        <v>8034</v>
      </c>
      <c r="E2342" s="3" t="s">
        <v>8035</v>
      </c>
      <c r="F2342" s="3" t="s">
        <v>8036</v>
      </c>
      <c r="G2342" s="3" t="s">
        <v>186</v>
      </c>
      <c r="H2342" s="3" t="s">
        <v>8037</v>
      </c>
      <c r="I2342" s="3" t="s">
        <v>2972</v>
      </c>
      <c r="J2342" s="3" t="s">
        <v>387</v>
      </c>
      <c r="K2342" s="3" t="s">
        <v>28</v>
      </c>
      <c r="L2342" s="3" t="s">
        <v>28</v>
      </c>
      <c r="M2342" s="3" t="s">
        <v>28</v>
      </c>
      <c r="N2342" s="3" t="s">
        <v>28</v>
      </c>
      <c r="O2342" s="3" t="s">
        <v>28</v>
      </c>
      <c r="P2342" s="3" t="s">
        <v>28</v>
      </c>
      <c r="Q2342" s="3" t="s">
        <v>28</v>
      </c>
      <c r="R2342" s="3" t="s">
        <v>28</v>
      </c>
      <c r="S2342" s="3" t="s">
        <v>28</v>
      </c>
      <c r="T2342" s="3" t="s">
        <v>28</v>
      </c>
    </row>
    <row r="2343" spans="1:20" ht="321">
      <c r="A2343" s="3">
        <v>2696677</v>
      </c>
      <c r="B2343" s="3">
        <f>HYPERLINK("https://platform.v2.vetology.net/cases/2696677/screening-report/6?type=pdf&amp;v=v6&amp;scorecard=1&amp;secret_key=BX%25IJ%24%2F65ieZ%29f6", 2696677)</f>
        <v>2696677</v>
      </c>
      <c r="C2343" s="3">
        <f>HYPERLINK("https://platform.v2.vetology.net/report/v/final/"&amp;2696677, 2696677)</f>
        <v>2696677</v>
      </c>
      <c r="D2343" s="3" t="s">
        <v>8038</v>
      </c>
      <c r="E2343" s="3" t="s">
        <v>8039</v>
      </c>
      <c r="F2343" s="3" t="s">
        <v>22</v>
      </c>
      <c r="G2343" s="3" t="s">
        <v>23</v>
      </c>
      <c r="H2343" s="3" t="s">
        <v>8040</v>
      </c>
      <c r="I2343" s="3" t="s">
        <v>2524</v>
      </c>
      <c r="J2343" s="3" t="s">
        <v>1374</v>
      </c>
      <c r="K2343" s="3" t="s">
        <v>27</v>
      </c>
      <c r="L2343" s="3" t="s">
        <v>27</v>
      </c>
      <c r="M2343" s="3" t="s">
        <v>27</v>
      </c>
      <c r="N2343" s="3" t="s">
        <v>27</v>
      </c>
      <c r="O2343" s="3" t="s">
        <v>27</v>
      </c>
      <c r="P2343" s="3" t="s">
        <v>28</v>
      </c>
      <c r="Q2343" s="3" t="s">
        <v>27</v>
      </c>
      <c r="R2343" s="3" t="s">
        <v>27</v>
      </c>
      <c r="S2343" s="3" t="s">
        <v>27</v>
      </c>
      <c r="T2343" s="3" t="s">
        <v>27</v>
      </c>
    </row>
    <row r="2344" spans="1:20" ht="409.6">
      <c r="A2344" s="3">
        <v>2696637</v>
      </c>
      <c r="B2344" s="3">
        <f>HYPERLINK("https://platform.v2.vetology.net/cases/2696637/screening-report/6?type=pdf&amp;v=v6&amp;scorecard=1&amp;secret_key=BX%25IJ%24%2F65ieZ%29f6", 2696637)</f>
        <v>2696637</v>
      </c>
      <c r="C2344" s="3">
        <f>HYPERLINK("https://platform.v2.vetology.net/report/v/final/"&amp;2696637, 2696637)</f>
        <v>2696637</v>
      </c>
      <c r="D2344" s="3" t="s">
        <v>8041</v>
      </c>
      <c r="E2344" s="3" t="s">
        <v>8042</v>
      </c>
      <c r="F2344" s="3" t="s">
        <v>8043</v>
      </c>
      <c r="G2344" s="3" t="s">
        <v>64</v>
      </c>
      <c r="H2344" s="3" t="s">
        <v>8044</v>
      </c>
      <c r="I2344" s="3" t="s">
        <v>1396</v>
      </c>
      <c r="J2344" s="3" t="s">
        <v>1397</v>
      </c>
      <c r="K2344" s="3" t="s">
        <v>27</v>
      </c>
      <c r="L2344" s="3" t="s">
        <v>27</v>
      </c>
      <c r="M2344" s="3" t="s">
        <v>27</v>
      </c>
      <c r="N2344" s="3" t="s">
        <v>27</v>
      </c>
      <c r="O2344" s="3" t="s">
        <v>27</v>
      </c>
      <c r="P2344" s="3" t="s">
        <v>27</v>
      </c>
      <c r="Q2344" s="3" t="s">
        <v>27</v>
      </c>
      <c r="R2344" s="3" t="s">
        <v>28</v>
      </c>
      <c r="S2344" s="3" t="s">
        <v>27</v>
      </c>
      <c r="T2344" s="3" t="s">
        <v>27</v>
      </c>
    </row>
    <row r="2345" spans="1:20" ht="305.25">
      <c r="A2345" s="3">
        <v>2696587</v>
      </c>
      <c r="B2345" s="3">
        <f>HYPERLINK("https://platform.v2.vetology.net/cases/2696587/screening-report/6?type=pdf&amp;v=v6&amp;scorecard=1&amp;secret_key=BX%25IJ%24%2F65ieZ%29f6", 2696587)</f>
        <v>2696587</v>
      </c>
      <c r="C2345" s="3">
        <f>HYPERLINK("https://platform.v2.vetology.net/report/v/final/"&amp;2696587, 2696587)</f>
        <v>2696587</v>
      </c>
      <c r="D2345" s="3" t="s">
        <v>8045</v>
      </c>
      <c r="E2345" s="3" t="s">
        <v>8046</v>
      </c>
      <c r="F2345" s="3" t="s">
        <v>8047</v>
      </c>
      <c r="G2345" s="3" t="s">
        <v>179</v>
      </c>
      <c r="H2345" s="3" t="s">
        <v>4837</v>
      </c>
      <c r="I2345" s="3" t="s">
        <v>4838</v>
      </c>
      <c r="J2345" s="3" t="s">
        <v>8048</v>
      </c>
      <c r="K2345" s="3" t="s">
        <v>28</v>
      </c>
      <c r="L2345" s="3" t="s">
        <v>28</v>
      </c>
      <c r="M2345" s="3" t="s">
        <v>27</v>
      </c>
      <c r="N2345" s="3" t="s">
        <v>28</v>
      </c>
      <c r="O2345" s="3" t="s">
        <v>27</v>
      </c>
      <c r="P2345" s="3" t="s">
        <v>28</v>
      </c>
      <c r="Q2345" s="3" t="s">
        <v>28</v>
      </c>
      <c r="R2345" s="3" t="s">
        <v>28</v>
      </c>
      <c r="S2345" s="3" t="s">
        <v>28</v>
      </c>
      <c r="T2345" s="3" t="s">
        <v>28</v>
      </c>
    </row>
    <row r="2346" spans="1:20" ht="409.6">
      <c r="A2346" s="3">
        <v>2696541</v>
      </c>
      <c r="B2346" s="3">
        <f>HYPERLINK("https://platform.v2.vetology.net/cases/2696541/screening-report/6?type=pdf&amp;v=v6&amp;scorecard=1&amp;secret_key=BX%25IJ%24%2F65ieZ%29f6", 2696541)</f>
        <v>2696541</v>
      </c>
      <c r="C2346" s="3">
        <f>HYPERLINK("https://platform.v2.vetology.net/report/v/final/"&amp;2696541, 2696541)</f>
        <v>2696541</v>
      </c>
      <c r="D2346" s="3" t="s">
        <v>8049</v>
      </c>
      <c r="E2346" s="3" t="s">
        <v>8050</v>
      </c>
      <c r="F2346" s="3" t="s">
        <v>8051</v>
      </c>
      <c r="G2346" s="3" t="s">
        <v>100</v>
      </c>
      <c r="H2346" s="3" t="s">
        <v>8052</v>
      </c>
      <c r="I2346" s="3" t="s">
        <v>4591</v>
      </c>
      <c r="J2346" s="3" t="s">
        <v>4592</v>
      </c>
      <c r="K2346" s="3" t="s">
        <v>27</v>
      </c>
      <c r="L2346" s="3" t="s">
        <v>27</v>
      </c>
      <c r="M2346" s="3" t="s">
        <v>28</v>
      </c>
      <c r="N2346" s="3" t="s">
        <v>28</v>
      </c>
      <c r="O2346" s="3" t="s">
        <v>28</v>
      </c>
      <c r="P2346" s="3" t="s">
        <v>28</v>
      </c>
      <c r="Q2346" s="3" t="s">
        <v>27</v>
      </c>
      <c r="R2346" s="3" t="s">
        <v>28</v>
      </c>
      <c r="S2346" s="3" t="s">
        <v>27</v>
      </c>
      <c r="T2346" s="3" t="s">
        <v>28</v>
      </c>
    </row>
    <row r="2347" spans="1:20" ht="409.6">
      <c r="A2347" s="3">
        <v>2696535</v>
      </c>
      <c r="B2347" s="3">
        <f>HYPERLINK("https://platform.v2.vetology.net/cases/2696535/screening-report/6?type=pdf&amp;v=v6&amp;scorecard=1&amp;secret_key=BX%25IJ%24%2F65ieZ%29f6", 2696535)</f>
        <v>2696535</v>
      </c>
      <c r="C2347" s="3">
        <f>HYPERLINK("https://platform.v2.vetology.net/report/v/final/"&amp;2696535, 2696535)</f>
        <v>2696535</v>
      </c>
      <c r="D2347" s="3" t="s">
        <v>8053</v>
      </c>
      <c r="E2347" s="3" t="s">
        <v>8054</v>
      </c>
      <c r="F2347" s="3" t="s">
        <v>8055</v>
      </c>
      <c r="G2347" s="3" t="s">
        <v>64</v>
      </c>
      <c r="H2347" s="3" t="s">
        <v>7595</v>
      </c>
      <c r="I2347" s="3" t="s">
        <v>2068</v>
      </c>
      <c r="J2347" s="3" t="s">
        <v>2069</v>
      </c>
      <c r="K2347" s="3" t="s">
        <v>27</v>
      </c>
      <c r="L2347" s="3" t="s">
        <v>27</v>
      </c>
      <c r="M2347" s="3" t="s">
        <v>27</v>
      </c>
      <c r="N2347" s="3" t="s">
        <v>27</v>
      </c>
      <c r="O2347" s="3" t="s">
        <v>27</v>
      </c>
      <c r="P2347" s="3" t="s">
        <v>28</v>
      </c>
      <c r="Q2347" s="3" t="s">
        <v>27</v>
      </c>
      <c r="R2347" s="3" t="s">
        <v>27</v>
      </c>
      <c r="S2347" s="3" t="s">
        <v>27</v>
      </c>
      <c r="T2347" s="3" t="s">
        <v>27</v>
      </c>
    </row>
    <row r="2348" spans="1:20" ht="409.6">
      <c r="A2348" s="3">
        <v>2696526</v>
      </c>
      <c r="B2348" s="3">
        <f>HYPERLINK("https://platform.v2.vetology.net/cases/2696526/screening-report/6?type=pdf&amp;v=v6&amp;scorecard=1&amp;secret_key=BX%25IJ%24%2F65ieZ%29f6", 2696526)</f>
        <v>2696526</v>
      </c>
      <c r="C2348" s="3">
        <f>HYPERLINK("https://platform.v2.vetology.net/report/v/final/"&amp;2696526, 2696526)</f>
        <v>2696526</v>
      </c>
      <c r="D2348" s="3" t="s">
        <v>8056</v>
      </c>
      <c r="E2348" s="3" t="s">
        <v>8057</v>
      </c>
      <c r="F2348" s="3" t="s">
        <v>22</v>
      </c>
      <c r="G2348" s="3" t="s">
        <v>100</v>
      </c>
      <c r="H2348" s="3" t="s">
        <v>677</v>
      </c>
      <c r="I2348" s="3" t="s">
        <v>678</v>
      </c>
      <c r="J2348" s="3" t="s">
        <v>1264</v>
      </c>
      <c r="K2348" s="3" t="s">
        <v>28</v>
      </c>
      <c r="L2348" s="3" t="s">
        <v>27</v>
      </c>
      <c r="M2348" s="3" t="s">
        <v>28</v>
      </c>
      <c r="N2348" s="3" t="s">
        <v>27</v>
      </c>
      <c r="O2348" s="3" t="s">
        <v>27</v>
      </c>
      <c r="P2348" s="3" t="s">
        <v>28</v>
      </c>
      <c r="Q2348" s="3" t="s">
        <v>27</v>
      </c>
      <c r="R2348" s="3" t="s">
        <v>27</v>
      </c>
      <c r="S2348" s="3" t="s">
        <v>27</v>
      </c>
      <c r="T2348" s="3" t="s">
        <v>27</v>
      </c>
    </row>
    <row r="2349" spans="1:20" ht="290.25">
      <c r="A2349" s="3">
        <v>2696520</v>
      </c>
      <c r="B2349" s="3">
        <f>HYPERLINK("https://platform.v2.vetology.net/cases/2696520/screening-report/6?type=pdf&amp;v=v6&amp;scorecard=1&amp;secret_key=BX%25IJ%24%2F65ieZ%29f6", 2696520)</f>
        <v>2696520</v>
      </c>
      <c r="C2349" s="3">
        <f>HYPERLINK("https://platform.v2.vetology.net/report/v/final/"&amp;2696520, 2696520)</f>
        <v>2696520</v>
      </c>
      <c r="D2349" s="3" t="s">
        <v>8058</v>
      </c>
      <c r="E2349" s="3" t="s">
        <v>8059</v>
      </c>
      <c r="F2349" s="3" t="s">
        <v>5904</v>
      </c>
      <c r="G2349" s="3" t="s">
        <v>100</v>
      </c>
      <c r="H2349" s="3" t="s">
        <v>951</v>
      </c>
      <c r="I2349" s="3" t="s">
        <v>952</v>
      </c>
      <c r="J2349" s="3" t="s">
        <v>953</v>
      </c>
      <c r="K2349" s="3" t="s">
        <v>28</v>
      </c>
      <c r="L2349" s="3" t="s">
        <v>28</v>
      </c>
      <c r="M2349" s="3" t="s">
        <v>28</v>
      </c>
      <c r="N2349" s="3" t="s">
        <v>28</v>
      </c>
      <c r="O2349" s="3" t="s">
        <v>27</v>
      </c>
      <c r="P2349" s="3" t="s">
        <v>28</v>
      </c>
      <c r="Q2349" s="3" t="s">
        <v>28</v>
      </c>
      <c r="R2349" s="3" t="s">
        <v>28</v>
      </c>
      <c r="S2349" s="3" t="s">
        <v>28</v>
      </c>
      <c r="T2349" s="3" t="s">
        <v>27</v>
      </c>
    </row>
    <row r="2350" spans="1:20" ht="244.5">
      <c r="A2350" s="3">
        <v>2696515</v>
      </c>
      <c r="B2350" s="3">
        <f>HYPERLINK("https://platform.v2.vetology.net/cases/2696515/screening-report/6?type=pdf&amp;v=v6&amp;scorecard=1&amp;secret_key=BX%25IJ%24%2F65ieZ%29f6", 2696515)</f>
        <v>2696515</v>
      </c>
      <c r="C2350" s="3">
        <f>HYPERLINK("https://platform.v2.vetology.net/report/v/final/"&amp;2696515, 2696515)</f>
        <v>2696515</v>
      </c>
      <c r="D2350" s="3" t="s">
        <v>8060</v>
      </c>
      <c r="E2350" s="3" t="s">
        <v>8061</v>
      </c>
      <c r="F2350" s="3" t="s">
        <v>8062</v>
      </c>
      <c r="G2350" s="3" t="s">
        <v>186</v>
      </c>
      <c r="H2350" s="3" t="s">
        <v>828</v>
      </c>
      <c r="I2350" s="3" t="s">
        <v>829</v>
      </c>
      <c r="J2350" s="3" t="s">
        <v>830</v>
      </c>
      <c r="K2350" s="3" t="s">
        <v>27</v>
      </c>
      <c r="L2350" s="3" t="s">
        <v>27</v>
      </c>
      <c r="M2350" s="3" t="s">
        <v>28</v>
      </c>
      <c r="N2350" s="3" t="s">
        <v>27</v>
      </c>
      <c r="O2350" s="3" t="s">
        <v>27</v>
      </c>
      <c r="P2350" s="3" t="s">
        <v>28</v>
      </c>
      <c r="Q2350" s="3" t="s">
        <v>27</v>
      </c>
      <c r="R2350" s="3" t="s">
        <v>27</v>
      </c>
      <c r="S2350" s="3" t="s">
        <v>27</v>
      </c>
      <c r="T2350" s="3" t="s">
        <v>27</v>
      </c>
    </row>
    <row r="2351" spans="1:20" ht="409.6">
      <c r="A2351" s="3">
        <v>2696512</v>
      </c>
      <c r="B2351" s="3">
        <f>HYPERLINK("https://platform.v2.vetology.net/cases/2696512/screening-report/6?type=pdf&amp;v=v6&amp;scorecard=1&amp;secret_key=BX%25IJ%24%2F65ieZ%29f6", 2696512)</f>
        <v>2696512</v>
      </c>
      <c r="C2351" s="3">
        <f>HYPERLINK("https://platform.v2.vetology.net/report/v/final/"&amp;2696512, 2696512)</f>
        <v>2696512</v>
      </c>
      <c r="D2351" s="3" t="s">
        <v>8063</v>
      </c>
      <c r="E2351" s="3" t="s">
        <v>8064</v>
      </c>
      <c r="F2351" s="3" t="s">
        <v>22</v>
      </c>
      <c r="G2351" s="3" t="s">
        <v>23</v>
      </c>
      <c r="H2351" s="3" t="s">
        <v>8065</v>
      </c>
      <c r="I2351" s="3"/>
      <c r="J2351" s="3" t="s">
        <v>207</v>
      </c>
      <c r="K2351" s="3" t="s">
        <v>27</v>
      </c>
      <c r="L2351" s="3" t="s">
        <v>28</v>
      </c>
      <c r="M2351" s="3" t="s">
        <v>28</v>
      </c>
      <c r="N2351" s="3" t="s">
        <v>28</v>
      </c>
      <c r="O2351" s="3" t="s">
        <v>27</v>
      </c>
      <c r="P2351" s="3" t="s">
        <v>27</v>
      </c>
      <c r="Q2351" s="3" t="s">
        <v>28</v>
      </c>
      <c r="R2351" s="3" t="s">
        <v>28</v>
      </c>
      <c r="S2351" s="3" t="s">
        <v>28</v>
      </c>
      <c r="T2351" s="3" t="s">
        <v>27</v>
      </c>
    </row>
    <row r="2352" spans="1:20" ht="409.6">
      <c r="A2352" s="3">
        <v>2696455</v>
      </c>
      <c r="B2352" s="3">
        <f>HYPERLINK("https://platform.v2.vetology.net/cases/2696455/screening-report/6?type=pdf&amp;v=v6&amp;scorecard=1&amp;secret_key=BX%25IJ%24%2F65ieZ%29f6", 2696455)</f>
        <v>2696455</v>
      </c>
      <c r="C2352" s="3">
        <f>HYPERLINK("https://platform.v2.vetology.net/report/v/final/"&amp;2696455, 2696455)</f>
        <v>2696455</v>
      </c>
      <c r="D2352" s="3" t="s">
        <v>8066</v>
      </c>
      <c r="E2352" s="3" t="s">
        <v>8067</v>
      </c>
      <c r="F2352" s="3" t="s">
        <v>8068</v>
      </c>
      <c r="G2352" s="3" t="s">
        <v>64</v>
      </c>
      <c r="H2352" s="3" t="s">
        <v>7432</v>
      </c>
      <c r="I2352" s="3" t="s">
        <v>2963</v>
      </c>
      <c r="J2352" s="3" t="s">
        <v>2964</v>
      </c>
      <c r="K2352" s="3" t="s">
        <v>28</v>
      </c>
      <c r="L2352" s="3" t="s">
        <v>28</v>
      </c>
      <c r="M2352" s="3" t="s">
        <v>28</v>
      </c>
      <c r="N2352" s="3" t="s">
        <v>28</v>
      </c>
      <c r="O2352" s="3" t="s">
        <v>27</v>
      </c>
      <c r="P2352" s="3" t="s">
        <v>28</v>
      </c>
      <c r="Q2352" s="3" t="s">
        <v>27</v>
      </c>
      <c r="R2352" s="3" t="s">
        <v>28</v>
      </c>
      <c r="S2352" s="3" t="s">
        <v>28</v>
      </c>
      <c r="T2352" s="3" t="s">
        <v>28</v>
      </c>
    </row>
    <row r="2353" spans="1:20" ht="409.6">
      <c r="A2353" s="3">
        <v>2696445</v>
      </c>
      <c r="B2353" s="3">
        <f>HYPERLINK("https://platform.v2.vetology.net/cases/2696445/screening-report/6?type=pdf&amp;v=v6&amp;scorecard=1&amp;secret_key=BX%25IJ%24%2F65ieZ%29f6", 2696445)</f>
        <v>2696445</v>
      </c>
      <c r="C2353" s="3">
        <f>HYPERLINK("https://platform.v2.vetology.net/report/v/final/"&amp;2696445, 2696445)</f>
        <v>2696445</v>
      </c>
      <c r="D2353" s="3" t="s">
        <v>8069</v>
      </c>
      <c r="E2353" s="3" t="s">
        <v>8070</v>
      </c>
      <c r="F2353" s="3" t="s">
        <v>8071</v>
      </c>
      <c r="G2353" s="3" t="s">
        <v>64</v>
      </c>
      <c r="H2353" s="3" t="s">
        <v>8072</v>
      </c>
      <c r="I2353" s="3" t="s">
        <v>718</v>
      </c>
      <c r="J2353" s="3" t="s">
        <v>719</v>
      </c>
      <c r="K2353" s="3" t="s">
        <v>28</v>
      </c>
      <c r="L2353" s="3" t="s">
        <v>28</v>
      </c>
      <c r="M2353" s="3" t="s">
        <v>28</v>
      </c>
      <c r="N2353" s="3" t="s">
        <v>28</v>
      </c>
      <c r="O2353" s="3" t="s">
        <v>27</v>
      </c>
      <c r="P2353" s="3" t="s">
        <v>28</v>
      </c>
      <c r="Q2353" s="3" t="s">
        <v>28</v>
      </c>
      <c r="R2353" s="3" t="s">
        <v>28</v>
      </c>
      <c r="S2353" s="3" t="s">
        <v>28</v>
      </c>
      <c r="T2353" s="3" t="s">
        <v>28</v>
      </c>
    </row>
    <row r="2354" spans="1:20" ht="229.5">
      <c r="A2354" s="3">
        <v>2696429</v>
      </c>
      <c r="B2354" s="3">
        <f>HYPERLINK("https://platform.v2.vetology.net/cases/2696429/screening-report/6?type=pdf&amp;v=v6&amp;scorecard=1&amp;secret_key=BX%25IJ%24%2F65ieZ%29f6", 2696429)</f>
        <v>2696429</v>
      </c>
      <c r="C2354" s="3">
        <f>HYPERLINK("https://platform.v2.vetology.net/report/v/final/"&amp;2696429, 2696429)</f>
        <v>2696429</v>
      </c>
      <c r="D2354" s="3" t="s">
        <v>1419</v>
      </c>
      <c r="E2354" s="3" t="s">
        <v>1089</v>
      </c>
      <c r="F2354" s="3" t="s">
        <v>8073</v>
      </c>
      <c r="G2354" s="3" t="s">
        <v>100</v>
      </c>
      <c r="H2354" s="3" t="s">
        <v>8074</v>
      </c>
      <c r="I2354" s="3" t="s">
        <v>305</v>
      </c>
      <c r="J2354" s="3" t="s">
        <v>119</v>
      </c>
      <c r="K2354" s="3" t="s">
        <v>28</v>
      </c>
      <c r="L2354" s="3" t="s">
        <v>28</v>
      </c>
      <c r="M2354" s="3" t="s">
        <v>28</v>
      </c>
      <c r="N2354" s="3" t="s">
        <v>28</v>
      </c>
      <c r="O2354" s="3" t="s">
        <v>28</v>
      </c>
      <c r="P2354" s="3" t="s">
        <v>28</v>
      </c>
      <c r="Q2354" s="3" t="s">
        <v>28</v>
      </c>
      <c r="R2354" s="3" t="s">
        <v>28</v>
      </c>
      <c r="S2354" s="3" t="s">
        <v>28</v>
      </c>
      <c r="T2354" s="3" t="s">
        <v>28</v>
      </c>
    </row>
    <row r="2355" spans="1:20" ht="381.75">
      <c r="A2355" s="3">
        <v>2696419</v>
      </c>
      <c r="B2355" s="3">
        <f>HYPERLINK("https://platform.v2.vetology.net/cases/2696419/screening-report/6?type=pdf&amp;v=v6&amp;scorecard=1&amp;secret_key=BX%25IJ%24%2F65ieZ%29f6", 2696419)</f>
        <v>2696419</v>
      </c>
      <c r="C2355" s="3">
        <f>HYPERLINK("https://platform.v2.vetology.net/report/v/final/"&amp;2696419, 2696419)</f>
        <v>2696419</v>
      </c>
      <c r="D2355" s="3" t="s">
        <v>8075</v>
      </c>
      <c r="E2355" s="3" t="s">
        <v>8076</v>
      </c>
      <c r="F2355" s="3" t="s">
        <v>22</v>
      </c>
      <c r="G2355" s="3" t="s">
        <v>23</v>
      </c>
      <c r="H2355" s="3" t="s">
        <v>8077</v>
      </c>
      <c r="I2355" s="3" t="s">
        <v>856</v>
      </c>
      <c r="J2355" s="3" t="s">
        <v>857</v>
      </c>
      <c r="K2355" s="3" t="s">
        <v>28</v>
      </c>
      <c r="L2355" s="3" t="s">
        <v>28</v>
      </c>
      <c r="M2355" s="3" t="s">
        <v>28</v>
      </c>
      <c r="N2355" s="3" t="s">
        <v>28</v>
      </c>
      <c r="O2355" s="3" t="s">
        <v>27</v>
      </c>
      <c r="P2355" s="3" t="s">
        <v>28</v>
      </c>
      <c r="Q2355" s="3" t="s">
        <v>28</v>
      </c>
      <c r="R2355" s="3" t="s">
        <v>28</v>
      </c>
      <c r="S2355" s="3" t="s">
        <v>28</v>
      </c>
      <c r="T2355" s="3" t="s">
        <v>28</v>
      </c>
    </row>
    <row r="2356" spans="1:20" ht="336">
      <c r="A2356" s="3">
        <v>2696410</v>
      </c>
      <c r="B2356" s="3">
        <f>HYPERLINK("https://platform.v2.vetology.net/cases/2696410/screening-report/6?type=pdf&amp;v=v6&amp;scorecard=1&amp;secret_key=BX%25IJ%24%2F65ieZ%29f6", 2696410)</f>
        <v>2696410</v>
      </c>
      <c r="C2356" s="3">
        <f>HYPERLINK("https://platform.v2.vetology.net/report/v/final/"&amp;2696410, 2696410)</f>
        <v>2696410</v>
      </c>
      <c r="D2356" s="3" t="s">
        <v>8078</v>
      </c>
      <c r="E2356" s="3" t="s">
        <v>6065</v>
      </c>
      <c r="F2356" s="3"/>
      <c r="G2356" s="3" t="s">
        <v>100</v>
      </c>
      <c r="H2356" s="3" t="s">
        <v>513</v>
      </c>
      <c r="I2356" s="3" t="s">
        <v>514</v>
      </c>
      <c r="J2356" s="3" t="s">
        <v>515</v>
      </c>
      <c r="K2356" s="3" t="s">
        <v>27</v>
      </c>
      <c r="L2356" s="3" t="s">
        <v>27</v>
      </c>
      <c r="M2356" s="3" t="s">
        <v>27</v>
      </c>
      <c r="N2356" s="3" t="s">
        <v>28</v>
      </c>
      <c r="O2356" s="3" t="s">
        <v>27</v>
      </c>
      <c r="P2356" s="3" t="s">
        <v>28</v>
      </c>
      <c r="Q2356" s="3" t="s">
        <v>27</v>
      </c>
      <c r="R2356" s="3" t="s">
        <v>28</v>
      </c>
      <c r="S2356" s="3" t="s">
        <v>27</v>
      </c>
      <c r="T2356" s="3" t="s">
        <v>28</v>
      </c>
    </row>
    <row r="2357" spans="1:20" ht="244.5">
      <c r="A2357" s="3">
        <v>2696330</v>
      </c>
      <c r="B2357" s="3">
        <f>HYPERLINK("https://platform.v2.vetology.net/cases/2696330/screening-report/6?type=pdf&amp;v=v6&amp;scorecard=1&amp;secret_key=BX%25IJ%24%2F65ieZ%29f6", 2696330)</f>
        <v>2696330</v>
      </c>
      <c r="C2357" s="3">
        <f>HYPERLINK("https://platform.v2.vetology.net/report/v/final/"&amp;2696330, 2696330)</f>
        <v>2696330</v>
      </c>
      <c r="D2357" s="3" t="s">
        <v>8079</v>
      </c>
      <c r="E2357" s="3" t="s">
        <v>8080</v>
      </c>
      <c r="F2357" s="3" t="s">
        <v>8081</v>
      </c>
      <c r="G2357" s="3" t="s">
        <v>211</v>
      </c>
      <c r="H2357" s="3" t="s">
        <v>8082</v>
      </c>
      <c r="I2357" s="3" t="s">
        <v>4827</v>
      </c>
      <c r="J2357" s="3" t="s">
        <v>4700</v>
      </c>
      <c r="K2357" s="3" t="s">
        <v>28</v>
      </c>
      <c r="L2357" s="3" t="s">
        <v>28</v>
      </c>
      <c r="M2357" s="3" t="s">
        <v>28</v>
      </c>
      <c r="N2357" s="3" t="s">
        <v>28</v>
      </c>
      <c r="O2357" s="3" t="s">
        <v>27</v>
      </c>
      <c r="P2357" s="3" t="s">
        <v>28</v>
      </c>
      <c r="Q2357" s="3" t="s">
        <v>27</v>
      </c>
      <c r="R2357" s="3" t="s">
        <v>28</v>
      </c>
      <c r="S2357" s="3" t="s">
        <v>28</v>
      </c>
      <c r="T2357" s="3" t="s">
        <v>28</v>
      </c>
    </row>
    <row r="2358" spans="1:20" ht="336">
      <c r="A2358" s="3">
        <v>2696304</v>
      </c>
      <c r="B2358" s="3">
        <f>HYPERLINK("https://platform.v2.vetology.net/cases/2696304/screening-report/6?type=pdf&amp;v=v6&amp;scorecard=1&amp;secret_key=BX%25IJ%24%2F65ieZ%29f6", 2696304)</f>
        <v>2696304</v>
      </c>
      <c r="C2358" s="3">
        <f>HYPERLINK("https://platform.v2.vetology.net/report/v/final/"&amp;2696304, 2696304)</f>
        <v>2696304</v>
      </c>
      <c r="D2358" s="3" t="s">
        <v>8083</v>
      </c>
      <c r="E2358" s="3" t="s">
        <v>8084</v>
      </c>
      <c r="F2358" s="3" t="s">
        <v>3758</v>
      </c>
      <c r="G2358" s="3" t="s">
        <v>186</v>
      </c>
      <c r="H2358" s="3" t="s">
        <v>8085</v>
      </c>
      <c r="I2358" s="3" t="s">
        <v>8086</v>
      </c>
      <c r="J2358" s="3" t="s">
        <v>8087</v>
      </c>
      <c r="K2358" s="3" t="s">
        <v>28</v>
      </c>
      <c r="L2358" s="3" t="s">
        <v>28</v>
      </c>
      <c r="M2358" s="3" t="s">
        <v>27</v>
      </c>
      <c r="N2358" s="3" t="s">
        <v>28</v>
      </c>
      <c r="O2358" s="3" t="s">
        <v>28</v>
      </c>
      <c r="P2358" s="3" t="s">
        <v>28</v>
      </c>
      <c r="Q2358" s="3" t="s">
        <v>28</v>
      </c>
      <c r="R2358" s="3" t="s">
        <v>28</v>
      </c>
      <c r="S2358" s="3" t="s">
        <v>28</v>
      </c>
      <c r="T2358" s="3" t="s">
        <v>28</v>
      </c>
    </row>
    <row r="2359" spans="1:20" ht="381.75">
      <c r="A2359" s="3">
        <v>2696244</v>
      </c>
      <c r="B2359" s="3">
        <f>HYPERLINK("https://platform.v2.vetology.net/cases/2696244/screening-report/6?type=pdf&amp;v=v6&amp;scorecard=1&amp;secret_key=BX%25IJ%24%2F65ieZ%29f6", 2696244)</f>
        <v>2696244</v>
      </c>
      <c r="C2359" s="3">
        <f>HYPERLINK("https://platform.v2.vetology.net/report/v/final/"&amp;2696244, 2696244)</f>
        <v>2696244</v>
      </c>
      <c r="D2359" s="3" t="s">
        <v>8088</v>
      </c>
      <c r="E2359" s="3" t="s">
        <v>8089</v>
      </c>
      <c r="F2359" s="3" t="s">
        <v>8090</v>
      </c>
      <c r="G2359" s="3" t="s">
        <v>1772</v>
      </c>
      <c r="H2359" s="3" t="s">
        <v>1768</v>
      </c>
      <c r="I2359" s="3" t="s">
        <v>316</v>
      </c>
      <c r="J2359" s="3" t="s">
        <v>317</v>
      </c>
      <c r="K2359" s="3" t="s">
        <v>28</v>
      </c>
      <c r="L2359" s="3" t="s">
        <v>28</v>
      </c>
      <c r="M2359" s="3" t="s">
        <v>28</v>
      </c>
      <c r="N2359" s="3" t="s">
        <v>28</v>
      </c>
      <c r="O2359" s="3" t="s">
        <v>27</v>
      </c>
      <c r="P2359" s="3" t="s">
        <v>28</v>
      </c>
      <c r="Q2359" s="3" t="s">
        <v>28</v>
      </c>
      <c r="R2359" s="3" t="s">
        <v>28</v>
      </c>
      <c r="S2359" s="3" t="s">
        <v>28</v>
      </c>
      <c r="T2359" s="3" t="s">
        <v>28</v>
      </c>
    </row>
    <row r="2360" spans="1:20" ht="366">
      <c r="A2360" s="3">
        <v>2696234</v>
      </c>
      <c r="B2360" s="3">
        <f>HYPERLINK("https://platform.v2.vetology.net/cases/2696234/screening-report/6?type=pdf&amp;v=v6&amp;scorecard=1&amp;secret_key=BX%25IJ%24%2F65ieZ%29f6", 2696234)</f>
        <v>2696234</v>
      </c>
      <c r="C2360" s="3">
        <f>HYPERLINK("https://platform.v2.vetology.net/report/v/final/"&amp;2696234, 2696234)</f>
        <v>2696234</v>
      </c>
      <c r="D2360" s="3" t="s">
        <v>8091</v>
      </c>
      <c r="E2360" s="3" t="s">
        <v>8092</v>
      </c>
      <c r="F2360" s="3" t="s">
        <v>56</v>
      </c>
      <c r="G2360" s="3" t="s">
        <v>57</v>
      </c>
      <c r="H2360" s="3" t="s">
        <v>8093</v>
      </c>
      <c r="I2360" s="3" t="s">
        <v>124</v>
      </c>
      <c r="J2360" s="3" t="s">
        <v>125</v>
      </c>
      <c r="K2360" s="3" t="s">
        <v>27</v>
      </c>
      <c r="L2360" s="3" t="s">
        <v>28</v>
      </c>
      <c r="M2360" s="3" t="s">
        <v>28</v>
      </c>
      <c r="N2360" s="3" t="s">
        <v>28</v>
      </c>
      <c r="O2360" s="3" t="s">
        <v>27</v>
      </c>
      <c r="P2360" s="3" t="s">
        <v>28</v>
      </c>
      <c r="Q2360" s="3" t="s">
        <v>28</v>
      </c>
      <c r="R2360" s="3" t="s">
        <v>28</v>
      </c>
      <c r="S2360" s="3" t="s">
        <v>28</v>
      </c>
      <c r="T2360" s="3" t="s">
        <v>28</v>
      </c>
    </row>
    <row r="2361" spans="1:20" ht="336">
      <c r="A2361" s="3">
        <v>2696175</v>
      </c>
      <c r="B2361" s="3">
        <f>HYPERLINK("https://platform.v2.vetology.net/cases/2696175/screening-report/6?type=pdf&amp;v=v6&amp;scorecard=1&amp;secret_key=BX%25IJ%24%2F65ieZ%29f6", 2696175)</f>
        <v>2696175</v>
      </c>
      <c r="C2361" s="3">
        <f>HYPERLINK("https://platform.v2.vetology.net/report/v/final/"&amp;2696175, 2696175)</f>
        <v>2696175</v>
      </c>
      <c r="D2361" s="3" t="s">
        <v>8094</v>
      </c>
      <c r="E2361" s="3" t="s">
        <v>8095</v>
      </c>
      <c r="F2361" s="3" t="s">
        <v>8096</v>
      </c>
      <c r="G2361" s="3" t="s">
        <v>186</v>
      </c>
      <c r="H2361" s="3" t="s">
        <v>1564</v>
      </c>
      <c r="I2361" s="3" t="s">
        <v>1565</v>
      </c>
      <c r="J2361" s="3" t="s">
        <v>1566</v>
      </c>
      <c r="K2361" s="3" t="s">
        <v>28</v>
      </c>
      <c r="L2361" s="3" t="s">
        <v>28</v>
      </c>
      <c r="M2361" s="3" t="s">
        <v>28</v>
      </c>
      <c r="N2361" s="3" t="s">
        <v>28</v>
      </c>
      <c r="O2361" s="3" t="s">
        <v>27</v>
      </c>
      <c r="P2361" s="3" t="s">
        <v>28</v>
      </c>
      <c r="Q2361" s="3" t="s">
        <v>28</v>
      </c>
      <c r="R2361" s="3" t="s">
        <v>28</v>
      </c>
      <c r="S2361" s="3" t="s">
        <v>28</v>
      </c>
      <c r="T2361" s="3" t="s">
        <v>28</v>
      </c>
    </row>
    <row r="2362" spans="1:20" ht="259.5">
      <c r="A2362" s="3">
        <v>2696144</v>
      </c>
      <c r="B2362" s="3">
        <f>HYPERLINK("https://platform.v2.vetology.net/cases/2696144/screening-report/6?type=pdf&amp;v=v6&amp;scorecard=1&amp;secret_key=BX%25IJ%24%2F65ieZ%29f6", 2696144)</f>
        <v>2696144</v>
      </c>
      <c r="C2362" s="3">
        <f>HYPERLINK("https://platform.v2.vetology.net/report/v/final/"&amp;2696144, 2696144)</f>
        <v>2696144</v>
      </c>
      <c r="D2362" s="3" t="s">
        <v>8097</v>
      </c>
      <c r="E2362" s="3" t="s">
        <v>8098</v>
      </c>
      <c r="F2362" s="3" t="s">
        <v>8099</v>
      </c>
      <c r="G2362" s="3" t="s">
        <v>100</v>
      </c>
      <c r="H2362" s="3" t="s">
        <v>7902</v>
      </c>
      <c r="I2362" s="3" t="s">
        <v>7903</v>
      </c>
      <c r="J2362" s="3" t="s">
        <v>7904</v>
      </c>
      <c r="K2362" s="3" t="s">
        <v>27</v>
      </c>
      <c r="L2362" s="3" t="s">
        <v>28</v>
      </c>
      <c r="M2362" s="3" t="s">
        <v>27</v>
      </c>
      <c r="N2362" s="3" t="s">
        <v>28</v>
      </c>
      <c r="O2362" s="3" t="s">
        <v>27</v>
      </c>
      <c r="P2362" s="3" t="s">
        <v>28</v>
      </c>
      <c r="Q2362" s="3" t="s">
        <v>27</v>
      </c>
      <c r="R2362" s="3" t="s">
        <v>28</v>
      </c>
      <c r="S2362" s="3" t="s">
        <v>28</v>
      </c>
      <c r="T2362" s="3" t="s">
        <v>28</v>
      </c>
    </row>
    <row r="2363" spans="1:20" ht="409.6">
      <c r="A2363" s="3">
        <v>2696084</v>
      </c>
      <c r="B2363" s="3">
        <f>HYPERLINK("https://platform.v2.vetology.net/cases/2696084/screening-report/6?type=pdf&amp;v=v6&amp;scorecard=1&amp;secret_key=BX%25IJ%24%2F65ieZ%29f6", 2696084)</f>
        <v>2696084</v>
      </c>
      <c r="C2363" s="3">
        <f>HYPERLINK("https://platform.v2.vetology.net/report/v/final/"&amp;2696084, 2696084)</f>
        <v>2696084</v>
      </c>
      <c r="D2363" s="3" t="s">
        <v>8100</v>
      </c>
      <c r="E2363" s="3" t="s">
        <v>8101</v>
      </c>
      <c r="F2363" s="3" t="s">
        <v>22</v>
      </c>
      <c r="G2363" s="3" t="s">
        <v>100</v>
      </c>
      <c r="H2363" s="3" t="s">
        <v>8102</v>
      </c>
      <c r="I2363" s="3" t="s">
        <v>8103</v>
      </c>
      <c r="J2363" s="3" t="s">
        <v>8104</v>
      </c>
      <c r="K2363" s="3" t="s">
        <v>28</v>
      </c>
      <c r="L2363" s="3" t="s">
        <v>27</v>
      </c>
      <c r="M2363" s="3" t="s">
        <v>28</v>
      </c>
      <c r="N2363" s="3" t="s">
        <v>27</v>
      </c>
      <c r="O2363" s="3" t="s">
        <v>27</v>
      </c>
      <c r="P2363" s="3" t="s">
        <v>28</v>
      </c>
      <c r="Q2363" s="3" t="s">
        <v>27</v>
      </c>
      <c r="R2363" s="3" t="s">
        <v>28</v>
      </c>
      <c r="S2363" s="3" t="s">
        <v>28</v>
      </c>
      <c r="T2363" s="3" t="s">
        <v>27</v>
      </c>
    </row>
    <row r="2364" spans="1:20" ht="259.5">
      <c r="A2364" s="3">
        <v>2696020</v>
      </c>
      <c r="B2364" s="3">
        <f>HYPERLINK("https://platform.v2.vetology.net/cases/2696020/screening-report/6?type=pdf&amp;v=v6&amp;scorecard=1&amp;secret_key=BX%25IJ%24%2F65ieZ%29f6", 2696020)</f>
        <v>2696020</v>
      </c>
      <c r="C2364" s="3">
        <f>HYPERLINK("https://platform.v2.vetology.net/report/v/final/"&amp;2696020, 2696020)</f>
        <v>2696020</v>
      </c>
      <c r="D2364" s="3" t="s">
        <v>8105</v>
      </c>
      <c r="E2364" s="3" t="s">
        <v>8106</v>
      </c>
      <c r="F2364" s="3" t="s">
        <v>8107</v>
      </c>
      <c r="G2364" s="3" t="s">
        <v>179</v>
      </c>
      <c r="H2364" s="3" t="s">
        <v>135</v>
      </c>
      <c r="I2364" s="3" t="s">
        <v>136</v>
      </c>
      <c r="J2364" s="3" t="s">
        <v>137</v>
      </c>
      <c r="K2364" s="3" t="s">
        <v>28</v>
      </c>
      <c r="L2364" s="3" t="s">
        <v>28</v>
      </c>
      <c r="M2364" s="3" t="s">
        <v>28</v>
      </c>
      <c r="N2364" s="3" t="s">
        <v>28</v>
      </c>
      <c r="O2364" s="3" t="s">
        <v>27</v>
      </c>
      <c r="P2364" s="3" t="s">
        <v>28</v>
      </c>
      <c r="Q2364" s="3" t="s">
        <v>28</v>
      </c>
      <c r="R2364" s="3" t="s">
        <v>28</v>
      </c>
      <c r="S2364" s="3" t="s">
        <v>28</v>
      </c>
      <c r="T2364" s="3" t="s">
        <v>27</v>
      </c>
    </row>
    <row r="2365" spans="1:20" ht="321">
      <c r="A2365" s="3">
        <v>2695989</v>
      </c>
      <c r="B2365" s="3">
        <f>HYPERLINK("https://platform.v2.vetology.net/cases/2695989/screening-report/6?type=pdf&amp;v=v6&amp;scorecard=1&amp;secret_key=BX%25IJ%24%2F65ieZ%29f6", 2695989)</f>
        <v>2695989</v>
      </c>
      <c r="C2365" s="3">
        <f>HYPERLINK("https://platform.v2.vetology.net/report/v/final/"&amp;2695989, 2695989)</f>
        <v>2695989</v>
      </c>
      <c r="D2365" s="3" t="s">
        <v>8108</v>
      </c>
      <c r="E2365" s="3" t="s">
        <v>8109</v>
      </c>
      <c r="F2365" s="3" t="s">
        <v>22</v>
      </c>
      <c r="G2365" s="3" t="s">
        <v>100</v>
      </c>
      <c r="H2365" s="3" t="s">
        <v>5310</v>
      </c>
      <c r="I2365" s="3" t="s">
        <v>1227</v>
      </c>
      <c r="J2365" s="3" t="s">
        <v>1228</v>
      </c>
      <c r="K2365" s="3" t="s">
        <v>28</v>
      </c>
      <c r="L2365" s="3" t="s">
        <v>27</v>
      </c>
      <c r="M2365" s="3" t="s">
        <v>28</v>
      </c>
      <c r="N2365" s="3" t="s">
        <v>27</v>
      </c>
      <c r="O2365" s="3" t="s">
        <v>28</v>
      </c>
      <c r="P2365" s="3" t="s">
        <v>28</v>
      </c>
      <c r="Q2365" s="3" t="s">
        <v>28</v>
      </c>
      <c r="R2365" s="3" t="s">
        <v>28</v>
      </c>
      <c r="S2365" s="3" t="s">
        <v>27</v>
      </c>
      <c r="T2365" s="3" t="s">
        <v>27</v>
      </c>
    </row>
    <row r="2366" spans="1:20" ht="396.75">
      <c r="A2366" s="3">
        <v>2695986</v>
      </c>
      <c r="B2366" s="3">
        <f>HYPERLINK("https://platform.v2.vetology.net/cases/2695986/screening-report/6?type=pdf&amp;v=v6&amp;scorecard=1&amp;secret_key=BX%25IJ%24%2F65ieZ%29f6", 2695986)</f>
        <v>2695986</v>
      </c>
      <c r="C2366" s="3">
        <f>HYPERLINK("https://platform.v2.vetology.net/report/v/final/"&amp;2695986, 2695986)</f>
        <v>2695986</v>
      </c>
      <c r="D2366" s="3" t="s">
        <v>8110</v>
      </c>
      <c r="E2366" s="3" t="s">
        <v>8111</v>
      </c>
      <c r="F2366" s="3" t="s">
        <v>8112</v>
      </c>
      <c r="G2366" s="3" t="s">
        <v>23</v>
      </c>
      <c r="H2366" s="3" t="s">
        <v>1097</v>
      </c>
      <c r="I2366" s="3" t="s">
        <v>469</v>
      </c>
      <c r="J2366" s="3" t="s">
        <v>470</v>
      </c>
      <c r="K2366" s="3" t="s">
        <v>28</v>
      </c>
      <c r="L2366" s="3" t="s">
        <v>28</v>
      </c>
      <c r="M2366" s="3" t="s">
        <v>28</v>
      </c>
      <c r="N2366" s="3" t="s">
        <v>28</v>
      </c>
      <c r="O2366" s="3" t="s">
        <v>27</v>
      </c>
      <c r="P2366" s="3" t="s">
        <v>28</v>
      </c>
      <c r="Q2366" s="3" t="s">
        <v>28</v>
      </c>
      <c r="R2366" s="3" t="s">
        <v>28</v>
      </c>
      <c r="S2366" s="3" t="s">
        <v>28</v>
      </c>
      <c r="T2366" s="3" t="s">
        <v>28</v>
      </c>
    </row>
    <row r="2367" spans="1:20" ht="381.75">
      <c r="A2367" s="3">
        <v>2695966</v>
      </c>
      <c r="B2367" s="3">
        <f>HYPERLINK("https://platform.v2.vetology.net/cases/2695966/screening-report/6?type=pdf&amp;v=v6&amp;scorecard=1&amp;secret_key=BX%25IJ%24%2F65ieZ%29f6", 2695966)</f>
        <v>2695966</v>
      </c>
      <c r="C2367" s="3">
        <f>HYPERLINK("https://platform.v2.vetology.net/report/v/final/"&amp;2695966, 2695966)</f>
        <v>2695966</v>
      </c>
      <c r="D2367" s="3" t="s">
        <v>8113</v>
      </c>
      <c r="E2367" s="3" t="s">
        <v>8114</v>
      </c>
      <c r="F2367" s="3" t="s">
        <v>1668</v>
      </c>
      <c r="G2367" s="3" t="s">
        <v>122</v>
      </c>
      <c r="H2367" s="3" t="s">
        <v>4032</v>
      </c>
      <c r="I2367" s="3" t="s">
        <v>37</v>
      </c>
      <c r="J2367" s="3" t="s">
        <v>38</v>
      </c>
      <c r="K2367" s="3" t="s">
        <v>28</v>
      </c>
      <c r="L2367" s="3" t="s">
        <v>28</v>
      </c>
      <c r="M2367" s="3" t="s">
        <v>28</v>
      </c>
      <c r="N2367" s="3" t="s">
        <v>28</v>
      </c>
      <c r="O2367" s="3" t="s">
        <v>27</v>
      </c>
      <c r="P2367" s="3" t="s">
        <v>28</v>
      </c>
      <c r="Q2367" s="3" t="s">
        <v>28</v>
      </c>
      <c r="R2367" s="3" t="s">
        <v>28</v>
      </c>
      <c r="S2367" s="3" t="s">
        <v>28</v>
      </c>
      <c r="T2367" s="3" t="s">
        <v>28</v>
      </c>
    </row>
    <row r="2368" spans="1:20" ht="409.6">
      <c r="A2368" s="3">
        <v>2695957</v>
      </c>
      <c r="B2368" s="3">
        <f>HYPERLINK("https://platform.v2.vetology.net/cases/2695957/screening-report/6?type=pdf&amp;v=v6&amp;scorecard=1&amp;secret_key=BX%25IJ%24%2F65ieZ%29f6", 2695957)</f>
        <v>2695957</v>
      </c>
      <c r="C2368" s="3">
        <f>HYPERLINK("https://platform.v2.vetology.net/report/v/final/"&amp;2695957, 2695957)</f>
        <v>2695957</v>
      </c>
      <c r="D2368" s="3" t="s">
        <v>8115</v>
      </c>
      <c r="E2368" s="3" t="s">
        <v>8116</v>
      </c>
      <c r="F2368" s="3" t="s">
        <v>8117</v>
      </c>
      <c r="G2368" s="3" t="s">
        <v>566</v>
      </c>
      <c r="H2368" s="3" t="s">
        <v>8118</v>
      </c>
      <c r="I2368" s="3" t="s">
        <v>2825</v>
      </c>
      <c r="J2368" s="3" t="s">
        <v>2826</v>
      </c>
      <c r="K2368" s="3" t="s">
        <v>28</v>
      </c>
      <c r="L2368" s="3" t="s">
        <v>28</v>
      </c>
      <c r="M2368" s="3" t="s">
        <v>27</v>
      </c>
      <c r="N2368" s="3" t="s">
        <v>28</v>
      </c>
      <c r="O2368" s="3" t="s">
        <v>27</v>
      </c>
      <c r="P2368" s="3" t="s">
        <v>28</v>
      </c>
      <c r="Q2368" s="3" t="s">
        <v>27</v>
      </c>
      <c r="R2368" s="3" t="s">
        <v>28</v>
      </c>
      <c r="S2368" s="3" t="s">
        <v>28</v>
      </c>
      <c r="T2368" s="3" t="s">
        <v>28</v>
      </c>
    </row>
    <row r="2369" spans="1:20" ht="396.75">
      <c r="A2369" s="3">
        <v>2695930</v>
      </c>
      <c r="B2369" s="3">
        <f>HYPERLINK("https://platform.v2.vetology.net/cases/2695930/screening-report/6?type=pdf&amp;v=v6&amp;scorecard=1&amp;secret_key=BX%25IJ%24%2F65ieZ%29f6", 2695930)</f>
        <v>2695930</v>
      </c>
      <c r="C2369" s="3">
        <f>HYPERLINK("https://platform.v2.vetology.net/report/v/final/"&amp;2695930, 2695930)</f>
        <v>2695930</v>
      </c>
      <c r="D2369" s="3" t="s">
        <v>8119</v>
      </c>
      <c r="E2369" s="3" t="s">
        <v>1690</v>
      </c>
      <c r="F2369" s="3"/>
      <c r="G2369" s="3" t="s">
        <v>100</v>
      </c>
      <c r="H2369" s="3" t="s">
        <v>350</v>
      </c>
      <c r="I2369" s="3" t="s">
        <v>351</v>
      </c>
      <c r="J2369" s="3" t="s">
        <v>352</v>
      </c>
      <c r="K2369" s="3" t="s">
        <v>28</v>
      </c>
      <c r="L2369" s="3" t="s">
        <v>28</v>
      </c>
      <c r="M2369" s="3" t="s">
        <v>28</v>
      </c>
      <c r="N2369" s="3" t="s">
        <v>28</v>
      </c>
      <c r="O2369" s="3" t="s">
        <v>27</v>
      </c>
      <c r="P2369" s="3" t="s">
        <v>28</v>
      </c>
      <c r="Q2369" s="3" t="s">
        <v>28</v>
      </c>
      <c r="R2369" s="3" t="s">
        <v>28</v>
      </c>
      <c r="S2369" s="3" t="s">
        <v>28</v>
      </c>
      <c r="T2369" s="3" t="s">
        <v>27</v>
      </c>
    </row>
    <row r="2370" spans="1:20" ht="305.25">
      <c r="A2370" s="3">
        <v>2695866</v>
      </c>
      <c r="B2370" s="3">
        <f>HYPERLINK("https://platform.v2.vetology.net/cases/2695866/screening-report/6?type=pdf&amp;v=v6&amp;scorecard=1&amp;secret_key=BX%25IJ%24%2F65ieZ%29f6", 2695866)</f>
        <v>2695866</v>
      </c>
      <c r="C2370" s="3">
        <f>HYPERLINK("https://platform.v2.vetology.net/report/v/final/"&amp;2695866, 2695866)</f>
        <v>2695866</v>
      </c>
      <c r="D2370" s="3" t="s">
        <v>8120</v>
      </c>
      <c r="E2370" s="3" t="s">
        <v>8121</v>
      </c>
      <c r="F2370" s="3" t="s">
        <v>5964</v>
      </c>
      <c r="G2370" s="3" t="s">
        <v>186</v>
      </c>
      <c r="H2370" s="3" t="s">
        <v>8122</v>
      </c>
      <c r="I2370" s="3" t="s">
        <v>1725</v>
      </c>
      <c r="J2370" s="3" t="s">
        <v>1726</v>
      </c>
      <c r="K2370" s="3" t="s">
        <v>28</v>
      </c>
      <c r="L2370" s="3" t="s">
        <v>27</v>
      </c>
      <c r="M2370" s="3" t="s">
        <v>27</v>
      </c>
      <c r="N2370" s="3" t="s">
        <v>28</v>
      </c>
      <c r="O2370" s="3" t="s">
        <v>27</v>
      </c>
      <c r="P2370" s="3" t="s">
        <v>27</v>
      </c>
      <c r="Q2370" s="3" t="s">
        <v>27</v>
      </c>
      <c r="R2370" s="3" t="s">
        <v>28</v>
      </c>
      <c r="S2370" s="3" t="s">
        <v>28</v>
      </c>
      <c r="T2370" s="3" t="s">
        <v>28</v>
      </c>
    </row>
    <row r="2371" spans="1:20" ht="409.6">
      <c r="A2371" s="3">
        <v>2695846</v>
      </c>
      <c r="B2371" s="3">
        <f>HYPERLINK("https://platform.v2.vetology.net/cases/2695846/screening-report/6?type=pdf&amp;v=v6&amp;scorecard=1&amp;secret_key=BX%25IJ%24%2F65ieZ%29f6", 2695846)</f>
        <v>2695846</v>
      </c>
      <c r="C2371" s="3">
        <f>HYPERLINK("https://platform.v2.vetology.net/report/v/final/"&amp;2695846, 2695846)</f>
        <v>2695846</v>
      </c>
      <c r="D2371" s="3" t="s">
        <v>8123</v>
      </c>
      <c r="E2371" s="3" t="s">
        <v>8124</v>
      </c>
      <c r="F2371" s="3" t="s">
        <v>8125</v>
      </c>
      <c r="G2371" s="3" t="s">
        <v>186</v>
      </c>
      <c r="H2371" s="3" t="s">
        <v>1874</v>
      </c>
      <c r="I2371" s="3" t="s">
        <v>520</v>
      </c>
      <c r="J2371" s="3" t="s">
        <v>335</v>
      </c>
      <c r="K2371" s="3" t="s">
        <v>28</v>
      </c>
      <c r="L2371" s="3" t="s">
        <v>28</v>
      </c>
      <c r="M2371" s="3" t="s">
        <v>28</v>
      </c>
      <c r="N2371" s="3" t="s">
        <v>28</v>
      </c>
      <c r="O2371" s="3" t="s">
        <v>27</v>
      </c>
      <c r="P2371" s="3" t="s">
        <v>28</v>
      </c>
      <c r="Q2371" s="3" t="s">
        <v>28</v>
      </c>
      <c r="R2371" s="3" t="s">
        <v>28</v>
      </c>
      <c r="S2371" s="3" t="s">
        <v>28</v>
      </c>
      <c r="T2371" s="3" t="s">
        <v>28</v>
      </c>
    </row>
    <row r="2372" spans="1:20" ht="409.6">
      <c r="A2372" s="3">
        <v>2695711</v>
      </c>
      <c r="B2372" s="3">
        <f>HYPERLINK("https://platform.v2.vetology.net/cases/2695711/screening-report/6?type=pdf&amp;v=v6&amp;scorecard=1&amp;secret_key=BX%25IJ%24%2F65ieZ%29f6", 2695711)</f>
        <v>2695711</v>
      </c>
      <c r="C2372" s="3">
        <f>HYPERLINK("https://platform.v2.vetology.net/report/v/final/"&amp;2695711, 2695711)</f>
        <v>2695711</v>
      </c>
      <c r="D2372" s="3" t="s">
        <v>8126</v>
      </c>
      <c r="E2372" s="3" t="s">
        <v>8127</v>
      </c>
      <c r="F2372" s="3" t="s">
        <v>8128</v>
      </c>
      <c r="G2372" s="3" t="s">
        <v>186</v>
      </c>
      <c r="H2372" s="3" t="s">
        <v>8129</v>
      </c>
      <c r="I2372" s="3" t="s">
        <v>5511</v>
      </c>
      <c r="J2372" s="3" t="s">
        <v>5512</v>
      </c>
      <c r="K2372" s="3" t="s">
        <v>28</v>
      </c>
      <c r="L2372" s="3" t="s">
        <v>28</v>
      </c>
      <c r="M2372" s="3" t="s">
        <v>27</v>
      </c>
      <c r="N2372" s="3" t="s">
        <v>28</v>
      </c>
      <c r="O2372" s="3" t="s">
        <v>27</v>
      </c>
      <c r="P2372" s="3" t="s">
        <v>28</v>
      </c>
      <c r="Q2372" s="3" t="s">
        <v>28</v>
      </c>
      <c r="R2372" s="3" t="s">
        <v>28</v>
      </c>
      <c r="S2372" s="3" t="s">
        <v>27</v>
      </c>
      <c r="T2372" s="3" t="s">
        <v>27</v>
      </c>
    </row>
    <row r="2373" spans="1:20" ht="409.6">
      <c r="A2373" s="3">
        <v>2695707</v>
      </c>
      <c r="B2373" s="3">
        <f>HYPERLINK("https://platform.v2.vetology.net/cases/2695707/screening-report/6?type=pdf&amp;v=v6&amp;scorecard=1&amp;secret_key=BX%25IJ%24%2F65ieZ%29f6", 2695707)</f>
        <v>2695707</v>
      </c>
      <c r="C2373" s="3">
        <f>HYPERLINK("https://platform.v2.vetology.net/report/v/final/"&amp;2695707, 2695707)</f>
        <v>2695707</v>
      </c>
      <c r="D2373" s="3" t="s">
        <v>8130</v>
      </c>
      <c r="E2373" s="3" t="s">
        <v>8131</v>
      </c>
      <c r="F2373" s="3" t="s">
        <v>8132</v>
      </c>
      <c r="G2373" s="3" t="s">
        <v>57</v>
      </c>
      <c r="H2373" s="3" t="s">
        <v>6581</v>
      </c>
      <c r="I2373" s="3" t="s">
        <v>6582</v>
      </c>
      <c r="J2373" s="3" t="s">
        <v>6583</v>
      </c>
      <c r="K2373" s="3" t="s">
        <v>28</v>
      </c>
      <c r="L2373" s="3" t="s">
        <v>28</v>
      </c>
      <c r="M2373" s="3" t="s">
        <v>27</v>
      </c>
      <c r="N2373" s="3" t="s">
        <v>28</v>
      </c>
      <c r="O2373" s="3" t="s">
        <v>28</v>
      </c>
      <c r="P2373" s="3" t="s">
        <v>28</v>
      </c>
      <c r="Q2373" s="3" t="s">
        <v>27</v>
      </c>
      <c r="R2373" s="3" t="s">
        <v>28</v>
      </c>
      <c r="S2373" s="3" t="s">
        <v>28</v>
      </c>
      <c r="T2373" s="3" t="s">
        <v>28</v>
      </c>
    </row>
    <row r="2374" spans="1:20" ht="381.75">
      <c r="A2374" s="3">
        <v>2695705</v>
      </c>
      <c r="B2374" s="3">
        <f>HYPERLINK("https://platform.v2.vetology.net/cases/2695705/screening-report/6?type=pdf&amp;v=v6&amp;scorecard=1&amp;secret_key=BX%25IJ%24%2F65ieZ%29f6", 2695705)</f>
        <v>2695705</v>
      </c>
      <c r="C2374" s="3">
        <f>HYPERLINK("https://platform.v2.vetology.net/report/v/final/"&amp;2695705, 2695705)</f>
        <v>2695705</v>
      </c>
      <c r="D2374" s="3" t="s">
        <v>8133</v>
      </c>
      <c r="E2374" s="3" t="s">
        <v>8134</v>
      </c>
      <c r="F2374" s="3" t="s">
        <v>8135</v>
      </c>
      <c r="G2374" s="3" t="s">
        <v>57</v>
      </c>
      <c r="H2374" s="3" t="s">
        <v>300</v>
      </c>
      <c r="I2374" s="3" t="s">
        <v>32</v>
      </c>
      <c r="J2374" s="3" t="s">
        <v>119</v>
      </c>
      <c r="K2374" s="3" t="s">
        <v>28</v>
      </c>
      <c r="L2374" s="3" t="s">
        <v>28</v>
      </c>
      <c r="M2374" s="3" t="s">
        <v>28</v>
      </c>
      <c r="N2374" s="3" t="s">
        <v>28</v>
      </c>
      <c r="O2374" s="3" t="s">
        <v>28</v>
      </c>
      <c r="P2374" s="3" t="s">
        <v>28</v>
      </c>
      <c r="Q2374" s="3" t="s">
        <v>28</v>
      </c>
      <c r="R2374" s="3" t="s">
        <v>28</v>
      </c>
      <c r="S2374" s="3" t="s">
        <v>28</v>
      </c>
      <c r="T2374" s="3" t="s">
        <v>28</v>
      </c>
    </row>
    <row r="2375" spans="1:20" ht="409.6">
      <c r="A2375" s="3">
        <v>2695654</v>
      </c>
      <c r="B2375" s="3">
        <f>HYPERLINK("https://platform.v2.vetology.net/cases/2695654/screening-report/6?type=pdf&amp;v=v6&amp;scorecard=1&amp;secret_key=BX%25IJ%24%2F65ieZ%29f6", 2695654)</f>
        <v>2695654</v>
      </c>
      <c r="C2375" s="3">
        <f>HYPERLINK("https://platform.v2.vetology.net/report/v/final/"&amp;2695654, 2695654)</f>
        <v>2695654</v>
      </c>
      <c r="D2375" s="3" t="s">
        <v>8136</v>
      </c>
      <c r="E2375" s="3" t="s">
        <v>8137</v>
      </c>
      <c r="F2375" s="3" t="s">
        <v>8138</v>
      </c>
      <c r="G2375" s="3" t="s">
        <v>64</v>
      </c>
      <c r="H2375" s="3" t="s">
        <v>8139</v>
      </c>
      <c r="I2375" s="3" t="s">
        <v>464</v>
      </c>
      <c r="J2375" s="3" t="s">
        <v>688</v>
      </c>
      <c r="K2375" s="3" t="s">
        <v>27</v>
      </c>
      <c r="L2375" s="3" t="s">
        <v>28</v>
      </c>
      <c r="M2375" s="3" t="s">
        <v>28</v>
      </c>
      <c r="N2375" s="3" t="s">
        <v>28</v>
      </c>
      <c r="O2375" s="3" t="s">
        <v>28</v>
      </c>
      <c r="P2375" s="3" t="s">
        <v>28</v>
      </c>
      <c r="Q2375" s="3" t="s">
        <v>28</v>
      </c>
      <c r="R2375" s="3" t="s">
        <v>28</v>
      </c>
      <c r="S2375" s="3" t="s">
        <v>28</v>
      </c>
      <c r="T2375" s="3" t="s">
        <v>28</v>
      </c>
    </row>
    <row r="2376" spans="1:20" ht="409.6">
      <c r="A2376" s="3">
        <v>2695651</v>
      </c>
      <c r="B2376" s="3">
        <f>HYPERLINK("https://platform.v2.vetology.net/cases/2695651/screening-report/6?type=pdf&amp;v=v6&amp;scorecard=1&amp;secret_key=BX%25IJ%24%2F65ieZ%29f6", 2695651)</f>
        <v>2695651</v>
      </c>
      <c r="C2376" s="3">
        <f>HYPERLINK("https://platform.v2.vetology.net/report/v/final/"&amp;2695651, 2695651)</f>
        <v>2695651</v>
      </c>
      <c r="D2376" s="3" t="s">
        <v>8140</v>
      </c>
      <c r="E2376" s="3" t="s">
        <v>8141</v>
      </c>
      <c r="F2376" s="3" t="s">
        <v>8142</v>
      </c>
      <c r="G2376" s="3" t="s">
        <v>64</v>
      </c>
      <c r="H2376" s="3" t="s">
        <v>8143</v>
      </c>
      <c r="I2376" s="3" t="s">
        <v>1227</v>
      </c>
      <c r="J2376" s="3" t="s">
        <v>1228</v>
      </c>
      <c r="K2376" s="3" t="s">
        <v>28</v>
      </c>
      <c r="L2376" s="3" t="s">
        <v>28</v>
      </c>
      <c r="M2376" s="3" t="s">
        <v>28</v>
      </c>
      <c r="N2376" s="3" t="s">
        <v>27</v>
      </c>
      <c r="O2376" s="3" t="s">
        <v>27</v>
      </c>
      <c r="P2376" s="3" t="s">
        <v>28</v>
      </c>
      <c r="Q2376" s="3" t="s">
        <v>28</v>
      </c>
      <c r="R2376" s="3" t="s">
        <v>28</v>
      </c>
      <c r="S2376" s="3" t="s">
        <v>28</v>
      </c>
      <c r="T2376" s="3" t="s">
        <v>27</v>
      </c>
    </row>
    <row r="2377" spans="1:20" ht="229.5">
      <c r="A2377" s="3">
        <v>2695571</v>
      </c>
      <c r="B2377" s="3">
        <f>HYPERLINK("https://platform.v2.vetology.net/cases/2695571/screening-report/6?type=pdf&amp;v=v6&amp;scorecard=1&amp;secret_key=BX%25IJ%24%2F65ieZ%29f6", 2695571)</f>
        <v>2695571</v>
      </c>
      <c r="C2377" s="3">
        <f>HYPERLINK("https://platform.v2.vetology.net/report/v/final/"&amp;2695571, 2695571)</f>
        <v>2695571</v>
      </c>
      <c r="D2377" s="3" t="s">
        <v>8144</v>
      </c>
      <c r="E2377" s="3" t="s">
        <v>8145</v>
      </c>
      <c r="F2377" s="3" t="s">
        <v>2753</v>
      </c>
      <c r="G2377" s="3" t="s">
        <v>186</v>
      </c>
      <c r="H2377" s="3" t="s">
        <v>1968</v>
      </c>
      <c r="I2377" s="3" t="s">
        <v>1026</v>
      </c>
      <c r="J2377" s="3" t="s">
        <v>847</v>
      </c>
      <c r="K2377" s="3" t="s">
        <v>28</v>
      </c>
      <c r="L2377" s="3" t="s">
        <v>28</v>
      </c>
      <c r="M2377" s="3" t="s">
        <v>28</v>
      </c>
      <c r="N2377" s="3" t="s">
        <v>28</v>
      </c>
      <c r="O2377" s="3" t="s">
        <v>27</v>
      </c>
      <c r="P2377" s="3" t="s">
        <v>28</v>
      </c>
      <c r="Q2377" s="3" t="s">
        <v>28</v>
      </c>
      <c r="R2377" s="3" t="s">
        <v>28</v>
      </c>
      <c r="S2377" s="3" t="s">
        <v>28</v>
      </c>
      <c r="T2377" s="3" t="s">
        <v>28</v>
      </c>
    </row>
    <row r="2378" spans="1:20" ht="409.6">
      <c r="A2378" s="3">
        <v>2695570</v>
      </c>
      <c r="B2378" s="3">
        <f>HYPERLINK("https://platform.v2.vetology.net/cases/2695570/screening-report/6?type=pdf&amp;v=v6&amp;scorecard=1&amp;secret_key=BX%25IJ%24%2F65ieZ%29f6", 2695570)</f>
        <v>2695570</v>
      </c>
      <c r="C2378" s="3">
        <f>HYPERLINK("https://platform.v2.vetology.net/report/v/final/"&amp;2695570, 2695570)</f>
        <v>2695570</v>
      </c>
      <c r="D2378" s="3" t="s">
        <v>8146</v>
      </c>
      <c r="E2378" s="3" t="s">
        <v>8147</v>
      </c>
      <c r="F2378" s="3" t="s">
        <v>8148</v>
      </c>
      <c r="G2378" s="3" t="s">
        <v>64</v>
      </c>
      <c r="H2378" s="3" t="s">
        <v>3669</v>
      </c>
      <c r="I2378" s="3" t="s">
        <v>136</v>
      </c>
      <c r="J2378" s="3" t="s">
        <v>137</v>
      </c>
      <c r="K2378" s="3" t="s">
        <v>28</v>
      </c>
      <c r="L2378" s="3" t="s">
        <v>28</v>
      </c>
      <c r="M2378" s="3" t="s">
        <v>28</v>
      </c>
      <c r="N2378" s="3" t="s">
        <v>28</v>
      </c>
      <c r="O2378" s="3" t="s">
        <v>27</v>
      </c>
      <c r="P2378" s="3" t="s">
        <v>28</v>
      </c>
      <c r="Q2378" s="3" t="s">
        <v>28</v>
      </c>
      <c r="R2378" s="3" t="s">
        <v>27</v>
      </c>
      <c r="S2378" s="3" t="s">
        <v>27</v>
      </c>
      <c r="T2378" s="3" t="s">
        <v>27</v>
      </c>
    </row>
    <row r="2379" spans="1:20" ht="305.25">
      <c r="A2379" s="3">
        <v>2695557</v>
      </c>
      <c r="B2379" s="3">
        <f>HYPERLINK("https://platform.v2.vetology.net/cases/2695557/screening-report/6?type=pdf&amp;v=v6&amp;scorecard=1&amp;secret_key=BX%25IJ%24%2F65ieZ%29f6", 2695557)</f>
        <v>2695557</v>
      </c>
      <c r="C2379" s="3">
        <f>HYPERLINK("https://platform.v2.vetology.net/report/v/final/"&amp;2695557, 2695557)</f>
        <v>2695557</v>
      </c>
      <c r="D2379" s="3" t="s">
        <v>8149</v>
      </c>
      <c r="E2379" s="3" t="s">
        <v>8150</v>
      </c>
      <c r="F2379" s="3" t="s">
        <v>22</v>
      </c>
      <c r="G2379" s="3" t="s">
        <v>100</v>
      </c>
      <c r="H2379" s="3" t="s">
        <v>8151</v>
      </c>
      <c r="I2379" s="3" t="s">
        <v>2588</v>
      </c>
      <c r="J2379" s="3" t="s">
        <v>2589</v>
      </c>
      <c r="K2379" s="3" t="s">
        <v>28</v>
      </c>
      <c r="L2379" s="3" t="s">
        <v>28</v>
      </c>
      <c r="M2379" s="3" t="s">
        <v>28</v>
      </c>
      <c r="N2379" s="3" t="s">
        <v>28</v>
      </c>
      <c r="O2379" s="3" t="s">
        <v>27</v>
      </c>
      <c r="P2379" s="3" t="s">
        <v>28</v>
      </c>
      <c r="Q2379" s="3" t="s">
        <v>28</v>
      </c>
      <c r="R2379" s="3" t="s">
        <v>28</v>
      </c>
      <c r="S2379" s="3" t="s">
        <v>28</v>
      </c>
      <c r="T2379" s="3" t="s">
        <v>28</v>
      </c>
    </row>
    <row r="2380" spans="1:20" ht="396.75">
      <c r="A2380" s="3">
        <v>2695553</v>
      </c>
      <c r="B2380" s="3">
        <f>HYPERLINK("https://platform.v2.vetology.net/cases/2695553/screening-report/6?type=pdf&amp;v=v6&amp;scorecard=1&amp;secret_key=BX%25IJ%24%2F65ieZ%29f6", 2695553)</f>
        <v>2695553</v>
      </c>
      <c r="C2380" s="3">
        <f>HYPERLINK("https://platform.v2.vetology.net/report/v/final/"&amp;2695553, 2695553)</f>
        <v>2695553</v>
      </c>
      <c r="D2380" s="3" t="s">
        <v>8152</v>
      </c>
      <c r="E2380" s="3" t="s">
        <v>8153</v>
      </c>
      <c r="F2380" s="3" t="s">
        <v>8154</v>
      </c>
      <c r="G2380" s="3" t="s">
        <v>179</v>
      </c>
      <c r="H2380" s="3" t="s">
        <v>8155</v>
      </c>
      <c r="I2380" s="3" t="s">
        <v>724</v>
      </c>
      <c r="J2380" s="3" t="s">
        <v>725</v>
      </c>
      <c r="K2380" s="3" t="s">
        <v>27</v>
      </c>
      <c r="L2380" s="3" t="s">
        <v>28</v>
      </c>
      <c r="M2380" s="3" t="s">
        <v>28</v>
      </c>
      <c r="N2380" s="3" t="s">
        <v>28</v>
      </c>
      <c r="O2380" s="3" t="s">
        <v>27</v>
      </c>
      <c r="P2380" s="3" t="s">
        <v>27</v>
      </c>
      <c r="Q2380" s="3" t="s">
        <v>28</v>
      </c>
      <c r="R2380" s="3" t="s">
        <v>28</v>
      </c>
      <c r="S2380" s="3" t="s">
        <v>28</v>
      </c>
      <c r="T2380" s="3" t="s">
        <v>28</v>
      </c>
    </row>
    <row r="2381" spans="1:20" ht="305.25">
      <c r="A2381" s="3">
        <v>2695536</v>
      </c>
      <c r="B2381" s="3">
        <f>HYPERLINK("https://platform.v2.vetology.net/cases/2695536/screening-report/6?type=pdf&amp;v=v6&amp;scorecard=1&amp;secret_key=BX%25IJ%24%2F65ieZ%29f6", 2695536)</f>
        <v>2695536</v>
      </c>
      <c r="C2381" s="3">
        <f>HYPERLINK("https://platform.v2.vetology.net/report/v/final/"&amp;2695536, 2695536)</f>
        <v>2695536</v>
      </c>
      <c r="D2381" s="3" t="s">
        <v>8156</v>
      </c>
      <c r="E2381" s="3" t="s">
        <v>8157</v>
      </c>
      <c r="F2381" s="3" t="s">
        <v>8158</v>
      </c>
      <c r="G2381" s="3" t="s">
        <v>186</v>
      </c>
      <c r="H2381" s="3" t="s">
        <v>31</v>
      </c>
      <c r="I2381" s="3" t="s">
        <v>32</v>
      </c>
      <c r="J2381" s="3" t="s">
        <v>33</v>
      </c>
      <c r="K2381" s="3" t="s">
        <v>28</v>
      </c>
      <c r="L2381" s="3" t="s">
        <v>28</v>
      </c>
      <c r="M2381" s="3" t="s">
        <v>28</v>
      </c>
      <c r="N2381" s="3" t="s">
        <v>28</v>
      </c>
      <c r="O2381" s="3" t="s">
        <v>27</v>
      </c>
      <c r="P2381" s="3" t="s">
        <v>28</v>
      </c>
      <c r="Q2381" s="3" t="s">
        <v>28</v>
      </c>
      <c r="R2381" s="3" t="s">
        <v>28</v>
      </c>
      <c r="S2381" s="3" t="s">
        <v>28</v>
      </c>
      <c r="T2381" s="3" t="s">
        <v>28</v>
      </c>
    </row>
    <row r="2382" spans="1:20" ht="366">
      <c r="A2382" s="3">
        <v>2695511</v>
      </c>
      <c r="B2382" s="3">
        <f>HYPERLINK("https://platform.v2.vetology.net/cases/2695511/screening-report/6?type=pdf&amp;v=v6&amp;scorecard=1&amp;secret_key=BX%25IJ%24%2F65ieZ%29f6", 2695511)</f>
        <v>2695511</v>
      </c>
      <c r="C2382" s="3">
        <f>HYPERLINK("https://platform.v2.vetology.net/report/v/final/"&amp;2695511, 2695511)</f>
        <v>2695511</v>
      </c>
      <c r="D2382" s="3" t="s">
        <v>8159</v>
      </c>
      <c r="E2382" s="3" t="s">
        <v>8160</v>
      </c>
      <c r="F2382" s="3" t="s">
        <v>8161</v>
      </c>
      <c r="G2382" s="3" t="s">
        <v>179</v>
      </c>
      <c r="H2382" s="3" t="s">
        <v>8162</v>
      </c>
      <c r="I2382" s="3" t="s">
        <v>2271</v>
      </c>
      <c r="J2382" s="3" t="s">
        <v>2272</v>
      </c>
      <c r="K2382" s="3" t="s">
        <v>27</v>
      </c>
      <c r="L2382" s="3" t="s">
        <v>28</v>
      </c>
      <c r="M2382" s="3" t="s">
        <v>28</v>
      </c>
      <c r="N2382" s="3" t="s">
        <v>28</v>
      </c>
      <c r="O2382" s="3" t="s">
        <v>27</v>
      </c>
      <c r="P2382" s="3" t="s">
        <v>27</v>
      </c>
      <c r="Q2382" s="3" t="s">
        <v>28</v>
      </c>
      <c r="R2382" s="3" t="s">
        <v>28</v>
      </c>
      <c r="S2382" s="3" t="s">
        <v>28</v>
      </c>
      <c r="T2382" s="3" t="s">
        <v>28</v>
      </c>
    </row>
    <row r="2383" spans="1:20" ht="409.6">
      <c r="A2383" s="3">
        <v>2695501</v>
      </c>
      <c r="B2383" s="3">
        <f>HYPERLINK("https://platform.v2.vetology.net/cases/2695501/screening-report/6?type=pdf&amp;v=v6&amp;scorecard=1&amp;secret_key=BX%25IJ%24%2F65ieZ%29f6", 2695501)</f>
        <v>2695501</v>
      </c>
      <c r="C2383" s="3">
        <f>HYPERLINK("https://platform.v2.vetology.net/report/v/final/"&amp;2695501, 2695501)</f>
        <v>2695501</v>
      </c>
      <c r="D2383" s="3" t="s">
        <v>8163</v>
      </c>
      <c r="E2383" s="3" t="s">
        <v>8164</v>
      </c>
      <c r="F2383" s="3" t="s">
        <v>8165</v>
      </c>
      <c r="G2383" s="3" t="s">
        <v>64</v>
      </c>
      <c r="H2383" s="3" t="s">
        <v>8166</v>
      </c>
      <c r="I2383" s="3" t="s">
        <v>678</v>
      </c>
      <c r="J2383" s="3" t="s">
        <v>679</v>
      </c>
      <c r="K2383" s="3" t="s">
        <v>28</v>
      </c>
      <c r="L2383" s="3" t="s">
        <v>27</v>
      </c>
      <c r="M2383" s="3" t="s">
        <v>28</v>
      </c>
      <c r="N2383" s="3" t="s">
        <v>27</v>
      </c>
      <c r="O2383" s="3" t="s">
        <v>27</v>
      </c>
      <c r="P2383" s="3" t="s">
        <v>28</v>
      </c>
      <c r="Q2383" s="3" t="s">
        <v>28</v>
      </c>
      <c r="R2383" s="3" t="s">
        <v>27</v>
      </c>
      <c r="S2383" s="3" t="s">
        <v>27</v>
      </c>
      <c r="T2383" s="3" t="s">
        <v>27</v>
      </c>
    </row>
    <row r="2384" spans="1:20" ht="396.75">
      <c r="A2384" s="3">
        <v>2695486</v>
      </c>
      <c r="B2384" s="3">
        <f>HYPERLINK("https://platform.v2.vetology.net/cases/2695486/screening-report/6?type=pdf&amp;v=v6&amp;scorecard=1&amp;secret_key=BX%25IJ%24%2F65ieZ%29f6", 2695486)</f>
        <v>2695486</v>
      </c>
      <c r="C2384" s="3">
        <f>HYPERLINK("https://platform.v2.vetology.net/report/v/final/"&amp;2695486, 2695486)</f>
        <v>2695486</v>
      </c>
      <c r="D2384" s="3" t="s">
        <v>8167</v>
      </c>
      <c r="E2384" s="3" t="s">
        <v>8168</v>
      </c>
      <c r="F2384" s="3" t="s">
        <v>4521</v>
      </c>
      <c r="G2384" s="3" t="s">
        <v>179</v>
      </c>
      <c r="H2384" s="3" t="s">
        <v>8169</v>
      </c>
      <c r="I2384" s="3" t="s">
        <v>572</v>
      </c>
      <c r="J2384" s="3" t="s">
        <v>573</v>
      </c>
      <c r="K2384" s="3" t="s">
        <v>28</v>
      </c>
      <c r="L2384" s="3" t="s">
        <v>28</v>
      </c>
      <c r="M2384" s="3" t="s">
        <v>27</v>
      </c>
      <c r="N2384" s="3" t="s">
        <v>28</v>
      </c>
      <c r="O2384" s="3" t="s">
        <v>27</v>
      </c>
      <c r="P2384" s="3" t="s">
        <v>28</v>
      </c>
      <c r="Q2384" s="3" t="s">
        <v>27</v>
      </c>
      <c r="R2384" s="3" t="s">
        <v>28</v>
      </c>
      <c r="S2384" s="3" t="s">
        <v>28</v>
      </c>
      <c r="T2384" s="3" t="s">
        <v>28</v>
      </c>
    </row>
    <row r="2385" spans="1:20" ht="336">
      <c r="A2385" s="3">
        <v>2695437</v>
      </c>
      <c r="B2385" s="3">
        <f>HYPERLINK("https://platform.v2.vetology.net/cases/2695437/screening-report/6?type=pdf&amp;v=v6&amp;scorecard=1&amp;secret_key=BX%25IJ%24%2F65ieZ%29f6", 2695437)</f>
        <v>2695437</v>
      </c>
      <c r="C2385" s="3">
        <f>HYPERLINK("https://platform.v2.vetology.net/report/v/final/"&amp;2695437, 2695437)</f>
        <v>2695437</v>
      </c>
      <c r="D2385" s="3" t="s">
        <v>8170</v>
      </c>
      <c r="E2385" s="3" t="s">
        <v>8171</v>
      </c>
      <c r="F2385" s="3" t="s">
        <v>8172</v>
      </c>
      <c r="G2385" s="3" t="s">
        <v>23</v>
      </c>
      <c r="H2385" s="3" t="s">
        <v>8173</v>
      </c>
      <c r="I2385" s="3" t="s">
        <v>6423</v>
      </c>
      <c r="J2385" s="3" t="s">
        <v>6424</v>
      </c>
      <c r="K2385" s="3" t="s">
        <v>27</v>
      </c>
      <c r="L2385" s="3" t="s">
        <v>27</v>
      </c>
      <c r="M2385" s="3" t="s">
        <v>28</v>
      </c>
      <c r="N2385" s="3" t="s">
        <v>28</v>
      </c>
      <c r="O2385" s="3" t="s">
        <v>27</v>
      </c>
      <c r="P2385" s="3" t="s">
        <v>28</v>
      </c>
      <c r="Q2385" s="3" t="s">
        <v>27</v>
      </c>
      <c r="R2385" s="3" t="s">
        <v>28</v>
      </c>
      <c r="S2385" s="3" t="s">
        <v>28</v>
      </c>
      <c r="T2385" s="3" t="s">
        <v>28</v>
      </c>
    </row>
    <row r="2386" spans="1:20" ht="366">
      <c r="A2386" s="3">
        <v>2695407</v>
      </c>
      <c r="B2386" s="3">
        <f>HYPERLINK("https://platform.v2.vetology.net/cases/2695407/screening-report/6?type=pdf&amp;v=v6&amp;scorecard=1&amp;secret_key=BX%25IJ%24%2F65ieZ%29f6", 2695407)</f>
        <v>2695407</v>
      </c>
      <c r="C2386" s="3">
        <f>HYPERLINK("https://platform.v2.vetology.net/report/v/final/"&amp;2695407, 2695407)</f>
        <v>2695407</v>
      </c>
      <c r="D2386" s="3" t="s">
        <v>8174</v>
      </c>
      <c r="E2386" s="3" t="s">
        <v>8175</v>
      </c>
      <c r="F2386" s="3" t="s">
        <v>956</v>
      </c>
      <c r="G2386" s="3" t="s">
        <v>100</v>
      </c>
      <c r="H2386" s="3" t="s">
        <v>7432</v>
      </c>
      <c r="I2386" s="3" t="s">
        <v>2963</v>
      </c>
      <c r="J2386" s="3" t="s">
        <v>2964</v>
      </c>
      <c r="K2386" s="3" t="s">
        <v>27</v>
      </c>
      <c r="L2386" s="3" t="s">
        <v>28</v>
      </c>
      <c r="M2386" s="3" t="s">
        <v>27</v>
      </c>
      <c r="N2386" s="3" t="s">
        <v>28</v>
      </c>
      <c r="O2386" s="3" t="s">
        <v>27</v>
      </c>
      <c r="P2386" s="3" t="s">
        <v>28</v>
      </c>
      <c r="Q2386" s="3" t="s">
        <v>27</v>
      </c>
      <c r="R2386" s="3" t="s">
        <v>28</v>
      </c>
      <c r="S2386" s="3" t="s">
        <v>28</v>
      </c>
      <c r="T2386" s="3" t="s">
        <v>28</v>
      </c>
    </row>
    <row r="2387" spans="1:20" ht="409.6">
      <c r="A2387" s="3">
        <v>2695406</v>
      </c>
      <c r="B2387" s="3">
        <f>HYPERLINK("https://platform.v2.vetology.net/cases/2695406/screening-report/6?type=pdf&amp;v=v6&amp;scorecard=1&amp;secret_key=BX%25IJ%24%2F65ieZ%29f6", 2695406)</f>
        <v>2695406</v>
      </c>
      <c r="C2387" s="3">
        <f>HYPERLINK("https://platform.v2.vetology.net/report/v/final/"&amp;2695406, 2695406)</f>
        <v>2695406</v>
      </c>
      <c r="D2387" s="3" t="s">
        <v>8176</v>
      </c>
      <c r="E2387" s="3" t="s">
        <v>8177</v>
      </c>
      <c r="F2387" s="3" t="s">
        <v>8178</v>
      </c>
      <c r="G2387" s="3" t="s">
        <v>179</v>
      </c>
      <c r="H2387" s="3" t="s">
        <v>8179</v>
      </c>
      <c r="I2387" s="3" t="s">
        <v>8180</v>
      </c>
      <c r="J2387" s="3" t="s">
        <v>8181</v>
      </c>
      <c r="K2387" s="3" t="s">
        <v>27</v>
      </c>
      <c r="L2387" s="3" t="s">
        <v>28</v>
      </c>
      <c r="M2387" s="3" t="s">
        <v>27</v>
      </c>
      <c r="N2387" s="3" t="s">
        <v>28</v>
      </c>
      <c r="O2387" s="3" t="s">
        <v>28</v>
      </c>
      <c r="P2387" s="3" t="s">
        <v>28</v>
      </c>
      <c r="Q2387" s="3" t="s">
        <v>27</v>
      </c>
      <c r="R2387" s="3" t="s">
        <v>28</v>
      </c>
      <c r="S2387" s="3" t="s">
        <v>28</v>
      </c>
      <c r="T2387" s="3" t="s">
        <v>28</v>
      </c>
    </row>
    <row r="2388" spans="1:20" ht="396.75">
      <c r="A2388" s="3">
        <v>2695335</v>
      </c>
      <c r="B2388" s="3">
        <f>HYPERLINK("https://platform.v2.vetology.net/cases/2695335/screening-report/6?type=pdf&amp;v=v6&amp;scorecard=1&amp;secret_key=BX%25IJ%24%2F65ieZ%29f6", 2695335)</f>
        <v>2695335</v>
      </c>
      <c r="C2388" s="3">
        <f>HYPERLINK("https://platform.v2.vetology.net/report/v/final/"&amp;2695335, 2695335)</f>
        <v>2695335</v>
      </c>
      <c r="D2388" s="3" t="s">
        <v>8182</v>
      </c>
      <c r="E2388" s="3" t="s">
        <v>8183</v>
      </c>
      <c r="F2388" s="3" t="s">
        <v>8184</v>
      </c>
      <c r="G2388" s="3" t="s">
        <v>186</v>
      </c>
      <c r="H2388" s="3" t="s">
        <v>2038</v>
      </c>
      <c r="I2388" s="3" t="s">
        <v>351</v>
      </c>
      <c r="J2388" s="3" t="s">
        <v>352</v>
      </c>
      <c r="K2388" s="3" t="s">
        <v>28</v>
      </c>
      <c r="L2388" s="3" t="s">
        <v>28</v>
      </c>
      <c r="M2388" s="3" t="s">
        <v>28</v>
      </c>
      <c r="N2388" s="3" t="s">
        <v>28</v>
      </c>
      <c r="O2388" s="3" t="s">
        <v>27</v>
      </c>
      <c r="P2388" s="3" t="s">
        <v>28</v>
      </c>
      <c r="Q2388" s="3" t="s">
        <v>28</v>
      </c>
      <c r="R2388" s="3" t="s">
        <v>28</v>
      </c>
      <c r="S2388" s="3" t="s">
        <v>28</v>
      </c>
      <c r="T2388" s="3" t="s">
        <v>27</v>
      </c>
    </row>
    <row r="2389" spans="1:20" ht="336">
      <c r="A2389" s="3">
        <v>2695294</v>
      </c>
      <c r="B2389" s="3">
        <f>HYPERLINK("https://platform.v2.vetology.net/cases/2695294/screening-report/6?type=pdf&amp;v=v6&amp;scorecard=1&amp;secret_key=BX%25IJ%24%2F65ieZ%29f6", 2695294)</f>
        <v>2695294</v>
      </c>
      <c r="C2389" s="3">
        <f>HYPERLINK("https://platform.v2.vetology.net/report/v/final/"&amp;2695294, 2695294)</f>
        <v>2695294</v>
      </c>
      <c r="D2389" s="3" t="s">
        <v>8185</v>
      </c>
      <c r="E2389" s="3" t="s">
        <v>8186</v>
      </c>
      <c r="F2389" s="3" t="s">
        <v>277</v>
      </c>
      <c r="G2389" s="3" t="s">
        <v>186</v>
      </c>
      <c r="H2389" s="3" t="s">
        <v>8187</v>
      </c>
      <c r="I2389" s="3" t="s">
        <v>1964</v>
      </c>
      <c r="J2389" s="3" t="s">
        <v>1965</v>
      </c>
      <c r="K2389" s="3" t="s">
        <v>28</v>
      </c>
      <c r="L2389" s="3" t="s">
        <v>28</v>
      </c>
      <c r="M2389" s="3" t="s">
        <v>28</v>
      </c>
      <c r="N2389" s="3" t="s">
        <v>27</v>
      </c>
      <c r="O2389" s="3" t="s">
        <v>28</v>
      </c>
      <c r="P2389" s="3" t="s">
        <v>28</v>
      </c>
      <c r="Q2389" s="3" t="s">
        <v>28</v>
      </c>
      <c r="R2389" s="3" t="s">
        <v>28</v>
      </c>
      <c r="S2389" s="3" t="s">
        <v>28</v>
      </c>
      <c r="T2389" s="3" t="s">
        <v>27</v>
      </c>
    </row>
    <row r="2390" spans="1:20" ht="305.25">
      <c r="A2390" s="3">
        <v>2695273</v>
      </c>
      <c r="B2390" s="3">
        <f>HYPERLINK("https://platform.v2.vetology.net/cases/2695273/screening-report/6?type=pdf&amp;v=v6&amp;scorecard=1&amp;secret_key=BX%25IJ%24%2F65ieZ%29f6", 2695273)</f>
        <v>2695273</v>
      </c>
      <c r="C2390" s="3">
        <f>HYPERLINK("https://platform.v2.vetology.net/report/v/final/"&amp;2695273, 2695273)</f>
        <v>2695273</v>
      </c>
      <c r="D2390" s="3" t="s">
        <v>8188</v>
      </c>
      <c r="E2390" s="3" t="s">
        <v>8189</v>
      </c>
      <c r="F2390" s="3" t="s">
        <v>76</v>
      </c>
      <c r="G2390" s="3" t="s">
        <v>23</v>
      </c>
      <c r="H2390" s="3" t="s">
        <v>2245</v>
      </c>
      <c r="I2390" s="3" t="s">
        <v>464</v>
      </c>
      <c r="J2390" s="3" t="s">
        <v>688</v>
      </c>
      <c r="K2390" s="3" t="s">
        <v>28</v>
      </c>
      <c r="L2390" s="3" t="s">
        <v>28</v>
      </c>
      <c r="M2390" s="3" t="s">
        <v>28</v>
      </c>
      <c r="N2390" s="3" t="s">
        <v>28</v>
      </c>
      <c r="O2390" s="3" t="s">
        <v>28</v>
      </c>
      <c r="P2390" s="3" t="s">
        <v>28</v>
      </c>
      <c r="Q2390" s="3" t="s">
        <v>28</v>
      </c>
      <c r="R2390" s="3" t="s">
        <v>28</v>
      </c>
      <c r="S2390" s="3" t="s">
        <v>28</v>
      </c>
      <c r="T2390" s="3" t="s">
        <v>28</v>
      </c>
    </row>
    <row r="2391" spans="1:20" ht="305.25">
      <c r="A2391" s="3">
        <v>2695272</v>
      </c>
      <c r="B2391" s="3">
        <f>HYPERLINK("https://platform.v2.vetology.net/cases/2695272/screening-report/6?type=pdf&amp;v=v6&amp;scorecard=1&amp;secret_key=BX%25IJ%24%2F65ieZ%29f6", 2695272)</f>
        <v>2695272</v>
      </c>
      <c r="C2391" s="3">
        <f>HYPERLINK("https://platform.v2.vetology.net/report/v/final/"&amp;2695272, 2695272)</f>
        <v>2695272</v>
      </c>
      <c r="D2391" s="3" t="s">
        <v>8190</v>
      </c>
      <c r="E2391" s="3" t="s">
        <v>8191</v>
      </c>
      <c r="F2391" s="3" t="s">
        <v>7798</v>
      </c>
      <c r="G2391" s="3" t="s">
        <v>23</v>
      </c>
      <c r="H2391" s="3" t="s">
        <v>2245</v>
      </c>
      <c r="I2391" s="3" t="s">
        <v>464</v>
      </c>
      <c r="J2391" s="3" t="s">
        <v>688</v>
      </c>
      <c r="K2391" s="3" t="s">
        <v>28</v>
      </c>
      <c r="L2391" s="3" t="s">
        <v>28</v>
      </c>
      <c r="M2391" s="3" t="s">
        <v>28</v>
      </c>
      <c r="N2391" s="3" t="s">
        <v>28</v>
      </c>
      <c r="O2391" s="3" t="s">
        <v>28</v>
      </c>
      <c r="P2391" s="3" t="s">
        <v>28</v>
      </c>
      <c r="Q2391" s="3" t="s">
        <v>28</v>
      </c>
      <c r="R2391" s="3" t="s">
        <v>28</v>
      </c>
      <c r="S2391" s="3" t="s">
        <v>28</v>
      </c>
      <c r="T2391" s="3" t="s">
        <v>28</v>
      </c>
    </row>
    <row r="2392" spans="1:20" ht="409.6">
      <c r="A2392" s="3">
        <v>2695261</v>
      </c>
      <c r="B2392" s="3">
        <f>HYPERLINK("https://platform.v2.vetology.net/cases/2695261/screening-report/6?type=pdf&amp;v=v6&amp;scorecard=1&amp;secret_key=BX%25IJ%24%2F65ieZ%29f6", 2695261)</f>
        <v>2695261</v>
      </c>
      <c r="C2392" s="3">
        <f>HYPERLINK("https://platform.v2.vetology.net/report/v/final/"&amp;2695261, 2695261)</f>
        <v>2695261</v>
      </c>
      <c r="D2392" s="3" t="s">
        <v>8192</v>
      </c>
      <c r="E2392" s="3" t="s">
        <v>8193</v>
      </c>
      <c r="F2392" s="3" t="s">
        <v>22</v>
      </c>
      <c r="G2392" s="3" t="s">
        <v>23</v>
      </c>
      <c r="H2392" s="3" t="s">
        <v>8194</v>
      </c>
      <c r="I2392" s="3" t="s">
        <v>1565</v>
      </c>
      <c r="J2392" s="3" t="s">
        <v>1566</v>
      </c>
      <c r="K2392" s="3" t="s">
        <v>28</v>
      </c>
      <c r="L2392" s="3" t="s">
        <v>28</v>
      </c>
      <c r="M2392" s="3" t="s">
        <v>28</v>
      </c>
      <c r="N2392" s="3" t="s">
        <v>28</v>
      </c>
      <c r="O2392" s="3" t="s">
        <v>27</v>
      </c>
      <c r="P2392" s="3" t="s">
        <v>28</v>
      </c>
      <c r="Q2392" s="3" t="s">
        <v>28</v>
      </c>
      <c r="R2392" s="3" t="s">
        <v>28</v>
      </c>
      <c r="S2392" s="3" t="s">
        <v>28</v>
      </c>
      <c r="T2392" s="3" t="s">
        <v>28</v>
      </c>
    </row>
    <row r="2393" spans="1:20" ht="290.25">
      <c r="A2393" s="3">
        <v>2695253</v>
      </c>
      <c r="B2393" s="3">
        <f>HYPERLINK("https://platform.v2.vetology.net/cases/2695253/screening-report/6?type=pdf&amp;v=v6&amp;scorecard=1&amp;secret_key=BX%25IJ%24%2F65ieZ%29f6", 2695253)</f>
        <v>2695253</v>
      </c>
      <c r="C2393" s="3">
        <f>HYPERLINK("https://platform.v2.vetology.net/report/v/final/"&amp;2695253, 2695253)</f>
        <v>2695253</v>
      </c>
      <c r="D2393" s="3" t="s">
        <v>8195</v>
      </c>
      <c r="E2393" s="3" t="s">
        <v>8196</v>
      </c>
      <c r="F2393" s="3" t="s">
        <v>8197</v>
      </c>
      <c r="G2393" s="3" t="s">
        <v>186</v>
      </c>
      <c r="H2393" s="3" t="s">
        <v>8198</v>
      </c>
      <c r="I2393" s="3" t="s">
        <v>464</v>
      </c>
      <c r="J2393" s="3" t="s">
        <v>297</v>
      </c>
      <c r="K2393" s="3" t="s">
        <v>28</v>
      </c>
      <c r="L2393" s="3" t="s">
        <v>28</v>
      </c>
      <c r="M2393" s="3" t="s">
        <v>28</v>
      </c>
      <c r="N2393" s="3" t="s">
        <v>28</v>
      </c>
      <c r="O2393" s="3" t="s">
        <v>27</v>
      </c>
      <c r="P2393" s="3" t="s">
        <v>28</v>
      </c>
      <c r="Q2393" s="3" t="s">
        <v>27</v>
      </c>
      <c r="R2393" s="3" t="s">
        <v>28</v>
      </c>
      <c r="S2393" s="3" t="s">
        <v>28</v>
      </c>
      <c r="T2393" s="3" t="s">
        <v>28</v>
      </c>
    </row>
    <row r="2394" spans="1:20" ht="409.6">
      <c r="A2394" s="3">
        <v>2695227</v>
      </c>
      <c r="B2394" s="3">
        <f>HYPERLINK("https://platform.v2.vetology.net/cases/2695227/screening-report/6?type=pdf&amp;v=v6&amp;scorecard=1&amp;secret_key=BX%25IJ%24%2F65ieZ%29f6", 2695227)</f>
        <v>2695227</v>
      </c>
      <c r="C2394" s="3">
        <f>HYPERLINK("https://platform.v2.vetology.net/report/v/final/"&amp;2695227, 2695227)</f>
        <v>2695227</v>
      </c>
      <c r="D2394" s="3" t="s">
        <v>8199</v>
      </c>
      <c r="E2394" s="3" t="s">
        <v>8200</v>
      </c>
      <c r="F2394" s="3" t="s">
        <v>8201</v>
      </c>
      <c r="G2394" s="3" t="s">
        <v>64</v>
      </c>
      <c r="H2394" s="3" t="s">
        <v>6418</v>
      </c>
      <c r="I2394" s="3" t="s">
        <v>2625</v>
      </c>
      <c r="J2394" s="3" t="s">
        <v>2626</v>
      </c>
      <c r="K2394" s="3" t="s">
        <v>28</v>
      </c>
      <c r="L2394" s="3" t="s">
        <v>28</v>
      </c>
      <c r="M2394" s="3" t="s">
        <v>28</v>
      </c>
      <c r="N2394" s="3" t="s">
        <v>28</v>
      </c>
      <c r="O2394" s="3" t="s">
        <v>28</v>
      </c>
      <c r="P2394" s="3" t="s">
        <v>28</v>
      </c>
      <c r="Q2394" s="3" t="s">
        <v>28</v>
      </c>
      <c r="R2394" s="3" t="s">
        <v>28</v>
      </c>
      <c r="S2394" s="3" t="s">
        <v>28</v>
      </c>
      <c r="T2394" s="3" t="s">
        <v>27</v>
      </c>
    </row>
    <row r="2395" spans="1:20" ht="409.6">
      <c r="A2395" s="3">
        <v>2695192</v>
      </c>
      <c r="B2395" s="3">
        <f>HYPERLINK("https://platform.v2.vetology.net/cases/2695192/screening-report/6?type=pdf&amp;v=v6&amp;scorecard=1&amp;secret_key=BX%25IJ%24%2F65ieZ%29f6", 2695192)</f>
        <v>2695192</v>
      </c>
      <c r="C2395" s="3">
        <f>HYPERLINK("https://platform.v2.vetology.net/report/v/final/"&amp;2695192, 2695192)</f>
        <v>2695192</v>
      </c>
      <c r="D2395" s="3" t="s">
        <v>8202</v>
      </c>
      <c r="E2395" s="3" t="s">
        <v>8203</v>
      </c>
      <c r="F2395" s="3" t="s">
        <v>8204</v>
      </c>
      <c r="G2395" s="3" t="s">
        <v>566</v>
      </c>
      <c r="H2395" s="3" t="s">
        <v>8205</v>
      </c>
      <c r="I2395" s="3" t="s">
        <v>555</v>
      </c>
      <c r="J2395" s="3" t="s">
        <v>556</v>
      </c>
      <c r="K2395" s="3" t="s">
        <v>28</v>
      </c>
      <c r="L2395" s="3" t="s">
        <v>28</v>
      </c>
      <c r="M2395" s="3" t="s">
        <v>28</v>
      </c>
      <c r="N2395" s="3" t="s">
        <v>28</v>
      </c>
      <c r="O2395" s="3" t="s">
        <v>28</v>
      </c>
      <c r="P2395" s="3" t="s">
        <v>28</v>
      </c>
      <c r="Q2395" s="3" t="s">
        <v>28</v>
      </c>
      <c r="R2395" s="3" t="s">
        <v>28</v>
      </c>
      <c r="S2395" s="3" t="s">
        <v>28</v>
      </c>
      <c r="T2395" s="3" t="s">
        <v>28</v>
      </c>
    </row>
    <row r="2396" spans="1:20" ht="409.6">
      <c r="A2396" s="3">
        <v>2695190</v>
      </c>
      <c r="B2396" s="3">
        <f>HYPERLINK("https://platform.v2.vetology.net/cases/2695190/screening-report/6?type=pdf&amp;v=v6&amp;scorecard=1&amp;secret_key=BX%25IJ%24%2F65ieZ%29f6", 2695190)</f>
        <v>2695190</v>
      </c>
      <c r="C2396" s="3">
        <f>HYPERLINK("https://platform.v2.vetology.net/report/v/final/"&amp;2695190, 2695190)</f>
        <v>2695190</v>
      </c>
      <c r="D2396" s="3" t="s">
        <v>8206</v>
      </c>
      <c r="E2396" s="3" t="s">
        <v>8207</v>
      </c>
      <c r="F2396" s="3" t="s">
        <v>8208</v>
      </c>
      <c r="G2396" s="3" t="s">
        <v>186</v>
      </c>
      <c r="H2396" s="3" t="s">
        <v>8209</v>
      </c>
      <c r="I2396" s="3" t="s">
        <v>1243</v>
      </c>
      <c r="J2396" s="3" t="s">
        <v>154</v>
      </c>
      <c r="K2396" s="3" t="s">
        <v>27</v>
      </c>
      <c r="L2396" s="3" t="s">
        <v>27</v>
      </c>
      <c r="M2396" s="3" t="s">
        <v>27</v>
      </c>
      <c r="N2396" s="3" t="s">
        <v>28</v>
      </c>
      <c r="O2396" s="3" t="s">
        <v>27</v>
      </c>
      <c r="P2396" s="3" t="s">
        <v>27</v>
      </c>
      <c r="Q2396" s="3" t="s">
        <v>27</v>
      </c>
      <c r="R2396" s="3" t="s">
        <v>28</v>
      </c>
      <c r="S2396" s="3" t="s">
        <v>27</v>
      </c>
      <c r="T2396" s="3" t="s">
        <v>28</v>
      </c>
    </row>
    <row r="2397" spans="1:20" ht="396.75">
      <c r="A2397" s="3">
        <v>2695149</v>
      </c>
      <c r="B2397" s="3">
        <f>HYPERLINK("https://platform.v2.vetology.net/cases/2695149/screening-report/6?type=pdf&amp;v=v6&amp;scorecard=1&amp;secret_key=BX%25IJ%24%2F65ieZ%29f6", 2695149)</f>
        <v>2695149</v>
      </c>
      <c r="C2397" s="3">
        <f>HYPERLINK("https://platform.v2.vetology.net/report/v/final/"&amp;2695149, 2695149)</f>
        <v>2695149</v>
      </c>
      <c r="D2397" s="3" t="s">
        <v>8210</v>
      </c>
      <c r="E2397" s="3" t="s">
        <v>8211</v>
      </c>
      <c r="F2397" s="3" t="s">
        <v>8212</v>
      </c>
      <c r="G2397" s="3" t="s">
        <v>23</v>
      </c>
      <c r="H2397" s="3" t="s">
        <v>350</v>
      </c>
      <c r="I2397" s="3" t="s">
        <v>351</v>
      </c>
      <c r="J2397" s="3" t="s">
        <v>352</v>
      </c>
      <c r="K2397" s="3" t="s">
        <v>28</v>
      </c>
      <c r="L2397" s="3" t="s">
        <v>28</v>
      </c>
      <c r="M2397" s="3" t="s">
        <v>28</v>
      </c>
      <c r="N2397" s="3" t="s">
        <v>28</v>
      </c>
      <c r="O2397" s="3" t="s">
        <v>28</v>
      </c>
      <c r="P2397" s="3" t="s">
        <v>28</v>
      </c>
      <c r="Q2397" s="3" t="s">
        <v>28</v>
      </c>
      <c r="R2397" s="3" t="s">
        <v>28</v>
      </c>
      <c r="S2397" s="3" t="s">
        <v>28</v>
      </c>
      <c r="T2397" s="3" t="s">
        <v>27</v>
      </c>
    </row>
    <row r="2398" spans="1:20" ht="409.6">
      <c r="A2398" s="3">
        <v>2695104</v>
      </c>
      <c r="B2398" s="3">
        <f>HYPERLINK("https://platform.v2.vetology.net/cases/2695104/screening-report/6?type=pdf&amp;v=v6&amp;scorecard=1&amp;secret_key=BX%25IJ%24%2F65ieZ%29f6", 2695104)</f>
        <v>2695104</v>
      </c>
      <c r="C2398" s="3">
        <f>HYPERLINK("https://platform.v2.vetology.net/report/v/final/"&amp;2695104, 2695104)</f>
        <v>2695104</v>
      </c>
      <c r="D2398" s="3" t="s">
        <v>8213</v>
      </c>
      <c r="E2398" s="3" t="s">
        <v>8214</v>
      </c>
      <c r="F2398" s="3" t="s">
        <v>8215</v>
      </c>
      <c r="G2398" s="3" t="s">
        <v>64</v>
      </c>
      <c r="H2398" s="3" t="s">
        <v>1176</v>
      </c>
      <c r="I2398" s="3" t="s">
        <v>206</v>
      </c>
      <c r="J2398" s="3" t="s">
        <v>207</v>
      </c>
      <c r="K2398" s="3" t="s">
        <v>28</v>
      </c>
      <c r="L2398" s="3" t="s">
        <v>28</v>
      </c>
      <c r="M2398" s="3" t="s">
        <v>27</v>
      </c>
      <c r="N2398" s="3" t="s">
        <v>28</v>
      </c>
      <c r="O2398" s="3" t="s">
        <v>27</v>
      </c>
      <c r="P2398" s="3" t="s">
        <v>27</v>
      </c>
      <c r="Q2398" s="3" t="s">
        <v>28</v>
      </c>
      <c r="R2398" s="3" t="s">
        <v>28</v>
      </c>
      <c r="S2398" s="3" t="s">
        <v>28</v>
      </c>
      <c r="T2398" s="3" t="s">
        <v>28</v>
      </c>
    </row>
    <row r="2399" spans="1:20" ht="305.25">
      <c r="A2399" s="3">
        <v>2695102</v>
      </c>
      <c r="B2399" s="3">
        <f>HYPERLINK("https://platform.v2.vetology.net/cases/2695102/screening-report/6?type=pdf&amp;v=v6&amp;scorecard=1&amp;secret_key=BX%25IJ%24%2F65ieZ%29f6", 2695102)</f>
        <v>2695102</v>
      </c>
      <c r="C2399" s="3">
        <f>HYPERLINK("https://platform.v2.vetology.net/report/v/final/"&amp;2695102, 2695102)</f>
        <v>2695102</v>
      </c>
      <c r="D2399" s="3" t="s">
        <v>8216</v>
      </c>
      <c r="E2399" s="3" t="s">
        <v>8217</v>
      </c>
      <c r="F2399" s="3" t="s">
        <v>8218</v>
      </c>
      <c r="G2399" s="3" t="s">
        <v>23</v>
      </c>
      <c r="H2399" s="3" t="s">
        <v>8219</v>
      </c>
      <c r="I2399" s="3" t="s">
        <v>464</v>
      </c>
      <c r="J2399" s="3" t="s">
        <v>688</v>
      </c>
      <c r="K2399" s="3" t="s">
        <v>28</v>
      </c>
      <c r="L2399" s="3" t="s">
        <v>28</v>
      </c>
      <c r="M2399" s="3" t="s">
        <v>28</v>
      </c>
      <c r="N2399" s="3" t="s">
        <v>28</v>
      </c>
      <c r="O2399" s="3" t="s">
        <v>27</v>
      </c>
      <c r="P2399" s="3" t="s">
        <v>28</v>
      </c>
      <c r="Q2399" s="3" t="s">
        <v>27</v>
      </c>
      <c r="R2399" s="3" t="s">
        <v>28</v>
      </c>
      <c r="S2399" s="3" t="s">
        <v>28</v>
      </c>
      <c r="T2399" s="3" t="s">
        <v>28</v>
      </c>
    </row>
    <row r="2400" spans="1:20" ht="409.6">
      <c r="A2400" s="3">
        <v>2695093</v>
      </c>
      <c r="B2400" s="3">
        <f>HYPERLINK("https://platform.v2.vetology.net/cases/2695093/screening-report/6?type=pdf&amp;v=v6&amp;scorecard=1&amp;secret_key=BX%25IJ%24%2F65ieZ%29f6", 2695093)</f>
        <v>2695093</v>
      </c>
      <c r="C2400" s="3">
        <f>HYPERLINK("https://platform.v2.vetology.net/report/v/final/"&amp;2695093, 2695093)</f>
        <v>2695093</v>
      </c>
      <c r="D2400" s="3" t="s">
        <v>8220</v>
      </c>
      <c r="E2400" s="3" t="s">
        <v>8221</v>
      </c>
      <c r="F2400" s="3" t="s">
        <v>8222</v>
      </c>
      <c r="G2400" s="3" t="s">
        <v>57</v>
      </c>
      <c r="H2400" s="3" t="s">
        <v>8223</v>
      </c>
      <c r="I2400" s="3" t="s">
        <v>678</v>
      </c>
      <c r="J2400" s="3" t="s">
        <v>679</v>
      </c>
      <c r="K2400" s="3" t="s">
        <v>28</v>
      </c>
      <c r="L2400" s="3" t="s">
        <v>27</v>
      </c>
      <c r="M2400" s="3" t="s">
        <v>28</v>
      </c>
      <c r="N2400" s="3" t="s">
        <v>27</v>
      </c>
      <c r="O2400" s="3" t="s">
        <v>27</v>
      </c>
      <c r="P2400" s="3" t="s">
        <v>28</v>
      </c>
      <c r="Q2400" s="3" t="s">
        <v>28</v>
      </c>
      <c r="R2400" s="3" t="s">
        <v>27</v>
      </c>
      <c r="S2400" s="3" t="s">
        <v>27</v>
      </c>
      <c r="T2400" s="3" t="s">
        <v>27</v>
      </c>
    </row>
    <row r="2401" spans="1:20" ht="259.5">
      <c r="A2401" s="3">
        <v>2695050</v>
      </c>
      <c r="B2401" s="3">
        <f>HYPERLINK("https://platform.v2.vetology.net/cases/2695050/screening-report/6?type=pdf&amp;v=v6&amp;scorecard=1&amp;secret_key=BX%25IJ%24%2F65ieZ%29f6", 2695050)</f>
        <v>2695050</v>
      </c>
      <c r="C2401" s="3">
        <f>HYPERLINK("https://platform.v2.vetology.net/report/v/final/"&amp;2695050, 2695050)</f>
        <v>2695050</v>
      </c>
      <c r="D2401" s="3" t="s">
        <v>8224</v>
      </c>
      <c r="E2401" s="3" t="s">
        <v>8225</v>
      </c>
      <c r="F2401" s="3" t="s">
        <v>8226</v>
      </c>
      <c r="G2401" s="3" t="s">
        <v>64</v>
      </c>
      <c r="H2401" s="3" t="s">
        <v>8227</v>
      </c>
      <c r="I2401" s="3"/>
      <c r="J2401" s="3" t="s">
        <v>207</v>
      </c>
      <c r="K2401" s="3" t="s">
        <v>27</v>
      </c>
      <c r="L2401" s="3" t="s">
        <v>28</v>
      </c>
      <c r="M2401" s="3" t="s">
        <v>28</v>
      </c>
      <c r="N2401" s="3" t="s">
        <v>28</v>
      </c>
      <c r="O2401" s="3" t="s">
        <v>27</v>
      </c>
      <c r="P2401" s="3" t="s">
        <v>28</v>
      </c>
      <c r="Q2401" s="3" t="s">
        <v>28</v>
      </c>
      <c r="R2401" s="3" t="s">
        <v>28</v>
      </c>
      <c r="S2401" s="3" t="s">
        <v>28</v>
      </c>
      <c r="T2401" s="3" t="s">
        <v>27</v>
      </c>
    </row>
    <row r="2402" spans="1:20" ht="351">
      <c r="A2402" s="3">
        <v>2695046</v>
      </c>
      <c r="B2402" s="3">
        <f>HYPERLINK("https://platform.v2.vetology.net/cases/2695046/screening-report/6?type=pdf&amp;v=v6&amp;scorecard=1&amp;secret_key=BX%25IJ%24%2F65ieZ%29f6", 2695046)</f>
        <v>2695046</v>
      </c>
      <c r="C2402" s="3">
        <f>HYPERLINK("https://platform.v2.vetology.net/report/v/final/"&amp;2695046, 2695046)</f>
        <v>2695046</v>
      </c>
      <c r="D2402" s="3" t="s">
        <v>8228</v>
      </c>
      <c r="E2402" s="3" t="s">
        <v>8229</v>
      </c>
      <c r="F2402" s="3" t="s">
        <v>8230</v>
      </c>
      <c r="G2402" s="3" t="s">
        <v>211</v>
      </c>
      <c r="H2402" s="3" t="s">
        <v>8231</v>
      </c>
      <c r="I2402" s="3" t="s">
        <v>4796</v>
      </c>
      <c r="J2402" s="3" t="s">
        <v>148</v>
      </c>
      <c r="K2402" s="3" t="s">
        <v>28</v>
      </c>
      <c r="L2402" s="3" t="s">
        <v>28</v>
      </c>
      <c r="M2402" s="3" t="s">
        <v>27</v>
      </c>
      <c r="N2402" s="3" t="s">
        <v>28</v>
      </c>
      <c r="O2402" s="3" t="s">
        <v>27</v>
      </c>
      <c r="P2402" s="3" t="s">
        <v>28</v>
      </c>
      <c r="Q2402" s="3" t="s">
        <v>27</v>
      </c>
      <c r="R2402" s="3" t="s">
        <v>28</v>
      </c>
      <c r="S2402" s="3" t="s">
        <v>28</v>
      </c>
      <c r="T2402" s="3" t="s">
        <v>28</v>
      </c>
    </row>
    <row r="2403" spans="1:20" ht="409.6">
      <c r="A2403" s="3">
        <v>2694947</v>
      </c>
      <c r="B2403" s="3">
        <f>HYPERLINK("https://platform.v2.vetology.net/cases/2694947/screening-report/6?type=pdf&amp;v=v6&amp;scorecard=1&amp;secret_key=BX%25IJ%24%2F65ieZ%29f6", 2694947)</f>
        <v>2694947</v>
      </c>
      <c r="C2403" s="3">
        <f>HYPERLINK("https://platform.v2.vetology.net/report/v/final/"&amp;2694947, 2694947)</f>
        <v>2694947</v>
      </c>
      <c r="D2403" s="3" t="s">
        <v>8232</v>
      </c>
      <c r="E2403" s="3" t="s">
        <v>8233</v>
      </c>
      <c r="F2403" s="3" t="s">
        <v>8234</v>
      </c>
      <c r="G2403" s="3" t="s">
        <v>179</v>
      </c>
      <c r="H2403" s="3" t="s">
        <v>8235</v>
      </c>
      <c r="I2403" s="3" t="s">
        <v>78</v>
      </c>
      <c r="J2403" s="3" t="s">
        <v>79</v>
      </c>
      <c r="K2403" s="3" t="s">
        <v>28</v>
      </c>
      <c r="L2403" s="3" t="s">
        <v>28</v>
      </c>
      <c r="M2403" s="3" t="s">
        <v>28</v>
      </c>
      <c r="N2403" s="3" t="s">
        <v>28</v>
      </c>
      <c r="O2403" s="3" t="s">
        <v>27</v>
      </c>
      <c r="P2403" s="3" t="s">
        <v>27</v>
      </c>
      <c r="Q2403" s="3" t="s">
        <v>28</v>
      </c>
      <c r="R2403" s="3" t="s">
        <v>28</v>
      </c>
      <c r="S2403" s="3" t="s">
        <v>28</v>
      </c>
      <c r="T2403" s="3" t="s">
        <v>28</v>
      </c>
    </row>
    <row r="2404" spans="1:20" ht="366">
      <c r="A2404" s="3">
        <v>2694935</v>
      </c>
      <c r="B2404" s="3">
        <f>HYPERLINK("https://platform.v2.vetology.net/cases/2694935/screening-report/6?type=pdf&amp;v=v6&amp;scorecard=1&amp;secret_key=BX%25IJ%24%2F65ieZ%29f6", 2694935)</f>
        <v>2694935</v>
      </c>
      <c r="C2404" s="3">
        <f>HYPERLINK("https://platform.v2.vetology.net/report/v/final/"&amp;2694935, 2694935)</f>
        <v>2694935</v>
      </c>
      <c r="D2404" s="3" t="s">
        <v>8236</v>
      </c>
      <c r="E2404" s="3" t="s">
        <v>8237</v>
      </c>
      <c r="F2404" s="3" t="s">
        <v>8238</v>
      </c>
      <c r="G2404" s="3" t="s">
        <v>179</v>
      </c>
      <c r="H2404" s="3" t="s">
        <v>8239</v>
      </c>
      <c r="I2404" s="3" t="s">
        <v>1034</v>
      </c>
      <c r="J2404" s="3" t="s">
        <v>1035</v>
      </c>
      <c r="K2404" s="3" t="s">
        <v>28</v>
      </c>
      <c r="L2404" s="3" t="s">
        <v>28</v>
      </c>
      <c r="M2404" s="3" t="s">
        <v>28</v>
      </c>
      <c r="N2404" s="3" t="s">
        <v>27</v>
      </c>
      <c r="O2404" s="3" t="s">
        <v>28</v>
      </c>
      <c r="P2404" s="3" t="s">
        <v>28</v>
      </c>
      <c r="Q2404" s="3" t="s">
        <v>28</v>
      </c>
      <c r="R2404" s="3" t="s">
        <v>27</v>
      </c>
      <c r="S2404" s="3" t="s">
        <v>28</v>
      </c>
      <c r="T2404" s="3" t="s">
        <v>27</v>
      </c>
    </row>
    <row r="2405" spans="1:20" ht="290.25">
      <c r="A2405" s="3">
        <v>2694925</v>
      </c>
      <c r="B2405" s="3">
        <f>HYPERLINK("https://platform.v2.vetology.net/cases/2694925/screening-report/6?type=pdf&amp;v=v6&amp;scorecard=1&amp;secret_key=BX%25IJ%24%2F65ieZ%29f6", 2694925)</f>
        <v>2694925</v>
      </c>
      <c r="C2405" s="3">
        <f>HYPERLINK("https://platform.v2.vetology.net/report/v/final/"&amp;2694925, 2694925)</f>
        <v>2694925</v>
      </c>
      <c r="D2405" s="3" t="s">
        <v>8240</v>
      </c>
      <c r="E2405" s="3" t="s">
        <v>8241</v>
      </c>
      <c r="F2405" s="3" t="s">
        <v>8242</v>
      </c>
      <c r="G2405" s="3" t="s">
        <v>186</v>
      </c>
      <c r="H2405" s="3" t="s">
        <v>8243</v>
      </c>
      <c r="I2405" s="3" t="s">
        <v>316</v>
      </c>
      <c r="J2405" s="3" t="s">
        <v>317</v>
      </c>
      <c r="K2405" s="3" t="s">
        <v>28</v>
      </c>
      <c r="L2405" s="3" t="s">
        <v>28</v>
      </c>
      <c r="M2405" s="3" t="s">
        <v>28</v>
      </c>
      <c r="N2405" s="3" t="s">
        <v>28</v>
      </c>
      <c r="O2405" s="3" t="s">
        <v>27</v>
      </c>
      <c r="P2405" s="3" t="s">
        <v>28</v>
      </c>
      <c r="Q2405" s="3" t="s">
        <v>28</v>
      </c>
      <c r="R2405" s="3" t="s">
        <v>28</v>
      </c>
      <c r="S2405" s="3" t="s">
        <v>28</v>
      </c>
      <c r="T2405" s="3" t="s">
        <v>28</v>
      </c>
    </row>
    <row r="2406" spans="1:20" ht="409.6">
      <c r="A2406" s="3">
        <v>2694910</v>
      </c>
      <c r="B2406" s="3">
        <f>HYPERLINK("https://platform.v2.vetology.net/cases/2694910/screening-report/6?type=pdf&amp;v=v6&amp;scorecard=1&amp;secret_key=BX%25IJ%24%2F65ieZ%29f6", 2694910)</f>
        <v>2694910</v>
      </c>
      <c r="C2406" s="3">
        <f>HYPERLINK("https://platform.v2.vetology.net/report/v/final/"&amp;2694910, 2694910)</f>
        <v>2694910</v>
      </c>
      <c r="D2406" s="3" t="s">
        <v>8244</v>
      </c>
      <c r="E2406" s="3" t="s">
        <v>8245</v>
      </c>
      <c r="F2406" s="3" t="s">
        <v>8246</v>
      </c>
      <c r="G2406" s="3" t="s">
        <v>186</v>
      </c>
      <c r="H2406" s="3" t="s">
        <v>2808</v>
      </c>
      <c r="I2406" s="3" t="s">
        <v>136</v>
      </c>
      <c r="J2406" s="3" t="s">
        <v>424</v>
      </c>
      <c r="K2406" s="3" t="s">
        <v>27</v>
      </c>
      <c r="L2406" s="3" t="s">
        <v>28</v>
      </c>
      <c r="M2406" s="3" t="s">
        <v>28</v>
      </c>
      <c r="N2406" s="3" t="s">
        <v>27</v>
      </c>
      <c r="O2406" s="3" t="s">
        <v>27</v>
      </c>
      <c r="P2406" s="3" t="s">
        <v>28</v>
      </c>
      <c r="Q2406" s="3" t="s">
        <v>28</v>
      </c>
      <c r="R2406" s="3" t="s">
        <v>28</v>
      </c>
      <c r="S2406" s="3" t="s">
        <v>28</v>
      </c>
      <c r="T2406" s="3" t="s">
        <v>27</v>
      </c>
    </row>
    <row r="2407" spans="1:20" ht="396.75">
      <c r="A2407" s="3">
        <v>2694899</v>
      </c>
      <c r="B2407" s="3">
        <f>HYPERLINK("https://platform.v2.vetology.net/cases/2694899/screening-report/6?type=pdf&amp;v=v6&amp;scorecard=1&amp;secret_key=BX%25IJ%24%2F65ieZ%29f6", 2694899)</f>
        <v>2694899</v>
      </c>
      <c r="C2407" s="3">
        <f>HYPERLINK("https://platform.v2.vetology.net/report/v/final/"&amp;2694899, 2694899)</f>
        <v>2694899</v>
      </c>
      <c r="D2407" s="3" t="s">
        <v>8247</v>
      </c>
      <c r="E2407" s="3" t="s">
        <v>8248</v>
      </c>
      <c r="F2407" s="3" t="s">
        <v>8249</v>
      </c>
      <c r="G2407" s="3" t="s">
        <v>186</v>
      </c>
      <c r="H2407" s="3" t="s">
        <v>8250</v>
      </c>
      <c r="I2407" s="3" t="s">
        <v>438</v>
      </c>
      <c r="J2407" s="3" t="s">
        <v>439</v>
      </c>
      <c r="K2407" s="3" t="s">
        <v>28</v>
      </c>
      <c r="L2407" s="3" t="s">
        <v>28</v>
      </c>
      <c r="M2407" s="3" t="s">
        <v>28</v>
      </c>
      <c r="N2407" s="3" t="s">
        <v>27</v>
      </c>
      <c r="O2407" s="3" t="s">
        <v>28</v>
      </c>
      <c r="P2407" s="3" t="s">
        <v>28</v>
      </c>
      <c r="Q2407" s="3" t="s">
        <v>28</v>
      </c>
      <c r="R2407" s="3" t="s">
        <v>27</v>
      </c>
      <c r="S2407" s="3" t="s">
        <v>28</v>
      </c>
      <c r="T2407" s="3" t="s">
        <v>27</v>
      </c>
    </row>
    <row r="2408" spans="1:20" ht="366">
      <c r="A2408" s="3">
        <v>2694862</v>
      </c>
      <c r="B2408" s="3">
        <f>HYPERLINK("https://platform.v2.vetology.net/cases/2694862/screening-report/6?type=pdf&amp;v=v6&amp;scorecard=1&amp;secret_key=BX%25IJ%24%2F65ieZ%29f6", 2694862)</f>
        <v>2694862</v>
      </c>
      <c r="C2408" s="3">
        <f>HYPERLINK("https://platform.v2.vetology.net/report/v/final/"&amp;2694862, 2694862)</f>
        <v>2694862</v>
      </c>
      <c r="D2408" s="3" t="s">
        <v>8251</v>
      </c>
      <c r="E2408" s="3" t="s">
        <v>8252</v>
      </c>
      <c r="F2408" s="3" t="s">
        <v>8253</v>
      </c>
      <c r="G2408" s="3" t="s">
        <v>57</v>
      </c>
      <c r="H2408" s="3" t="s">
        <v>8254</v>
      </c>
      <c r="I2408" s="3" t="s">
        <v>3369</v>
      </c>
      <c r="J2408" s="3" t="s">
        <v>207</v>
      </c>
      <c r="K2408" s="3" t="s">
        <v>28</v>
      </c>
      <c r="L2408" s="3" t="s">
        <v>28</v>
      </c>
      <c r="M2408" s="3" t="s">
        <v>28</v>
      </c>
      <c r="N2408" s="3" t="s">
        <v>28</v>
      </c>
      <c r="O2408" s="3" t="s">
        <v>28</v>
      </c>
      <c r="P2408" s="3" t="s">
        <v>28</v>
      </c>
      <c r="Q2408" s="3" t="s">
        <v>28</v>
      </c>
      <c r="R2408" s="3" t="s">
        <v>28</v>
      </c>
      <c r="S2408" s="3" t="s">
        <v>28</v>
      </c>
      <c r="T2408" s="3" t="s">
        <v>28</v>
      </c>
    </row>
    <row r="2409" spans="1:20" ht="409.6">
      <c r="A2409" s="3">
        <v>2694857</v>
      </c>
      <c r="B2409" s="3">
        <f>HYPERLINK("https://platform.v2.vetology.net/cases/2694857/screening-report/6?type=pdf&amp;v=v6&amp;scorecard=1&amp;secret_key=BX%25IJ%24%2F65ieZ%29f6", 2694857)</f>
        <v>2694857</v>
      </c>
      <c r="C2409" s="3">
        <f>HYPERLINK("https://platform.v2.vetology.net/report/v/final/"&amp;2694857, 2694857)</f>
        <v>2694857</v>
      </c>
      <c r="D2409" s="3" t="s">
        <v>8255</v>
      </c>
      <c r="E2409" s="3" t="s">
        <v>8256</v>
      </c>
      <c r="F2409" s="3" t="s">
        <v>8257</v>
      </c>
      <c r="G2409" s="3" t="s">
        <v>64</v>
      </c>
      <c r="H2409" s="3" t="s">
        <v>2847</v>
      </c>
      <c r="I2409" s="3" t="s">
        <v>291</v>
      </c>
      <c r="J2409" s="3" t="s">
        <v>225</v>
      </c>
      <c r="K2409" s="3" t="s">
        <v>28</v>
      </c>
      <c r="L2409" s="3" t="s">
        <v>28</v>
      </c>
      <c r="M2409" s="3" t="s">
        <v>28</v>
      </c>
      <c r="N2409" s="3" t="s">
        <v>27</v>
      </c>
      <c r="O2409" s="3" t="s">
        <v>27</v>
      </c>
      <c r="P2409" s="3" t="s">
        <v>28</v>
      </c>
      <c r="Q2409" s="3" t="s">
        <v>28</v>
      </c>
      <c r="R2409" s="3" t="s">
        <v>27</v>
      </c>
      <c r="S2409" s="3" t="s">
        <v>27</v>
      </c>
      <c r="T2409" s="3" t="s">
        <v>27</v>
      </c>
    </row>
    <row r="2410" spans="1:20" ht="396.75">
      <c r="A2410" s="3">
        <v>2694845</v>
      </c>
      <c r="B2410" s="3">
        <f>HYPERLINK("https://platform.v2.vetology.net/cases/2694845/screening-report/6?type=pdf&amp;v=v6&amp;scorecard=1&amp;secret_key=BX%25IJ%24%2F65ieZ%29f6", 2694845)</f>
        <v>2694845</v>
      </c>
      <c r="C2410" s="3">
        <f>HYPERLINK("https://platform.v2.vetology.net/report/v/final/"&amp;2694845, 2694845)</f>
        <v>2694845</v>
      </c>
      <c r="D2410" s="3" t="s">
        <v>8258</v>
      </c>
      <c r="E2410" s="3" t="s">
        <v>8259</v>
      </c>
      <c r="F2410" s="3" t="s">
        <v>8260</v>
      </c>
      <c r="G2410" s="3" t="s">
        <v>186</v>
      </c>
      <c r="H2410" s="3" t="s">
        <v>350</v>
      </c>
      <c r="I2410" s="3" t="s">
        <v>351</v>
      </c>
      <c r="J2410" s="3" t="s">
        <v>352</v>
      </c>
      <c r="K2410" s="3" t="s">
        <v>28</v>
      </c>
      <c r="L2410" s="3" t="s">
        <v>28</v>
      </c>
      <c r="M2410" s="3" t="s">
        <v>28</v>
      </c>
      <c r="N2410" s="3" t="s">
        <v>28</v>
      </c>
      <c r="O2410" s="3" t="s">
        <v>28</v>
      </c>
      <c r="P2410" s="3" t="s">
        <v>28</v>
      </c>
      <c r="Q2410" s="3" t="s">
        <v>28</v>
      </c>
      <c r="R2410" s="3" t="s">
        <v>28</v>
      </c>
      <c r="S2410" s="3" t="s">
        <v>28</v>
      </c>
      <c r="T2410" s="3" t="s">
        <v>27</v>
      </c>
    </row>
    <row r="2411" spans="1:20" ht="366">
      <c r="A2411" s="3">
        <v>2694828</v>
      </c>
      <c r="B2411" s="3">
        <f>HYPERLINK("https://platform.v2.vetology.net/cases/2694828/screening-report/6?type=pdf&amp;v=v6&amp;scorecard=1&amp;secret_key=BX%25IJ%24%2F65ieZ%29f6", 2694828)</f>
        <v>2694828</v>
      </c>
      <c r="C2411" s="3">
        <f>HYPERLINK("https://platform.v2.vetology.net/report/v/final/"&amp;2694828, 2694828)</f>
        <v>2694828</v>
      </c>
      <c r="D2411" s="3" t="s">
        <v>8261</v>
      </c>
      <c r="E2411" s="3" t="s">
        <v>8262</v>
      </c>
      <c r="F2411" s="3" t="s">
        <v>8263</v>
      </c>
      <c r="G2411" s="3" t="s">
        <v>179</v>
      </c>
      <c r="H2411" s="3" t="s">
        <v>8264</v>
      </c>
      <c r="I2411" s="3" t="s">
        <v>200</v>
      </c>
      <c r="J2411" s="3" t="s">
        <v>219</v>
      </c>
      <c r="K2411" s="3" t="s">
        <v>27</v>
      </c>
      <c r="L2411" s="3" t="s">
        <v>28</v>
      </c>
      <c r="M2411" s="3" t="s">
        <v>28</v>
      </c>
      <c r="N2411" s="3" t="s">
        <v>28</v>
      </c>
      <c r="O2411" s="3" t="s">
        <v>27</v>
      </c>
      <c r="P2411" s="3" t="s">
        <v>28</v>
      </c>
      <c r="Q2411" s="3" t="s">
        <v>28</v>
      </c>
      <c r="R2411" s="3" t="s">
        <v>28</v>
      </c>
      <c r="S2411" s="3" t="s">
        <v>28</v>
      </c>
      <c r="T2411" s="3" t="s">
        <v>28</v>
      </c>
    </row>
    <row r="2412" spans="1:20" ht="409.6">
      <c r="A2412" s="3">
        <v>2694726</v>
      </c>
      <c r="B2412" s="3">
        <f>HYPERLINK("https://platform.v2.vetology.net/cases/2694726/screening-report/6?type=pdf&amp;v=v6&amp;scorecard=1&amp;secret_key=BX%25IJ%24%2F65ieZ%29f6", 2694726)</f>
        <v>2694726</v>
      </c>
      <c r="C2412" s="3">
        <f>HYPERLINK("https://platform.v2.vetology.net/report/v/final/"&amp;2694726, 2694726)</f>
        <v>2694726</v>
      </c>
      <c r="D2412" s="3" t="s">
        <v>8265</v>
      </c>
      <c r="E2412" s="3" t="s">
        <v>8266</v>
      </c>
      <c r="F2412" s="3" t="s">
        <v>8267</v>
      </c>
      <c r="G2412" s="3" t="s">
        <v>179</v>
      </c>
      <c r="H2412" s="3" t="s">
        <v>8268</v>
      </c>
      <c r="I2412" s="3" t="s">
        <v>2825</v>
      </c>
      <c r="J2412" s="3" t="s">
        <v>2826</v>
      </c>
      <c r="K2412" s="3" t="s">
        <v>27</v>
      </c>
      <c r="L2412" s="3" t="s">
        <v>28</v>
      </c>
      <c r="M2412" s="3" t="s">
        <v>27</v>
      </c>
      <c r="N2412" s="3" t="s">
        <v>28</v>
      </c>
      <c r="O2412" s="3" t="s">
        <v>27</v>
      </c>
      <c r="P2412" s="3" t="s">
        <v>28</v>
      </c>
      <c r="Q2412" s="3" t="s">
        <v>27</v>
      </c>
      <c r="R2412" s="3" t="s">
        <v>28</v>
      </c>
      <c r="S2412" s="3" t="s">
        <v>28</v>
      </c>
      <c r="T2412" s="3" t="s">
        <v>28</v>
      </c>
    </row>
    <row r="2413" spans="1:20" ht="409.6">
      <c r="A2413" s="3">
        <v>2694721</v>
      </c>
      <c r="B2413" s="3">
        <f>HYPERLINK("https://platform.v2.vetology.net/cases/2694721/screening-report/6?type=pdf&amp;v=v6&amp;scorecard=1&amp;secret_key=BX%25IJ%24%2F65ieZ%29f6", 2694721)</f>
        <v>2694721</v>
      </c>
      <c r="C2413" s="3">
        <f>HYPERLINK("https://platform.v2.vetology.net/report/v/final/"&amp;2694721, 2694721)</f>
        <v>2694721</v>
      </c>
      <c r="D2413" s="3" t="s">
        <v>8269</v>
      </c>
      <c r="E2413" s="3" t="s">
        <v>8270</v>
      </c>
      <c r="F2413" s="3" t="s">
        <v>8271</v>
      </c>
      <c r="G2413" s="3" t="s">
        <v>64</v>
      </c>
      <c r="H2413" s="3" t="s">
        <v>855</v>
      </c>
      <c r="I2413" s="3" t="s">
        <v>856</v>
      </c>
      <c r="J2413" s="3" t="s">
        <v>857</v>
      </c>
      <c r="K2413" s="3" t="s">
        <v>27</v>
      </c>
      <c r="L2413" s="3" t="s">
        <v>28</v>
      </c>
      <c r="M2413" s="3" t="s">
        <v>28</v>
      </c>
      <c r="N2413" s="3" t="s">
        <v>28</v>
      </c>
      <c r="O2413" s="3" t="s">
        <v>27</v>
      </c>
      <c r="P2413" s="3" t="s">
        <v>28</v>
      </c>
      <c r="Q2413" s="3" t="s">
        <v>28</v>
      </c>
      <c r="R2413" s="3" t="s">
        <v>28</v>
      </c>
      <c r="S2413" s="3" t="s">
        <v>28</v>
      </c>
      <c r="T2413" s="3" t="s">
        <v>28</v>
      </c>
    </row>
    <row r="2414" spans="1:20" ht="409.6">
      <c r="A2414" s="3">
        <v>2694620</v>
      </c>
      <c r="B2414" s="3">
        <f>HYPERLINK("https://platform.v2.vetology.net/cases/2694620/screening-report/6?type=pdf&amp;v=v6&amp;scorecard=1&amp;secret_key=BX%25IJ%24%2F65ieZ%29f6", 2694620)</f>
        <v>2694620</v>
      </c>
      <c r="C2414" s="3">
        <f>HYPERLINK("https://platform.v2.vetology.net/report/v/final/"&amp;2694620, 2694620)</f>
        <v>2694620</v>
      </c>
      <c r="D2414" s="3" t="s">
        <v>8272</v>
      </c>
      <c r="E2414" s="3" t="s">
        <v>8273</v>
      </c>
      <c r="F2414" s="3" t="s">
        <v>8274</v>
      </c>
      <c r="G2414" s="3" t="s">
        <v>179</v>
      </c>
      <c r="H2414" s="3" t="s">
        <v>8275</v>
      </c>
      <c r="I2414" s="3" t="s">
        <v>113</v>
      </c>
      <c r="J2414" s="3" t="s">
        <v>114</v>
      </c>
      <c r="K2414" s="3" t="s">
        <v>28</v>
      </c>
      <c r="L2414" s="3" t="s">
        <v>28</v>
      </c>
      <c r="M2414" s="3" t="s">
        <v>28</v>
      </c>
      <c r="N2414" s="3" t="s">
        <v>28</v>
      </c>
      <c r="O2414" s="3" t="s">
        <v>27</v>
      </c>
      <c r="P2414" s="3" t="s">
        <v>27</v>
      </c>
      <c r="Q2414" s="3" t="s">
        <v>28</v>
      </c>
      <c r="R2414" s="3" t="s">
        <v>28</v>
      </c>
      <c r="S2414" s="3" t="s">
        <v>28</v>
      </c>
      <c r="T2414" s="3" t="s">
        <v>28</v>
      </c>
    </row>
    <row r="2415" spans="1:20" ht="409.6">
      <c r="A2415" s="3">
        <v>2694567</v>
      </c>
      <c r="B2415" s="3">
        <f>HYPERLINK("https://platform.v2.vetology.net/cases/2694567/screening-report/6?type=pdf&amp;v=v6&amp;scorecard=1&amp;secret_key=BX%25IJ%24%2F65ieZ%29f6", 2694567)</f>
        <v>2694567</v>
      </c>
      <c r="C2415" s="3">
        <f>HYPERLINK("https://platform.v2.vetology.net/report/v/final/"&amp;2694567, 2694567)</f>
        <v>2694567</v>
      </c>
      <c r="D2415" s="3" t="s">
        <v>8276</v>
      </c>
      <c r="E2415" s="3" t="s">
        <v>8277</v>
      </c>
      <c r="F2415" s="3" t="s">
        <v>8278</v>
      </c>
      <c r="G2415" s="3" t="s">
        <v>57</v>
      </c>
      <c r="H2415" s="3" t="s">
        <v>3613</v>
      </c>
      <c r="I2415" s="3" t="s">
        <v>3614</v>
      </c>
      <c r="J2415" s="3" t="s">
        <v>3615</v>
      </c>
      <c r="K2415" s="3" t="s">
        <v>28</v>
      </c>
      <c r="L2415" s="3" t="s">
        <v>27</v>
      </c>
      <c r="M2415" s="3" t="s">
        <v>27</v>
      </c>
      <c r="N2415" s="3" t="s">
        <v>27</v>
      </c>
      <c r="O2415" s="3" t="s">
        <v>27</v>
      </c>
      <c r="P2415" s="3" t="s">
        <v>27</v>
      </c>
      <c r="Q2415" s="3" t="s">
        <v>28</v>
      </c>
      <c r="R2415" s="3" t="s">
        <v>28</v>
      </c>
      <c r="S2415" s="3" t="s">
        <v>28</v>
      </c>
      <c r="T2415" s="3" t="s">
        <v>27</v>
      </c>
    </row>
    <row r="2416" spans="1:20" ht="409.6">
      <c r="A2416" s="3">
        <v>2694557</v>
      </c>
      <c r="B2416" s="3">
        <f>HYPERLINK("https://platform.v2.vetology.net/cases/2694557/screening-report/6?type=pdf&amp;v=v6&amp;scorecard=1&amp;secret_key=BX%25IJ%24%2F65ieZ%29f6", 2694557)</f>
        <v>2694557</v>
      </c>
      <c r="C2416" s="3">
        <f>HYPERLINK("https://platform.v2.vetology.net/report/v/final/"&amp;2694557, 2694557)</f>
        <v>2694557</v>
      </c>
      <c r="D2416" s="3" t="s">
        <v>8279</v>
      </c>
      <c r="E2416" s="3" t="s">
        <v>8280</v>
      </c>
      <c r="F2416" s="3" t="s">
        <v>772</v>
      </c>
      <c r="G2416" s="3" t="s">
        <v>57</v>
      </c>
      <c r="H2416" s="3" t="s">
        <v>1097</v>
      </c>
      <c r="I2416" s="3" t="s">
        <v>469</v>
      </c>
      <c r="J2416" s="3" t="s">
        <v>470</v>
      </c>
      <c r="K2416" s="3" t="s">
        <v>28</v>
      </c>
      <c r="L2416" s="3" t="s">
        <v>28</v>
      </c>
      <c r="M2416" s="3" t="s">
        <v>28</v>
      </c>
      <c r="N2416" s="3" t="s">
        <v>28</v>
      </c>
      <c r="O2416" s="3" t="s">
        <v>27</v>
      </c>
      <c r="P2416" s="3" t="s">
        <v>28</v>
      </c>
      <c r="Q2416" s="3" t="s">
        <v>28</v>
      </c>
      <c r="R2416" s="3" t="s">
        <v>28</v>
      </c>
      <c r="S2416" s="3" t="s">
        <v>28</v>
      </c>
      <c r="T2416" s="3" t="s">
        <v>28</v>
      </c>
    </row>
    <row r="2417" spans="1:20" ht="305.25">
      <c r="A2417" s="3">
        <v>2694493</v>
      </c>
      <c r="B2417" s="3">
        <f>HYPERLINK("https://platform.v2.vetology.net/cases/2694493/screening-report/6?type=pdf&amp;v=v6&amp;scorecard=1&amp;secret_key=BX%25IJ%24%2F65ieZ%29f6", 2694493)</f>
        <v>2694493</v>
      </c>
      <c r="C2417" s="3">
        <f>HYPERLINK("https://platform.v2.vetology.net/report/v/final/"&amp;2694493, 2694493)</f>
        <v>2694493</v>
      </c>
      <c r="D2417" s="3" t="s">
        <v>8281</v>
      </c>
      <c r="E2417" s="3" t="s">
        <v>8282</v>
      </c>
      <c r="F2417" s="3"/>
      <c r="G2417" s="3" t="s">
        <v>122</v>
      </c>
      <c r="H2417" s="3" t="s">
        <v>519</v>
      </c>
      <c r="I2417" s="3" t="s">
        <v>1344</v>
      </c>
      <c r="J2417" s="3" t="s">
        <v>33</v>
      </c>
      <c r="K2417" s="3" t="s">
        <v>28</v>
      </c>
      <c r="L2417" s="3" t="s">
        <v>28</v>
      </c>
      <c r="M2417" s="3" t="s">
        <v>28</v>
      </c>
      <c r="N2417" s="3" t="s">
        <v>28</v>
      </c>
      <c r="O2417" s="3" t="s">
        <v>27</v>
      </c>
      <c r="P2417" s="3" t="s">
        <v>28</v>
      </c>
      <c r="Q2417" s="3" t="s">
        <v>28</v>
      </c>
      <c r="R2417" s="3" t="s">
        <v>28</v>
      </c>
      <c r="S2417" s="3" t="s">
        <v>28</v>
      </c>
      <c r="T2417" s="3" t="s">
        <v>28</v>
      </c>
    </row>
    <row r="2418" spans="1:20" ht="409.6">
      <c r="A2418" s="3">
        <v>2694377</v>
      </c>
      <c r="B2418" s="3">
        <f>HYPERLINK("https://platform.v2.vetology.net/cases/2694377/screening-report/6?type=pdf&amp;v=v6&amp;scorecard=1&amp;secret_key=BX%25IJ%24%2F65ieZ%29f6", 2694377)</f>
        <v>2694377</v>
      </c>
      <c r="C2418" s="3">
        <f>HYPERLINK("https://platform.v2.vetology.net/report/v/final/"&amp;2694377, 2694377)</f>
        <v>2694377</v>
      </c>
      <c r="D2418" s="3" t="s">
        <v>8283</v>
      </c>
      <c r="E2418" s="3" t="s">
        <v>8284</v>
      </c>
      <c r="F2418" s="3" t="s">
        <v>8285</v>
      </c>
      <c r="G2418" s="3" t="s">
        <v>186</v>
      </c>
      <c r="H2418" s="3" t="s">
        <v>8286</v>
      </c>
      <c r="I2418" s="3" t="s">
        <v>852</v>
      </c>
      <c r="J2418" s="3" t="s">
        <v>335</v>
      </c>
      <c r="K2418" s="3" t="s">
        <v>28</v>
      </c>
      <c r="L2418" s="3" t="s">
        <v>28</v>
      </c>
      <c r="M2418" s="3" t="s">
        <v>27</v>
      </c>
      <c r="N2418" s="3" t="s">
        <v>28</v>
      </c>
      <c r="O2418" s="3" t="s">
        <v>28</v>
      </c>
      <c r="P2418" s="3" t="s">
        <v>28</v>
      </c>
      <c r="Q2418" s="3" t="s">
        <v>28</v>
      </c>
      <c r="R2418" s="3" t="s">
        <v>28</v>
      </c>
      <c r="S2418" s="3" t="s">
        <v>28</v>
      </c>
      <c r="T2418" s="3" t="s">
        <v>28</v>
      </c>
    </row>
    <row r="2419" spans="1:20" ht="305.25">
      <c r="A2419" s="3">
        <v>2694371</v>
      </c>
      <c r="B2419" s="3">
        <f>HYPERLINK("https://platform.v2.vetology.net/cases/2694371/screening-report/6?type=pdf&amp;v=v6&amp;scorecard=1&amp;secret_key=BX%25IJ%24%2F65ieZ%29f6", 2694371)</f>
        <v>2694371</v>
      </c>
      <c r="C2419" s="3">
        <f>HYPERLINK("https://platform.v2.vetology.net/report/v/final/"&amp;2694371, 2694371)</f>
        <v>2694371</v>
      </c>
      <c r="D2419" s="3" t="s">
        <v>8287</v>
      </c>
      <c r="E2419" s="3" t="s">
        <v>8288</v>
      </c>
      <c r="F2419" s="3" t="s">
        <v>22</v>
      </c>
      <c r="G2419" s="3" t="s">
        <v>23</v>
      </c>
      <c r="H2419" s="3" t="s">
        <v>2245</v>
      </c>
      <c r="I2419" s="3" t="s">
        <v>464</v>
      </c>
      <c r="J2419" s="3" t="s">
        <v>688</v>
      </c>
      <c r="K2419" s="3" t="s">
        <v>28</v>
      </c>
      <c r="L2419" s="3" t="s">
        <v>28</v>
      </c>
      <c r="M2419" s="3" t="s">
        <v>28</v>
      </c>
      <c r="N2419" s="3" t="s">
        <v>28</v>
      </c>
      <c r="O2419" s="3" t="s">
        <v>28</v>
      </c>
      <c r="P2419" s="3" t="s">
        <v>28</v>
      </c>
      <c r="Q2419" s="3" t="s">
        <v>28</v>
      </c>
      <c r="R2419" s="3" t="s">
        <v>28</v>
      </c>
      <c r="S2419" s="3" t="s">
        <v>28</v>
      </c>
      <c r="T2419" s="3" t="s">
        <v>28</v>
      </c>
    </row>
    <row r="2420" spans="1:20" ht="409.6">
      <c r="A2420" s="3">
        <v>2694259</v>
      </c>
      <c r="B2420" s="3">
        <f>HYPERLINK("https://platform.v2.vetology.net/cases/2694259/screening-report/6?type=pdf&amp;v=v6&amp;scorecard=1&amp;secret_key=BX%25IJ%24%2F65ieZ%29f6", 2694259)</f>
        <v>2694259</v>
      </c>
      <c r="C2420" s="3">
        <f>HYPERLINK("https://platform.v2.vetology.net/report/v/final/"&amp;2694259, 2694259)</f>
        <v>2694259</v>
      </c>
      <c r="D2420" s="3" t="s">
        <v>8289</v>
      </c>
      <c r="E2420" s="3" t="s">
        <v>8290</v>
      </c>
      <c r="F2420" s="3" t="s">
        <v>8291</v>
      </c>
      <c r="G2420" s="3" t="s">
        <v>186</v>
      </c>
      <c r="H2420" s="3" t="s">
        <v>8292</v>
      </c>
      <c r="I2420" s="3" t="s">
        <v>678</v>
      </c>
      <c r="J2420" s="3" t="s">
        <v>1264</v>
      </c>
      <c r="K2420" s="3" t="s">
        <v>28</v>
      </c>
      <c r="L2420" s="3" t="s">
        <v>27</v>
      </c>
      <c r="M2420" s="3" t="s">
        <v>28</v>
      </c>
      <c r="N2420" s="3" t="s">
        <v>27</v>
      </c>
      <c r="O2420" s="3" t="s">
        <v>27</v>
      </c>
      <c r="P2420" s="3" t="s">
        <v>28</v>
      </c>
      <c r="Q2420" s="3" t="s">
        <v>28</v>
      </c>
      <c r="R2420" s="3" t="s">
        <v>27</v>
      </c>
      <c r="S2420" s="3" t="s">
        <v>27</v>
      </c>
      <c r="T2420" s="3" t="s">
        <v>27</v>
      </c>
    </row>
    <row r="2421" spans="1:20" ht="409.6">
      <c r="A2421" s="3">
        <v>2694254</v>
      </c>
      <c r="B2421" s="3">
        <f>HYPERLINK("https://platform.v2.vetology.net/cases/2694254/screening-report/6?type=pdf&amp;v=v6&amp;scorecard=1&amp;secret_key=BX%25IJ%24%2F65ieZ%29f6", 2694254)</f>
        <v>2694254</v>
      </c>
      <c r="C2421" s="3">
        <f>HYPERLINK("https://platform.v2.vetology.net/report/v/final/"&amp;2694254, 2694254)</f>
        <v>2694254</v>
      </c>
      <c r="D2421" s="3" t="s">
        <v>8293</v>
      </c>
      <c r="E2421" s="3" t="s">
        <v>8294</v>
      </c>
      <c r="F2421" s="3" t="s">
        <v>8295</v>
      </c>
      <c r="G2421" s="3" t="s">
        <v>186</v>
      </c>
      <c r="H2421" s="3" t="s">
        <v>8296</v>
      </c>
      <c r="I2421" s="3" t="s">
        <v>5919</v>
      </c>
      <c r="J2421" s="3" t="s">
        <v>5920</v>
      </c>
      <c r="K2421" s="3" t="s">
        <v>28</v>
      </c>
      <c r="L2421" s="3" t="s">
        <v>27</v>
      </c>
      <c r="M2421" s="3" t="s">
        <v>28</v>
      </c>
      <c r="N2421" s="3" t="s">
        <v>27</v>
      </c>
      <c r="O2421" s="3" t="s">
        <v>28</v>
      </c>
      <c r="P2421" s="3" t="s">
        <v>28</v>
      </c>
      <c r="Q2421" s="3" t="s">
        <v>27</v>
      </c>
      <c r="R2421" s="3" t="s">
        <v>27</v>
      </c>
      <c r="S2421" s="3" t="s">
        <v>27</v>
      </c>
      <c r="T2421" s="3" t="s">
        <v>27</v>
      </c>
    </row>
    <row r="2422" spans="1:20" ht="409.6">
      <c r="A2422" s="3">
        <v>2694246</v>
      </c>
      <c r="B2422" s="3">
        <f>HYPERLINK("https://platform.v2.vetology.net/cases/2694246/screening-report/6?type=pdf&amp;v=v6&amp;scorecard=1&amp;secret_key=BX%25IJ%24%2F65ieZ%29f6", 2694246)</f>
        <v>2694246</v>
      </c>
      <c r="C2422" s="3">
        <f>HYPERLINK("https://platform.v2.vetology.net/report/v/final/"&amp;2694246, 2694246)</f>
        <v>2694246</v>
      </c>
      <c r="D2422" s="3" t="s">
        <v>8297</v>
      </c>
      <c r="E2422" s="3" t="s">
        <v>8298</v>
      </c>
      <c r="F2422" s="3" t="s">
        <v>22</v>
      </c>
      <c r="G2422" s="3" t="s">
        <v>23</v>
      </c>
      <c r="H2422" s="3" t="s">
        <v>8299</v>
      </c>
      <c r="I2422" s="3" t="s">
        <v>224</v>
      </c>
      <c r="J2422" s="3" t="s">
        <v>225</v>
      </c>
      <c r="K2422" s="3" t="s">
        <v>27</v>
      </c>
      <c r="L2422" s="3" t="s">
        <v>28</v>
      </c>
      <c r="M2422" s="3" t="s">
        <v>28</v>
      </c>
      <c r="N2422" s="3" t="s">
        <v>28</v>
      </c>
      <c r="O2422" s="3" t="s">
        <v>27</v>
      </c>
      <c r="P2422" s="3" t="s">
        <v>28</v>
      </c>
      <c r="Q2422" s="3" t="s">
        <v>28</v>
      </c>
      <c r="R2422" s="3" t="s">
        <v>28</v>
      </c>
      <c r="S2422" s="3" t="s">
        <v>27</v>
      </c>
      <c r="T2422" s="3" t="s">
        <v>27</v>
      </c>
    </row>
    <row r="2423" spans="1:20" ht="244.5">
      <c r="A2423" s="3">
        <v>2694227</v>
      </c>
      <c r="B2423" s="3">
        <f>HYPERLINK("https://platform.v2.vetology.net/cases/2694227/screening-report/6?type=pdf&amp;v=v6&amp;scorecard=1&amp;secret_key=BX%25IJ%24%2F65ieZ%29f6", 2694227)</f>
        <v>2694227</v>
      </c>
      <c r="C2423" s="3">
        <f>HYPERLINK("https://platform.v2.vetology.net/report/v/final/"&amp;2694227, 2694227)</f>
        <v>2694227</v>
      </c>
      <c r="D2423" s="3" t="s">
        <v>8300</v>
      </c>
      <c r="E2423" s="3" t="s">
        <v>8301</v>
      </c>
      <c r="F2423" s="3" t="s">
        <v>8302</v>
      </c>
      <c r="G2423" s="3" t="s">
        <v>179</v>
      </c>
      <c r="H2423" s="3" t="s">
        <v>2331</v>
      </c>
      <c r="I2423" s="3" t="s">
        <v>305</v>
      </c>
      <c r="J2423" s="3" t="s">
        <v>799</v>
      </c>
      <c r="K2423" s="3" t="s">
        <v>28</v>
      </c>
      <c r="L2423" s="3" t="s">
        <v>28</v>
      </c>
      <c r="M2423" s="3" t="s">
        <v>28</v>
      </c>
      <c r="N2423" s="3" t="s">
        <v>28</v>
      </c>
      <c r="O2423" s="3" t="s">
        <v>28</v>
      </c>
      <c r="P2423" s="3" t="s">
        <v>28</v>
      </c>
      <c r="Q2423" s="3" t="s">
        <v>28</v>
      </c>
      <c r="R2423" s="3" t="s">
        <v>28</v>
      </c>
      <c r="S2423" s="3" t="s">
        <v>27</v>
      </c>
      <c r="T2423" s="3" t="s">
        <v>28</v>
      </c>
    </row>
    <row r="2424" spans="1:20" ht="409.6">
      <c r="A2424" s="3">
        <v>2694204</v>
      </c>
      <c r="B2424" s="3">
        <f>HYPERLINK("https://platform.v2.vetology.net/cases/2694204/screening-report/6?type=pdf&amp;v=v6&amp;scorecard=1&amp;secret_key=BX%25IJ%24%2F65ieZ%29f6", 2694204)</f>
        <v>2694204</v>
      </c>
      <c r="C2424" s="3">
        <f>HYPERLINK("https://platform.v2.vetology.net/report/v/final/"&amp;2694204, 2694204)</f>
        <v>2694204</v>
      </c>
      <c r="D2424" s="3" t="s">
        <v>8303</v>
      </c>
      <c r="E2424" s="3" t="s">
        <v>8304</v>
      </c>
      <c r="F2424" s="3" t="s">
        <v>8305</v>
      </c>
      <c r="G2424" s="3" t="s">
        <v>186</v>
      </c>
      <c r="H2424" s="3" t="s">
        <v>5746</v>
      </c>
      <c r="I2424" s="3" t="s">
        <v>2825</v>
      </c>
      <c r="J2424" s="3" t="s">
        <v>2826</v>
      </c>
      <c r="K2424" s="3" t="s">
        <v>27</v>
      </c>
      <c r="L2424" s="3" t="s">
        <v>28</v>
      </c>
      <c r="M2424" s="3" t="s">
        <v>27</v>
      </c>
      <c r="N2424" s="3" t="s">
        <v>28</v>
      </c>
      <c r="O2424" s="3" t="s">
        <v>27</v>
      </c>
      <c r="P2424" s="3" t="s">
        <v>28</v>
      </c>
      <c r="Q2424" s="3" t="s">
        <v>27</v>
      </c>
      <c r="R2424" s="3" t="s">
        <v>28</v>
      </c>
      <c r="S2424" s="3" t="s">
        <v>28</v>
      </c>
      <c r="T2424" s="3" t="s">
        <v>28</v>
      </c>
    </row>
    <row r="2425" spans="1:20" ht="409.6">
      <c r="A2425" s="3">
        <v>2694190</v>
      </c>
      <c r="B2425" s="3">
        <f>HYPERLINK("https://platform.v2.vetology.net/cases/2694190/screening-report/6?type=pdf&amp;v=v6&amp;scorecard=1&amp;secret_key=BX%25IJ%24%2F65ieZ%29f6", 2694190)</f>
        <v>2694190</v>
      </c>
      <c r="C2425" s="3">
        <f>HYPERLINK("https://platform.v2.vetology.net/report/v/final/"&amp;2694190, 2694190)</f>
        <v>2694190</v>
      </c>
      <c r="D2425" s="3" t="s">
        <v>8306</v>
      </c>
      <c r="E2425" s="3" t="s">
        <v>8307</v>
      </c>
      <c r="F2425" s="3" t="s">
        <v>8308</v>
      </c>
      <c r="G2425" s="3" t="s">
        <v>64</v>
      </c>
      <c r="H2425" s="3" t="s">
        <v>8309</v>
      </c>
      <c r="I2425" s="3" t="s">
        <v>224</v>
      </c>
      <c r="J2425" s="3" t="s">
        <v>225</v>
      </c>
      <c r="K2425" s="3" t="s">
        <v>28</v>
      </c>
      <c r="L2425" s="3" t="s">
        <v>27</v>
      </c>
      <c r="M2425" s="3" t="s">
        <v>27</v>
      </c>
      <c r="N2425" s="3" t="s">
        <v>28</v>
      </c>
      <c r="O2425" s="3" t="s">
        <v>28</v>
      </c>
      <c r="P2425" s="3" t="s">
        <v>28</v>
      </c>
      <c r="Q2425" s="3" t="s">
        <v>28</v>
      </c>
      <c r="R2425" s="3" t="s">
        <v>28</v>
      </c>
      <c r="S2425" s="3" t="s">
        <v>28</v>
      </c>
      <c r="T2425" s="3" t="s">
        <v>27</v>
      </c>
    </row>
    <row r="2426" spans="1:20" ht="409.6">
      <c r="A2426" s="3">
        <v>2694137</v>
      </c>
      <c r="B2426" s="3">
        <f>HYPERLINK("https://platform.v2.vetology.net/cases/2694137/screening-report/6?type=pdf&amp;v=v6&amp;scorecard=1&amp;secret_key=BX%25IJ%24%2F65ieZ%29f6", 2694137)</f>
        <v>2694137</v>
      </c>
      <c r="C2426" s="3">
        <f>HYPERLINK("https://platform.v2.vetology.net/report/v/final/"&amp;2694137, 2694137)</f>
        <v>2694137</v>
      </c>
      <c r="D2426" s="3" t="s">
        <v>8310</v>
      </c>
      <c r="E2426" s="3" t="s">
        <v>8311</v>
      </c>
      <c r="F2426" s="3" t="s">
        <v>8312</v>
      </c>
      <c r="G2426" s="3" t="s">
        <v>57</v>
      </c>
      <c r="H2426" s="3" t="s">
        <v>4140</v>
      </c>
      <c r="I2426" s="3" t="s">
        <v>561</v>
      </c>
      <c r="J2426" s="3" t="s">
        <v>562</v>
      </c>
      <c r="K2426" s="3" t="s">
        <v>28</v>
      </c>
      <c r="L2426" s="3" t="s">
        <v>28</v>
      </c>
      <c r="M2426" s="3" t="s">
        <v>28</v>
      </c>
      <c r="N2426" s="3" t="s">
        <v>28</v>
      </c>
      <c r="O2426" s="3" t="s">
        <v>27</v>
      </c>
      <c r="P2426" s="3" t="s">
        <v>27</v>
      </c>
      <c r="Q2426" s="3" t="s">
        <v>28</v>
      </c>
      <c r="R2426" s="3" t="s">
        <v>28</v>
      </c>
      <c r="S2426" s="3" t="s">
        <v>28</v>
      </c>
      <c r="T2426" s="3" t="s">
        <v>27</v>
      </c>
    </row>
    <row r="2427" spans="1:20" ht="259.5">
      <c r="A2427" s="3">
        <v>2694102</v>
      </c>
      <c r="B2427" s="3">
        <f>HYPERLINK("https://platform.v2.vetology.net/cases/2694102/screening-report/6?type=pdf&amp;v=v6&amp;scorecard=1&amp;secret_key=BX%25IJ%24%2F65ieZ%29f6", 2694102)</f>
        <v>2694102</v>
      </c>
      <c r="C2427" s="3">
        <f>HYPERLINK("https://platform.v2.vetology.net/report/v/final/"&amp;2694102, 2694102)</f>
        <v>2694102</v>
      </c>
      <c r="D2427" s="3" t="s">
        <v>8313</v>
      </c>
      <c r="E2427" s="3" t="s">
        <v>8314</v>
      </c>
      <c r="F2427" s="3" t="s">
        <v>8315</v>
      </c>
      <c r="G2427" s="3" t="s">
        <v>186</v>
      </c>
      <c r="H2427" s="3" t="s">
        <v>3149</v>
      </c>
      <c r="I2427" s="3" t="s">
        <v>2259</v>
      </c>
      <c r="J2427" s="3" t="s">
        <v>2260</v>
      </c>
      <c r="K2427" s="3" t="s">
        <v>28</v>
      </c>
      <c r="L2427" s="3" t="s">
        <v>28</v>
      </c>
      <c r="M2427" s="3" t="s">
        <v>27</v>
      </c>
      <c r="N2427" s="3" t="s">
        <v>28</v>
      </c>
      <c r="O2427" s="3" t="s">
        <v>27</v>
      </c>
      <c r="P2427" s="3" t="s">
        <v>28</v>
      </c>
      <c r="Q2427" s="3" t="s">
        <v>28</v>
      </c>
      <c r="R2427" s="3" t="s">
        <v>28</v>
      </c>
      <c r="S2427" s="3" t="s">
        <v>28</v>
      </c>
      <c r="T2427" s="3" t="s">
        <v>28</v>
      </c>
    </row>
    <row r="2428" spans="1:20" ht="336">
      <c r="A2428" s="3">
        <v>2693900</v>
      </c>
      <c r="B2428" s="3">
        <f>HYPERLINK("https://platform.v2.vetology.net/cases/2693900/screening-report/6?type=pdf&amp;v=v6&amp;scorecard=1&amp;secret_key=BX%25IJ%24%2F65ieZ%29f6", 2693900)</f>
        <v>2693900</v>
      </c>
      <c r="C2428" s="3">
        <f>HYPERLINK("https://platform.v2.vetology.net/report/v/final/"&amp;2693900, 2693900)</f>
        <v>2693900</v>
      </c>
      <c r="D2428" s="3" t="s">
        <v>8316</v>
      </c>
      <c r="E2428" s="3" t="s">
        <v>3119</v>
      </c>
      <c r="F2428" s="3" t="s">
        <v>22</v>
      </c>
      <c r="G2428" s="3" t="s">
        <v>372</v>
      </c>
      <c r="H2428" s="3" t="s">
        <v>8317</v>
      </c>
      <c r="I2428" s="3" t="s">
        <v>2506</v>
      </c>
      <c r="J2428" s="3" t="s">
        <v>2507</v>
      </c>
      <c r="K2428" s="3" t="s">
        <v>27</v>
      </c>
      <c r="L2428" s="3" t="s">
        <v>27</v>
      </c>
      <c r="M2428" s="3" t="s">
        <v>27</v>
      </c>
      <c r="N2428" s="3" t="s">
        <v>28</v>
      </c>
      <c r="O2428" s="3" t="s">
        <v>27</v>
      </c>
      <c r="P2428" s="3" t="s">
        <v>27</v>
      </c>
      <c r="Q2428" s="3" t="s">
        <v>28</v>
      </c>
      <c r="R2428" s="3" t="s">
        <v>28</v>
      </c>
      <c r="S2428" s="3" t="s">
        <v>28</v>
      </c>
      <c r="T2428" s="3" t="s">
        <v>28</v>
      </c>
    </row>
    <row r="2429" spans="1:20" ht="409.6">
      <c r="A2429" s="3">
        <v>2693891</v>
      </c>
      <c r="B2429" s="3">
        <f>HYPERLINK("https://platform.v2.vetology.net/cases/2693891/screening-report/6?type=pdf&amp;v=v6&amp;scorecard=1&amp;secret_key=BX%25IJ%24%2F65ieZ%29f6", 2693891)</f>
        <v>2693891</v>
      </c>
      <c r="C2429" s="3">
        <f>HYPERLINK("https://platform.v2.vetology.net/report/v/final/"&amp;2693891, 2693891)</f>
        <v>2693891</v>
      </c>
      <c r="D2429" s="3" t="s">
        <v>8318</v>
      </c>
      <c r="E2429" s="3" t="s">
        <v>8319</v>
      </c>
      <c r="F2429" s="3" t="s">
        <v>1164</v>
      </c>
      <c r="G2429" s="3" t="s">
        <v>100</v>
      </c>
      <c r="H2429" s="3" t="s">
        <v>8320</v>
      </c>
      <c r="I2429" s="3" t="s">
        <v>878</v>
      </c>
      <c r="J2429" s="3" t="s">
        <v>879</v>
      </c>
      <c r="K2429" s="3" t="s">
        <v>27</v>
      </c>
      <c r="L2429" s="3" t="s">
        <v>27</v>
      </c>
      <c r="M2429" s="3" t="s">
        <v>28</v>
      </c>
      <c r="N2429" s="3" t="s">
        <v>27</v>
      </c>
      <c r="O2429" s="3" t="s">
        <v>27</v>
      </c>
      <c r="P2429" s="3" t="s">
        <v>28</v>
      </c>
      <c r="Q2429" s="3" t="s">
        <v>27</v>
      </c>
      <c r="R2429" s="3" t="s">
        <v>27</v>
      </c>
      <c r="S2429" s="3" t="s">
        <v>27</v>
      </c>
      <c r="T2429" s="3" t="s">
        <v>27</v>
      </c>
    </row>
    <row r="2430" spans="1:20" ht="305.25">
      <c r="A2430" s="3">
        <v>2693817</v>
      </c>
      <c r="B2430" s="3">
        <f>HYPERLINK("https://platform.v2.vetology.net/cases/2693817/screening-report/6?type=pdf&amp;v=v6&amp;scorecard=1&amp;secret_key=BX%25IJ%24%2F65ieZ%29f6", 2693817)</f>
        <v>2693817</v>
      </c>
      <c r="C2430" s="3">
        <f>HYPERLINK("https://platform.v2.vetology.net/report/v/final/"&amp;2693817, 2693817)</f>
        <v>2693817</v>
      </c>
      <c r="D2430" s="3" t="s">
        <v>8321</v>
      </c>
      <c r="E2430" s="3" t="s">
        <v>8322</v>
      </c>
      <c r="F2430" s="3" t="s">
        <v>22</v>
      </c>
      <c r="G2430" s="3" t="s">
        <v>100</v>
      </c>
      <c r="H2430" s="3" t="s">
        <v>118</v>
      </c>
      <c r="I2430" s="3" t="s">
        <v>2746</v>
      </c>
      <c r="J2430" s="3" t="s">
        <v>33</v>
      </c>
      <c r="K2430" s="3" t="s">
        <v>28</v>
      </c>
      <c r="L2430" s="3" t="s">
        <v>28</v>
      </c>
      <c r="M2430" s="3" t="s">
        <v>28</v>
      </c>
      <c r="N2430" s="3" t="s">
        <v>28</v>
      </c>
      <c r="O2430" s="3" t="s">
        <v>28</v>
      </c>
      <c r="P2430" s="3" t="s">
        <v>27</v>
      </c>
      <c r="Q2430" s="3" t="s">
        <v>28</v>
      </c>
      <c r="R2430" s="3" t="s">
        <v>28</v>
      </c>
      <c r="S2430" s="3" t="s">
        <v>28</v>
      </c>
      <c r="T2430" s="3" t="s">
        <v>27</v>
      </c>
    </row>
    <row r="2431" spans="1:20" ht="396.75">
      <c r="A2431" s="3">
        <v>2693802</v>
      </c>
      <c r="B2431" s="3">
        <f>HYPERLINK("https://platform.v2.vetology.net/cases/2693802/screening-report/6?type=pdf&amp;v=v6&amp;scorecard=1&amp;secret_key=BX%25IJ%24%2F65ieZ%29f6", 2693802)</f>
        <v>2693802</v>
      </c>
      <c r="C2431" s="3">
        <f>HYPERLINK("https://platform.v2.vetology.net/report/v/final/"&amp;2693802, 2693802)</f>
        <v>2693802</v>
      </c>
      <c r="D2431" s="3" t="s">
        <v>8323</v>
      </c>
      <c r="E2431" s="3" t="s">
        <v>8324</v>
      </c>
      <c r="F2431" s="3" t="s">
        <v>22</v>
      </c>
      <c r="G2431" s="3" t="s">
        <v>100</v>
      </c>
      <c r="H2431" s="3" t="s">
        <v>350</v>
      </c>
      <c r="I2431" s="3" t="s">
        <v>351</v>
      </c>
      <c r="J2431" s="3" t="s">
        <v>352</v>
      </c>
      <c r="K2431" s="3" t="s">
        <v>28</v>
      </c>
      <c r="L2431" s="3" t="s">
        <v>28</v>
      </c>
      <c r="M2431" s="3" t="s">
        <v>28</v>
      </c>
      <c r="N2431" s="3" t="s">
        <v>28</v>
      </c>
      <c r="O2431" s="3" t="s">
        <v>28</v>
      </c>
      <c r="P2431" s="3" t="s">
        <v>28</v>
      </c>
      <c r="Q2431" s="3" t="s">
        <v>28</v>
      </c>
      <c r="R2431" s="3" t="s">
        <v>28</v>
      </c>
      <c r="S2431" s="3" t="s">
        <v>28</v>
      </c>
      <c r="T2431" s="3" t="s">
        <v>27</v>
      </c>
    </row>
    <row r="2432" spans="1:20" ht="381.75">
      <c r="A2432" s="3">
        <v>2693800</v>
      </c>
      <c r="B2432" s="3">
        <f>HYPERLINK("https://platform.v2.vetology.net/cases/2693800/screening-report/6?type=pdf&amp;v=v6&amp;scorecard=1&amp;secret_key=BX%25IJ%24%2F65ieZ%29f6", 2693800)</f>
        <v>2693800</v>
      </c>
      <c r="C2432" s="3">
        <f>HYPERLINK("https://platform.v2.vetology.net/report/v/final/"&amp;2693800, 2693800)</f>
        <v>2693800</v>
      </c>
      <c r="D2432" s="3" t="s">
        <v>2246</v>
      </c>
      <c r="E2432" s="3" t="s">
        <v>8325</v>
      </c>
      <c r="F2432" s="3" t="s">
        <v>1061</v>
      </c>
      <c r="G2432" s="3" t="s">
        <v>100</v>
      </c>
      <c r="H2432" s="3" t="s">
        <v>8326</v>
      </c>
      <c r="I2432" s="3" t="s">
        <v>345</v>
      </c>
      <c r="J2432" s="3" t="s">
        <v>534</v>
      </c>
      <c r="K2432" s="3" t="s">
        <v>28</v>
      </c>
      <c r="L2432" s="3" t="s">
        <v>28</v>
      </c>
      <c r="M2432" s="3" t="s">
        <v>28</v>
      </c>
      <c r="N2432" s="3" t="s">
        <v>27</v>
      </c>
      <c r="O2432" s="3" t="s">
        <v>28</v>
      </c>
      <c r="P2432" s="3" t="s">
        <v>28</v>
      </c>
      <c r="Q2432" s="3" t="s">
        <v>28</v>
      </c>
      <c r="R2432" s="3" t="s">
        <v>28</v>
      </c>
      <c r="S2432" s="3" t="s">
        <v>27</v>
      </c>
      <c r="T2432" s="3" t="s">
        <v>27</v>
      </c>
    </row>
    <row r="2433" spans="1:20" ht="409.6">
      <c r="A2433" s="3">
        <v>2693798</v>
      </c>
      <c r="B2433" s="3">
        <f>HYPERLINK("https://platform.v2.vetology.net/cases/2693798/screening-report/6?type=pdf&amp;v=v6&amp;scorecard=1&amp;secret_key=BX%25IJ%24%2F65ieZ%29f6", 2693798)</f>
        <v>2693798</v>
      </c>
      <c r="C2433" s="3">
        <f>HYPERLINK("https://platform.v2.vetology.net/report/v/final/"&amp;2693798, 2693798)</f>
        <v>2693798</v>
      </c>
      <c r="D2433" s="3" t="s">
        <v>954</v>
      </c>
      <c r="E2433" s="3" t="s">
        <v>5751</v>
      </c>
      <c r="F2433" s="3" t="s">
        <v>2159</v>
      </c>
      <c r="G2433" s="3" t="s">
        <v>100</v>
      </c>
      <c r="H2433" s="3" t="s">
        <v>2154</v>
      </c>
      <c r="I2433" s="3" t="s">
        <v>1020</v>
      </c>
      <c r="J2433" s="3" t="s">
        <v>1021</v>
      </c>
      <c r="K2433" s="3" t="s">
        <v>27</v>
      </c>
      <c r="L2433" s="3" t="s">
        <v>28</v>
      </c>
      <c r="M2433" s="3" t="s">
        <v>27</v>
      </c>
      <c r="N2433" s="3" t="s">
        <v>28</v>
      </c>
      <c r="O2433" s="3" t="s">
        <v>27</v>
      </c>
      <c r="P2433" s="3" t="s">
        <v>28</v>
      </c>
      <c r="Q2433" s="3" t="s">
        <v>27</v>
      </c>
      <c r="R2433" s="3" t="s">
        <v>28</v>
      </c>
      <c r="S2433" s="3" t="s">
        <v>28</v>
      </c>
      <c r="T2433" s="3" t="s">
        <v>28</v>
      </c>
    </row>
    <row r="2434" spans="1:20" ht="409.6">
      <c r="A2434" s="3">
        <v>2693797</v>
      </c>
      <c r="B2434" s="3">
        <f>HYPERLINK("https://platform.v2.vetology.net/cases/2693797/screening-report/6?type=pdf&amp;v=v6&amp;scorecard=1&amp;secret_key=BX%25IJ%24%2F65ieZ%29f6", 2693797)</f>
        <v>2693797</v>
      </c>
      <c r="C2434" s="3">
        <f>HYPERLINK("https://platform.v2.vetology.net/report/v/final/"&amp;2693797, 2693797)</f>
        <v>2693797</v>
      </c>
      <c r="D2434" s="3" t="s">
        <v>8327</v>
      </c>
      <c r="E2434" s="3" t="s">
        <v>8328</v>
      </c>
      <c r="F2434" s="3" t="s">
        <v>3298</v>
      </c>
      <c r="G2434" s="3" t="s">
        <v>100</v>
      </c>
      <c r="H2434" s="3" t="s">
        <v>8329</v>
      </c>
      <c r="I2434" s="3" t="s">
        <v>310</v>
      </c>
      <c r="J2434" s="3" t="s">
        <v>311</v>
      </c>
      <c r="K2434" s="3" t="s">
        <v>28</v>
      </c>
      <c r="L2434" s="3" t="s">
        <v>27</v>
      </c>
      <c r="M2434" s="3" t="s">
        <v>28</v>
      </c>
      <c r="N2434" s="3" t="s">
        <v>27</v>
      </c>
      <c r="O2434" s="3" t="s">
        <v>27</v>
      </c>
      <c r="P2434" s="3" t="s">
        <v>28</v>
      </c>
      <c r="Q2434" s="3" t="s">
        <v>27</v>
      </c>
      <c r="R2434" s="3" t="s">
        <v>27</v>
      </c>
      <c r="S2434" s="3" t="s">
        <v>27</v>
      </c>
      <c r="T2434" s="3" t="s">
        <v>27</v>
      </c>
    </row>
    <row r="2435" spans="1:20" ht="409.6">
      <c r="A2435" s="3">
        <v>2693796</v>
      </c>
      <c r="B2435" s="3">
        <f>HYPERLINK("https://platform.v2.vetology.net/cases/2693796/screening-report/6?type=pdf&amp;v=v6&amp;scorecard=1&amp;secret_key=BX%25IJ%24%2F65ieZ%29f6", 2693796)</f>
        <v>2693796</v>
      </c>
      <c r="C2435" s="3">
        <f>HYPERLINK("https://platform.v2.vetology.net/report/v/final/"&amp;2693796, 2693796)</f>
        <v>2693796</v>
      </c>
      <c r="D2435" s="3" t="s">
        <v>8330</v>
      </c>
      <c r="E2435" s="3" t="s">
        <v>8331</v>
      </c>
      <c r="F2435" s="3" t="s">
        <v>22</v>
      </c>
      <c r="G2435" s="3" t="s">
        <v>100</v>
      </c>
      <c r="H2435" s="3" t="s">
        <v>309</v>
      </c>
      <c r="I2435" s="3" t="s">
        <v>310</v>
      </c>
      <c r="J2435" s="3" t="s">
        <v>311</v>
      </c>
      <c r="K2435" s="3" t="s">
        <v>28</v>
      </c>
      <c r="L2435" s="3" t="s">
        <v>27</v>
      </c>
      <c r="M2435" s="3" t="s">
        <v>28</v>
      </c>
      <c r="N2435" s="3" t="s">
        <v>27</v>
      </c>
      <c r="O2435" s="3" t="s">
        <v>27</v>
      </c>
      <c r="P2435" s="3" t="s">
        <v>28</v>
      </c>
      <c r="Q2435" s="3" t="s">
        <v>27</v>
      </c>
      <c r="R2435" s="3" t="s">
        <v>27</v>
      </c>
      <c r="S2435" s="3" t="s">
        <v>27</v>
      </c>
      <c r="T2435" s="3" t="s">
        <v>27</v>
      </c>
    </row>
    <row r="2436" spans="1:20" ht="396.75">
      <c r="A2436" s="3">
        <v>2693759</v>
      </c>
      <c r="B2436" s="3">
        <f>HYPERLINK("https://platform.v2.vetology.net/cases/2693759/screening-report/6?type=pdf&amp;v=v6&amp;scorecard=1&amp;secret_key=BX%25IJ%24%2F65ieZ%29f6", 2693759)</f>
        <v>2693759</v>
      </c>
      <c r="C2436" s="3">
        <f>HYPERLINK("https://platform.v2.vetology.net/report/v/final/"&amp;2693759, 2693759)</f>
        <v>2693759</v>
      </c>
      <c r="D2436" s="3" t="s">
        <v>8332</v>
      </c>
      <c r="E2436" s="3" t="s">
        <v>8333</v>
      </c>
      <c r="F2436" s="3" t="s">
        <v>22</v>
      </c>
      <c r="G2436" s="3" t="s">
        <v>100</v>
      </c>
      <c r="H2436" s="3" t="s">
        <v>8334</v>
      </c>
      <c r="I2436" s="3" t="s">
        <v>351</v>
      </c>
      <c r="J2436" s="3" t="s">
        <v>352</v>
      </c>
      <c r="K2436" s="3" t="s">
        <v>28</v>
      </c>
      <c r="L2436" s="3" t="s">
        <v>28</v>
      </c>
      <c r="M2436" s="3" t="s">
        <v>28</v>
      </c>
      <c r="N2436" s="3" t="s">
        <v>28</v>
      </c>
      <c r="O2436" s="3" t="s">
        <v>28</v>
      </c>
      <c r="P2436" s="3" t="s">
        <v>28</v>
      </c>
      <c r="Q2436" s="3" t="s">
        <v>28</v>
      </c>
      <c r="R2436" s="3" t="s">
        <v>28</v>
      </c>
      <c r="S2436" s="3" t="s">
        <v>28</v>
      </c>
      <c r="T2436" s="3" t="s">
        <v>27</v>
      </c>
    </row>
    <row r="2437" spans="1:20" ht="409.6">
      <c r="A2437" s="3">
        <v>2693694</v>
      </c>
      <c r="B2437" s="3">
        <f>HYPERLINK("https://platform.v2.vetology.net/cases/2693694/screening-report/6?type=pdf&amp;v=v6&amp;scorecard=1&amp;secret_key=BX%25IJ%24%2F65ieZ%29f6", 2693694)</f>
        <v>2693694</v>
      </c>
      <c r="C2437" s="3">
        <f>HYPERLINK("https://platform.v2.vetology.net/report/v/final/"&amp;2693694, 2693694)</f>
        <v>2693694</v>
      </c>
      <c r="D2437" s="3" t="s">
        <v>8335</v>
      </c>
      <c r="E2437" s="3" t="s">
        <v>8336</v>
      </c>
      <c r="F2437" s="3" t="s">
        <v>22</v>
      </c>
      <c r="G2437" s="3" t="s">
        <v>23</v>
      </c>
      <c r="H2437" s="3" t="s">
        <v>601</v>
      </c>
      <c r="I2437" s="3" t="s">
        <v>32</v>
      </c>
      <c r="J2437" s="3" t="s">
        <v>33</v>
      </c>
      <c r="K2437" s="3" t="s">
        <v>28</v>
      </c>
      <c r="L2437" s="3" t="s">
        <v>28</v>
      </c>
      <c r="M2437" s="3" t="s">
        <v>28</v>
      </c>
      <c r="N2437" s="3" t="s">
        <v>28</v>
      </c>
      <c r="O2437" s="3" t="s">
        <v>28</v>
      </c>
      <c r="P2437" s="3" t="s">
        <v>28</v>
      </c>
      <c r="Q2437" s="3" t="s">
        <v>28</v>
      </c>
      <c r="R2437" s="3" t="s">
        <v>28</v>
      </c>
      <c r="S2437" s="3" t="s">
        <v>28</v>
      </c>
      <c r="T2437" s="3" t="s">
        <v>28</v>
      </c>
    </row>
    <row r="2438" spans="1:20" ht="409.6">
      <c r="A2438" s="3">
        <v>2693689</v>
      </c>
      <c r="B2438" s="3">
        <f>HYPERLINK("https://platform.v2.vetology.net/cases/2693689/screening-report/6?type=pdf&amp;v=v6&amp;scorecard=1&amp;secret_key=BX%25IJ%24%2F65ieZ%29f6", 2693689)</f>
        <v>2693689</v>
      </c>
      <c r="C2438" s="3">
        <f>HYPERLINK("https://platform.v2.vetology.net/report/v/final/"&amp;2693689, 2693689)</f>
        <v>2693689</v>
      </c>
      <c r="D2438" s="3" t="s">
        <v>8337</v>
      </c>
      <c r="E2438" s="3" t="s">
        <v>8338</v>
      </c>
      <c r="F2438" s="3" t="s">
        <v>8339</v>
      </c>
      <c r="G2438" s="3" t="s">
        <v>64</v>
      </c>
      <c r="H2438" s="3" t="s">
        <v>8340</v>
      </c>
      <c r="I2438" s="3" t="s">
        <v>72</v>
      </c>
      <c r="J2438" s="3" t="s">
        <v>207</v>
      </c>
      <c r="K2438" s="3" t="s">
        <v>27</v>
      </c>
      <c r="L2438" s="3" t="s">
        <v>28</v>
      </c>
      <c r="M2438" s="3" t="s">
        <v>28</v>
      </c>
      <c r="N2438" s="3" t="s">
        <v>28</v>
      </c>
      <c r="O2438" s="3" t="s">
        <v>27</v>
      </c>
      <c r="P2438" s="3" t="s">
        <v>28</v>
      </c>
      <c r="Q2438" s="3" t="s">
        <v>27</v>
      </c>
      <c r="R2438" s="3" t="s">
        <v>28</v>
      </c>
      <c r="S2438" s="3" t="s">
        <v>28</v>
      </c>
      <c r="T2438" s="3" t="s">
        <v>28</v>
      </c>
    </row>
    <row r="2439" spans="1:20" ht="409.6">
      <c r="A2439" s="3">
        <v>2693592</v>
      </c>
      <c r="B2439" s="3">
        <f>HYPERLINK("https://platform.v2.vetology.net/cases/2693592/screening-report/6?type=pdf&amp;v=v6&amp;scorecard=1&amp;secret_key=BX%25IJ%24%2F65ieZ%29f6", 2693592)</f>
        <v>2693592</v>
      </c>
      <c r="C2439" s="3">
        <f>HYPERLINK("https://platform.v2.vetology.net/report/v/final/"&amp;2693592, 2693592)</f>
        <v>2693592</v>
      </c>
      <c r="D2439" s="3" t="s">
        <v>8341</v>
      </c>
      <c r="E2439" s="3" t="s">
        <v>8342</v>
      </c>
      <c r="F2439" s="3" t="s">
        <v>22</v>
      </c>
      <c r="G2439" s="3" t="s">
        <v>372</v>
      </c>
      <c r="H2439" s="3" t="s">
        <v>3801</v>
      </c>
      <c r="I2439" s="3" t="s">
        <v>2045</v>
      </c>
      <c r="J2439" s="3" t="s">
        <v>2046</v>
      </c>
      <c r="K2439" s="3" t="s">
        <v>27</v>
      </c>
      <c r="L2439" s="3" t="s">
        <v>27</v>
      </c>
      <c r="M2439" s="3" t="s">
        <v>27</v>
      </c>
      <c r="N2439" s="3" t="s">
        <v>27</v>
      </c>
      <c r="O2439" s="3" t="s">
        <v>27</v>
      </c>
      <c r="P2439" s="3" t="s">
        <v>28</v>
      </c>
      <c r="Q2439" s="3" t="s">
        <v>27</v>
      </c>
      <c r="R2439" s="3" t="s">
        <v>28</v>
      </c>
      <c r="S2439" s="3" t="s">
        <v>28</v>
      </c>
      <c r="T2439" s="3" t="s">
        <v>28</v>
      </c>
    </row>
    <row r="2440" spans="1:20" ht="409.6">
      <c r="A2440" s="3">
        <v>2693574</v>
      </c>
      <c r="B2440" s="3">
        <f>HYPERLINK("https://platform.v2.vetology.net/cases/2693574/screening-report/6?type=pdf&amp;v=v6&amp;scorecard=1&amp;secret_key=BX%25IJ%24%2F65ieZ%29f6", 2693574)</f>
        <v>2693574</v>
      </c>
      <c r="C2440" s="3">
        <f>HYPERLINK("https://platform.v2.vetology.net/report/v/final/"&amp;2693574, 2693574)</f>
        <v>2693574</v>
      </c>
      <c r="D2440" s="3" t="s">
        <v>8343</v>
      </c>
      <c r="E2440" s="3" t="s">
        <v>8344</v>
      </c>
      <c r="F2440" s="3" t="s">
        <v>22</v>
      </c>
      <c r="G2440" s="3" t="s">
        <v>372</v>
      </c>
      <c r="H2440" s="3" t="s">
        <v>4341</v>
      </c>
      <c r="I2440" s="3" t="s">
        <v>706</v>
      </c>
      <c r="J2440" s="3" t="s">
        <v>707</v>
      </c>
      <c r="K2440" s="3" t="s">
        <v>28</v>
      </c>
      <c r="L2440" s="3" t="s">
        <v>28</v>
      </c>
      <c r="M2440" s="3" t="s">
        <v>28</v>
      </c>
      <c r="N2440" s="3" t="s">
        <v>28</v>
      </c>
      <c r="O2440" s="3" t="s">
        <v>27</v>
      </c>
      <c r="P2440" s="3" t="s">
        <v>28</v>
      </c>
      <c r="Q2440" s="3" t="s">
        <v>28</v>
      </c>
      <c r="R2440" s="3" t="s">
        <v>28</v>
      </c>
      <c r="S2440" s="3" t="s">
        <v>28</v>
      </c>
      <c r="T2440" s="3" t="s">
        <v>27</v>
      </c>
    </row>
    <row r="2441" spans="1:20" ht="396.75">
      <c r="A2441" s="3">
        <v>2693562</v>
      </c>
      <c r="B2441" s="3">
        <f>HYPERLINK("https://platform.v2.vetology.net/cases/2693562/screening-report/6?type=pdf&amp;v=v6&amp;scorecard=1&amp;secret_key=BX%25IJ%24%2F65ieZ%29f6", 2693562)</f>
        <v>2693562</v>
      </c>
      <c r="C2441" s="3">
        <f>HYPERLINK("https://platform.v2.vetology.net/report/v/final/"&amp;2693562, 2693562)</f>
        <v>2693562</v>
      </c>
      <c r="D2441" s="3" t="s">
        <v>8345</v>
      </c>
      <c r="E2441" s="3" t="s">
        <v>8346</v>
      </c>
      <c r="F2441" s="3" t="s">
        <v>8347</v>
      </c>
      <c r="G2441" s="3" t="s">
        <v>64</v>
      </c>
      <c r="H2441" s="3" t="s">
        <v>350</v>
      </c>
      <c r="I2441" s="3" t="s">
        <v>351</v>
      </c>
      <c r="J2441" s="3" t="s">
        <v>352</v>
      </c>
      <c r="K2441" s="3" t="s">
        <v>28</v>
      </c>
      <c r="L2441" s="3" t="s">
        <v>28</v>
      </c>
      <c r="M2441" s="3" t="s">
        <v>28</v>
      </c>
      <c r="N2441" s="3" t="s">
        <v>28</v>
      </c>
      <c r="O2441" s="3" t="s">
        <v>28</v>
      </c>
      <c r="P2441" s="3" t="s">
        <v>28</v>
      </c>
      <c r="Q2441" s="3" t="s">
        <v>27</v>
      </c>
      <c r="R2441" s="3" t="s">
        <v>28</v>
      </c>
      <c r="S2441" s="3" t="s">
        <v>28</v>
      </c>
      <c r="T2441" s="3" t="s">
        <v>27</v>
      </c>
    </row>
    <row r="2442" spans="1:20" ht="351">
      <c r="A2442" s="3">
        <v>2693533</v>
      </c>
      <c r="B2442" s="3">
        <f>HYPERLINK("https://platform.v2.vetology.net/cases/2693533/screening-report/6?type=pdf&amp;v=v6&amp;scorecard=1&amp;secret_key=BX%25IJ%24%2F65ieZ%29f6", 2693533)</f>
        <v>2693533</v>
      </c>
      <c r="C2442" s="3">
        <f>HYPERLINK("https://platform.v2.vetology.net/report/v/final/"&amp;2693533, 2693533)</f>
        <v>2693533</v>
      </c>
      <c r="D2442" s="3" t="s">
        <v>8348</v>
      </c>
      <c r="E2442" s="3" t="s">
        <v>8349</v>
      </c>
      <c r="F2442" s="3" t="s">
        <v>8350</v>
      </c>
      <c r="G2442" s="3" t="s">
        <v>64</v>
      </c>
      <c r="H2442" s="3" t="s">
        <v>717</v>
      </c>
      <c r="I2442" s="3" t="s">
        <v>718</v>
      </c>
      <c r="J2442" s="3" t="s">
        <v>719</v>
      </c>
      <c r="K2442" s="3" t="s">
        <v>28</v>
      </c>
      <c r="L2442" s="3" t="s">
        <v>28</v>
      </c>
      <c r="M2442" s="3" t="s">
        <v>28</v>
      </c>
      <c r="N2442" s="3" t="s">
        <v>28</v>
      </c>
      <c r="O2442" s="3" t="s">
        <v>27</v>
      </c>
      <c r="P2442" s="3" t="s">
        <v>27</v>
      </c>
      <c r="Q2442" s="3" t="s">
        <v>28</v>
      </c>
      <c r="R2442" s="3" t="s">
        <v>28</v>
      </c>
      <c r="S2442" s="3" t="s">
        <v>28</v>
      </c>
      <c r="T2442" s="3" t="s">
        <v>28</v>
      </c>
    </row>
    <row r="2443" spans="1:20" ht="275.25">
      <c r="A2443" s="3">
        <v>2693525</v>
      </c>
      <c r="B2443" s="3">
        <f>HYPERLINK("https://platform.v2.vetology.net/cases/2693525/screening-report/6?type=pdf&amp;v=v6&amp;scorecard=1&amp;secret_key=BX%25IJ%24%2F65ieZ%29f6", 2693525)</f>
        <v>2693525</v>
      </c>
      <c r="C2443" s="3">
        <f>HYPERLINK("https://platform.v2.vetology.net/report/v/final/"&amp;2693525, 2693525)</f>
        <v>2693525</v>
      </c>
      <c r="D2443" s="3" t="s">
        <v>8351</v>
      </c>
      <c r="E2443" s="3" t="s">
        <v>8352</v>
      </c>
      <c r="F2443" s="3" t="s">
        <v>4934</v>
      </c>
      <c r="G2443" s="3" t="s">
        <v>186</v>
      </c>
      <c r="H2443" s="3" t="s">
        <v>2983</v>
      </c>
      <c r="I2443" s="3" t="s">
        <v>305</v>
      </c>
      <c r="J2443" s="3" t="s">
        <v>119</v>
      </c>
      <c r="K2443" s="3" t="s">
        <v>28</v>
      </c>
      <c r="L2443" s="3" t="s">
        <v>28</v>
      </c>
      <c r="M2443" s="3" t="s">
        <v>28</v>
      </c>
      <c r="N2443" s="3" t="s">
        <v>28</v>
      </c>
      <c r="O2443" s="3" t="s">
        <v>28</v>
      </c>
      <c r="P2443" s="3" t="s">
        <v>28</v>
      </c>
      <c r="Q2443" s="3" t="s">
        <v>28</v>
      </c>
      <c r="R2443" s="3" t="s">
        <v>28</v>
      </c>
      <c r="S2443" s="3" t="s">
        <v>28</v>
      </c>
      <c r="T2443" s="3" t="s">
        <v>28</v>
      </c>
    </row>
    <row r="2444" spans="1:20" ht="409.6">
      <c r="A2444" s="3">
        <v>2693523</v>
      </c>
      <c r="B2444" s="3">
        <f>HYPERLINK("https://platform.v2.vetology.net/cases/2693523/screening-report/6?type=pdf&amp;v=v6&amp;scorecard=1&amp;secret_key=BX%25IJ%24%2F65ieZ%29f6", 2693523)</f>
        <v>2693523</v>
      </c>
      <c r="C2444" s="3">
        <f>HYPERLINK("https://platform.v2.vetology.net/report/v/final/"&amp;2693523, 2693523)</f>
        <v>2693523</v>
      </c>
      <c r="D2444" s="3" t="s">
        <v>8353</v>
      </c>
      <c r="E2444" s="3" t="s">
        <v>8354</v>
      </c>
      <c r="F2444" s="3" t="s">
        <v>8355</v>
      </c>
      <c r="G2444" s="3" t="s">
        <v>64</v>
      </c>
      <c r="H2444" s="3" t="s">
        <v>6581</v>
      </c>
      <c r="I2444" s="3" t="s">
        <v>6582</v>
      </c>
      <c r="J2444" s="3" t="s">
        <v>6583</v>
      </c>
      <c r="K2444" s="3" t="s">
        <v>27</v>
      </c>
      <c r="L2444" s="3" t="s">
        <v>28</v>
      </c>
      <c r="M2444" s="3" t="s">
        <v>27</v>
      </c>
      <c r="N2444" s="3" t="s">
        <v>28</v>
      </c>
      <c r="O2444" s="3" t="s">
        <v>27</v>
      </c>
      <c r="P2444" s="3" t="s">
        <v>28</v>
      </c>
      <c r="Q2444" s="3" t="s">
        <v>27</v>
      </c>
      <c r="R2444" s="3" t="s">
        <v>28</v>
      </c>
      <c r="S2444" s="3" t="s">
        <v>28</v>
      </c>
      <c r="T2444" s="3" t="s">
        <v>28</v>
      </c>
    </row>
    <row r="2445" spans="1:20" ht="396.75">
      <c r="A2445" s="3">
        <v>2693468</v>
      </c>
      <c r="B2445" s="3">
        <f>HYPERLINK("https://platform.v2.vetology.net/cases/2693468/screening-report/6?type=pdf&amp;v=v6&amp;scorecard=1&amp;secret_key=BX%25IJ%24%2F65ieZ%29f6", 2693468)</f>
        <v>2693468</v>
      </c>
      <c r="C2445" s="3">
        <f>HYPERLINK("https://platform.v2.vetology.net/report/v/final/"&amp;2693468, 2693468)</f>
        <v>2693468</v>
      </c>
      <c r="D2445" s="3" t="s">
        <v>8356</v>
      </c>
      <c r="E2445" s="3" t="s">
        <v>8357</v>
      </c>
      <c r="F2445" s="3" t="s">
        <v>8358</v>
      </c>
      <c r="G2445" s="3" t="s">
        <v>179</v>
      </c>
      <c r="H2445" s="3" t="s">
        <v>350</v>
      </c>
      <c r="I2445" s="3" t="s">
        <v>351</v>
      </c>
      <c r="J2445" s="3" t="s">
        <v>352</v>
      </c>
      <c r="K2445" s="3" t="s">
        <v>28</v>
      </c>
      <c r="L2445" s="3" t="s">
        <v>28</v>
      </c>
      <c r="M2445" s="3" t="s">
        <v>28</v>
      </c>
      <c r="N2445" s="3" t="s">
        <v>28</v>
      </c>
      <c r="O2445" s="3" t="s">
        <v>28</v>
      </c>
      <c r="P2445" s="3" t="s">
        <v>28</v>
      </c>
      <c r="Q2445" s="3" t="s">
        <v>28</v>
      </c>
      <c r="R2445" s="3" t="s">
        <v>27</v>
      </c>
      <c r="S2445" s="3" t="s">
        <v>28</v>
      </c>
      <c r="T2445" s="3" t="s">
        <v>27</v>
      </c>
    </row>
    <row r="2446" spans="1:20" ht="381.75">
      <c r="A2446" s="3">
        <v>2693449</v>
      </c>
      <c r="B2446" s="3">
        <f>HYPERLINK("https://platform.v2.vetology.net/cases/2693449/screening-report/6?type=pdf&amp;v=v6&amp;scorecard=1&amp;secret_key=BX%25IJ%24%2F65ieZ%29f6", 2693449)</f>
        <v>2693449</v>
      </c>
      <c r="C2446" s="3">
        <f>HYPERLINK("https://platform.v2.vetology.net/report/v/final/"&amp;2693449, 2693449)</f>
        <v>2693449</v>
      </c>
      <c r="D2446" s="3" t="s">
        <v>8359</v>
      </c>
      <c r="E2446" s="3" t="s">
        <v>8360</v>
      </c>
      <c r="F2446" s="3" t="s">
        <v>8361</v>
      </c>
      <c r="G2446" s="3" t="s">
        <v>100</v>
      </c>
      <c r="H2446" s="3" t="s">
        <v>8362</v>
      </c>
      <c r="I2446" s="3" t="s">
        <v>856</v>
      </c>
      <c r="J2446" s="3" t="s">
        <v>857</v>
      </c>
      <c r="K2446" s="3" t="s">
        <v>28</v>
      </c>
      <c r="L2446" s="3" t="s">
        <v>28</v>
      </c>
      <c r="M2446" s="3" t="s">
        <v>28</v>
      </c>
      <c r="N2446" s="3" t="s">
        <v>28</v>
      </c>
      <c r="O2446" s="3" t="s">
        <v>27</v>
      </c>
      <c r="P2446" s="3" t="s">
        <v>28</v>
      </c>
      <c r="Q2446" s="3" t="s">
        <v>28</v>
      </c>
      <c r="R2446" s="3" t="s">
        <v>28</v>
      </c>
      <c r="S2446" s="3" t="s">
        <v>28</v>
      </c>
      <c r="T2446" s="3" t="s">
        <v>28</v>
      </c>
    </row>
    <row r="2447" spans="1:20" ht="229.5">
      <c r="A2447" s="3">
        <v>2693421</v>
      </c>
      <c r="B2447" s="3">
        <f>HYPERLINK("https://platform.v2.vetology.net/cases/2693421/screening-report/6?type=pdf&amp;v=v6&amp;scorecard=1&amp;secret_key=BX%25IJ%24%2F65ieZ%29f6", 2693421)</f>
        <v>2693421</v>
      </c>
      <c r="C2447" s="3">
        <f>HYPERLINK("https://platform.v2.vetology.net/report/v/final/"&amp;2693421, 2693421)</f>
        <v>2693421</v>
      </c>
      <c r="D2447" s="3" t="s">
        <v>8363</v>
      </c>
      <c r="E2447" s="3" t="s">
        <v>8364</v>
      </c>
      <c r="F2447" s="3" t="s">
        <v>8365</v>
      </c>
      <c r="G2447" s="3" t="s">
        <v>100</v>
      </c>
      <c r="H2447" s="3" t="s">
        <v>944</v>
      </c>
      <c r="I2447" s="3" t="s">
        <v>32</v>
      </c>
      <c r="J2447" s="3" t="s">
        <v>119</v>
      </c>
      <c r="K2447" s="3" t="s">
        <v>28</v>
      </c>
      <c r="L2447" s="3" t="s">
        <v>28</v>
      </c>
      <c r="M2447" s="3" t="s">
        <v>28</v>
      </c>
      <c r="N2447" s="3" t="s">
        <v>28</v>
      </c>
      <c r="O2447" s="3" t="s">
        <v>28</v>
      </c>
      <c r="P2447" s="3" t="s">
        <v>28</v>
      </c>
      <c r="Q2447" s="3" t="s">
        <v>28</v>
      </c>
      <c r="R2447" s="3" t="s">
        <v>28</v>
      </c>
      <c r="S2447" s="3" t="s">
        <v>28</v>
      </c>
      <c r="T2447" s="3" t="s">
        <v>28</v>
      </c>
    </row>
    <row r="2448" spans="1:20" ht="351">
      <c r="A2448" s="3">
        <v>2693410</v>
      </c>
      <c r="B2448" s="3">
        <f>HYPERLINK("https://platform.v2.vetology.net/cases/2693410/screening-report/6?type=pdf&amp;v=v6&amp;scorecard=1&amp;secret_key=BX%25IJ%24%2F65ieZ%29f6", 2693410)</f>
        <v>2693410</v>
      </c>
      <c r="C2448" s="3">
        <f>HYPERLINK("https://platform.v2.vetology.net/report/v/final/"&amp;2693410, 2693410)</f>
        <v>2693410</v>
      </c>
      <c r="D2448" s="3" t="s">
        <v>8366</v>
      </c>
      <c r="E2448" s="3" t="s">
        <v>8367</v>
      </c>
      <c r="F2448" s="3" t="s">
        <v>8368</v>
      </c>
      <c r="G2448" s="3" t="s">
        <v>57</v>
      </c>
      <c r="H2448" s="3" t="s">
        <v>31</v>
      </c>
      <c r="I2448" s="3" t="s">
        <v>32</v>
      </c>
      <c r="J2448" s="3" t="s">
        <v>119</v>
      </c>
      <c r="K2448" s="3" t="s">
        <v>28</v>
      </c>
      <c r="L2448" s="3" t="s">
        <v>28</v>
      </c>
      <c r="M2448" s="3" t="s">
        <v>28</v>
      </c>
      <c r="N2448" s="3" t="s">
        <v>28</v>
      </c>
      <c r="O2448" s="3" t="s">
        <v>28</v>
      </c>
      <c r="P2448" s="3" t="s">
        <v>28</v>
      </c>
      <c r="Q2448" s="3" t="s">
        <v>28</v>
      </c>
      <c r="R2448" s="3" t="s">
        <v>28</v>
      </c>
      <c r="S2448" s="3" t="s">
        <v>28</v>
      </c>
      <c r="T2448" s="3" t="s">
        <v>28</v>
      </c>
    </row>
    <row r="2449" spans="1:20" ht="351">
      <c r="A2449" s="3">
        <v>2693286</v>
      </c>
      <c r="B2449" s="3">
        <f>HYPERLINK("https://platform.v2.vetology.net/cases/2693286/screening-report/6?type=pdf&amp;v=v6&amp;scorecard=1&amp;secret_key=BX%25IJ%24%2F65ieZ%29f6", 2693286)</f>
        <v>2693286</v>
      </c>
      <c r="C2449" s="3">
        <f>HYPERLINK("https://platform.v2.vetology.net/report/v/final/"&amp;2693286, 2693286)</f>
        <v>2693286</v>
      </c>
      <c r="D2449" s="3" t="s">
        <v>8369</v>
      </c>
      <c r="E2449" s="3" t="s">
        <v>8370</v>
      </c>
      <c r="F2449" s="3" t="s">
        <v>8371</v>
      </c>
      <c r="G2449" s="3" t="s">
        <v>23</v>
      </c>
      <c r="H2449" s="3" t="s">
        <v>2971</v>
      </c>
      <c r="I2449" s="3" t="s">
        <v>2972</v>
      </c>
      <c r="J2449" s="3" t="s">
        <v>387</v>
      </c>
      <c r="K2449" s="3" t="s">
        <v>28</v>
      </c>
      <c r="L2449" s="3" t="s">
        <v>28</v>
      </c>
      <c r="M2449" s="3" t="s">
        <v>28</v>
      </c>
      <c r="N2449" s="3" t="s">
        <v>28</v>
      </c>
      <c r="O2449" s="3" t="s">
        <v>28</v>
      </c>
      <c r="P2449" s="3" t="s">
        <v>28</v>
      </c>
      <c r="Q2449" s="3" t="s">
        <v>28</v>
      </c>
      <c r="R2449" s="3" t="s">
        <v>28</v>
      </c>
      <c r="S2449" s="3" t="s">
        <v>28</v>
      </c>
      <c r="T2449" s="3" t="s">
        <v>28</v>
      </c>
    </row>
    <row r="2450" spans="1:20" ht="396.75">
      <c r="A2450" s="3">
        <v>2693258</v>
      </c>
      <c r="B2450" s="3">
        <f>HYPERLINK("https://platform.v2.vetology.net/cases/2693258/screening-report/6?type=pdf&amp;v=v6&amp;scorecard=1&amp;secret_key=BX%25IJ%24%2F65ieZ%29f6", 2693258)</f>
        <v>2693258</v>
      </c>
      <c r="C2450" s="3">
        <f>HYPERLINK("https://platform.v2.vetology.net/report/v/final/"&amp;2693258, 2693258)</f>
        <v>2693258</v>
      </c>
      <c r="D2450" s="3" t="s">
        <v>8372</v>
      </c>
      <c r="E2450" s="3" t="s">
        <v>8373</v>
      </c>
      <c r="F2450" s="3"/>
      <c r="G2450" s="3" t="s">
        <v>122</v>
      </c>
      <c r="H2450" s="3" t="s">
        <v>1307</v>
      </c>
      <c r="I2450" s="3" t="s">
        <v>351</v>
      </c>
      <c r="J2450" s="3" t="s">
        <v>352</v>
      </c>
      <c r="K2450" s="3" t="s">
        <v>28</v>
      </c>
      <c r="L2450" s="3" t="s">
        <v>28</v>
      </c>
      <c r="M2450" s="3" t="s">
        <v>28</v>
      </c>
      <c r="N2450" s="3" t="s">
        <v>28</v>
      </c>
      <c r="O2450" s="3" t="s">
        <v>28</v>
      </c>
      <c r="P2450" s="3" t="s">
        <v>28</v>
      </c>
      <c r="Q2450" s="3" t="s">
        <v>28</v>
      </c>
      <c r="R2450" s="3" t="s">
        <v>28</v>
      </c>
      <c r="S2450" s="3" t="s">
        <v>28</v>
      </c>
      <c r="T2450" s="3" t="s">
        <v>27</v>
      </c>
    </row>
    <row r="2451" spans="1:20" ht="381.75">
      <c r="A2451" s="3">
        <v>2693248</v>
      </c>
      <c r="B2451" s="3">
        <f>HYPERLINK("https://platform.v2.vetology.net/cases/2693248/screening-report/6?type=pdf&amp;v=v6&amp;scorecard=1&amp;secret_key=BX%25IJ%24%2F65ieZ%29f6", 2693248)</f>
        <v>2693248</v>
      </c>
      <c r="C2451" s="3">
        <f>HYPERLINK("https://platform.v2.vetology.net/report/v/final/"&amp;2693248, 2693248)</f>
        <v>2693248</v>
      </c>
      <c r="D2451" s="3" t="s">
        <v>8374</v>
      </c>
      <c r="E2451" s="3" t="s">
        <v>8375</v>
      </c>
      <c r="F2451" s="3" t="s">
        <v>8376</v>
      </c>
      <c r="G2451" s="3" t="s">
        <v>57</v>
      </c>
      <c r="H2451" s="3" t="s">
        <v>8377</v>
      </c>
      <c r="I2451" s="3" t="s">
        <v>856</v>
      </c>
      <c r="J2451" s="3" t="s">
        <v>857</v>
      </c>
      <c r="K2451" s="3" t="s">
        <v>27</v>
      </c>
      <c r="L2451" s="3" t="s">
        <v>28</v>
      </c>
      <c r="M2451" s="3" t="s">
        <v>28</v>
      </c>
      <c r="N2451" s="3" t="s">
        <v>28</v>
      </c>
      <c r="O2451" s="3" t="s">
        <v>27</v>
      </c>
      <c r="P2451" s="3" t="s">
        <v>28</v>
      </c>
      <c r="Q2451" s="3" t="s">
        <v>28</v>
      </c>
      <c r="R2451" s="3" t="s">
        <v>28</v>
      </c>
      <c r="S2451" s="3" t="s">
        <v>28</v>
      </c>
      <c r="T2451" s="3" t="s">
        <v>28</v>
      </c>
    </row>
    <row r="2452" spans="1:20" ht="321">
      <c r="A2452" s="3">
        <v>2693245</v>
      </c>
      <c r="B2452" s="3">
        <f>HYPERLINK("https://platform.v2.vetology.net/cases/2693245/screening-report/6?type=pdf&amp;v=v6&amp;scorecard=1&amp;secret_key=BX%25IJ%24%2F65ieZ%29f6", 2693245)</f>
        <v>2693245</v>
      </c>
      <c r="C2452" s="3">
        <f>HYPERLINK("https://platform.v2.vetology.net/report/v/final/"&amp;2693245, 2693245)</f>
        <v>2693245</v>
      </c>
      <c r="D2452" s="3" t="s">
        <v>8378</v>
      </c>
      <c r="E2452" s="3" t="s">
        <v>8379</v>
      </c>
      <c r="F2452" s="3" t="s">
        <v>22</v>
      </c>
      <c r="G2452" s="3" t="s">
        <v>372</v>
      </c>
      <c r="H2452" s="3" t="s">
        <v>8380</v>
      </c>
      <c r="I2452" s="3" t="s">
        <v>2524</v>
      </c>
      <c r="J2452" s="3" t="s">
        <v>1374</v>
      </c>
      <c r="K2452" s="3" t="s">
        <v>27</v>
      </c>
      <c r="L2452" s="3" t="s">
        <v>27</v>
      </c>
      <c r="M2452" s="3" t="s">
        <v>27</v>
      </c>
      <c r="N2452" s="3" t="s">
        <v>27</v>
      </c>
      <c r="O2452" s="3" t="s">
        <v>27</v>
      </c>
      <c r="P2452" s="3" t="s">
        <v>28</v>
      </c>
      <c r="Q2452" s="3" t="s">
        <v>27</v>
      </c>
      <c r="R2452" s="3" t="s">
        <v>27</v>
      </c>
      <c r="S2452" s="3" t="s">
        <v>27</v>
      </c>
      <c r="T2452" s="3" t="s">
        <v>27</v>
      </c>
    </row>
    <row r="2453" spans="1:20" ht="290.25">
      <c r="A2453" s="3">
        <v>2693242</v>
      </c>
      <c r="B2453" s="3">
        <f>HYPERLINK("https://platform.v2.vetology.net/cases/2693242/screening-report/6?type=pdf&amp;v=v6&amp;scorecard=1&amp;secret_key=BX%25IJ%24%2F65ieZ%29f6", 2693242)</f>
        <v>2693242</v>
      </c>
      <c r="C2453" s="3">
        <f>HYPERLINK("https://platform.v2.vetology.net/report/v/final/"&amp;2693242, 2693242)</f>
        <v>2693242</v>
      </c>
      <c r="D2453" s="3" t="s">
        <v>8381</v>
      </c>
      <c r="E2453" s="3" t="s">
        <v>8382</v>
      </c>
      <c r="F2453" s="3" t="s">
        <v>22</v>
      </c>
      <c r="G2453" s="3" t="s">
        <v>372</v>
      </c>
      <c r="H2453" s="3" t="s">
        <v>3684</v>
      </c>
      <c r="I2453" s="3"/>
      <c r="J2453" s="3" t="s">
        <v>207</v>
      </c>
      <c r="K2453" s="3" t="s">
        <v>28</v>
      </c>
      <c r="L2453" s="3" t="s">
        <v>28</v>
      </c>
      <c r="M2453" s="3" t="s">
        <v>28</v>
      </c>
      <c r="N2453" s="3" t="s">
        <v>28</v>
      </c>
      <c r="O2453" s="3" t="s">
        <v>28</v>
      </c>
      <c r="P2453" s="3" t="s">
        <v>28</v>
      </c>
      <c r="Q2453" s="3" t="s">
        <v>28</v>
      </c>
      <c r="R2453" s="3" t="s">
        <v>28</v>
      </c>
      <c r="S2453" s="3" t="s">
        <v>28</v>
      </c>
      <c r="T2453" s="3" t="s">
        <v>28</v>
      </c>
    </row>
    <row r="2454" spans="1:20" ht="396.75">
      <c r="A2454" s="3">
        <v>2693239</v>
      </c>
      <c r="B2454" s="3">
        <f>HYPERLINK("https://platform.v2.vetology.net/cases/2693239/screening-report/6?type=pdf&amp;v=v6&amp;scorecard=1&amp;secret_key=BX%25IJ%24%2F65ieZ%29f6", 2693239)</f>
        <v>2693239</v>
      </c>
      <c r="C2454" s="3">
        <f>HYPERLINK("https://platform.v2.vetology.net/report/v/final/"&amp;2693239, 2693239)</f>
        <v>2693239</v>
      </c>
      <c r="D2454" s="3" t="s">
        <v>8383</v>
      </c>
      <c r="E2454" s="3" t="s">
        <v>8384</v>
      </c>
      <c r="F2454" s="3" t="s">
        <v>8385</v>
      </c>
      <c r="G2454" s="3" t="s">
        <v>186</v>
      </c>
      <c r="H2454" s="3" t="s">
        <v>8386</v>
      </c>
      <c r="I2454" s="3" t="s">
        <v>606</v>
      </c>
      <c r="J2454" s="3" t="s">
        <v>207</v>
      </c>
      <c r="K2454" s="3" t="s">
        <v>28</v>
      </c>
      <c r="L2454" s="3" t="s">
        <v>27</v>
      </c>
      <c r="M2454" s="3" t="s">
        <v>28</v>
      </c>
      <c r="N2454" s="3" t="s">
        <v>27</v>
      </c>
      <c r="O2454" s="3" t="s">
        <v>27</v>
      </c>
      <c r="P2454" s="3" t="s">
        <v>28</v>
      </c>
      <c r="Q2454" s="3" t="s">
        <v>28</v>
      </c>
      <c r="R2454" s="3" t="s">
        <v>27</v>
      </c>
      <c r="S2454" s="3" t="s">
        <v>27</v>
      </c>
      <c r="T2454" s="3" t="s">
        <v>27</v>
      </c>
    </row>
    <row r="2455" spans="1:20" ht="305.25">
      <c r="A2455" s="3">
        <v>2693233</v>
      </c>
      <c r="B2455" s="3">
        <f>HYPERLINK("https://platform.v2.vetology.net/cases/2693233/screening-report/6?type=pdf&amp;v=v6&amp;scorecard=1&amp;secret_key=BX%25IJ%24%2F65ieZ%29f6", 2693233)</f>
        <v>2693233</v>
      </c>
      <c r="C2455" s="3">
        <f>HYPERLINK("https://platform.v2.vetology.net/report/v/final/"&amp;2693233, 2693233)</f>
        <v>2693233</v>
      </c>
      <c r="D2455" s="3" t="s">
        <v>8387</v>
      </c>
      <c r="E2455" s="3" t="s">
        <v>8388</v>
      </c>
      <c r="F2455" s="3"/>
      <c r="G2455" s="3" t="s">
        <v>122</v>
      </c>
      <c r="H2455" s="3" t="s">
        <v>944</v>
      </c>
      <c r="I2455" s="3" t="s">
        <v>32</v>
      </c>
      <c r="J2455" s="3" t="s">
        <v>33</v>
      </c>
      <c r="K2455" s="3" t="s">
        <v>28</v>
      </c>
      <c r="L2455" s="3" t="s">
        <v>28</v>
      </c>
      <c r="M2455" s="3" t="s">
        <v>27</v>
      </c>
      <c r="N2455" s="3" t="s">
        <v>28</v>
      </c>
      <c r="O2455" s="3" t="s">
        <v>27</v>
      </c>
      <c r="P2455" s="3" t="s">
        <v>28</v>
      </c>
      <c r="Q2455" s="3" t="s">
        <v>28</v>
      </c>
      <c r="R2455" s="3" t="s">
        <v>28</v>
      </c>
      <c r="S2455" s="3" t="s">
        <v>28</v>
      </c>
      <c r="T2455" s="3" t="s">
        <v>27</v>
      </c>
    </row>
    <row r="2456" spans="1:20" ht="305.25">
      <c r="A2456" s="3">
        <v>2693177</v>
      </c>
      <c r="B2456" s="3">
        <f>HYPERLINK("https://platform.v2.vetology.net/cases/2693177/screening-report/6?type=pdf&amp;v=v6&amp;scorecard=1&amp;secret_key=BX%25IJ%24%2F65ieZ%29f6", 2693177)</f>
        <v>2693177</v>
      </c>
      <c r="C2456" s="3">
        <f>HYPERLINK("https://platform.v2.vetology.net/report/v/final/"&amp;2693177, 2693177)</f>
        <v>2693177</v>
      </c>
      <c r="D2456" s="3" t="s">
        <v>8389</v>
      </c>
      <c r="E2456" s="3" t="s">
        <v>8390</v>
      </c>
      <c r="F2456" s="3" t="s">
        <v>8391</v>
      </c>
      <c r="G2456" s="3" t="s">
        <v>179</v>
      </c>
      <c r="H2456" s="3" t="s">
        <v>8392</v>
      </c>
      <c r="I2456" s="3" t="s">
        <v>8393</v>
      </c>
      <c r="J2456" s="3" t="s">
        <v>8394</v>
      </c>
      <c r="K2456" s="3" t="s">
        <v>28</v>
      </c>
      <c r="L2456" s="3" t="s">
        <v>28</v>
      </c>
      <c r="M2456" s="3" t="s">
        <v>28</v>
      </c>
      <c r="N2456" s="3" t="s">
        <v>28</v>
      </c>
      <c r="O2456" s="3" t="s">
        <v>27</v>
      </c>
      <c r="P2456" s="3" t="s">
        <v>28</v>
      </c>
      <c r="Q2456" s="3" t="s">
        <v>28</v>
      </c>
      <c r="R2456" s="3" t="s">
        <v>28</v>
      </c>
      <c r="S2456" s="3" t="s">
        <v>28</v>
      </c>
      <c r="T2456" s="3" t="s">
        <v>27</v>
      </c>
    </row>
    <row r="2457" spans="1:20" ht="381.75">
      <c r="A2457" s="3">
        <v>2693115</v>
      </c>
      <c r="B2457" s="3">
        <f>HYPERLINK("https://platform.v2.vetology.net/cases/2693115/screening-report/6?type=pdf&amp;v=v6&amp;scorecard=1&amp;secret_key=BX%25IJ%24%2F65ieZ%29f6", 2693115)</f>
        <v>2693115</v>
      </c>
      <c r="C2457" s="3">
        <f>HYPERLINK("https://platform.v2.vetology.net/report/v/final/"&amp;2693115, 2693115)</f>
        <v>2693115</v>
      </c>
      <c r="D2457" s="3" t="s">
        <v>8395</v>
      </c>
      <c r="E2457" s="3" t="s">
        <v>8396</v>
      </c>
      <c r="F2457" s="3" t="s">
        <v>8397</v>
      </c>
      <c r="G2457" s="3" t="s">
        <v>57</v>
      </c>
      <c r="H2457" s="3" t="s">
        <v>123</v>
      </c>
      <c r="I2457" s="3" t="s">
        <v>124</v>
      </c>
      <c r="J2457" s="3" t="s">
        <v>125</v>
      </c>
      <c r="K2457" s="3" t="s">
        <v>27</v>
      </c>
      <c r="L2457" s="3" t="s">
        <v>28</v>
      </c>
      <c r="M2457" s="3" t="s">
        <v>27</v>
      </c>
      <c r="N2457" s="3" t="s">
        <v>28</v>
      </c>
      <c r="O2457" s="3" t="s">
        <v>27</v>
      </c>
      <c r="P2457" s="3" t="s">
        <v>28</v>
      </c>
      <c r="Q2457" s="3" t="s">
        <v>27</v>
      </c>
      <c r="R2457" s="3" t="s">
        <v>28</v>
      </c>
      <c r="S2457" s="3" t="s">
        <v>28</v>
      </c>
      <c r="T2457" s="3" t="s">
        <v>28</v>
      </c>
    </row>
    <row r="2458" spans="1:20" ht="409.6">
      <c r="A2458" s="3">
        <v>2693114</v>
      </c>
      <c r="B2458" s="3">
        <f>HYPERLINK("https://platform.v2.vetology.net/cases/2693114/screening-report/6?type=pdf&amp;v=v6&amp;scorecard=1&amp;secret_key=BX%25IJ%24%2F65ieZ%29f6", 2693114)</f>
        <v>2693114</v>
      </c>
      <c r="C2458" s="3">
        <f>HYPERLINK("https://platform.v2.vetology.net/report/v/final/"&amp;2693114, 2693114)</f>
        <v>2693114</v>
      </c>
      <c r="D2458" s="3" t="s">
        <v>8398</v>
      </c>
      <c r="E2458" s="3" t="s">
        <v>8399</v>
      </c>
      <c r="F2458" s="3" t="s">
        <v>8400</v>
      </c>
      <c r="G2458" s="3" t="s">
        <v>736</v>
      </c>
      <c r="H2458" s="3" t="s">
        <v>2267</v>
      </c>
      <c r="I2458" s="3" t="s">
        <v>305</v>
      </c>
      <c r="J2458" s="3" t="s">
        <v>119</v>
      </c>
      <c r="K2458" s="3" t="s">
        <v>28</v>
      </c>
      <c r="L2458" s="3" t="s">
        <v>28</v>
      </c>
      <c r="M2458" s="3" t="s">
        <v>28</v>
      </c>
      <c r="N2458" s="3" t="s">
        <v>28</v>
      </c>
      <c r="O2458" s="3" t="s">
        <v>28</v>
      </c>
      <c r="P2458" s="3" t="s">
        <v>28</v>
      </c>
      <c r="Q2458" s="3" t="s">
        <v>28</v>
      </c>
      <c r="R2458" s="3" t="s">
        <v>28</v>
      </c>
      <c r="S2458" s="3" t="s">
        <v>28</v>
      </c>
      <c r="T2458" s="3" t="s">
        <v>28</v>
      </c>
    </row>
    <row r="2459" spans="1:20" ht="290.25">
      <c r="A2459" s="3">
        <v>2693022</v>
      </c>
      <c r="B2459" s="3">
        <f>HYPERLINK("https://platform.v2.vetology.net/cases/2693022/screening-report/6?type=pdf&amp;v=v6&amp;scorecard=1&amp;secret_key=BX%25IJ%24%2F65ieZ%29f6", 2693022)</f>
        <v>2693022</v>
      </c>
      <c r="C2459" s="3">
        <f>HYPERLINK("https://platform.v2.vetology.net/report/v/final/"&amp;2693022, 2693022)</f>
        <v>2693022</v>
      </c>
      <c r="D2459" s="3" t="s">
        <v>8401</v>
      </c>
      <c r="E2459" s="3" t="s">
        <v>8402</v>
      </c>
      <c r="F2459" s="3" t="s">
        <v>8403</v>
      </c>
      <c r="G2459" s="3" t="s">
        <v>179</v>
      </c>
      <c r="H2459" s="3" t="s">
        <v>2023</v>
      </c>
      <c r="I2459" s="3" t="s">
        <v>2024</v>
      </c>
      <c r="J2459" s="3" t="s">
        <v>207</v>
      </c>
      <c r="K2459" s="3" t="s">
        <v>28</v>
      </c>
      <c r="L2459" s="3" t="s">
        <v>28</v>
      </c>
      <c r="M2459" s="3" t="s">
        <v>28</v>
      </c>
      <c r="N2459" s="3" t="s">
        <v>28</v>
      </c>
      <c r="O2459" s="3" t="s">
        <v>27</v>
      </c>
      <c r="P2459" s="3" t="s">
        <v>27</v>
      </c>
      <c r="Q2459" s="3" t="s">
        <v>27</v>
      </c>
      <c r="R2459" s="3" t="s">
        <v>28</v>
      </c>
      <c r="S2459" s="3" t="s">
        <v>28</v>
      </c>
      <c r="T2459" s="3" t="s">
        <v>28</v>
      </c>
    </row>
    <row r="2460" spans="1:20" ht="409.6">
      <c r="A2460" s="3">
        <v>2692986</v>
      </c>
      <c r="B2460" s="3">
        <f>HYPERLINK("https://platform.v2.vetology.net/cases/2692986/screening-report/6?type=pdf&amp;v=v6&amp;scorecard=1&amp;secret_key=BX%25IJ%24%2F65ieZ%29f6", 2692986)</f>
        <v>2692986</v>
      </c>
      <c r="C2460" s="3">
        <f>HYPERLINK("https://platform.v2.vetology.net/report/v/final/"&amp;2692986, 2692986)</f>
        <v>2692986</v>
      </c>
      <c r="D2460" s="3" t="s">
        <v>8404</v>
      </c>
      <c r="E2460" s="3" t="s">
        <v>8405</v>
      </c>
      <c r="F2460" s="3" t="s">
        <v>8406</v>
      </c>
      <c r="G2460" s="3" t="s">
        <v>736</v>
      </c>
      <c r="H2460" s="3" t="s">
        <v>6205</v>
      </c>
      <c r="I2460" s="3"/>
      <c r="J2460" s="3" t="s">
        <v>207</v>
      </c>
      <c r="K2460" s="3" t="s">
        <v>28</v>
      </c>
      <c r="L2460" s="3" t="s">
        <v>28</v>
      </c>
      <c r="M2460" s="3" t="s">
        <v>28</v>
      </c>
      <c r="N2460" s="3" t="s">
        <v>28</v>
      </c>
      <c r="O2460" s="3" t="s">
        <v>27</v>
      </c>
      <c r="P2460" s="3" t="s">
        <v>28</v>
      </c>
      <c r="Q2460" s="3" t="s">
        <v>28</v>
      </c>
      <c r="R2460" s="3" t="s">
        <v>28</v>
      </c>
      <c r="S2460" s="3" t="s">
        <v>28</v>
      </c>
      <c r="T2460" s="3" t="s">
        <v>28</v>
      </c>
    </row>
    <row r="2461" spans="1:20" ht="409.6">
      <c r="A2461" s="3">
        <v>2692939</v>
      </c>
      <c r="B2461" s="3">
        <f>HYPERLINK("https://platform.v2.vetology.net/cases/2692939/screening-report/6?type=pdf&amp;v=v6&amp;scorecard=1&amp;secret_key=BX%25IJ%24%2F65ieZ%29f6", 2692939)</f>
        <v>2692939</v>
      </c>
      <c r="C2461" s="3">
        <f>HYPERLINK("https://platform.v2.vetology.net/report/v/final/"&amp;2692939, 2692939)</f>
        <v>2692939</v>
      </c>
      <c r="D2461" s="3" t="s">
        <v>8407</v>
      </c>
      <c r="E2461" s="3" t="s">
        <v>8408</v>
      </c>
      <c r="F2461" s="3" t="s">
        <v>8409</v>
      </c>
      <c r="G2461" s="3" t="s">
        <v>179</v>
      </c>
      <c r="H2461" s="3" t="s">
        <v>1655</v>
      </c>
      <c r="I2461" s="3" t="s">
        <v>310</v>
      </c>
      <c r="J2461" s="3" t="s">
        <v>311</v>
      </c>
      <c r="K2461" s="3" t="s">
        <v>28</v>
      </c>
      <c r="L2461" s="3" t="s">
        <v>27</v>
      </c>
      <c r="M2461" s="3" t="s">
        <v>28</v>
      </c>
      <c r="N2461" s="3" t="s">
        <v>27</v>
      </c>
      <c r="O2461" s="3" t="s">
        <v>27</v>
      </c>
      <c r="P2461" s="3" t="s">
        <v>28</v>
      </c>
      <c r="Q2461" s="3" t="s">
        <v>27</v>
      </c>
      <c r="R2461" s="3" t="s">
        <v>27</v>
      </c>
      <c r="S2461" s="3" t="s">
        <v>27</v>
      </c>
      <c r="T2461" s="3" t="s">
        <v>27</v>
      </c>
    </row>
    <row r="2462" spans="1:20" ht="409.6">
      <c r="A2462" s="3">
        <v>2692928</v>
      </c>
      <c r="B2462" s="3">
        <f>HYPERLINK("https://platform.v2.vetology.net/cases/2692928/screening-report/6?type=pdf&amp;v=v6&amp;scorecard=1&amp;secret_key=BX%25IJ%24%2F65ieZ%29f6", 2692928)</f>
        <v>2692928</v>
      </c>
      <c r="C2462" s="3">
        <f>HYPERLINK("https://platform.v2.vetology.net/report/v/final/"&amp;2692928, 2692928)</f>
        <v>2692928</v>
      </c>
      <c r="D2462" s="3" t="s">
        <v>8410</v>
      </c>
      <c r="E2462" s="3" t="s">
        <v>8411</v>
      </c>
      <c r="F2462" s="3"/>
      <c r="G2462" s="3" t="s">
        <v>122</v>
      </c>
      <c r="H2462" s="3" t="s">
        <v>8412</v>
      </c>
      <c r="I2462" s="3" t="s">
        <v>310</v>
      </c>
      <c r="J2462" s="3" t="s">
        <v>311</v>
      </c>
      <c r="K2462" s="3" t="s">
        <v>27</v>
      </c>
      <c r="L2462" s="3" t="s">
        <v>27</v>
      </c>
      <c r="M2462" s="3" t="s">
        <v>28</v>
      </c>
      <c r="N2462" s="3" t="s">
        <v>27</v>
      </c>
      <c r="O2462" s="3" t="s">
        <v>27</v>
      </c>
      <c r="P2462" s="3" t="s">
        <v>28</v>
      </c>
      <c r="Q2462" s="3" t="s">
        <v>27</v>
      </c>
      <c r="R2462" s="3" t="s">
        <v>27</v>
      </c>
      <c r="S2462" s="3" t="s">
        <v>27</v>
      </c>
      <c r="T2462" s="3" t="s">
        <v>27</v>
      </c>
    </row>
    <row r="2463" spans="1:20" ht="244.5">
      <c r="A2463" s="3">
        <v>2692915</v>
      </c>
      <c r="B2463" s="3">
        <f>HYPERLINK("https://platform.v2.vetology.net/cases/2692915/screening-report/6?type=pdf&amp;v=v6&amp;scorecard=1&amp;secret_key=BX%25IJ%24%2F65ieZ%29f6", 2692915)</f>
        <v>2692915</v>
      </c>
      <c r="C2463" s="3">
        <f>HYPERLINK("https://platform.v2.vetology.net/report/v/final/"&amp;2692915, 2692915)</f>
        <v>2692915</v>
      </c>
      <c r="D2463" s="3" t="s">
        <v>8413</v>
      </c>
      <c r="E2463" s="3" t="s">
        <v>8414</v>
      </c>
      <c r="F2463" s="3" t="s">
        <v>8415</v>
      </c>
      <c r="G2463" s="3" t="s">
        <v>179</v>
      </c>
      <c r="H2463" s="3" t="s">
        <v>1615</v>
      </c>
      <c r="I2463" s="3" t="s">
        <v>305</v>
      </c>
      <c r="J2463" s="3" t="s">
        <v>119</v>
      </c>
      <c r="K2463" s="3" t="s">
        <v>28</v>
      </c>
      <c r="L2463" s="3" t="s">
        <v>28</v>
      </c>
      <c r="M2463" s="3" t="s">
        <v>28</v>
      </c>
      <c r="N2463" s="3" t="s">
        <v>28</v>
      </c>
      <c r="O2463" s="3" t="s">
        <v>28</v>
      </c>
      <c r="P2463" s="3" t="s">
        <v>28</v>
      </c>
      <c r="Q2463" s="3" t="s">
        <v>28</v>
      </c>
      <c r="R2463" s="3" t="s">
        <v>28</v>
      </c>
      <c r="S2463" s="3" t="s">
        <v>28</v>
      </c>
      <c r="T2463" s="3" t="s">
        <v>28</v>
      </c>
    </row>
    <row r="2464" spans="1:20" ht="409.6">
      <c r="A2464" s="3">
        <v>2692900</v>
      </c>
      <c r="B2464" s="3">
        <f>HYPERLINK("https://platform.v2.vetology.net/cases/2692900/screening-report/6?type=pdf&amp;v=v6&amp;scorecard=1&amp;secret_key=BX%25IJ%24%2F65ieZ%29f6", 2692900)</f>
        <v>2692900</v>
      </c>
      <c r="C2464" s="3">
        <f>HYPERLINK("https://platform.v2.vetology.net/report/v/final/"&amp;2692900, 2692900)</f>
        <v>2692900</v>
      </c>
      <c r="D2464" s="3" t="s">
        <v>8416</v>
      </c>
      <c r="E2464" s="3" t="s">
        <v>8417</v>
      </c>
      <c r="F2464" s="3" t="s">
        <v>8418</v>
      </c>
      <c r="G2464" s="3" t="s">
        <v>186</v>
      </c>
      <c r="H2464" s="3" t="s">
        <v>8419</v>
      </c>
      <c r="I2464" s="3" t="s">
        <v>2668</v>
      </c>
      <c r="J2464" s="3" t="s">
        <v>2669</v>
      </c>
      <c r="K2464" s="3" t="s">
        <v>28</v>
      </c>
      <c r="L2464" s="3" t="s">
        <v>27</v>
      </c>
      <c r="M2464" s="3" t="s">
        <v>28</v>
      </c>
      <c r="N2464" s="3" t="s">
        <v>27</v>
      </c>
      <c r="O2464" s="3" t="s">
        <v>27</v>
      </c>
      <c r="P2464" s="3" t="s">
        <v>28</v>
      </c>
      <c r="Q2464" s="3" t="s">
        <v>27</v>
      </c>
      <c r="R2464" s="3" t="s">
        <v>27</v>
      </c>
      <c r="S2464" s="3" t="s">
        <v>27</v>
      </c>
      <c r="T2464" s="3" t="s">
        <v>27</v>
      </c>
    </row>
    <row r="2465" spans="1:20" ht="366">
      <c r="A2465" s="3">
        <v>2692884</v>
      </c>
      <c r="B2465" s="3">
        <f>HYPERLINK("https://platform.v2.vetology.net/cases/2692884/screening-report/6?type=pdf&amp;v=v6&amp;scorecard=1&amp;secret_key=BX%25IJ%24%2F65ieZ%29f6", 2692884)</f>
        <v>2692884</v>
      </c>
      <c r="C2465" s="3">
        <f>HYPERLINK("https://platform.v2.vetology.net/report/v/final/"&amp;2692884, 2692884)</f>
        <v>2692884</v>
      </c>
      <c r="D2465" s="3" t="s">
        <v>8420</v>
      </c>
      <c r="E2465" s="3" t="s">
        <v>8421</v>
      </c>
      <c r="F2465" s="3" t="s">
        <v>8422</v>
      </c>
      <c r="G2465" s="3" t="s">
        <v>186</v>
      </c>
      <c r="H2465" s="3" t="s">
        <v>2962</v>
      </c>
      <c r="I2465" s="3" t="s">
        <v>2963</v>
      </c>
      <c r="J2465" s="3" t="s">
        <v>2964</v>
      </c>
      <c r="K2465" s="3" t="s">
        <v>28</v>
      </c>
      <c r="L2465" s="3" t="s">
        <v>28</v>
      </c>
      <c r="M2465" s="3" t="s">
        <v>28</v>
      </c>
      <c r="N2465" s="3" t="s">
        <v>28</v>
      </c>
      <c r="O2465" s="3" t="s">
        <v>27</v>
      </c>
      <c r="P2465" s="3" t="s">
        <v>28</v>
      </c>
      <c r="Q2465" s="3" t="s">
        <v>27</v>
      </c>
      <c r="R2465" s="3" t="s">
        <v>28</v>
      </c>
      <c r="S2465" s="3" t="s">
        <v>28</v>
      </c>
      <c r="T2465" s="3" t="s">
        <v>28</v>
      </c>
    </row>
    <row r="2466" spans="1:20" ht="396.75">
      <c r="A2466" s="3">
        <v>2692878</v>
      </c>
      <c r="B2466" s="3">
        <f>HYPERLINK("https://platform.v2.vetology.net/cases/2692878/screening-report/6?type=pdf&amp;v=v6&amp;scorecard=1&amp;secret_key=BX%25IJ%24%2F65ieZ%29f6", 2692878)</f>
        <v>2692878</v>
      </c>
      <c r="C2466" s="3">
        <f>HYPERLINK("https://platform.v2.vetology.net/report/v/final/"&amp;2692878, 2692878)</f>
        <v>2692878</v>
      </c>
      <c r="D2466" s="3" t="s">
        <v>8423</v>
      </c>
      <c r="E2466" s="3" t="s">
        <v>8424</v>
      </c>
      <c r="F2466" s="3" t="s">
        <v>8425</v>
      </c>
      <c r="G2466" s="3" t="s">
        <v>179</v>
      </c>
      <c r="H2466" s="3" t="s">
        <v>8077</v>
      </c>
      <c r="I2466" s="3" t="s">
        <v>856</v>
      </c>
      <c r="J2466" s="3" t="s">
        <v>857</v>
      </c>
      <c r="K2466" s="3" t="s">
        <v>28</v>
      </c>
      <c r="L2466" s="3" t="s">
        <v>27</v>
      </c>
      <c r="M2466" s="3" t="s">
        <v>28</v>
      </c>
      <c r="N2466" s="3" t="s">
        <v>28</v>
      </c>
      <c r="O2466" s="3" t="s">
        <v>27</v>
      </c>
      <c r="P2466" s="3" t="s">
        <v>28</v>
      </c>
      <c r="Q2466" s="3" t="s">
        <v>28</v>
      </c>
      <c r="R2466" s="3" t="s">
        <v>28</v>
      </c>
      <c r="S2466" s="3" t="s">
        <v>28</v>
      </c>
      <c r="T2466" s="3" t="s">
        <v>28</v>
      </c>
    </row>
    <row r="2467" spans="1:20" ht="409.6">
      <c r="A2467" s="3">
        <v>2692862</v>
      </c>
      <c r="B2467" s="3">
        <f>HYPERLINK("https://platform.v2.vetology.net/cases/2692862/screening-report/6?type=pdf&amp;v=v6&amp;scorecard=1&amp;secret_key=BX%25IJ%24%2F65ieZ%29f6", 2692862)</f>
        <v>2692862</v>
      </c>
      <c r="C2467" s="3">
        <f>HYPERLINK("https://platform.v2.vetology.net/report/v/final/"&amp;2692862, 2692862)</f>
        <v>2692862</v>
      </c>
      <c r="D2467" s="3" t="s">
        <v>8426</v>
      </c>
      <c r="E2467" s="3" t="s">
        <v>8427</v>
      </c>
      <c r="F2467" s="3" t="s">
        <v>8428</v>
      </c>
      <c r="G2467" s="3" t="s">
        <v>64</v>
      </c>
      <c r="H2467" s="3" t="s">
        <v>8429</v>
      </c>
      <c r="I2467" s="3" t="s">
        <v>7317</v>
      </c>
      <c r="J2467" s="3" t="s">
        <v>7318</v>
      </c>
      <c r="K2467" s="3" t="s">
        <v>27</v>
      </c>
      <c r="L2467" s="3" t="s">
        <v>27</v>
      </c>
      <c r="M2467" s="3" t="s">
        <v>27</v>
      </c>
      <c r="N2467" s="3" t="s">
        <v>28</v>
      </c>
      <c r="O2467" s="3" t="s">
        <v>27</v>
      </c>
      <c r="P2467" s="3" t="s">
        <v>28</v>
      </c>
      <c r="Q2467" s="3" t="s">
        <v>28</v>
      </c>
      <c r="R2467" s="3" t="s">
        <v>28</v>
      </c>
      <c r="S2467" s="3" t="s">
        <v>28</v>
      </c>
      <c r="T2467" s="3" t="s">
        <v>27</v>
      </c>
    </row>
    <row r="2468" spans="1:20" ht="336">
      <c r="A2468" s="3">
        <v>2692852</v>
      </c>
      <c r="B2468" s="3">
        <f>HYPERLINK("https://platform.v2.vetology.net/cases/2692852/screening-report/6?type=pdf&amp;v=v6&amp;scorecard=1&amp;secret_key=BX%25IJ%24%2F65ieZ%29f6", 2692852)</f>
        <v>2692852</v>
      </c>
      <c r="C2468" s="3">
        <f>HYPERLINK("https://platform.v2.vetology.net/report/v/final/"&amp;2692852, 2692852)</f>
        <v>2692852</v>
      </c>
      <c r="D2468" s="3" t="s">
        <v>8430</v>
      </c>
      <c r="E2468" s="3" t="s">
        <v>8431</v>
      </c>
      <c r="F2468" s="3" t="s">
        <v>8432</v>
      </c>
      <c r="G2468" s="3" t="s">
        <v>100</v>
      </c>
      <c r="H2468" s="3" t="s">
        <v>2077</v>
      </c>
      <c r="I2468" s="3" t="s">
        <v>2078</v>
      </c>
      <c r="J2468" s="3" t="s">
        <v>2079</v>
      </c>
      <c r="K2468" s="3" t="s">
        <v>28</v>
      </c>
      <c r="L2468" s="3" t="s">
        <v>28</v>
      </c>
      <c r="M2468" s="3" t="s">
        <v>28</v>
      </c>
      <c r="N2468" s="3" t="s">
        <v>28</v>
      </c>
      <c r="O2468" s="3" t="s">
        <v>27</v>
      </c>
      <c r="P2468" s="3" t="s">
        <v>28</v>
      </c>
      <c r="Q2468" s="3" t="s">
        <v>28</v>
      </c>
      <c r="R2468" s="3" t="s">
        <v>28</v>
      </c>
      <c r="S2468" s="3" t="s">
        <v>28</v>
      </c>
      <c r="T2468" s="3" t="s">
        <v>28</v>
      </c>
    </row>
    <row r="2469" spans="1:20" ht="275.25">
      <c r="A2469" s="3">
        <v>2692807</v>
      </c>
      <c r="B2469" s="3">
        <f>HYPERLINK("https://platform.v2.vetology.net/cases/2692807/screening-report/6?type=pdf&amp;v=v6&amp;scorecard=1&amp;secret_key=BX%25IJ%24%2F65ieZ%29f6", 2692807)</f>
        <v>2692807</v>
      </c>
      <c r="C2469" s="3">
        <f>HYPERLINK("https://platform.v2.vetology.net/report/v/final/"&amp;2692807, 2692807)</f>
        <v>2692807</v>
      </c>
      <c r="D2469" s="3" t="s">
        <v>8433</v>
      </c>
      <c r="E2469" s="3" t="s">
        <v>8434</v>
      </c>
      <c r="F2469" s="3" t="s">
        <v>8435</v>
      </c>
      <c r="G2469" s="3" t="s">
        <v>100</v>
      </c>
      <c r="H2469" s="3" t="s">
        <v>590</v>
      </c>
      <c r="I2469" s="3" t="s">
        <v>291</v>
      </c>
      <c r="J2469" s="3" t="s">
        <v>225</v>
      </c>
      <c r="K2469" s="3" t="s">
        <v>27</v>
      </c>
      <c r="L2469" s="3" t="s">
        <v>27</v>
      </c>
      <c r="M2469" s="3" t="s">
        <v>28</v>
      </c>
      <c r="N2469" s="3" t="s">
        <v>27</v>
      </c>
      <c r="O2469" s="3" t="s">
        <v>27</v>
      </c>
      <c r="P2469" s="3" t="s">
        <v>28</v>
      </c>
      <c r="Q2469" s="3" t="s">
        <v>27</v>
      </c>
      <c r="R2469" s="3" t="s">
        <v>28</v>
      </c>
      <c r="S2469" s="3" t="s">
        <v>27</v>
      </c>
      <c r="T2469" s="3" t="s">
        <v>27</v>
      </c>
    </row>
    <row r="2470" spans="1:20" ht="409.6">
      <c r="A2470" s="3">
        <v>2692791</v>
      </c>
      <c r="B2470" s="3">
        <f>HYPERLINK("https://platform.v2.vetology.net/cases/2692791/screening-report/6?type=pdf&amp;v=v6&amp;scorecard=1&amp;secret_key=BX%25IJ%24%2F65ieZ%29f6", 2692791)</f>
        <v>2692791</v>
      </c>
      <c r="C2470" s="3">
        <f>HYPERLINK("https://platform.v2.vetology.net/report/v/final/"&amp;2692791, 2692791)</f>
        <v>2692791</v>
      </c>
      <c r="D2470" s="3" t="s">
        <v>8436</v>
      </c>
      <c r="E2470" s="3" t="s">
        <v>8437</v>
      </c>
      <c r="F2470" s="3" t="s">
        <v>8438</v>
      </c>
      <c r="G2470" s="3" t="s">
        <v>186</v>
      </c>
      <c r="H2470" s="3" t="s">
        <v>8439</v>
      </c>
      <c r="I2470" s="3" t="s">
        <v>2825</v>
      </c>
      <c r="J2470" s="3" t="s">
        <v>2826</v>
      </c>
      <c r="K2470" s="3" t="s">
        <v>27</v>
      </c>
      <c r="L2470" s="3" t="s">
        <v>28</v>
      </c>
      <c r="M2470" s="3" t="s">
        <v>27</v>
      </c>
      <c r="N2470" s="3" t="s">
        <v>28</v>
      </c>
      <c r="O2470" s="3" t="s">
        <v>27</v>
      </c>
      <c r="P2470" s="3" t="s">
        <v>28</v>
      </c>
      <c r="Q2470" s="3" t="s">
        <v>27</v>
      </c>
      <c r="R2470" s="3" t="s">
        <v>28</v>
      </c>
      <c r="S2470" s="3" t="s">
        <v>28</v>
      </c>
      <c r="T2470" s="3" t="s">
        <v>28</v>
      </c>
    </row>
    <row r="2471" spans="1:20" ht="409.6">
      <c r="A2471" s="3">
        <v>2692787</v>
      </c>
      <c r="B2471" s="3">
        <f>HYPERLINK("https://platform.v2.vetology.net/cases/2692787/screening-report/6?type=pdf&amp;v=v6&amp;scorecard=1&amp;secret_key=BX%25IJ%24%2F65ieZ%29f6", 2692787)</f>
        <v>2692787</v>
      </c>
      <c r="C2471" s="3">
        <f>HYPERLINK("https://platform.v2.vetology.net/report/v/final/"&amp;2692787, 2692787)</f>
        <v>2692787</v>
      </c>
      <c r="D2471" s="3" t="s">
        <v>8440</v>
      </c>
      <c r="E2471" s="3" t="s">
        <v>8441</v>
      </c>
      <c r="F2471" s="3" t="s">
        <v>8442</v>
      </c>
      <c r="G2471" s="3" t="s">
        <v>64</v>
      </c>
      <c r="H2471" s="3" t="s">
        <v>692</v>
      </c>
      <c r="I2471" s="3" t="s">
        <v>693</v>
      </c>
      <c r="J2471" s="3" t="s">
        <v>335</v>
      </c>
      <c r="K2471" s="3" t="s">
        <v>28</v>
      </c>
      <c r="L2471" s="3" t="s">
        <v>28</v>
      </c>
      <c r="M2471" s="3" t="s">
        <v>28</v>
      </c>
      <c r="N2471" s="3" t="s">
        <v>28</v>
      </c>
      <c r="O2471" s="3" t="s">
        <v>28</v>
      </c>
      <c r="P2471" s="3" t="s">
        <v>28</v>
      </c>
      <c r="Q2471" s="3" t="s">
        <v>28</v>
      </c>
      <c r="R2471" s="3" t="s">
        <v>28</v>
      </c>
      <c r="S2471" s="3" t="s">
        <v>28</v>
      </c>
      <c r="T2471" s="3" t="s">
        <v>28</v>
      </c>
    </row>
    <row r="2472" spans="1:20" ht="409.6">
      <c r="A2472" s="3">
        <v>2692777</v>
      </c>
      <c r="B2472" s="3">
        <f>HYPERLINK("https://platform.v2.vetology.net/cases/2692777/screening-report/6?type=pdf&amp;v=v6&amp;scorecard=1&amp;secret_key=BX%25IJ%24%2F65ieZ%29f6", 2692777)</f>
        <v>2692777</v>
      </c>
      <c r="C2472" s="3">
        <f>HYPERLINK("https://platform.v2.vetology.net/report/v/final/"&amp;2692777, 2692777)</f>
        <v>2692777</v>
      </c>
      <c r="D2472" s="3" t="s">
        <v>8443</v>
      </c>
      <c r="E2472" s="3" t="s">
        <v>955</v>
      </c>
      <c r="F2472" s="3" t="s">
        <v>956</v>
      </c>
      <c r="G2472" s="3" t="s">
        <v>100</v>
      </c>
      <c r="H2472" s="3" t="s">
        <v>677</v>
      </c>
      <c r="I2472" s="3" t="s">
        <v>678</v>
      </c>
      <c r="J2472" s="3" t="s">
        <v>1264</v>
      </c>
      <c r="K2472" s="3" t="s">
        <v>28</v>
      </c>
      <c r="L2472" s="3" t="s">
        <v>27</v>
      </c>
      <c r="M2472" s="3" t="s">
        <v>28</v>
      </c>
      <c r="N2472" s="3" t="s">
        <v>27</v>
      </c>
      <c r="O2472" s="3" t="s">
        <v>27</v>
      </c>
      <c r="P2472" s="3" t="s">
        <v>28</v>
      </c>
      <c r="Q2472" s="3" t="s">
        <v>28</v>
      </c>
      <c r="R2472" s="3" t="s">
        <v>27</v>
      </c>
      <c r="S2472" s="3" t="s">
        <v>27</v>
      </c>
      <c r="T2472" s="3" t="s">
        <v>27</v>
      </c>
    </row>
    <row r="2473" spans="1:20" ht="366">
      <c r="A2473" s="3">
        <v>2692772</v>
      </c>
      <c r="B2473" s="3">
        <f>HYPERLINK("https://platform.v2.vetology.net/cases/2692772/screening-report/6?type=pdf&amp;v=v6&amp;scorecard=1&amp;secret_key=BX%25IJ%24%2F65ieZ%29f6", 2692772)</f>
        <v>2692772</v>
      </c>
      <c r="C2473" s="3">
        <f>HYPERLINK("https://platform.v2.vetology.net/report/v/final/"&amp;2692772, 2692772)</f>
        <v>2692772</v>
      </c>
      <c r="D2473" s="3" t="s">
        <v>8444</v>
      </c>
      <c r="E2473" s="3" t="s">
        <v>8445</v>
      </c>
      <c r="F2473" s="3" t="s">
        <v>8446</v>
      </c>
      <c r="G2473" s="3" t="s">
        <v>64</v>
      </c>
      <c r="H2473" s="3" t="s">
        <v>1259</v>
      </c>
      <c r="I2473" s="3"/>
      <c r="J2473" s="3" t="s">
        <v>207</v>
      </c>
      <c r="K2473" s="3" t="s">
        <v>28</v>
      </c>
      <c r="L2473" s="3" t="s">
        <v>28</v>
      </c>
      <c r="M2473" s="3" t="s">
        <v>28</v>
      </c>
      <c r="N2473" s="3" t="s">
        <v>28</v>
      </c>
      <c r="O2473" s="3" t="s">
        <v>27</v>
      </c>
      <c r="P2473" s="3" t="s">
        <v>28</v>
      </c>
      <c r="Q2473" s="3" t="s">
        <v>28</v>
      </c>
      <c r="R2473" s="3" t="s">
        <v>28</v>
      </c>
      <c r="S2473" s="3" t="s">
        <v>28</v>
      </c>
      <c r="T2473" s="3" t="s">
        <v>27</v>
      </c>
    </row>
    <row r="2474" spans="1:20" ht="409.6">
      <c r="A2474" s="3">
        <v>2692746</v>
      </c>
      <c r="B2474" s="3">
        <f>HYPERLINK("https://platform.v2.vetology.net/cases/2692746/screening-report/6?type=pdf&amp;v=v6&amp;scorecard=1&amp;secret_key=BX%25IJ%24%2F65ieZ%29f6", 2692746)</f>
        <v>2692746</v>
      </c>
      <c r="C2474" s="3">
        <f>HYPERLINK("https://platform.v2.vetology.net/report/v/final/"&amp;2692746, 2692746)</f>
        <v>2692746</v>
      </c>
      <c r="D2474" s="3" t="s">
        <v>8447</v>
      </c>
      <c r="E2474" s="3" t="s">
        <v>8448</v>
      </c>
      <c r="F2474" s="3" t="s">
        <v>8449</v>
      </c>
      <c r="G2474" s="3" t="s">
        <v>64</v>
      </c>
      <c r="H2474" s="3" t="s">
        <v>519</v>
      </c>
      <c r="I2474" s="3" t="s">
        <v>520</v>
      </c>
      <c r="J2474" s="3" t="s">
        <v>335</v>
      </c>
      <c r="K2474" s="3" t="s">
        <v>27</v>
      </c>
      <c r="L2474" s="3" t="s">
        <v>28</v>
      </c>
      <c r="M2474" s="3" t="s">
        <v>28</v>
      </c>
      <c r="N2474" s="3" t="s">
        <v>28</v>
      </c>
      <c r="O2474" s="3" t="s">
        <v>27</v>
      </c>
      <c r="P2474" s="3" t="s">
        <v>28</v>
      </c>
      <c r="Q2474" s="3" t="s">
        <v>28</v>
      </c>
      <c r="R2474" s="3" t="s">
        <v>28</v>
      </c>
      <c r="S2474" s="3" t="s">
        <v>28</v>
      </c>
      <c r="T2474" s="3" t="s">
        <v>28</v>
      </c>
    </row>
    <row r="2475" spans="1:20" ht="336">
      <c r="A2475" s="3">
        <v>2692736</v>
      </c>
      <c r="B2475" s="3">
        <f>HYPERLINK("https://platform.v2.vetology.net/cases/2692736/screening-report/6?type=pdf&amp;v=v6&amp;scorecard=1&amp;secret_key=BX%25IJ%24%2F65ieZ%29f6", 2692736)</f>
        <v>2692736</v>
      </c>
      <c r="C2475" s="3">
        <f>HYPERLINK("https://platform.v2.vetology.net/report/v/final/"&amp;2692736, 2692736)</f>
        <v>2692736</v>
      </c>
      <c r="D2475" s="3" t="s">
        <v>8450</v>
      </c>
      <c r="E2475" s="3" t="s">
        <v>8451</v>
      </c>
      <c r="F2475" s="3" t="s">
        <v>8452</v>
      </c>
      <c r="G2475" s="3" t="s">
        <v>179</v>
      </c>
      <c r="H2475" s="3" t="s">
        <v>123</v>
      </c>
      <c r="I2475" s="3" t="s">
        <v>124</v>
      </c>
      <c r="J2475" s="3" t="s">
        <v>125</v>
      </c>
      <c r="K2475" s="3" t="s">
        <v>27</v>
      </c>
      <c r="L2475" s="3" t="s">
        <v>28</v>
      </c>
      <c r="M2475" s="3" t="s">
        <v>27</v>
      </c>
      <c r="N2475" s="3" t="s">
        <v>28</v>
      </c>
      <c r="O2475" s="3" t="s">
        <v>27</v>
      </c>
      <c r="P2475" s="3" t="s">
        <v>28</v>
      </c>
      <c r="Q2475" s="3" t="s">
        <v>27</v>
      </c>
      <c r="R2475" s="3" t="s">
        <v>28</v>
      </c>
      <c r="S2475" s="3" t="s">
        <v>28</v>
      </c>
      <c r="T2475" s="3" t="s">
        <v>28</v>
      </c>
    </row>
    <row r="2476" spans="1:20" ht="305.25">
      <c r="A2476" s="3">
        <v>2692712</v>
      </c>
      <c r="B2476" s="3">
        <f>HYPERLINK("https://platform.v2.vetology.net/cases/2692712/screening-report/6?type=pdf&amp;v=v6&amp;scorecard=1&amp;secret_key=BX%25IJ%24%2F65ieZ%29f6", 2692712)</f>
        <v>2692712</v>
      </c>
      <c r="C2476" s="3">
        <f>HYPERLINK("https://platform.v2.vetology.net/report/v/final/"&amp;2692712, 2692712)</f>
        <v>2692712</v>
      </c>
      <c r="D2476" s="3" t="s">
        <v>8453</v>
      </c>
      <c r="E2476" s="3" t="s">
        <v>8454</v>
      </c>
      <c r="F2476" s="3" t="s">
        <v>8455</v>
      </c>
      <c r="G2476" s="3" t="s">
        <v>186</v>
      </c>
      <c r="H2476" s="3" t="s">
        <v>1802</v>
      </c>
      <c r="I2476" s="3" t="s">
        <v>1803</v>
      </c>
      <c r="J2476" s="3" t="s">
        <v>1804</v>
      </c>
      <c r="K2476" s="3" t="s">
        <v>28</v>
      </c>
      <c r="L2476" s="3" t="s">
        <v>27</v>
      </c>
      <c r="M2476" s="3" t="s">
        <v>28</v>
      </c>
      <c r="N2476" s="3" t="s">
        <v>28</v>
      </c>
      <c r="O2476" s="3" t="s">
        <v>27</v>
      </c>
      <c r="P2476" s="3" t="s">
        <v>27</v>
      </c>
      <c r="Q2476" s="3" t="s">
        <v>27</v>
      </c>
      <c r="R2476" s="3" t="s">
        <v>27</v>
      </c>
      <c r="S2476" s="3" t="s">
        <v>27</v>
      </c>
      <c r="T2476" s="3" t="s">
        <v>27</v>
      </c>
    </row>
    <row r="2477" spans="1:20" ht="409.6">
      <c r="A2477" s="3">
        <v>2692703</v>
      </c>
      <c r="B2477" s="3">
        <f>HYPERLINK("https://platform.v2.vetology.net/cases/2692703/screening-report/6?type=pdf&amp;v=v6&amp;scorecard=1&amp;secret_key=BX%25IJ%24%2F65ieZ%29f6", 2692703)</f>
        <v>2692703</v>
      </c>
      <c r="C2477" s="3">
        <f>HYPERLINK("https://platform.v2.vetology.net/report/v/final/"&amp;2692703, 2692703)</f>
        <v>2692703</v>
      </c>
      <c r="D2477" s="3" t="s">
        <v>8456</v>
      </c>
      <c r="E2477" s="3" t="s">
        <v>8457</v>
      </c>
      <c r="F2477" s="3" t="s">
        <v>8458</v>
      </c>
      <c r="G2477" s="3" t="s">
        <v>64</v>
      </c>
      <c r="H2477" s="3" t="s">
        <v>171</v>
      </c>
      <c r="I2477" s="3" t="s">
        <v>172</v>
      </c>
      <c r="J2477" s="3" t="s">
        <v>109</v>
      </c>
      <c r="K2477" s="3" t="s">
        <v>27</v>
      </c>
      <c r="L2477" s="3" t="s">
        <v>27</v>
      </c>
      <c r="M2477" s="3" t="s">
        <v>28</v>
      </c>
      <c r="N2477" s="3" t="s">
        <v>27</v>
      </c>
      <c r="O2477" s="3" t="s">
        <v>27</v>
      </c>
      <c r="P2477" s="3" t="s">
        <v>28</v>
      </c>
      <c r="Q2477" s="3" t="s">
        <v>28</v>
      </c>
      <c r="R2477" s="3" t="s">
        <v>27</v>
      </c>
      <c r="S2477" s="3" t="s">
        <v>27</v>
      </c>
      <c r="T2477" s="3" t="s">
        <v>27</v>
      </c>
    </row>
    <row r="2478" spans="1:20" ht="409.6">
      <c r="A2478" s="3">
        <v>2692695</v>
      </c>
      <c r="B2478" s="3">
        <f>HYPERLINK("https://platform.v2.vetology.net/cases/2692695/screening-report/6?type=pdf&amp;v=v6&amp;scorecard=1&amp;secret_key=BX%25IJ%24%2F65ieZ%29f6", 2692695)</f>
        <v>2692695</v>
      </c>
      <c r="C2478" s="3">
        <f>HYPERLINK("https://platform.v2.vetology.net/report/v/final/"&amp;2692695, 2692695)</f>
        <v>2692695</v>
      </c>
      <c r="D2478" s="3" t="s">
        <v>8459</v>
      </c>
      <c r="E2478" s="3" t="s">
        <v>8460</v>
      </c>
      <c r="F2478" s="3" t="s">
        <v>8461</v>
      </c>
      <c r="G2478" s="3" t="s">
        <v>186</v>
      </c>
      <c r="H2478" s="3" t="s">
        <v>8462</v>
      </c>
      <c r="I2478" s="3" t="s">
        <v>1057</v>
      </c>
      <c r="J2478" s="3" t="s">
        <v>1058</v>
      </c>
      <c r="K2478" s="3" t="s">
        <v>28</v>
      </c>
      <c r="L2478" s="3" t="s">
        <v>28</v>
      </c>
      <c r="M2478" s="3" t="s">
        <v>28</v>
      </c>
      <c r="N2478" s="3" t="s">
        <v>28</v>
      </c>
      <c r="O2478" s="3" t="s">
        <v>28</v>
      </c>
      <c r="P2478" s="3" t="s">
        <v>28</v>
      </c>
      <c r="Q2478" s="3" t="s">
        <v>28</v>
      </c>
      <c r="R2478" s="3" t="s">
        <v>28</v>
      </c>
      <c r="S2478" s="3" t="s">
        <v>28</v>
      </c>
      <c r="T2478" s="3" t="s">
        <v>27</v>
      </c>
    </row>
    <row r="2479" spans="1:20" ht="409.6">
      <c r="A2479" s="3">
        <v>2692653</v>
      </c>
      <c r="B2479" s="3">
        <f>HYPERLINK("https://platform.v2.vetology.net/cases/2692653/screening-report/6?type=pdf&amp;v=v6&amp;scorecard=1&amp;secret_key=BX%25IJ%24%2F65ieZ%29f6", 2692653)</f>
        <v>2692653</v>
      </c>
      <c r="C2479" s="3">
        <f>HYPERLINK("https://platform.v2.vetology.net/report/v/final/"&amp;2692653, 2692653)</f>
        <v>2692653</v>
      </c>
      <c r="D2479" s="3" t="s">
        <v>8463</v>
      </c>
      <c r="E2479" s="3" t="s">
        <v>8464</v>
      </c>
      <c r="F2479" s="3" t="s">
        <v>8465</v>
      </c>
      <c r="G2479" s="3" t="s">
        <v>64</v>
      </c>
      <c r="H2479" s="3" t="s">
        <v>8466</v>
      </c>
      <c r="I2479" s="3" t="s">
        <v>368</v>
      </c>
      <c r="J2479" s="3" t="s">
        <v>369</v>
      </c>
      <c r="K2479" s="3" t="s">
        <v>27</v>
      </c>
      <c r="L2479" s="3" t="s">
        <v>27</v>
      </c>
      <c r="M2479" s="3" t="s">
        <v>27</v>
      </c>
      <c r="N2479" s="3" t="s">
        <v>28</v>
      </c>
      <c r="O2479" s="3" t="s">
        <v>27</v>
      </c>
      <c r="P2479" s="3" t="s">
        <v>27</v>
      </c>
      <c r="Q2479" s="3" t="s">
        <v>27</v>
      </c>
      <c r="R2479" s="3" t="s">
        <v>28</v>
      </c>
      <c r="S2479" s="3" t="s">
        <v>28</v>
      </c>
      <c r="T2479" s="3" t="s">
        <v>28</v>
      </c>
    </row>
    <row r="2480" spans="1:20" ht="409.6">
      <c r="A2480" s="3">
        <v>2692596</v>
      </c>
      <c r="B2480" s="3">
        <f>HYPERLINK("https://platform.v2.vetology.net/cases/2692596/screening-report/6?type=pdf&amp;v=v6&amp;scorecard=1&amp;secret_key=BX%25IJ%24%2F65ieZ%29f6", 2692596)</f>
        <v>2692596</v>
      </c>
      <c r="C2480" s="3">
        <f>HYPERLINK("https://platform.v2.vetology.net/report/v/final/"&amp;2692596, 2692596)</f>
        <v>2692596</v>
      </c>
      <c r="D2480" s="3" t="s">
        <v>8467</v>
      </c>
      <c r="E2480" s="3" t="s">
        <v>8468</v>
      </c>
      <c r="F2480" s="3" t="s">
        <v>8469</v>
      </c>
      <c r="G2480" s="3" t="s">
        <v>64</v>
      </c>
      <c r="H2480" s="3" t="s">
        <v>7557</v>
      </c>
      <c r="I2480" s="3" t="s">
        <v>763</v>
      </c>
      <c r="J2480" s="3" t="s">
        <v>764</v>
      </c>
      <c r="K2480" s="3" t="s">
        <v>27</v>
      </c>
      <c r="L2480" s="3" t="s">
        <v>27</v>
      </c>
      <c r="M2480" s="3" t="s">
        <v>27</v>
      </c>
      <c r="N2480" s="3" t="s">
        <v>28</v>
      </c>
      <c r="O2480" s="3" t="s">
        <v>27</v>
      </c>
      <c r="P2480" s="3" t="s">
        <v>28</v>
      </c>
      <c r="Q2480" s="3" t="s">
        <v>27</v>
      </c>
      <c r="R2480" s="3" t="s">
        <v>28</v>
      </c>
      <c r="S2480" s="3" t="s">
        <v>28</v>
      </c>
      <c r="T2480" s="3" t="s">
        <v>28</v>
      </c>
    </row>
    <row r="2481" spans="1:20" ht="321">
      <c r="A2481" s="3">
        <v>2692566</v>
      </c>
      <c r="B2481" s="3">
        <f>HYPERLINK("https://platform.v2.vetology.net/cases/2692566/screening-report/6?type=pdf&amp;v=v6&amp;scorecard=1&amp;secret_key=BX%25IJ%24%2F65ieZ%29f6", 2692566)</f>
        <v>2692566</v>
      </c>
      <c r="C2481" s="3">
        <f>HYPERLINK("https://platform.v2.vetology.net/report/v/final/"&amp;2692566, 2692566)</f>
        <v>2692566</v>
      </c>
      <c r="D2481" s="3" t="s">
        <v>8470</v>
      </c>
      <c r="E2481" s="3" t="s">
        <v>8471</v>
      </c>
      <c r="F2481" s="3" t="s">
        <v>8472</v>
      </c>
      <c r="G2481" s="3" t="s">
        <v>186</v>
      </c>
      <c r="H2481" s="3" t="s">
        <v>590</v>
      </c>
      <c r="I2481" s="3" t="s">
        <v>291</v>
      </c>
      <c r="J2481" s="3" t="s">
        <v>225</v>
      </c>
      <c r="K2481" s="3" t="s">
        <v>28</v>
      </c>
      <c r="L2481" s="3" t="s">
        <v>27</v>
      </c>
      <c r="M2481" s="3" t="s">
        <v>28</v>
      </c>
      <c r="N2481" s="3" t="s">
        <v>27</v>
      </c>
      <c r="O2481" s="3" t="s">
        <v>27</v>
      </c>
      <c r="P2481" s="3" t="s">
        <v>28</v>
      </c>
      <c r="Q2481" s="3" t="s">
        <v>28</v>
      </c>
      <c r="R2481" s="3" t="s">
        <v>27</v>
      </c>
      <c r="S2481" s="3" t="s">
        <v>27</v>
      </c>
      <c r="T2481" s="3" t="s">
        <v>27</v>
      </c>
    </row>
    <row r="2482" spans="1:20" ht="409.6">
      <c r="A2482" s="3">
        <v>2692448</v>
      </c>
      <c r="B2482" s="3">
        <f>HYPERLINK("https://platform.v2.vetology.net/cases/2692448/screening-report/6?type=pdf&amp;v=v6&amp;scorecard=1&amp;secret_key=BX%25IJ%24%2F65ieZ%29f6", 2692448)</f>
        <v>2692448</v>
      </c>
      <c r="C2482" s="3">
        <f>HYPERLINK("https://platform.v2.vetology.net/report/v/final/"&amp;2692448, 2692448)</f>
        <v>2692448</v>
      </c>
      <c r="D2482" s="3" t="s">
        <v>8473</v>
      </c>
      <c r="E2482" s="3" t="s">
        <v>8474</v>
      </c>
      <c r="F2482" s="3" t="s">
        <v>8475</v>
      </c>
      <c r="G2482" s="3" t="s">
        <v>566</v>
      </c>
      <c r="H2482" s="3" t="s">
        <v>8476</v>
      </c>
      <c r="I2482" s="3" t="s">
        <v>993</v>
      </c>
      <c r="J2482" s="3" t="s">
        <v>994</v>
      </c>
      <c r="K2482" s="3" t="s">
        <v>28</v>
      </c>
      <c r="L2482" s="3" t="s">
        <v>28</v>
      </c>
      <c r="M2482" s="3" t="s">
        <v>28</v>
      </c>
      <c r="N2482" s="3" t="s">
        <v>28</v>
      </c>
      <c r="O2482" s="3" t="s">
        <v>28</v>
      </c>
      <c r="P2482" s="3" t="s">
        <v>28</v>
      </c>
      <c r="Q2482" s="3" t="s">
        <v>28</v>
      </c>
      <c r="R2482" s="3" t="s">
        <v>28</v>
      </c>
      <c r="S2482" s="3" t="s">
        <v>28</v>
      </c>
      <c r="T2482" s="3" t="s">
        <v>28</v>
      </c>
    </row>
    <row r="2483" spans="1:20" ht="409.6">
      <c r="A2483" s="3">
        <v>2692390</v>
      </c>
      <c r="B2483" s="3">
        <f>HYPERLINK("https://platform.v2.vetology.net/cases/2692390/screening-report/6?type=pdf&amp;v=v6&amp;scorecard=1&amp;secret_key=BX%25IJ%24%2F65ieZ%29f6", 2692390)</f>
        <v>2692390</v>
      </c>
      <c r="C2483" s="3">
        <f>HYPERLINK("https://platform.v2.vetology.net/report/v/final/"&amp;2692390, 2692390)</f>
        <v>2692390</v>
      </c>
      <c r="D2483" s="3" t="s">
        <v>8477</v>
      </c>
      <c r="E2483" s="3" t="s">
        <v>8478</v>
      </c>
      <c r="F2483" s="3"/>
      <c r="G2483" s="3" t="s">
        <v>122</v>
      </c>
      <c r="H2483" s="3" t="s">
        <v>8479</v>
      </c>
      <c r="I2483" s="3" t="s">
        <v>1688</v>
      </c>
      <c r="J2483" s="3" t="s">
        <v>207</v>
      </c>
      <c r="K2483" s="3" t="s">
        <v>27</v>
      </c>
      <c r="L2483" s="3" t="s">
        <v>28</v>
      </c>
      <c r="M2483" s="3" t="s">
        <v>27</v>
      </c>
      <c r="N2483" s="3" t="s">
        <v>28</v>
      </c>
      <c r="O2483" s="3" t="s">
        <v>27</v>
      </c>
      <c r="P2483" s="3" t="s">
        <v>28</v>
      </c>
      <c r="Q2483" s="3" t="s">
        <v>27</v>
      </c>
      <c r="R2483" s="3" t="s">
        <v>28</v>
      </c>
      <c r="S2483" s="3" t="s">
        <v>28</v>
      </c>
      <c r="T2483" s="3" t="s">
        <v>27</v>
      </c>
    </row>
    <row r="2484" spans="1:20" ht="409.6">
      <c r="A2484" s="3">
        <v>2692337</v>
      </c>
      <c r="B2484" s="3">
        <f>HYPERLINK("https://platform.v2.vetology.net/cases/2692337/screening-report/6?type=pdf&amp;v=v6&amp;scorecard=1&amp;secret_key=BX%25IJ%24%2F65ieZ%29f6", 2692337)</f>
        <v>2692337</v>
      </c>
      <c r="C2484" s="3">
        <f>HYPERLINK("https://platform.v2.vetology.net/report/v/final/"&amp;2692337, 2692337)</f>
        <v>2692337</v>
      </c>
      <c r="D2484" s="3" t="s">
        <v>8480</v>
      </c>
      <c r="E2484" s="3" t="s">
        <v>8481</v>
      </c>
      <c r="F2484" s="3" t="s">
        <v>8482</v>
      </c>
      <c r="G2484" s="3" t="s">
        <v>64</v>
      </c>
      <c r="H2484" s="3" t="s">
        <v>241</v>
      </c>
      <c r="I2484" s="3"/>
      <c r="J2484" s="3" t="s">
        <v>207</v>
      </c>
      <c r="K2484" s="3" t="s">
        <v>28</v>
      </c>
      <c r="L2484" s="3" t="s">
        <v>28</v>
      </c>
      <c r="M2484" s="3" t="s">
        <v>28</v>
      </c>
      <c r="N2484" s="3" t="s">
        <v>28</v>
      </c>
      <c r="O2484" s="3" t="s">
        <v>28</v>
      </c>
      <c r="P2484" s="3" t="s">
        <v>28</v>
      </c>
      <c r="Q2484" s="3" t="s">
        <v>28</v>
      </c>
      <c r="R2484" s="3" t="s">
        <v>28</v>
      </c>
      <c r="S2484" s="3" t="s">
        <v>28</v>
      </c>
      <c r="T2484" s="3" t="s">
        <v>27</v>
      </c>
    </row>
    <row r="2485" spans="1:20" ht="351">
      <c r="A2485" s="3">
        <v>2692332</v>
      </c>
      <c r="B2485" s="3">
        <f>HYPERLINK("https://platform.v2.vetology.net/cases/2692332/screening-report/6?type=pdf&amp;v=v6&amp;scorecard=1&amp;secret_key=BX%25IJ%24%2F65ieZ%29f6", 2692332)</f>
        <v>2692332</v>
      </c>
      <c r="C2485" s="3">
        <f>HYPERLINK("https://platform.v2.vetology.net/report/v/final/"&amp;2692332, 2692332)</f>
        <v>2692332</v>
      </c>
      <c r="D2485" s="3" t="s">
        <v>8483</v>
      </c>
      <c r="E2485" s="3" t="s">
        <v>8484</v>
      </c>
      <c r="F2485" s="3"/>
      <c r="G2485" s="3" t="s">
        <v>122</v>
      </c>
      <c r="H2485" s="3" t="s">
        <v>2544</v>
      </c>
      <c r="I2485" s="3" t="s">
        <v>2545</v>
      </c>
      <c r="J2485" s="3" t="s">
        <v>2546</v>
      </c>
      <c r="K2485" s="3" t="s">
        <v>27</v>
      </c>
      <c r="L2485" s="3" t="s">
        <v>27</v>
      </c>
      <c r="M2485" s="3" t="s">
        <v>28</v>
      </c>
      <c r="N2485" s="3" t="s">
        <v>28</v>
      </c>
      <c r="O2485" s="3" t="s">
        <v>27</v>
      </c>
      <c r="P2485" s="3" t="s">
        <v>28</v>
      </c>
      <c r="Q2485" s="3" t="s">
        <v>27</v>
      </c>
      <c r="R2485" s="3" t="s">
        <v>28</v>
      </c>
      <c r="S2485" s="3" t="s">
        <v>27</v>
      </c>
      <c r="T2485" s="3" t="s">
        <v>28</v>
      </c>
    </row>
    <row r="2486" spans="1:20" ht="396.75">
      <c r="A2486" s="3">
        <v>2692277</v>
      </c>
      <c r="B2486" s="3">
        <f>HYPERLINK("https://platform.v2.vetology.net/cases/2692277/screening-report/6?type=pdf&amp;v=v6&amp;scorecard=1&amp;secret_key=BX%25IJ%24%2F65ieZ%29f6", 2692277)</f>
        <v>2692277</v>
      </c>
      <c r="C2486" s="3">
        <f>HYPERLINK("https://platform.v2.vetology.net/report/v/final/"&amp;2692277, 2692277)</f>
        <v>2692277</v>
      </c>
      <c r="D2486" s="3" t="s">
        <v>8485</v>
      </c>
      <c r="E2486" s="3" t="s">
        <v>8486</v>
      </c>
      <c r="F2486" s="3" t="s">
        <v>8487</v>
      </c>
      <c r="G2486" s="3" t="s">
        <v>496</v>
      </c>
      <c r="H2486" s="3" t="s">
        <v>8488</v>
      </c>
      <c r="I2486" s="3" t="s">
        <v>224</v>
      </c>
      <c r="J2486" s="3" t="s">
        <v>225</v>
      </c>
      <c r="K2486" s="3" t="s">
        <v>28</v>
      </c>
      <c r="L2486" s="3" t="s">
        <v>28</v>
      </c>
      <c r="M2486" s="3" t="s">
        <v>28</v>
      </c>
      <c r="N2486" s="3" t="s">
        <v>28</v>
      </c>
      <c r="O2486" s="3" t="s">
        <v>27</v>
      </c>
      <c r="P2486" s="3" t="s">
        <v>28</v>
      </c>
      <c r="Q2486" s="3" t="s">
        <v>28</v>
      </c>
      <c r="R2486" s="3" t="s">
        <v>27</v>
      </c>
      <c r="S2486" s="3" t="s">
        <v>27</v>
      </c>
      <c r="T2486" s="3" t="s">
        <v>27</v>
      </c>
    </row>
    <row r="2487" spans="1:20" ht="244.5">
      <c r="A2487" s="3">
        <v>2692237</v>
      </c>
      <c r="B2487" s="3">
        <f>HYPERLINK("https://platform.v2.vetology.net/cases/2692237/screening-report/6?type=pdf&amp;v=v6&amp;scorecard=1&amp;secret_key=BX%25IJ%24%2F65ieZ%29f6", 2692237)</f>
        <v>2692237</v>
      </c>
      <c r="C2487" s="3">
        <f>HYPERLINK("https://platform.v2.vetology.net/report/v/final/"&amp;2692237, 2692237)</f>
        <v>2692237</v>
      </c>
      <c r="D2487" s="3" t="s">
        <v>8489</v>
      </c>
      <c r="E2487" s="3" t="s">
        <v>531</v>
      </c>
      <c r="F2487" s="3" t="s">
        <v>8490</v>
      </c>
      <c r="G2487" s="3" t="s">
        <v>211</v>
      </c>
      <c r="H2487" s="3" t="s">
        <v>223</v>
      </c>
      <c r="I2487" s="3" t="s">
        <v>1330</v>
      </c>
      <c r="J2487" s="3" t="s">
        <v>1331</v>
      </c>
      <c r="K2487" s="3" t="s">
        <v>28</v>
      </c>
      <c r="L2487" s="3" t="s">
        <v>28</v>
      </c>
      <c r="M2487" s="3" t="s">
        <v>28</v>
      </c>
      <c r="N2487" s="3" t="s">
        <v>28</v>
      </c>
      <c r="O2487" s="3" t="s">
        <v>27</v>
      </c>
      <c r="P2487" s="3" t="s">
        <v>28</v>
      </c>
      <c r="Q2487" s="3" t="s">
        <v>28</v>
      </c>
      <c r="R2487" s="3" t="s">
        <v>28</v>
      </c>
      <c r="S2487" s="3" t="s">
        <v>27</v>
      </c>
      <c r="T2487" s="3" t="s">
        <v>27</v>
      </c>
    </row>
    <row r="2488" spans="1:20" ht="351">
      <c r="A2488" s="3">
        <v>2692202</v>
      </c>
      <c r="B2488" s="3">
        <f>HYPERLINK("https://platform.v2.vetology.net/cases/2692202/screening-report/6?type=pdf&amp;v=v6&amp;scorecard=1&amp;secret_key=BX%25IJ%24%2F65ieZ%29f6", 2692202)</f>
        <v>2692202</v>
      </c>
      <c r="C2488" s="3">
        <f>HYPERLINK("https://platform.v2.vetology.net/report/v/final/"&amp;2692202, 2692202)</f>
        <v>2692202</v>
      </c>
      <c r="D2488" s="3" t="s">
        <v>8491</v>
      </c>
      <c r="E2488" s="3" t="s">
        <v>8492</v>
      </c>
      <c r="F2488" s="3" t="s">
        <v>8493</v>
      </c>
      <c r="G2488" s="3" t="s">
        <v>186</v>
      </c>
      <c r="H2488" s="3" t="s">
        <v>8494</v>
      </c>
      <c r="I2488" s="3" t="s">
        <v>8495</v>
      </c>
      <c r="J2488" s="3" t="s">
        <v>8496</v>
      </c>
      <c r="K2488" s="3" t="s">
        <v>28</v>
      </c>
      <c r="L2488" s="3" t="s">
        <v>28</v>
      </c>
      <c r="M2488" s="3" t="s">
        <v>28</v>
      </c>
      <c r="N2488" s="3" t="s">
        <v>28</v>
      </c>
      <c r="O2488" s="3" t="s">
        <v>27</v>
      </c>
      <c r="P2488" s="3" t="s">
        <v>28</v>
      </c>
      <c r="Q2488" s="3" t="s">
        <v>28</v>
      </c>
      <c r="R2488" s="3" t="s">
        <v>28</v>
      </c>
      <c r="S2488" s="3" t="s">
        <v>28</v>
      </c>
      <c r="T2488" s="3" t="s">
        <v>28</v>
      </c>
    </row>
    <row r="2489" spans="1:20" ht="229.5">
      <c r="A2489" s="3">
        <v>2692184</v>
      </c>
      <c r="B2489" s="3">
        <f>HYPERLINK("https://platform.v2.vetology.net/cases/2692184/screening-report/6?type=pdf&amp;v=v6&amp;scorecard=1&amp;secret_key=BX%25IJ%24%2F65ieZ%29f6", 2692184)</f>
        <v>2692184</v>
      </c>
      <c r="C2489" s="3">
        <f>HYPERLINK("https://platform.v2.vetology.net/report/v/final/"&amp;2692184, 2692184)</f>
        <v>2692184</v>
      </c>
      <c r="D2489" s="3" t="s">
        <v>8497</v>
      </c>
      <c r="E2489" s="3" t="s">
        <v>8498</v>
      </c>
      <c r="F2489" s="3" t="s">
        <v>8499</v>
      </c>
      <c r="G2489" s="3" t="s">
        <v>186</v>
      </c>
      <c r="H2489" s="3" t="s">
        <v>8500</v>
      </c>
      <c r="I2489" s="3"/>
      <c r="J2489" s="3" t="s">
        <v>207</v>
      </c>
      <c r="K2489" s="3" t="s">
        <v>28</v>
      </c>
      <c r="L2489" s="3" t="s">
        <v>28</v>
      </c>
      <c r="M2489" s="3" t="s">
        <v>28</v>
      </c>
      <c r="N2489" s="3" t="s">
        <v>28</v>
      </c>
      <c r="O2489" s="3" t="s">
        <v>27</v>
      </c>
      <c r="P2489" s="3" t="s">
        <v>28</v>
      </c>
      <c r="Q2489" s="3" t="s">
        <v>28</v>
      </c>
      <c r="R2489" s="3" t="s">
        <v>28</v>
      </c>
      <c r="S2489" s="3" t="s">
        <v>28</v>
      </c>
      <c r="T2489" s="3" t="s">
        <v>28</v>
      </c>
    </row>
    <row r="2490" spans="1:20" ht="366">
      <c r="A2490" s="3">
        <v>2692154</v>
      </c>
      <c r="B2490" s="3">
        <f>HYPERLINK("https://platform.v2.vetology.net/cases/2692154/screening-report/6?type=pdf&amp;v=v6&amp;scorecard=1&amp;secret_key=BX%25IJ%24%2F65ieZ%29f6", 2692154)</f>
        <v>2692154</v>
      </c>
      <c r="C2490" s="3">
        <f>HYPERLINK("https://platform.v2.vetology.net/report/v/final/"&amp;2692154, 2692154)</f>
        <v>2692154</v>
      </c>
      <c r="D2490" s="3" t="s">
        <v>8501</v>
      </c>
      <c r="E2490" s="3" t="s">
        <v>8502</v>
      </c>
      <c r="F2490" s="3" t="s">
        <v>8503</v>
      </c>
      <c r="G2490" s="3" t="s">
        <v>186</v>
      </c>
      <c r="H2490" s="3" t="s">
        <v>8504</v>
      </c>
      <c r="I2490" s="3" t="s">
        <v>8505</v>
      </c>
      <c r="J2490" s="3" t="s">
        <v>154</v>
      </c>
      <c r="K2490" s="3" t="s">
        <v>27</v>
      </c>
      <c r="L2490" s="3" t="s">
        <v>28</v>
      </c>
      <c r="M2490" s="3" t="s">
        <v>27</v>
      </c>
      <c r="N2490" s="3" t="s">
        <v>28</v>
      </c>
      <c r="O2490" s="3" t="s">
        <v>27</v>
      </c>
      <c r="P2490" s="3" t="s">
        <v>28</v>
      </c>
      <c r="Q2490" s="3" t="s">
        <v>27</v>
      </c>
      <c r="R2490" s="3" t="s">
        <v>28</v>
      </c>
      <c r="S2490" s="3" t="s">
        <v>27</v>
      </c>
      <c r="T2490" s="3" t="s">
        <v>28</v>
      </c>
    </row>
    <row r="2491" spans="1:20" ht="409.6">
      <c r="A2491" s="3">
        <v>2692139</v>
      </c>
      <c r="B2491" s="3">
        <f>HYPERLINK("https://platform.v2.vetology.net/cases/2692139/screening-report/6?type=pdf&amp;v=v6&amp;scorecard=1&amp;secret_key=BX%25IJ%24%2F65ieZ%29f6", 2692139)</f>
        <v>2692139</v>
      </c>
      <c r="C2491" s="3">
        <f>HYPERLINK("https://platform.v2.vetology.net/report/v/final/"&amp;2692139, 2692139)</f>
        <v>2692139</v>
      </c>
      <c r="D2491" s="3" t="s">
        <v>8506</v>
      </c>
      <c r="E2491" s="3" t="s">
        <v>8507</v>
      </c>
      <c r="F2491" s="3" t="s">
        <v>8508</v>
      </c>
      <c r="G2491" s="3" t="s">
        <v>211</v>
      </c>
      <c r="H2491" s="3" t="s">
        <v>8509</v>
      </c>
      <c r="I2491" s="3" t="s">
        <v>291</v>
      </c>
      <c r="J2491" s="3" t="s">
        <v>363</v>
      </c>
      <c r="K2491" s="3" t="s">
        <v>28</v>
      </c>
      <c r="L2491" s="3" t="s">
        <v>27</v>
      </c>
      <c r="M2491" s="3" t="s">
        <v>28</v>
      </c>
      <c r="N2491" s="3" t="s">
        <v>27</v>
      </c>
      <c r="O2491" s="3" t="s">
        <v>27</v>
      </c>
      <c r="P2491" s="3" t="s">
        <v>28</v>
      </c>
      <c r="Q2491" s="3" t="s">
        <v>27</v>
      </c>
      <c r="R2491" s="3" t="s">
        <v>27</v>
      </c>
      <c r="S2491" s="3" t="s">
        <v>27</v>
      </c>
      <c r="T2491" s="3" t="s">
        <v>27</v>
      </c>
    </row>
    <row r="2492" spans="1:20" ht="336">
      <c r="A2492" s="3">
        <v>2692137</v>
      </c>
      <c r="B2492" s="3">
        <f>HYPERLINK("https://platform.v2.vetology.net/cases/2692137/screening-report/6?type=pdf&amp;v=v6&amp;scorecard=1&amp;secret_key=BX%25IJ%24%2F65ieZ%29f6", 2692137)</f>
        <v>2692137</v>
      </c>
      <c r="C2492" s="3">
        <f>HYPERLINK("https://platform.v2.vetology.net/report/v/final/"&amp;2692137, 2692137)</f>
        <v>2692137</v>
      </c>
      <c r="D2492" s="3" t="s">
        <v>8510</v>
      </c>
      <c r="E2492" s="3" t="s">
        <v>8511</v>
      </c>
      <c r="F2492" s="3" t="s">
        <v>22</v>
      </c>
      <c r="G2492" s="3" t="s">
        <v>100</v>
      </c>
      <c r="H2492" s="3" t="s">
        <v>2885</v>
      </c>
      <c r="I2492" s="3" t="s">
        <v>42</v>
      </c>
      <c r="J2492" s="3" t="s">
        <v>43</v>
      </c>
      <c r="K2492" s="3" t="s">
        <v>27</v>
      </c>
      <c r="L2492" s="3" t="s">
        <v>28</v>
      </c>
      <c r="M2492" s="3" t="s">
        <v>28</v>
      </c>
      <c r="N2492" s="3" t="s">
        <v>27</v>
      </c>
      <c r="O2492" s="3" t="s">
        <v>27</v>
      </c>
      <c r="P2492" s="3" t="s">
        <v>28</v>
      </c>
      <c r="Q2492" s="3" t="s">
        <v>28</v>
      </c>
      <c r="R2492" s="3" t="s">
        <v>27</v>
      </c>
      <c r="S2492" s="3" t="s">
        <v>27</v>
      </c>
      <c r="T2492" s="3" t="s">
        <v>27</v>
      </c>
    </row>
    <row r="2493" spans="1:20" ht="351">
      <c r="A2493" s="3">
        <v>2692056</v>
      </c>
      <c r="B2493" s="3">
        <f>HYPERLINK("https://platform.v2.vetology.net/cases/2692056/screening-report/6?type=pdf&amp;v=v6&amp;scorecard=1&amp;secret_key=BX%25IJ%24%2F65ieZ%29f6", 2692056)</f>
        <v>2692056</v>
      </c>
      <c r="C2493" s="3">
        <f>HYPERLINK("https://platform.v2.vetology.net/report/v/final/"&amp;2692056, 2692056)</f>
        <v>2692056</v>
      </c>
      <c r="D2493" s="3" t="s">
        <v>8512</v>
      </c>
      <c r="E2493" s="3" t="s">
        <v>8513</v>
      </c>
      <c r="F2493" s="3" t="s">
        <v>8514</v>
      </c>
      <c r="G2493" s="3" t="s">
        <v>64</v>
      </c>
      <c r="H2493" s="3" t="s">
        <v>3850</v>
      </c>
      <c r="I2493" s="3"/>
      <c r="J2493" s="3" t="s">
        <v>207</v>
      </c>
      <c r="K2493" s="3" t="s">
        <v>28</v>
      </c>
      <c r="L2493" s="3" t="s">
        <v>27</v>
      </c>
      <c r="M2493" s="3" t="s">
        <v>28</v>
      </c>
      <c r="N2493" s="3" t="s">
        <v>28</v>
      </c>
      <c r="O2493" s="3" t="s">
        <v>28</v>
      </c>
      <c r="P2493" s="3" t="s">
        <v>28</v>
      </c>
      <c r="Q2493" s="3" t="s">
        <v>28</v>
      </c>
      <c r="R2493" s="3" t="s">
        <v>28</v>
      </c>
      <c r="S2493" s="3" t="s">
        <v>28</v>
      </c>
      <c r="T2493" s="3" t="s">
        <v>27</v>
      </c>
    </row>
    <row r="2494" spans="1:20" ht="336">
      <c r="A2494" s="3">
        <v>2692018</v>
      </c>
      <c r="B2494" s="3">
        <f>HYPERLINK("https://platform.v2.vetology.net/cases/2692018/screening-report/6?type=pdf&amp;v=v6&amp;scorecard=1&amp;secret_key=BX%25IJ%24%2F65ieZ%29f6", 2692018)</f>
        <v>2692018</v>
      </c>
      <c r="C2494" s="3">
        <f>HYPERLINK("https://platform.v2.vetology.net/report/v/final/"&amp;2692018, 2692018)</f>
        <v>2692018</v>
      </c>
      <c r="D2494" s="3" t="s">
        <v>8515</v>
      </c>
      <c r="E2494" s="3" t="s">
        <v>1089</v>
      </c>
      <c r="F2494" s="3" t="s">
        <v>1090</v>
      </c>
      <c r="G2494" s="3" t="s">
        <v>100</v>
      </c>
      <c r="H2494" s="3" t="s">
        <v>5481</v>
      </c>
      <c r="I2494" s="3" t="s">
        <v>2226</v>
      </c>
      <c r="J2494" s="3" t="s">
        <v>2227</v>
      </c>
      <c r="K2494" s="3" t="s">
        <v>27</v>
      </c>
      <c r="L2494" s="3" t="s">
        <v>28</v>
      </c>
      <c r="M2494" s="3" t="s">
        <v>27</v>
      </c>
      <c r="N2494" s="3" t="s">
        <v>28</v>
      </c>
      <c r="O2494" s="3" t="s">
        <v>27</v>
      </c>
      <c r="P2494" s="3" t="s">
        <v>28</v>
      </c>
      <c r="Q2494" s="3" t="s">
        <v>27</v>
      </c>
      <c r="R2494" s="3" t="s">
        <v>27</v>
      </c>
      <c r="S2494" s="3" t="s">
        <v>28</v>
      </c>
      <c r="T2494" s="3" t="s">
        <v>27</v>
      </c>
    </row>
    <row r="2495" spans="1:20" ht="396.75">
      <c r="A2495" s="3">
        <v>2691971</v>
      </c>
      <c r="B2495" s="3">
        <f>HYPERLINK("https://platform.v2.vetology.net/cases/2691971/screening-report/6?type=pdf&amp;v=v6&amp;scorecard=1&amp;secret_key=BX%25IJ%24%2F65ieZ%29f6", 2691971)</f>
        <v>2691971</v>
      </c>
      <c r="C2495" s="3">
        <f>HYPERLINK("https://platform.v2.vetology.net/report/v/final/"&amp;2691971, 2691971)</f>
        <v>2691971</v>
      </c>
      <c r="D2495" s="3" t="s">
        <v>8516</v>
      </c>
      <c r="E2495" s="3" t="s">
        <v>8517</v>
      </c>
      <c r="F2495" s="3" t="s">
        <v>8518</v>
      </c>
      <c r="G2495" s="3" t="s">
        <v>64</v>
      </c>
      <c r="H2495" s="3" t="s">
        <v>8519</v>
      </c>
      <c r="I2495" s="3" t="s">
        <v>2108</v>
      </c>
      <c r="J2495" s="3" t="s">
        <v>679</v>
      </c>
      <c r="K2495" s="3" t="s">
        <v>28</v>
      </c>
      <c r="L2495" s="3" t="s">
        <v>27</v>
      </c>
      <c r="M2495" s="3" t="s">
        <v>28</v>
      </c>
      <c r="N2495" s="3" t="s">
        <v>27</v>
      </c>
      <c r="O2495" s="3" t="s">
        <v>27</v>
      </c>
      <c r="P2495" s="3" t="s">
        <v>27</v>
      </c>
      <c r="Q2495" s="3" t="s">
        <v>27</v>
      </c>
      <c r="R2495" s="3" t="s">
        <v>27</v>
      </c>
      <c r="S2495" s="3" t="s">
        <v>27</v>
      </c>
      <c r="T2495" s="3" t="s">
        <v>27</v>
      </c>
    </row>
    <row r="2496" spans="1:20" ht="396.75">
      <c r="A2496" s="3">
        <v>2691944</v>
      </c>
      <c r="B2496" s="3">
        <f>HYPERLINK("https://platform.v2.vetology.net/cases/2691944/screening-report/6?type=pdf&amp;v=v6&amp;scorecard=1&amp;secret_key=BX%25IJ%24%2F65ieZ%29f6", 2691944)</f>
        <v>2691944</v>
      </c>
      <c r="C2496" s="3">
        <f>HYPERLINK("https://platform.v2.vetology.net/report/v/final/"&amp;2691944, 2691944)</f>
        <v>2691944</v>
      </c>
      <c r="D2496" s="3" t="s">
        <v>8520</v>
      </c>
      <c r="E2496" s="3" t="s">
        <v>8521</v>
      </c>
      <c r="F2496" s="3" t="s">
        <v>8522</v>
      </c>
      <c r="G2496" s="3" t="s">
        <v>186</v>
      </c>
      <c r="H2496" s="3" t="s">
        <v>350</v>
      </c>
      <c r="I2496" s="3" t="s">
        <v>351</v>
      </c>
      <c r="J2496" s="3" t="s">
        <v>352</v>
      </c>
      <c r="K2496" s="3" t="s">
        <v>28</v>
      </c>
      <c r="L2496" s="3" t="s">
        <v>28</v>
      </c>
      <c r="M2496" s="3" t="s">
        <v>28</v>
      </c>
      <c r="N2496" s="3" t="s">
        <v>28</v>
      </c>
      <c r="O2496" s="3" t="s">
        <v>28</v>
      </c>
      <c r="P2496" s="3" t="s">
        <v>28</v>
      </c>
      <c r="Q2496" s="3" t="s">
        <v>28</v>
      </c>
      <c r="R2496" s="3" t="s">
        <v>28</v>
      </c>
      <c r="S2496" s="3" t="s">
        <v>28</v>
      </c>
      <c r="T2496" s="3" t="s">
        <v>27</v>
      </c>
    </row>
    <row r="2497" spans="1:20" ht="409.6">
      <c r="A2497" s="3">
        <v>2691935</v>
      </c>
      <c r="B2497" s="3">
        <f>HYPERLINK("https://platform.v2.vetology.net/cases/2691935/screening-report/6?type=pdf&amp;v=v6&amp;scorecard=1&amp;secret_key=BX%25IJ%24%2F65ieZ%29f6", 2691935)</f>
        <v>2691935</v>
      </c>
      <c r="C2497" s="3">
        <f>HYPERLINK("https://platform.v2.vetology.net/report/v/final/"&amp;2691935, 2691935)</f>
        <v>2691935</v>
      </c>
      <c r="D2497" s="3" t="s">
        <v>8523</v>
      </c>
      <c r="E2497" s="3" t="s">
        <v>8524</v>
      </c>
      <c r="F2497" s="3" t="s">
        <v>1717</v>
      </c>
      <c r="G2497" s="3" t="s">
        <v>186</v>
      </c>
      <c r="H2497" s="3" t="s">
        <v>1797</v>
      </c>
      <c r="I2497" s="3" t="s">
        <v>1798</v>
      </c>
      <c r="J2497" s="3" t="s">
        <v>1799</v>
      </c>
      <c r="K2497" s="3" t="s">
        <v>28</v>
      </c>
      <c r="L2497" s="3" t="s">
        <v>27</v>
      </c>
      <c r="M2497" s="3" t="s">
        <v>27</v>
      </c>
      <c r="N2497" s="3" t="s">
        <v>28</v>
      </c>
      <c r="O2497" s="3" t="s">
        <v>27</v>
      </c>
      <c r="P2497" s="3" t="s">
        <v>27</v>
      </c>
      <c r="Q2497" s="3" t="s">
        <v>27</v>
      </c>
      <c r="R2497" s="3" t="s">
        <v>28</v>
      </c>
      <c r="S2497" s="3" t="s">
        <v>27</v>
      </c>
      <c r="T2497" s="3" t="s">
        <v>27</v>
      </c>
    </row>
    <row r="2498" spans="1:20" ht="305.25">
      <c r="A2498" s="3">
        <v>2691921</v>
      </c>
      <c r="B2498" s="3">
        <f>HYPERLINK("https://platform.v2.vetology.net/cases/2691921/screening-report/6?type=pdf&amp;v=v6&amp;scorecard=1&amp;secret_key=BX%25IJ%24%2F65ieZ%29f6", 2691921)</f>
        <v>2691921</v>
      </c>
      <c r="C2498" s="3">
        <f>HYPERLINK("https://platform.v2.vetology.net/report/v/final/"&amp;2691921, 2691921)</f>
        <v>2691921</v>
      </c>
      <c r="D2498" s="3" t="s">
        <v>8525</v>
      </c>
      <c r="E2498" s="3" t="s">
        <v>8526</v>
      </c>
      <c r="F2498" s="3" t="s">
        <v>22</v>
      </c>
      <c r="G2498" s="3" t="s">
        <v>100</v>
      </c>
      <c r="H2498" s="3" t="s">
        <v>8527</v>
      </c>
      <c r="I2498" s="3" t="s">
        <v>8528</v>
      </c>
      <c r="J2498" s="3" t="s">
        <v>8529</v>
      </c>
      <c r="K2498" s="3" t="s">
        <v>28</v>
      </c>
      <c r="L2498" s="3" t="s">
        <v>28</v>
      </c>
      <c r="M2498" s="3" t="s">
        <v>27</v>
      </c>
      <c r="N2498" s="3" t="s">
        <v>28</v>
      </c>
      <c r="O2498" s="3" t="s">
        <v>27</v>
      </c>
      <c r="P2498" s="3" t="s">
        <v>27</v>
      </c>
      <c r="Q2498" s="3" t="s">
        <v>28</v>
      </c>
      <c r="R2498" s="3" t="s">
        <v>28</v>
      </c>
      <c r="S2498" s="3" t="s">
        <v>28</v>
      </c>
      <c r="T2498" s="3" t="s">
        <v>28</v>
      </c>
    </row>
    <row r="2499" spans="1:20" ht="366">
      <c r="A2499" s="3">
        <v>2691903</v>
      </c>
      <c r="B2499" s="3">
        <f>HYPERLINK("https://platform.v2.vetology.net/cases/2691903/screening-report/6?type=pdf&amp;v=v6&amp;scorecard=1&amp;secret_key=BX%25IJ%24%2F65ieZ%29f6", 2691903)</f>
        <v>2691903</v>
      </c>
      <c r="C2499" s="3">
        <f>HYPERLINK("https://platform.v2.vetology.net/report/v/final/"&amp;2691903, 2691903)</f>
        <v>2691903</v>
      </c>
      <c r="D2499" s="3" t="s">
        <v>8530</v>
      </c>
      <c r="E2499" s="3" t="s">
        <v>8531</v>
      </c>
      <c r="F2499" s="3" t="s">
        <v>8532</v>
      </c>
      <c r="G2499" s="3" t="s">
        <v>179</v>
      </c>
      <c r="H2499" s="3" t="s">
        <v>1597</v>
      </c>
      <c r="I2499" s="3" t="s">
        <v>32</v>
      </c>
      <c r="J2499" s="3" t="s">
        <v>119</v>
      </c>
      <c r="K2499" s="3" t="s">
        <v>28</v>
      </c>
      <c r="L2499" s="3" t="s">
        <v>28</v>
      </c>
      <c r="M2499" s="3" t="s">
        <v>28</v>
      </c>
      <c r="N2499" s="3" t="s">
        <v>28</v>
      </c>
      <c r="O2499" s="3" t="s">
        <v>28</v>
      </c>
      <c r="P2499" s="3" t="s">
        <v>28</v>
      </c>
      <c r="Q2499" s="3" t="s">
        <v>28</v>
      </c>
      <c r="R2499" s="3" t="s">
        <v>28</v>
      </c>
      <c r="S2499" s="3" t="s">
        <v>28</v>
      </c>
      <c r="T2499" s="3" t="s">
        <v>28</v>
      </c>
    </row>
    <row r="2500" spans="1:20" ht="321">
      <c r="A2500" s="3">
        <v>2691891</v>
      </c>
      <c r="B2500" s="3">
        <f>HYPERLINK("https://platform.v2.vetology.net/cases/2691891/screening-report/6?type=pdf&amp;v=v6&amp;scorecard=1&amp;secret_key=BX%25IJ%24%2F65ieZ%29f6", 2691891)</f>
        <v>2691891</v>
      </c>
      <c r="C2500" s="3">
        <f>HYPERLINK("https://platform.v2.vetology.net/report/v/final/"&amp;2691891, 2691891)</f>
        <v>2691891</v>
      </c>
      <c r="D2500" s="3" t="s">
        <v>8533</v>
      </c>
      <c r="E2500" s="3" t="s">
        <v>8534</v>
      </c>
      <c r="F2500" s="3"/>
      <c r="G2500" s="3" t="s">
        <v>100</v>
      </c>
      <c r="H2500" s="3" t="s">
        <v>158</v>
      </c>
      <c r="I2500" s="3" t="s">
        <v>129</v>
      </c>
      <c r="J2500" s="3" t="s">
        <v>119</v>
      </c>
      <c r="K2500" s="3" t="s">
        <v>28</v>
      </c>
      <c r="L2500" s="3" t="s">
        <v>28</v>
      </c>
      <c r="M2500" s="3" t="s">
        <v>28</v>
      </c>
      <c r="N2500" s="3" t="s">
        <v>28</v>
      </c>
      <c r="O2500" s="3" t="s">
        <v>27</v>
      </c>
      <c r="P2500" s="3" t="s">
        <v>28</v>
      </c>
      <c r="Q2500" s="3" t="s">
        <v>28</v>
      </c>
      <c r="R2500" s="3" t="s">
        <v>28</v>
      </c>
      <c r="S2500" s="3" t="s">
        <v>28</v>
      </c>
      <c r="T2500" s="3" t="s">
        <v>28</v>
      </c>
    </row>
    <row r="2501" spans="1:20" ht="229.5">
      <c r="A2501" s="3">
        <v>2691879</v>
      </c>
      <c r="B2501" s="3">
        <f>HYPERLINK("https://platform.v2.vetology.net/cases/2691879/screening-report/6?type=pdf&amp;v=v6&amp;scorecard=1&amp;secret_key=BX%25IJ%24%2F65ieZ%29f6", 2691879)</f>
        <v>2691879</v>
      </c>
      <c r="C2501" s="3">
        <f>HYPERLINK("https://platform.v2.vetology.net/report/v/final/"&amp;2691879, 2691879)</f>
        <v>2691879</v>
      </c>
      <c r="D2501" s="3" t="s">
        <v>8535</v>
      </c>
      <c r="E2501" s="3" t="s">
        <v>8536</v>
      </c>
      <c r="F2501" s="3" t="s">
        <v>22</v>
      </c>
      <c r="G2501" s="3" t="s">
        <v>100</v>
      </c>
      <c r="H2501" s="3" t="s">
        <v>158</v>
      </c>
      <c r="I2501" s="3" t="s">
        <v>32</v>
      </c>
      <c r="J2501" s="3" t="s">
        <v>119</v>
      </c>
      <c r="K2501" s="3" t="s">
        <v>28</v>
      </c>
      <c r="L2501" s="3" t="s">
        <v>28</v>
      </c>
      <c r="M2501" s="3" t="s">
        <v>28</v>
      </c>
      <c r="N2501" s="3" t="s">
        <v>28</v>
      </c>
      <c r="O2501" s="3" t="s">
        <v>28</v>
      </c>
      <c r="P2501" s="3" t="s">
        <v>28</v>
      </c>
      <c r="Q2501" s="3" t="s">
        <v>28</v>
      </c>
      <c r="R2501" s="3" t="s">
        <v>28</v>
      </c>
      <c r="S2501" s="3" t="s">
        <v>28</v>
      </c>
      <c r="T2501" s="3" t="s">
        <v>28</v>
      </c>
    </row>
    <row r="2502" spans="1:20" ht="305.25">
      <c r="A2502" s="3">
        <v>2691865</v>
      </c>
      <c r="B2502" s="3">
        <f>HYPERLINK("https://platform.v2.vetology.net/cases/2691865/screening-report/6?type=pdf&amp;v=v6&amp;scorecard=1&amp;secret_key=BX%25IJ%24%2F65ieZ%29f6", 2691865)</f>
        <v>2691865</v>
      </c>
      <c r="C2502" s="3">
        <f>HYPERLINK("https://platform.v2.vetology.net/report/v/final/"&amp;2691865, 2691865)</f>
        <v>2691865</v>
      </c>
      <c r="D2502" s="3" t="s">
        <v>8537</v>
      </c>
      <c r="E2502" s="3" t="s">
        <v>8538</v>
      </c>
      <c r="F2502" s="3" t="s">
        <v>8539</v>
      </c>
      <c r="G2502" s="3" t="s">
        <v>186</v>
      </c>
      <c r="H2502" s="3" t="s">
        <v>8540</v>
      </c>
      <c r="I2502" s="3" t="s">
        <v>6049</v>
      </c>
      <c r="J2502" s="3" t="s">
        <v>6050</v>
      </c>
      <c r="K2502" s="3" t="s">
        <v>27</v>
      </c>
      <c r="L2502" s="3" t="s">
        <v>27</v>
      </c>
      <c r="M2502" s="3" t="s">
        <v>27</v>
      </c>
      <c r="N2502" s="3" t="s">
        <v>27</v>
      </c>
      <c r="O2502" s="3" t="s">
        <v>27</v>
      </c>
      <c r="P2502" s="3" t="s">
        <v>27</v>
      </c>
      <c r="Q2502" s="3" t="s">
        <v>27</v>
      </c>
      <c r="R2502" s="3" t="s">
        <v>27</v>
      </c>
      <c r="S2502" s="3" t="s">
        <v>27</v>
      </c>
      <c r="T2502" s="3" t="s">
        <v>28</v>
      </c>
    </row>
    <row r="2503" spans="1:20" ht="409.6">
      <c r="A2503" s="3">
        <v>2691858</v>
      </c>
      <c r="B2503" s="3">
        <f>HYPERLINK("https://platform.v2.vetology.net/cases/2691858/screening-report/6?type=pdf&amp;v=v6&amp;scorecard=1&amp;secret_key=BX%25IJ%24%2F65ieZ%29f6", 2691858)</f>
        <v>2691858</v>
      </c>
      <c r="C2503" s="3">
        <f>HYPERLINK("https://platform.v2.vetology.net/report/v/final/"&amp;2691858, 2691858)</f>
        <v>2691858</v>
      </c>
      <c r="D2503" s="3" t="s">
        <v>8541</v>
      </c>
      <c r="E2503" s="3" t="s">
        <v>8542</v>
      </c>
      <c r="F2503" s="3" t="s">
        <v>8543</v>
      </c>
      <c r="G2503" s="3" t="s">
        <v>64</v>
      </c>
      <c r="H2503" s="3" t="s">
        <v>2267</v>
      </c>
      <c r="I2503" s="3" t="s">
        <v>305</v>
      </c>
      <c r="J2503" s="3" t="s">
        <v>119</v>
      </c>
      <c r="K2503" s="3" t="s">
        <v>28</v>
      </c>
      <c r="L2503" s="3" t="s">
        <v>28</v>
      </c>
      <c r="M2503" s="3" t="s">
        <v>28</v>
      </c>
      <c r="N2503" s="3" t="s">
        <v>28</v>
      </c>
      <c r="O2503" s="3" t="s">
        <v>28</v>
      </c>
      <c r="P2503" s="3" t="s">
        <v>28</v>
      </c>
      <c r="Q2503" s="3" t="s">
        <v>28</v>
      </c>
      <c r="R2503" s="3" t="s">
        <v>28</v>
      </c>
      <c r="S2503" s="3" t="s">
        <v>28</v>
      </c>
      <c r="T2503" s="3" t="s">
        <v>28</v>
      </c>
    </row>
    <row r="2504" spans="1:20" ht="396.75">
      <c r="A2504" s="3">
        <v>2691853</v>
      </c>
      <c r="B2504" s="3">
        <f>HYPERLINK("https://platform.v2.vetology.net/cases/2691853/screening-report/6?type=pdf&amp;v=v6&amp;scorecard=1&amp;secret_key=BX%25IJ%24%2F65ieZ%29f6", 2691853)</f>
        <v>2691853</v>
      </c>
      <c r="C2504" s="3">
        <f>HYPERLINK("https://platform.v2.vetology.net/report/v/final/"&amp;2691853, 2691853)</f>
        <v>2691853</v>
      </c>
      <c r="D2504" s="3" t="s">
        <v>8544</v>
      </c>
      <c r="E2504" s="3" t="s">
        <v>8545</v>
      </c>
      <c r="F2504" s="3" t="s">
        <v>8546</v>
      </c>
      <c r="G2504" s="3" t="s">
        <v>179</v>
      </c>
      <c r="H2504" s="3" t="s">
        <v>8547</v>
      </c>
      <c r="I2504" s="3" t="s">
        <v>596</v>
      </c>
      <c r="J2504" s="3" t="s">
        <v>597</v>
      </c>
      <c r="K2504" s="3" t="s">
        <v>28</v>
      </c>
      <c r="L2504" s="3" t="s">
        <v>28</v>
      </c>
      <c r="M2504" s="3" t="s">
        <v>28</v>
      </c>
      <c r="N2504" s="3" t="s">
        <v>27</v>
      </c>
      <c r="O2504" s="3" t="s">
        <v>28</v>
      </c>
      <c r="P2504" s="3" t="s">
        <v>28</v>
      </c>
      <c r="Q2504" s="3" t="s">
        <v>28</v>
      </c>
      <c r="R2504" s="3" t="s">
        <v>27</v>
      </c>
      <c r="S2504" s="3" t="s">
        <v>28</v>
      </c>
      <c r="T2504" s="3" t="s">
        <v>27</v>
      </c>
    </row>
    <row r="2505" spans="1:20" ht="396.75">
      <c r="A2505" s="3">
        <v>2691844</v>
      </c>
      <c r="B2505" s="3">
        <f>HYPERLINK("https://platform.v2.vetology.net/cases/2691844/screening-report/6?type=pdf&amp;v=v6&amp;scorecard=1&amp;secret_key=BX%25IJ%24%2F65ieZ%29f6", 2691844)</f>
        <v>2691844</v>
      </c>
      <c r="C2505" s="3">
        <f>HYPERLINK("https://platform.v2.vetology.net/report/v/final/"&amp;2691844, 2691844)</f>
        <v>2691844</v>
      </c>
      <c r="D2505" s="3" t="s">
        <v>8548</v>
      </c>
      <c r="E2505" s="3" t="s">
        <v>8549</v>
      </c>
      <c r="F2505" s="3" t="s">
        <v>8550</v>
      </c>
      <c r="G2505" s="3" t="s">
        <v>64</v>
      </c>
      <c r="H2505" s="3" t="s">
        <v>702</v>
      </c>
      <c r="I2505" s="3" t="s">
        <v>32</v>
      </c>
      <c r="J2505" s="3" t="s">
        <v>33</v>
      </c>
      <c r="K2505" s="3" t="s">
        <v>28</v>
      </c>
      <c r="L2505" s="3" t="s">
        <v>28</v>
      </c>
      <c r="M2505" s="3" t="s">
        <v>28</v>
      </c>
      <c r="N2505" s="3" t="s">
        <v>28</v>
      </c>
      <c r="O2505" s="3" t="s">
        <v>27</v>
      </c>
      <c r="P2505" s="3" t="s">
        <v>28</v>
      </c>
      <c r="Q2505" s="3" t="s">
        <v>28</v>
      </c>
      <c r="R2505" s="3" t="s">
        <v>28</v>
      </c>
      <c r="S2505" s="3" t="s">
        <v>28</v>
      </c>
      <c r="T2505" s="3" t="s">
        <v>27</v>
      </c>
    </row>
    <row r="2506" spans="1:20" ht="409.6">
      <c r="A2506" s="3">
        <v>2691773</v>
      </c>
      <c r="B2506" s="3">
        <f>HYPERLINK("https://platform.v2.vetology.net/cases/2691773/screening-report/6?type=pdf&amp;v=v6&amp;scorecard=1&amp;secret_key=BX%25IJ%24%2F65ieZ%29f6", 2691773)</f>
        <v>2691773</v>
      </c>
      <c r="C2506" s="3">
        <f>HYPERLINK("https://platform.v2.vetology.net/report/v/final/"&amp;2691773, 2691773)</f>
        <v>2691773</v>
      </c>
      <c r="D2506" s="3" t="s">
        <v>8551</v>
      </c>
      <c r="E2506" s="3" t="s">
        <v>8552</v>
      </c>
      <c r="F2506" s="3" t="s">
        <v>8553</v>
      </c>
      <c r="G2506" s="3" t="s">
        <v>566</v>
      </c>
      <c r="H2506" s="3" t="s">
        <v>519</v>
      </c>
      <c r="I2506" s="3" t="s">
        <v>520</v>
      </c>
      <c r="J2506" s="3" t="s">
        <v>335</v>
      </c>
      <c r="K2506" s="3" t="s">
        <v>28</v>
      </c>
      <c r="L2506" s="3" t="s">
        <v>28</v>
      </c>
      <c r="M2506" s="3" t="s">
        <v>28</v>
      </c>
      <c r="N2506" s="3" t="s">
        <v>28</v>
      </c>
      <c r="O2506" s="3" t="s">
        <v>27</v>
      </c>
      <c r="P2506" s="3" t="s">
        <v>28</v>
      </c>
      <c r="Q2506" s="3" t="s">
        <v>28</v>
      </c>
      <c r="R2506" s="3" t="s">
        <v>28</v>
      </c>
      <c r="S2506" s="3" t="s">
        <v>28</v>
      </c>
      <c r="T2506" s="3" t="s">
        <v>28</v>
      </c>
    </row>
    <row r="2507" spans="1:20" ht="321">
      <c r="A2507" s="3">
        <v>2691750</v>
      </c>
      <c r="B2507" s="3">
        <f>HYPERLINK("https://platform.v2.vetology.net/cases/2691750/screening-report/6?type=pdf&amp;v=v6&amp;scorecard=1&amp;secret_key=BX%25IJ%24%2F65ieZ%29f6", 2691750)</f>
        <v>2691750</v>
      </c>
      <c r="C2507" s="3">
        <f>HYPERLINK("https://platform.v2.vetology.net/report/v/final/"&amp;2691750, 2691750)</f>
        <v>2691750</v>
      </c>
      <c r="D2507" s="3" t="s">
        <v>8554</v>
      </c>
      <c r="E2507" s="3" t="s">
        <v>8555</v>
      </c>
      <c r="F2507" s="3" t="s">
        <v>22</v>
      </c>
      <c r="G2507" s="3" t="s">
        <v>23</v>
      </c>
      <c r="H2507" s="3" t="s">
        <v>1538</v>
      </c>
      <c r="I2507" s="3" t="s">
        <v>72</v>
      </c>
      <c r="J2507" s="3" t="s">
        <v>363</v>
      </c>
      <c r="K2507" s="3" t="s">
        <v>28</v>
      </c>
      <c r="L2507" s="3" t="s">
        <v>28</v>
      </c>
      <c r="M2507" s="3" t="s">
        <v>28</v>
      </c>
      <c r="N2507" s="3" t="s">
        <v>27</v>
      </c>
      <c r="O2507" s="3" t="s">
        <v>28</v>
      </c>
      <c r="P2507" s="3" t="s">
        <v>28</v>
      </c>
      <c r="Q2507" s="3" t="s">
        <v>28</v>
      </c>
      <c r="R2507" s="3" t="s">
        <v>28</v>
      </c>
      <c r="S2507" s="3" t="s">
        <v>28</v>
      </c>
      <c r="T2507" s="3" t="s">
        <v>27</v>
      </c>
    </row>
    <row r="2508" spans="1:20" ht="409.6">
      <c r="A2508" s="3">
        <v>2691743</v>
      </c>
      <c r="B2508" s="3">
        <f>HYPERLINK("https://platform.v2.vetology.net/cases/2691743/screening-report/6?type=pdf&amp;v=v6&amp;scorecard=1&amp;secret_key=BX%25IJ%24%2F65ieZ%29f6", 2691743)</f>
        <v>2691743</v>
      </c>
      <c r="C2508" s="3">
        <f>HYPERLINK("https://platform.v2.vetology.net/report/v/final/"&amp;2691743, 2691743)</f>
        <v>2691743</v>
      </c>
      <c r="D2508" s="3" t="s">
        <v>8556</v>
      </c>
      <c r="E2508" s="3" t="s">
        <v>8557</v>
      </c>
      <c r="F2508" s="3" t="s">
        <v>22</v>
      </c>
      <c r="G2508" s="3" t="s">
        <v>23</v>
      </c>
      <c r="H2508" s="3" t="s">
        <v>8558</v>
      </c>
      <c r="I2508" s="3" t="s">
        <v>3145</v>
      </c>
      <c r="J2508" s="3" t="s">
        <v>387</v>
      </c>
      <c r="K2508" s="3" t="s">
        <v>28</v>
      </c>
      <c r="L2508" s="3" t="s">
        <v>28</v>
      </c>
      <c r="M2508" s="3" t="s">
        <v>28</v>
      </c>
      <c r="N2508" s="3" t="s">
        <v>27</v>
      </c>
      <c r="O2508" s="3" t="s">
        <v>27</v>
      </c>
      <c r="P2508" s="3" t="s">
        <v>28</v>
      </c>
      <c r="Q2508" s="3" t="s">
        <v>28</v>
      </c>
      <c r="R2508" s="3" t="s">
        <v>27</v>
      </c>
      <c r="S2508" s="3" t="s">
        <v>27</v>
      </c>
      <c r="T2508" s="3" t="s">
        <v>27</v>
      </c>
    </row>
    <row r="2509" spans="1:20" ht="409.6">
      <c r="A2509" s="3">
        <v>2691694</v>
      </c>
      <c r="B2509" s="3">
        <f>HYPERLINK("https://platform.v2.vetology.net/cases/2691694/screening-report/6?type=pdf&amp;v=v6&amp;scorecard=1&amp;secret_key=BX%25IJ%24%2F65ieZ%29f6", 2691694)</f>
        <v>2691694</v>
      </c>
      <c r="C2509" s="3">
        <f>HYPERLINK("https://platform.v2.vetology.net/report/v/final/"&amp;2691694, 2691694)</f>
        <v>2691694</v>
      </c>
      <c r="D2509" s="3" t="s">
        <v>8559</v>
      </c>
      <c r="E2509" s="3" t="s">
        <v>8560</v>
      </c>
      <c r="F2509" s="3" t="s">
        <v>1413</v>
      </c>
      <c r="G2509" s="3" t="s">
        <v>100</v>
      </c>
      <c r="H2509" s="3" t="s">
        <v>8561</v>
      </c>
      <c r="I2509" s="3" t="s">
        <v>89</v>
      </c>
      <c r="J2509" s="3" t="s">
        <v>90</v>
      </c>
      <c r="K2509" s="3" t="s">
        <v>28</v>
      </c>
      <c r="L2509" s="3" t="s">
        <v>28</v>
      </c>
      <c r="M2509" s="3" t="s">
        <v>28</v>
      </c>
      <c r="N2509" s="3" t="s">
        <v>28</v>
      </c>
      <c r="O2509" s="3" t="s">
        <v>27</v>
      </c>
      <c r="P2509" s="3" t="s">
        <v>28</v>
      </c>
      <c r="Q2509" s="3" t="s">
        <v>28</v>
      </c>
      <c r="R2509" s="3" t="s">
        <v>28</v>
      </c>
      <c r="S2509" s="3" t="s">
        <v>28</v>
      </c>
      <c r="T2509" s="3" t="s">
        <v>28</v>
      </c>
    </row>
    <row r="2510" spans="1:20" ht="366">
      <c r="A2510" s="3">
        <v>2691658</v>
      </c>
      <c r="B2510" s="3">
        <f>HYPERLINK("https://platform.v2.vetology.net/cases/2691658/screening-report/6?type=pdf&amp;v=v6&amp;scorecard=1&amp;secret_key=BX%25IJ%24%2F65ieZ%29f6", 2691658)</f>
        <v>2691658</v>
      </c>
      <c r="C2510" s="3">
        <f>HYPERLINK("https://platform.v2.vetology.net/report/v/final/"&amp;2691658, 2691658)</f>
        <v>2691658</v>
      </c>
      <c r="D2510" s="3" t="s">
        <v>8562</v>
      </c>
      <c r="E2510" s="3" t="s">
        <v>8563</v>
      </c>
      <c r="F2510" s="3" t="s">
        <v>8564</v>
      </c>
      <c r="G2510" s="3" t="s">
        <v>1772</v>
      </c>
      <c r="H2510" s="3" t="s">
        <v>8565</v>
      </c>
      <c r="I2510" s="3" t="s">
        <v>8566</v>
      </c>
      <c r="J2510" s="3" t="s">
        <v>8567</v>
      </c>
      <c r="K2510" s="3" t="s">
        <v>28</v>
      </c>
      <c r="L2510" s="3" t="s">
        <v>27</v>
      </c>
      <c r="M2510" s="3" t="s">
        <v>28</v>
      </c>
      <c r="N2510" s="3" t="s">
        <v>27</v>
      </c>
      <c r="O2510" s="3" t="s">
        <v>27</v>
      </c>
      <c r="P2510" s="3" t="s">
        <v>28</v>
      </c>
      <c r="Q2510" s="3" t="s">
        <v>27</v>
      </c>
      <c r="R2510" s="3" t="s">
        <v>27</v>
      </c>
      <c r="S2510" s="3" t="s">
        <v>27</v>
      </c>
      <c r="T2510" s="3" t="s">
        <v>27</v>
      </c>
    </row>
    <row r="2511" spans="1:20" ht="409.6">
      <c r="A2511" s="3">
        <v>2691561</v>
      </c>
      <c r="B2511" s="3">
        <f>HYPERLINK("https://platform.v2.vetology.net/cases/2691561/screening-report/6?type=pdf&amp;v=v6&amp;scorecard=1&amp;secret_key=BX%25IJ%24%2F65ieZ%29f6", 2691561)</f>
        <v>2691561</v>
      </c>
      <c r="C2511" s="3">
        <f>HYPERLINK("https://platform.v2.vetology.net/report/v/final/"&amp;2691561, 2691561)</f>
        <v>2691561</v>
      </c>
      <c r="D2511" s="3" t="s">
        <v>8568</v>
      </c>
      <c r="E2511" s="3" t="s">
        <v>8569</v>
      </c>
      <c r="F2511" s="3" t="s">
        <v>8570</v>
      </c>
      <c r="G2511" s="3" t="s">
        <v>186</v>
      </c>
      <c r="H2511" s="3" t="s">
        <v>4184</v>
      </c>
      <c r="I2511" s="3" t="s">
        <v>136</v>
      </c>
      <c r="J2511" s="3" t="s">
        <v>424</v>
      </c>
      <c r="K2511" s="3" t="s">
        <v>28</v>
      </c>
      <c r="L2511" s="3" t="s">
        <v>28</v>
      </c>
      <c r="M2511" s="3" t="s">
        <v>28</v>
      </c>
      <c r="N2511" s="3" t="s">
        <v>28</v>
      </c>
      <c r="O2511" s="3" t="s">
        <v>27</v>
      </c>
      <c r="P2511" s="3" t="s">
        <v>28</v>
      </c>
      <c r="Q2511" s="3" t="s">
        <v>28</v>
      </c>
      <c r="R2511" s="3" t="s">
        <v>28</v>
      </c>
      <c r="S2511" s="3" t="s">
        <v>28</v>
      </c>
      <c r="T2511" s="3" t="s">
        <v>27</v>
      </c>
    </row>
    <row r="2512" spans="1:20" ht="409.6">
      <c r="A2512" s="3">
        <v>2691542</v>
      </c>
      <c r="B2512" s="3">
        <f>HYPERLINK("https://platform.v2.vetology.net/cases/2691542/screening-report/6?type=pdf&amp;v=v6&amp;scorecard=1&amp;secret_key=BX%25IJ%24%2F65ieZ%29f6", 2691542)</f>
        <v>2691542</v>
      </c>
      <c r="C2512" s="3">
        <f>HYPERLINK("https://platform.v2.vetology.net/report/v/final/"&amp;2691542, 2691542)</f>
        <v>2691542</v>
      </c>
      <c r="D2512" s="3" t="s">
        <v>8571</v>
      </c>
      <c r="E2512" s="3" t="s">
        <v>8572</v>
      </c>
      <c r="F2512" s="3" t="s">
        <v>8573</v>
      </c>
      <c r="G2512" s="3" t="s">
        <v>566</v>
      </c>
      <c r="H2512" s="3" t="s">
        <v>8574</v>
      </c>
      <c r="I2512" s="3" t="s">
        <v>4591</v>
      </c>
      <c r="J2512" s="3" t="s">
        <v>4592</v>
      </c>
      <c r="K2512" s="3" t="s">
        <v>27</v>
      </c>
      <c r="L2512" s="3" t="s">
        <v>28</v>
      </c>
      <c r="M2512" s="3" t="s">
        <v>28</v>
      </c>
      <c r="N2512" s="3" t="s">
        <v>28</v>
      </c>
      <c r="O2512" s="3" t="s">
        <v>28</v>
      </c>
      <c r="P2512" s="3" t="s">
        <v>28</v>
      </c>
      <c r="Q2512" s="3" t="s">
        <v>28</v>
      </c>
      <c r="R2512" s="3" t="s">
        <v>28</v>
      </c>
      <c r="S2512" s="3" t="s">
        <v>27</v>
      </c>
      <c r="T2512" s="3" t="s">
        <v>27</v>
      </c>
    </row>
    <row r="2513" spans="1:20" ht="409.6">
      <c r="A2513" s="3">
        <v>2691523</v>
      </c>
      <c r="B2513" s="3">
        <f>HYPERLINK("https://platform.v2.vetology.net/cases/2691523/screening-report/6?type=pdf&amp;v=v6&amp;scorecard=1&amp;secret_key=BX%25IJ%24%2F65ieZ%29f6", 2691523)</f>
        <v>2691523</v>
      </c>
      <c r="C2513" s="3">
        <f>HYPERLINK("https://platform.v2.vetology.net/report/v/final/"&amp;2691523, 2691523)</f>
        <v>2691523</v>
      </c>
      <c r="D2513" s="3" t="s">
        <v>8575</v>
      </c>
      <c r="E2513" s="3" t="s">
        <v>8576</v>
      </c>
      <c r="F2513" s="3" t="s">
        <v>8577</v>
      </c>
      <c r="G2513" s="3" t="s">
        <v>566</v>
      </c>
      <c r="H2513" s="3" t="s">
        <v>8578</v>
      </c>
      <c r="I2513" s="3" t="s">
        <v>78</v>
      </c>
      <c r="J2513" s="3" t="s">
        <v>79</v>
      </c>
      <c r="K2513" s="3" t="s">
        <v>28</v>
      </c>
      <c r="L2513" s="3" t="s">
        <v>28</v>
      </c>
      <c r="M2513" s="3" t="s">
        <v>28</v>
      </c>
      <c r="N2513" s="3" t="s">
        <v>28</v>
      </c>
      <c r="O2513" s="3" t="s">
        <v>27</v>
      </c>
      <c r="P2513" s="3" t="s">
        <v>27</v>
      </c>
      <c r="Q2513" s="3" t="s">
        <v>28</v>
      </c>
      <c r="R2513" s="3" t="s">
        <v>28</v>
      </c>
      <c r="S2513" s="3" t="s">
        <v>28</v>
      </c>
      <c r="T2513" s="3" t="s">
        <v>28</v>
      </c>
    </row>
    <row r="2514" spans="1:20" ht="305.25">
      <c r="A2514" s="3">
        <v>2691508</v>
      </c>
      <c r="B2514" s="3">
        <f>HYPERLINK("https://platform.v2.vetology.net/cases/2691508/screening-report/6?type=pdf&amp;v=v6&amp;scorecard=1&amp;secret_key=BX%25IJ%24%2F65ieZ%29f6", 2691508)</f>
        <v>2691508</v>
      </c>
      <c r="C2514" s="3">
        <f>HYPERLINK("https://platform.v2.vetology.net/report/v/final/"&amp;2691508, 2691508)</f>
        <v>2691508</v>
      </c>
      <c r="D2514" s="3" t="s">
        <v>8579</v>
      </c>
      <c r="E2514" s="3" t="s">
        <v>8580</v>
      </c>
      <c r="F2514" s="3" t="s">
        <v>8581</v>
      </c>
      <c r="G2514" s="3" t="s">
        <v>8582</v>
      </c>
      <c r="H2514" s="3" t="s">
        <v>8583</v>
      </c>
      <c r="I2514" s="3" t="s">
        <v>2068</v>
      </c>
      <c r="J2514" s="3" t="s">
        <v>2069</v>
      </c>
      <c r="K2514" s="3" t="s">
        <v>28</v>
      </c>
      <c r="L2514" s="3" t="s">
        <v>27</v>
      </c>
      <c r="M2514" s="3" t="s">
        <v>28</v>
      </c>
      <c r="N2514" s="3" t="s">
        <v>27</v>
      </c>
      <c r="O2514" s="3" t="s">
        <v>27</v>
      </c>
      <c r="P2514" s="3" t="s">
        <v>28</v>
      </c>
      <c r="Q2514" s="3" t="s">
        <v>27</v>
      </c>
      <c r="R2514" s="3" t="s">
        <v>27</v>
      </c>
      <c r="S2514" s="3" t="s">
        <v>27</v>
      </c>
      <c r="T2514" s="3" t="s">
        <v>27</v>
      </c>
    </row>
    <row r="2515" spans="1:20" ht="229.5">
      <c r="A2515" s="3">
        <v>2691471</v>
      </c>
      <c r="B2515" s="3">
        <f>HYPERLINK("https://platform.v2.vetology.net/cases/2691471/screening-report/6?type=pdf&amp;v=v6&amp;scorecard=1&amp;secret_key=BX%25IJ%24%2F65ieZ%29f6", 2691471)</f>
        <v>2691471</v>
      </c>
      <c r="C2515" s="3">
        <f>HYPERLINK("https://platform.v2.vetology.net/report/v/final/"&amp;2691471, 2691471)</f>
        <v>2691471</v>
      </c>
      <c r="D2515" s="3" t="s">
        <v>8584</v>
      </c>
      <c r="E2515" s="3" t="s">
        <v>8584</v>
      </c>
      <c r="F2515" s="3" t="s">
        <v>8584</v>
      </c>
      <c r="G2515" s="3" t="s">
        <v>8585</v>
      </c>
      <c r="H2515" s="3" t="s">
        <v>31</v>
      </c>
      <c r="I2515" s="3" t="s">
        <v>129</v>
      </c>
      <c r="J2515" s="3" t="s">
        <v>119</v>
      </c>
      <c r="K2515" s="3" t="s">
        <v>28</v>
      </c>
      <c r="L2515" s="3" t="s">
        <v>28</v>
      </c>
      <c r="M2515" s="3" t="s">
        <v>28</v>
      </c>
      <c r="N2515" s="3" t="s">
        <v>28</v>
      </c>
      <c r="O2515" s="3" t="s">
        <v>28</v>
      </c>
      <c r="P2515" s="3" t="s">
        <v>28</v>
      </c>
      <c r="Q2515" s="3" t="s">
        <v>28</v>
      </c>
      <c r="R2515" s="3" t="s">
        <v>28</v>
      </c>
      <c r="S2515" s="3" t="s">
        <v>28</v>
      </c>
      <c r="T2515" s="3" t="s">
        <v>28</v>
      </c>
    </row>
    <row r="2516" spans="1:20" ht="381.75">
      <c r="A2516" s="3">
        <v>2691448</v>
      </c>
      <c r="B2516" s="3">
        <f>HYPERLINK("https://platform.v2.vetology.net/cases/2691448/screening-report/6?type=pdf&amp;v=v6&amp;scorecard=1&amp;secret_key=BX%25IJ%24%2F65ieZ%29f6", 2691448)</f>
        <v>2691448</v>
      </c>
      <c r="C2516" s="3">
        <f>HYPERLINK("https://platform.v2.vetology.net/report/v/final/"&amp;2691448, 2691448)</f>
        <v>2691448</v>
      </c>
      <c r="D2516" s="3" t="s">
        <v>8586</v>
      </c>
      <c r="E2516" s="3" t="s">
        <v>8587</v>
      </c>
      <c r="F2516" s="3" t="s">
        <v>8588</v>
      </c>
      <c r="G2516" s="3" t="s">
        <v>57</v>
      </c>
      <c r="H2516" s="3" t="s">
        <v>8589</v>
      </c>
      <c r="I2516" s="3" t="s">
        <v>224</v>
      </c>
      <c r="J2516" s="3" t="s">
        <v>225</v>
      </c>
      <c r="K2516" s="3" t="s">
        <v>28</v>
      </c>
      <c r="L2516" s="3" t="s">
        <v>27</v>
      </c>
      <c r="M2516" s="3" t="s">
        <v>28</v>
      </c>
      <c r="N2516" s="3" t="s">
        <v>28</v>
      </c>
      <c r="O2516" s="3" t="s">
        <v>27</v>
      </c>
      <c r="P2516" s="3" t="s">
        <v>28</v>
      </c>
      <c r="Q2516" s="3" t="s">
        <v>27</v>
      </c>
      <c r="R2516" s="3" t="s">
        <v>28</v>
      </c>
      <c r="S2516" s="3" t="s">
        <v>28</v>
      </c>
      <c r="T2516" s="3" t="s">
        <v>27</v>
      </c>
    </row>
    <row r="2517" spans="1:20" ht="409.6">
      <c r="A2517" s="3">
        <v>2691441</v>
      </c>
      <c r="B2517" s="3">
        <f>HYPERLINK("https://platform.v2.vetology.net/cases/2691441/screening-report/6?type=pdf&amp;v=v6&amp;scorecard=1&amp;secret_key=BX%25IJ%24%2F65ieZ%29f6", 2691441)</f>
        <v>2691441</v>
      </c>
      <c r="C2517" s="3">
        <f>HYPERLINK("https://platform.v2.vetology.net/report/v/final/"&amp;2691441, 2691441)</f>
        <v>2691441</v>
      </c>
      <c r="D2517" s="3" t="s">
        <v>8590</v>
      </c>
      <c r="E2517" s="3" t="s">
        <v>8591</v>
      </c>
      <c r="F2517" s="3" t="s">
        <v>22</v>
      </c>
      <c r="G2517" s="3" t="s">
        <v>23</v>
      </c>
      <c r="H2517" s="3" t="s">
        <v>1968</v>
      </c>
      <c r="I2517" s="3" t="s">
        <v>1026</v>
      </c>
      <c r="J2517" s="3" t="s">
        <v>847</v>
      </c>
      <c r="K2517" s="3" t="s">
        <v>28</v>
      </c>
      <c r="L2517" s="3" t="s">
        <v>28</v>
      </c>
      <c r="M2517" s="3" t="s">
        <v>28</v>
      </c>
      <c r="N2517" s="3" t="s">
        <v>28</v>
      </c>
      <c r="O2517" s="3" t="s">
        <v>28</v>
      </c>
      <c r="P2517" s="3" t="s">
        <v>27</v>
      </c>
      <c r="Q2517" s="3" t="s">
        <v>28</v>
      </c>
      <c r="R2517" s="3" t="s">
        <v>28</v>
      </c>
      <c r="S2517" s="3" t="s">
        <v>28</v>
      </c>
      <c r="T2517" s="3" t="s">
        <v>28</v>
      </c>
    </row>
    <row r="2518" spans="1:20" ht="396.75">
      <c r="A2518" s="3">
        <v>2691402</v>
      </c>
      <c r="B2518" s="3">
        <f>HYPERLINK("https://platform.v2.vetology.net/cases/2691402/screening-report/6?type=pdf&amp;v=v6&amp;scorecard=1&amp;secret_key=BX%25IJ%24%2F65ieZ%29f6", 2691402)</f>
        <v>2691402</v>
      </c>
      <c r="C2518" s="3">
        <f>HYPERLINK("https://platform.v2.vetology.net/report/v/final/"&amp;2691402, 2691402)</f>
        <v>2691402</v>
      </c>
      <c r="D2518" s="3" t="s">
        <v>8592</v>
      </c>
      <c r="E2518" s="3" t="s">
        <v>8593</v>
      </c>
      <c r="F2518" s="3" t="s">
        <v>22</v>
      </c>
      <c r="G2518" s="3" t="s">
        <v>23</v>
      </c>
      <c r="H2518" s="3" t="s">
        <v>350</v>
      </c>
      <c r="I2518" s="3" t="s">
        <v>351</v>
      </c>
      <c r="J2518" s="3" t="s">
        <v>352</v>
      </c>
      <c r="K2518" s="3" t="s">
        <v>28</v>
      </c>
      <c r="L2518" s="3" t="s">
        <v>28</v>
      </c>
      <c r="M2518" s="3" t="s">
        <v>28</v>
      </c>
      <c r="N2518" s="3" t="s">
        <v>28</v>
      </c>
      <c r="O2518" s="3" t="s">
        <v>28</v>
      </c>
      <c r="P2518" s="3" t="s">
        <v>28</v>
      </c>
      <c r="Q2518" s="3" t="s">
        <v>28</v>
      </c>
      <c r="R2518" s="3" t="s">
        <v>28</v>
      </c>
      <c r="S2518" s="3" t="s">
        <v>28</v>
      </c>
      <c r="T2518" s="3" t="s">
        <v>27</v>
      </c>
    </row>
    <row r="2519" spans="1:20" ht="381.75">
      <c r="A2519" s="3">
        <v>2691390</v>
      </c>
      <c r="B2519" s="3">
        <f>HYPERLINK("https://platform.v2.vetology.net/cases/2691390/screening-report/6?type=pdf&amp;v=v6&amp;scorecard=1&amp;secret_key=BX%25IJ%24%2F65ieZ%29f6", 2691390)</f>
        <v>2691390</v>
      </c>
      <c r="C2519" s="3">
        <f>HYPERLINK("https://platform.v2.vetology.net/report/v/final/"&amp;2691390, 2691390)</f>
        <v>2691390</v>
      </c>
      <c r="D2519" s="3" t="s">
        <v>8594</v>
      </c>
      <c r="E2519" s="3" t="s">
        <v>8595</v>
      </c>
      <c r="F2519" s="3" t="s">
        <v>22</v>
      </c>
      <c r="G2519" s="3" t="s">
        <v>23</v>
      </c>
      <c r="H2519" s="3" t="s">
        <v>8596</v>
      </c>
      <c r="I2519" s="3" t="s">
        <v>8597</v>
      </c>
      <c r="J2519" s="3" t="s">
        <v>8598</v>
      </c>
      <c r="K2519" s="3" t="s">
        <v>27</v>
      </c>
      <c r="L2519" s="3" t="s">
        <v>28</v>
      </c>
      <c r="M2519" s="3" t="s">
        <v>27</v>
      </c>
      <c r="N2519" s="3" t="s">
        <v>28</v>
      </c>
      <c r="O2519" s="3" t="s">
        <v>27</v>
      </c>
      <c r="P2519" s="3" t="s">
        <v>28</v>
      </c>
      <c r="Q2519" s="3" t="s">
        <v>28</v>
      </c>
      <c r="R2519" s="3" t="s">
        <v>28</v>
      </c>
      <c r="S2519" s="3" t="s">
        <v>28</v>
      </c>
      <c r="T2519" s="3" t="s">
        <v>27</v>
      </c>
    </row>
    <row r="2520" spans="1:20" ht="381.75">
      <c r="A2520" s="3">
        <v>2691347</v>
      </c>
      <c r="B2520" s="3">
        <f>HYPERLINK("https://platform.v2.vetology.net/cases/2691347/screening-report/6?type=pdf&amp;v=v6&amp;scorecard=1&amp;secret_key=BX%25IJ%24%2F65ieZ%29f6", 2691347)</f>
        <v>2691347</v>
      </c>
      <c r="C2520" s="3">
        <f>HYPERLINK("https://platform.v2.vetology.net/report/v/final/"&amp;2691347, 2691347)</f>
        <v>2691347</v>
      </c>
      <c r="D2520" s="3" t="s">
        <v>8599</v>
      </c>
      <c r="E2520" s="3" t="s">
        <v>8600</v>
      </c>
      <c r="F2520" s="3" t="s">
        <v>8601</v>
      </c>
      <c r="G2520" s="3" t="s">
        <v>23</v>
      </c>
      <c r="H2520" s="3" t="s">
        <v>5163</v>
      </c>
      <c r="I2520" s="3" t="s">
        <v>1248</v>
      </c>
      <c r="J2520" s="3" t="s">
        <v>325</v>
      </c>
      <c r="K2520" s="3" t="s">
        <v>28</v>
      </c>
      <c r="L2520" s="3" t="s">
        <v>28</v>
      </c>
      <c r="M2520" s="3" t="s">
        <v>27</v>
      </c>
      <c r="N2520" s="3" t="s">
        <v>28</v>
      </c>
      <c r="O2520" s="3" t="s">
        <v>27</v>
      </c>
      <c r="P2520" s="3" t="s">
        <v>28</v>
      </c>
      <c r="Q2520" s="3" t="s">
        <v>27</v>
      </c>
      <c r="R2520" s="3" t="s">
        <v>28</v>
      </c>
      <c r="S2520" s="3" t="s">
        <v>28</v>
      </c>
      <c r="T2520" s="3" t="s">
        <v>28</v>
      </c>
    </row>
    <row r="2521" spans="1:20" ht="275.25">
      <c r="A2521" s="3">
        <v>2691313</v>
      </c>
      <c r="B2521" s="3">
        <f>HYPERLINK("https://platform.v2.vetology.net/cases/2691313/screening-report/6?type=pdf&amp;v=v6&amp;scorecard=1&amp;secret_key=BX%25IJ%24%2F65ieZ%29f6", 2691313)</f>
        <v>2691313</v>
      </c>
      <c r="C2521" s="3">
        <f>HYPERLINK("https://platform.v2.vetology.net/report/v/final/"&amp;2691313, 2691313)</f>
        <v>2691313</v>
      </c>
      <c r="D2521" s="3" t="s">
        <v>8602</v>
      </c>
      <c r="E2521" s="3" t="s">
        <v>8603</v>
      </c>
      <c r="F2521" s="3" t="s">
        <v>8604</v>
      </c>
      <c r="G2521" s="3" t="s">
        <v>179</v>
      </c>
      <c r="H2521" s="3" t="s">
        <v>1705</v>
      </c>
      <c r="I2521" s="3" t="s">
        <v>291</v>
      </c>
      <c r="J2521" s="3" t="s">
        <v>225</v>
      </c>
      <c r="K2521" s="3" t="s">
        <v>28</v>
      </c>
      <c r="L2521" s="3" t="s">
        <v>28</v>
      </c>
      <c r="M2521" s="3" t="s">
        <v>28</v>
      </c>
      <c r="N2521" s="3" t="s">
        <v>27</v>
      </c>
      <c r="O2521" s="3" t="s">
        <v>27</v>
      </c>
      <c r="P2521" s="3" t="s">
        <v>28</v>
      </c>
      <c r="Q2521" s="3" t="s">
        <v>28</v>
      </c>
      <c r="R2521" s="3" t="s">
        <v>28</v>
      </c>
      <c r="S2521" s="3" t="s">
        <v>28</v>
      </c>
      <c r="T2521" s="3" t="s">
        <v>27</v>
      </c>
    </row>
    <row r="2522" spans="1:20" ht="351">
      <c r="A2522" s="3">
        <v>2691311</v>
      </c>
      <c r="B2522" s="3">
        <f>HYPERLINK("https://platform.v2.vetology.net/cases/2691311/screening-report/6?type=pdf&amp;v=v6&amp;scorecard=1&amp;secret_key=BX%25IJ%24%2F65ieZ%29f6", 2691311)</f>
        <v>2691311</v>
      </c>
      <c r="C2522" s="3">
        <f>HYPERLINK("https://platform.v2.vetology.net/report/v/final/"&amp;2691311, 2691311)</f>
        <v>2691311</v>
      </c>
      <c r="D2522" s="3" t="s">
        <v>8605</v>
      </c>
      <c r="E2522" s="3" t="s">
        <v>8606</v>
      </c>
      <c r="F2522" s="3" t="s">
        <v>1391</v>
      </c>
      <c r="G2522" s="3" t="s">
        <v>496</v>
      </c>
      <c r="H2522" s="3" t="s">
        <v>2064</v>
      </c>
      <c r="I2522" s="3" t="s">
        <v>1472</v>
      </c>
      <c r="J2522" s="3" t="s">
        <v>1374</v>
      </c>
      <c r="K2522" s="3" t="s">
        <v>27</v>
      </c>
      <c r="L2522" s="3" t="s">
        <v>28</v>
      </c>
      <c r="M2522" s="3" t="s">
        <v>27</v>
      </c>
      <c r="N2522" s="3" t="s">
        <v>28</v>
      </c>
      <c r="O2522" s="3" t="s">
        <v>27</v>
      </c>
      <c r="P2522" s="3" t="s">
        <v>28</v>
      </c>
      <c r="Q2522" s="3" t="s">
        <v>28</v>
      </c>
      <c r="R2522" s="3" t="s">
        <v>28</v>
      </c>
      <c r="S2522" s="3" t="s">
        <v>28</v>
      </c>
      <c r="T2522" s="3" t="s">
        <v>28</v>
      </c>
    </row>
    <row r="2523" spans="1:20" ht="409.6">
      <c r="A2523" s="3">
        <v>2691286</v>
      </c>
      <c r="B2523" s="3">
        <f>HYPERLINK("https://platform.v2.vetology.net/cases/2691286/screening-report/6?type=pdf&amp;v=v6&amp;scorecard=1&amp;secret_key=BX%25IJ%24%2F65ieZ%29f6", 2691286)</f>
        <v>2691286</v>
      </c>
      <c r="C2523" s="3">
        <f>HYPERLINK("https://platform.v2.vetology.net/report/v/final/"&amp;2691286, 2691286)</f>
        <v>2691286</v>
      </c>
      <c r="D2523" s="3" t="s">
        <v>8607</v>
      </c>
      <c r="E2523" s="3" t="s">
        <v>8608</v>
      </c>
      <c r="F2523" s="3" t="s">
        <v>22</v>
      </c>
      <c r="G2523" s="3" t="s">
        <v>23</v>
      </c>
      <c r="H2523" s="3" t="s">
        <v>8609</v>
      </c>
      <c r="I2523" s="3" t="s">
        <v>291</v>
      </c>
      <c r="J2523" s="3" t="s">
        <v>292</v>
      </c>
      <c r="K2523" s="3" t="s">
        <v>28</v>
      </c>
      <c r="L2523" s="3" t="s">
        <v>28</v>
      </c>
      <c r="M2523" s="3" t="s">
        <v>28</v>
      </c>
      <c r="N2523" s="3" t="s">
        <v>28</v>
      </c>
      <c r="O2523" s="3" t="s">
        <v>27</v>
      </c>
      <c r="P2523" s="3" t="s">
        <v>27</v>
      </c>
      <c r="Q2523" s="3" t="s">
        <v>28</v>
      </c>
      <c r="R2523" s="3" t="s">
        <v>28</v>
      </c>
      <c r="S2523" s="3" t="s">
        <v>27</v>
      </c>
      <c r="T2523" s="3" t="s">
        <v>27</v>
      </c>
    </row>
    <row r="2524" spans="1:20" ht="321">
      <c r="A2524" s="3">
        <v>2691224</v>
      </c>
      <c r="B2524" s="3">
        <f>HYPERLINK("https://platform.v2.vetology.net/cases/2691224/screening-report/6?type=pdf&amp;v=v6&amp;scorecard=1&amp;secret_key=BX%25IJ%24%2F65ieZ%29f6", 2691224)</f>
        <v>2691224</v>
      </c>
      <c r="C2524" s="3">
        <f>HYPERLINK("https://platform.v2.vetology.net/report/v/final/"&amp;2691224, 2691224)</f>
        <v>2691224</v>
      </c>
      <c r="D2524" s="3" t="s">
        <v>8610</v>
      </c>
      <c r="E2524" s="3" t="s">
        <v>8611</v>
      </c>
      <c r="F2524" s="3" t="s">
        <v>22</v>
      </c>
      <c r="G2524" s="3" t="s">
        <v>100</v>
      </c>
      <c r="H2524" s="3" t="s">
        <v>8612</v>
      </c>
      <c r="I2524" s="3" t="s">
        <v>8613</v>
      </c>
      <c r="J2524" s="3" t="s">
        <v>8614</v>
      </c>
      <c r="K2524" s="3" t="s">
        <v>28</v>
      </c>
      <c r="L2524" s="3" t="s">
        <v>28</v>
      </c>
      <c r="M2524" s="3" t="s">
        <v>27</v>
      </c>
      <c r="N2524" s="3" t="s">
        <v>28</v>
      </c>
      <c r="O2524" s="3" t="s">
        <v>27</v>
      </c>
      <c r="P2524" s="3" t="s">
        <v>28</v>
      </c>
      <c r="Q2524" s="3" t="s">
        <v>28</v>
      </c>
      <c r="R2524" s="3" t="s">
        <v>27</v>
      </c>
      <c r="S2524" s="3" t="s">
        <v>28</v>
      </c>
      <c r="T2524" s="3" t="s">
        <v>28</v>
      </c>
    </row>
    <row r="2525" spans="1:20" ht="351">
      <c r="A2525" s="3">
        <v>2691196</v>
      </c>
      <c r="B2525" s="3">
        <f>HYPERLINK("https://platform.v2.vetology.net/cases/2691196/screening-report/6?type=pdf&amp;v=v6&amp;scorecard=1&amp;secret_key=BX%25IJ%24%2F65ieZ%29f6", 2691196)</f>
        <v>2691196</v>
      </c>
      <c r="C2525" s="3">
        <f>HYPERLINK("https://platform.v2.vetology.net/report/v/final/"&amp;2691196, 2691196)</f>
        <v>2691196</v>
      </c>
      <c r="D2525" s="3" t="s">
        <v>8615</v>
      </c>
      <c r="E2525" s="3" t="s">
        <v>8616</v>
      </c>
      <c r="F2525" s="3" t="s">
        <v>8617</v>
      </c>
      <c r="G2525" s="3" t="s">
        <v>64</v>
      </c>
      <c r="H2525" s="3" t="s">
        <v>1421</v>
      </c>
      <c r="I2525" s="3" t="s">
        <v>32</v>
      </c>
      <c r="J2525" s="3" t="s">
        <v>33</v>
      </c>
      <c r="K2525" s="3" t="s">
        <v>28</v>
      </c>
      <c r="L2525" s="3" t="s">
        <v>28</v>
      </c>
      <c r="M2525" s="3" t="s">
        <v>28</v>
      </c>
      <c r="N2525" s="3" t="s">
        <v>28</v>
      </c>
      <c r="O2525" s="3" t="s">
        <v>28</v>
      </c>
      <c r="P2525" s="3" t="s">
        <v>28</v>
      </c>
      <c r="Q2525" s="3" t="s">
        <v>28</v>
      </c>
      <c r="R2525" s="3" t="s">
        <v>28</v>
      </c>
      <c r="S2525" s="3" t="s">
        <v>28</v>
      </c>
      <c r="T2525" s="3" t="s">
        <v>28</v>
      </c>
    </row>
    <row r="2526" spans="1:20" ht="381.75">
      <c r="A2526" s="3">
        <v>2691192</v>
      </c>
      <c r="B2526" s="3">
        <f>HYPERLINK("https://platform.v2.vetology.net/cases/2691192/screening-report/6?type=pdf&amp;v=v6&amp;scorecard=1&amp;secret_key=BX%25IJ%24%2F65ieZ%29f6", 2691192)</f>
        <v>2691192</v>
      </c>
      <c r="C2526" s="3">
        <f>HYPERLINK("https://platform.v2.vetology.net/report/v/final/"&amp;2691192, 2691192)</f>
        <v>2691192</v>
      </c>
      <c r="D2526" s="3" t="s">
        <v>8618</v>
      </c>
      <c r="E2526" s="3" t="s">
        <v>8619</v>
      </c>
      <c r="F2526" s="3" t="s">
        <v>8620</v>
      </c>
      <c r="G2526" s="3" t="s">
        <v>64</v>
      </c>
      <c r="H2526" s="3" t="s">
        <v>5163</v>
      </c>
      <c r="I2526" s="3" t="s">
        <v>1248</v>
      </c>
      <c r="J2526" s="3" t="s">
        <v>325</v>
      </c>
      <c r="K2526" s="3" t="s">
        <v>28</v>
      </c>
      <c r="L2526" s="3" t="s">
        <v>28</v>
      </c>
      <c r="M2526" s="3" t="s">
        <v>27</v>
      </c>
      <c r="N2526" s="3" t="s">
        <v>28</v>
      </c>
      <c r="O2526" s="3" t="s">
        <v>28</v>
      </c>
      <c r="P2526" s="3" t="s">
        <v>28</v>
      </c>
      <c r="Q2526" s="3" t="s">
        <v>27</v>
      </c>
      <c r="R2526" s="3" t="s">
        <v>28</v>
      </c>
      <c r="S2526" s="3" t="s">
        <v>28</v>
      </c>
      <c r="T2526" s="3" t="s">
        <v>28</v>
      </c>
    </row>
    <row r="2527" spans="1:20" ht="409.6">
      <c r="A2527" s="3">
        <v>2691191</v>
      </c>
      <c r="B2527" s="3">
        <f>HYPERLINK("https://platform.v2.vetology.net/cases/2691191/screening-report/6?type=pdf&amp;v=v6&amp;scorecard=1&amp;secret_key=BX%25IJ%24%2F65ieZ%29f6", 2691191)</f>
        <v>2691191</v>
      </c>
      <c r="C2527" s="3">
        <f>HYPERLINK("https://platform.v2.vetology.net/report/v/final/"&amp;2691191, 2691191)</f>
        <v>2691191</v>
      </c>
      <c r="D2527" s="3" t="s">
        <v>8621</v>
      </c>
      <c r="E2527" s="3" t="s">
        <v>8622</v>
      </c>
      <c r="F2527" s="3" t="s">
        <v>22</v>
      </c>
      <c r="G2527" s="3" t="s">
        <v>23</v>
      </c>
      <c r="H2527" s="3" t="s">
        <v>8623</v>
      </c>
      <c r="I2527" s="3" t="s">
        <v>8624</v>
      </c>
      <c r="J2527" s="3" t="s">
        <v>207</v>
      </c>
      <c r="K2527" s="3" t="s">
        <v>27</v>
      </c>
      <c r="L2527" s="3" t="s">
        <v>28</v>
      </c>
      <c r="M2527" s="3" t="s">
        <v>27</v>
      </c>
      <c r="N2527" s="3" t="s">
        <v>27</v>
      </c>
      <c r="O2527" s="3" t="s">
        <v>27</v>
      </c>
      <c r="P2527" s="3" t="s">
        <v>28</v>
      </c>
      <c r="Q2527" s="3" t="s">
        <v>27</v>
      </c>
      <c r="R2527" s="3" t="s">
        <v>28</v>
      </c>
      <c r="S2527" s="3" t="s">
        <v>28</v>
      </c>
      <c r="T2527" s="3" t="s">
        <v>27</v>
      </c>
    </row>
    <row r="2528" spans="1:20" ht="244.5">
      <c r="A2528" s="3">
        <v>2691183</v>
      </c>
      <c r="B2528" s="3">
        <f>HYPERLINK("https://platform.v2.vetology.net/cases/2691183/screening-report/6?type=pdf&amp;v=v6&amp;scorecard=1&amp;secret_key=BX%25IJ%24%2F65ieZ%29f6", 2691183)</f>
        <v>2691183</v>
      </c>
      <c r="C2528" s="3">
        <f>HYPERLINK("https://platform.v2.vetology.net/report/v/final/"&amp;2691183, 2691183)</f>
        <v>2691183</v>
      </c>
      <c r="D2528" s="3" t="s">
        <v>8625</v>
      </c>
      <c r="E2528" s="3" t="s">
        <v>8626</v>
      </c>
      <c r="F2528" s="3" t="s">
        <v>8627</v>
      </c>
      <c r="G2528" s="3" t="s">
        <v>179</v>
      </c>
      <c r="H2528" s="3" t="s">
        <v>300</v>
      </c>
      <c r="I2528" s="3" t="s">
        <v>32</v>
      </c>
      <c r="J2528" s="3" t="s">
        <v>119</v>
      </c>
      <c r="K2528" s="3" t="s">
        <v>28</v>
      </c>
      <c r="L2528" s="3" t="s">
        <v>28</v>
      </c>
      <c r="M2528" s="3" t="s">
        <v>28</v>
      </c>
      <c r="N2528" s="3" t="s">
        <v>28</v>
      </c>
      <c r="O2528" s="3" t="s">
        <v>28</v>
      </c>
      <c r="P2528" s="3" t="s">
        <v>28</v>
      </c>
      <c r="Q2528" s="3" t="s">
        <v>28</v>
      </c>
      <c r="R2528" s="3" t="s">
        <v>28</v>
      </c>
      <c r="S2528" s="3" t="s">
        <v>28</v>
      </c>
      <c r="T2528" s="3" t="s">
        <v>28</v>
      </c>
    </row>
    <row r="2529" spans="1:20" ht="351">
      <c r="A2529" s="3">
        <v>2691153</v>
      </c>
      <c r="B2529" s="3">
        <f>HYPERLINK("https://platform.v2.vetology.net/cases/2691153/screening-report/6?type=pdf&amp;v=v6&amp;scorecard=1&amp;secret_key=BX%25IJ%24%2F65ieZ%29f6", 2691153)</f>
        <v>2691153</v>
      </c>
      <c r="C2529" s="3">
        <f>HYPERLINK("https://platform.v2.vetology.net/report/v/final/"&amp;2691153, 2691153)</f>
        <v>2691153</v>
      </c>
      <c r="D2529" s="3" t="s">
        <v>8628</v>
      </c>
      <c r="E2529" s="3" t="s">
        <v>8629</v>
      </c>
      <c r="F2529" s="3" t="s">
        <v>8630</v>
      </c>
      <c r="G2529" s="3" t="s">
        <v>179</v>
      </c>
      <c r="H2529" s="3" t="s">
        <v>6149</v>
      </c>
      <c r="I2529" s="3" t="s">
        <v>1227</v>
      </c>
      <c r="J2529" s="3" t="s">
        <v>1228</v>
      </c>
      <c r="K2529" s="3" t="s">
        <v>28</v>
      </c>
      <c r="L2529" s="3" t="s">
        <v>28</v>
      </c>
      <c r="M2529" s="3" t="s">
        <v>28</v>
      </c>
      <c r="N2529" s="3" t="s">
        <v>27</v>
      </c>
      <c r="O2529" s="3" t="s">
        <v>27</v>
      </c>
      <c r="P2529" s="3" t="s">
        <v>28</v>
      </c>
      <c r="Q2529" s="3" t="s">
        <v>28</v>
      </c>
      <c r="R2529" s="3" t="s">
        <v>28</v>
      </c>
      <c r="S2529" s="3" t="s">
        <v>28</v>
      </c>
      <c r="T2529" s="3" t="s">
        <v>27</v>
      </c>
    </row>
    <row r="2530" spans="1:20" ht="244.5">
      <c r="A2530" s="3">
        <v>2691150</v>
      </c>
      <c r="B2530" s="3">
        <f>HYPERLINK("https://platform.v2.vetology.net/cases/2691150/screening-report/6?type=pdf&amp;v=v6&amp;scorecard=1&amp;secret_key=BX%25IJ%24%2F65ieZ%29f6", 2691150)</f>
        <v>2691150</v>
      </c>
      <c r="C2530" s="3">
        <f>HYPERLINK("https://platform.v2.vetology.net/report/v/final/"&amp;2691150, 2691150)</f>
        <v>2691150</v>
      </c>
      <c r="D2530" s="3" t="s">
        <v>8631</v>
      </c>
      <c r="E2530" s="3" t="s">
        <v>8632</v>
      </c>
      <c r="F2530" s="3"/>
      <c r="G2530" s="3" t="s">
        <v>122</v>
      </c>
      <c r="H2530" s="3" t="s">
        <v>4698</v>
      </c>
      <c r="I2530" s="3" t="s">
        <v>4699</v>
      </c>
      <c r="J2530" s="3" t="s">
        <v>4700</v>
      </c>
      <c r="K2530" s="3" t="s">
        <v>27</v>
      </c>
      <c r="L2530" s="3" t="s">
        <v>27</v>
      </c>
      <c r="M2530" s="3" t="s">
        <v>27</v>
      </c>
      <c r="N2530" s="3" t="s">
        <v>28</v>
      </c>
      <c r="O2530" s="3" t="s">
        <v>27</v>
      </c>
      <c r="P2530" s="3" t="s">
        <v>27</v>
      </c>
      <c r="Q2530" s="3" t="s">
        <v>27</v>
      </c>
      <c r="R2530" s="3" t="s">
        <v>28</v>
      </c>
      <c r="S2530" s="3" t="s">
        <v>28</v>
      </c>
      <c r="T2530" s="3" t="s">
        <v>28</v>
      </c>
    </row>
    <row r="2531" spans="1:20" ht="396.75">
      <c r="A2531" s="3">
        <v>2691138</v>
      </c>
      <c r="B2531" s="3">
        <f>HYPERLINK("https://platform.v2.vetology.net/cases/2691138/screening-report/6?type=pdf&amp;v=v6&amp;scorecard=1&amp;secret_key=BX%25IJ%24%2F65ieZ%29f6", 2691138)</f>
        <v>2691138</v>
      </c>
      <c r="C2531" s="3">
        <f>HYPERLINK("https://platform.v2.vetology.net/report/v/final/"&amp;2691138, 2691138)</f>
        <v>2691138</v>
      </c>
      <c r="D2531" s="3" t="s">
        <v>8633</v>
      </c>
      <c r="E2531" s="3" t="s">
        <v>8634</v>
      </c>
      <c r="F2531" s="3" t="s">
        <v>22</v>
      </c>
      <c r="G2531" s="3" t="s">
        <v>23</v>
      </c>
      <c r="H2531" s="3" t="s">
        <v>6730</v>
      </c>
      <c r="I2531" s="3" t="s">
        <v>351</v>
      </c>
      <c r="J2531" s="3" t="s">
        <v>352</v>
      </c>
      <c r="K2531" s="3" t="s">
        <v>28</v>
      </c>
      <c r="L2531" s="3" t="s">
        <v>28</v>
      </c>
      <c r="M2531" s="3" t="s">
        <v>28</v>
      </c>
      <c r="N2531" s="3" t="s">
        <v>28</v>
      </c>
      <c r="O2531" s="3" t="s">
        <v>28</v>
      </c>
      <c r="P2531" s="3" t="s">
        <v>28</v>
      </c>
      <c r="Q2531" s="3" t="s">
        <v>28</v>
      </c>
      <c r="R2531" s="3" t="s">
        <v>28</v>
      </c>
      <c r="S2531" s="3" t="s">
        <v>28</v>
      </c>
      <c r="T2531" s="3" t="s">
        <v>27</v>
      </c>
    </row>
    <row r="2532" spans="1:20" ht="409.6">
      <c r="A2532" s="3">
        <v>2691135</v>
      </c>
      <c r="B2532" s="3">
        <f>HYPERLINK("https://platform.v2.vetology.net/cases/2691135/screening-report/6?type=pdf&amp;v=v6&amp;scorecard=1&amp;secret_key=BX%25IJ%24%2F65ieZ%29f6", 2691135)</f>
        <v>2691135</v>
      </c>
      <c r="C2532" s="3">
        <f>HYPERLINK("https://platform.v2.vetology.net/report/v/final/"&amp;2691135, 2691135)</f>
        <v>2691135</v>
      </c>
      <c r="D2532" s="3" t="s">
        <v>8635</v>
      </c>
      <c r="E2532" s="3" t="s">
        <v>8636</v>
      </c>
      <c r="F2532" s="3" t="s">
        <v>8637</v>
      </c>
      <c r="G2532" s="3" t="s">
        <v>64</v>
      </c>
      <c r="H2532" s="3" t="s">
        <v>8638</v>
      </c>
      <c r="I2532" s="3" t="s">
        <v>8639</v>
      </c>
      <c r="J2532" s="3" t="s">
        <v>8640</v>
      </c>
      <c r="K2532" s="3" t="s">
        <v>27</v>
      </c>
      <c r="L2532" s="3" t="s">
        <v>27</v>
      </c>
      <c r="M2532" s="3" t="s">
        <v>28</v>
      </c>
      <c r="N2532" s="3" t="s">
        <v>28</v>
      </c>
      <c r="O2532" s="3" t="s">
        <v>27</v>
      </c>
      <c r="P2532" s="3" t="s">
        <v>28</v>
      </c>
      <c r="Q2532" s="3" t="s">
        <v>27</v>
      </c>
      <c r="R2532" s="3" t="s">
        <v>28</v>
      </c>
      <c r="S2532" s="3" t="s">
        <v>28</v>
      </c>
      <c r="T2532" s="3" t="s">
        <v>27</v>
      </c>
    </row>
    <row r="2533" spans="1:20" ht="167.25">
      <c r="A2533" s="3">
        <v>2691095</v>
      </c>
      <c r="B2533" s="3">
        <f>HYPERLINK("https://platform.v2.vetology.net/cases/2691095/screening-report/6?type=pdf&amp;v=v6&amp;scorecard=1&amp;secret_key=BX%25IJ%24%2F65ieZ%29f6", 2691095)</f>
        <v>2691095</v>
      </c>
      <c r="C2533" s="3">
        <f>HYPERLINK("https://platform.v2.vetology.net/report/v/final/"&amp;2691095, 2691095)</f>
        <v>2691095</v>
      </c>
      <c r="D2533" s="3" t="s">
        <v>8641</v>
      </c>
      <c r="E2533" s="3" t="s">
        <v>8642</v>
      </c>
      <c r="F2533" s="3" t="s">
        <v>8643</v>
      </c>
      <c r="G2533" s="3" t="s">
        <v>179</v>
      </c>
      <c r="H2533" s="3" t="s">
        <v>2331</v>
      </c>
      <c r="I2533" s="3" t="s">
        <v>305</v>
      </c>
      <c r="J2533" s="3" t="s">
        <v>799</v>
      </c>
      <c r="K2533" s="3" t="s">
        <v>27</v>
      </c>
      <c r="L2533" s="3" t="s">
        <v>28</v>
      </c>
      <c r="M2533" s="3" t="s">
        <v>28</v>
      </c>
      <c r="N2533" s="3" t="s">
        <v>28</v>
      </c>
      <c r="O2533" s="3" t="s">
        <v>27</v>
      </c>
      <c r="P2533" s="3" t="s">
        <v>28</v>
      </c>
      <c r="Q2533" s="3" t="s">
        <v>28</v>
      </c>
      <c r="R2533" s="3" t="s">
        <v>28</v>
      </c>
      <c r="S2533" s="3" t="s">
        <v>28</v>
      </c>
      <c r="T2533" s="3" t="s">
        <v>28</v>
      </c>
    </row>
    <row r="2534" spans="1:20" ht="409.6">
      <c r="A2534" s="3">
        <v>2691091</v>
      </c>
      <c r="B2534" s="3">
        <f>HYPERLINK("https://platform.v2.vetology.net/cases/2691091/screening-report/6?type=pdf&amp;v=v6&amp;scorecard=1&amp;secret_key=BX%25IJ%24%2F65ieZ%29f6", 2691091)</f>
        <v>2691091</v>
      </c>
      <c r="C2534" s="3">
        <f>HYPERLINK("https://platform.v2.vetology.net/report/v/final/"&amp;2691091, 2691091)</f>
        <v>2691091</v>
      </c>
      <c r="D2534" s="3" t="s">
        <v>8644</v>
      </c>
      <c r="E2534" s="3" t="s">
        <v>8645</v>
      </c>
      <c r="F2534" s="3" t="s">
        <v>22</v>
      </c>
      <c r="G2534" s="3" t="s">
        <v>23</v>
      </c>
      <c r="H2534" s="3" t="s">
        <v>8646</v>
      </c>
      <c r="I2534" s="3" t="s">
        <v>52</v>
      </c>
      <c r="J2534" s="3" t="s">
        <v>154</v>
      </c>
      <c r="K2534" s="3" t="s">
        <v>28</v>
      </c>
      <c r="L2534" s="3" t="s">
        <v>28</v>
      </c>
      <c r="M2534" s="3" t="s">
        <v>28</v>
      </c>
      <c r="N2534" s="3" t="s">
        <v>28</v>
      </c>
      <c r="O2534" s="3" t="s">
        <v>27</v>
      </c>
      <c r="P2534" s="3" t="s">
        <v>27</v>
      </c>
      <c r="Q2534" s="3" t="s">
        <v>28</v>
      </c>
      <c r="R2534" s="3" t="s">
        <v>28</v>
      </c>
      <c r="S2534" s="3" t="s">
        <v>28</v>
      </c>
      <c r="T2534" s="3" t="s">
        <v>28</v>
      </c>
    </row>
    <row r="2535" spans="1:20" ht="409.6">
      <c r="A2535" s="3">
        <v>2691063</v>
      </c>
      <c r="B2535" s="3">
        <f>HYPERLINK("https://platform.v2.vetology.net/cases/2691063/screening-report/6?type=pdf&amp;v=v6&amp;scorecard=1&amp;secret_key=BX%25IJ%24%2F65ieZ%29f6", 2691063)</f>
        <v>2691063</v>
      </c>
      <c r="C2535" s="3">
        <f>HYPERLINK("https://platform.v2.vetology.net/report/v/final/"&amp;2691063, 2691063)</f>
        <v>2691063</v>
      </c>
      <c r="D2535" s="3" t="s">
        <v>8647</v>
      </c>
      <c r="E2535" s="3" t="s">
        <v>8648</v>
      </c>
      <c r="F2535" s="3" t="s">
        <v>8649</v>
      </c>
      <c r="G2535" s="3" t="s">
        <v>186</v>
      </c>
      <c r="H2535" s="3" t="s">
        <v>8650</v>
      </c>
      <c r="I2535" s="3" t="s">
        <v>706</v>
      </c>
      <c r="J2535" s="3" t="s">
        <v>707</v>
      </c>
      <c r="K2535" s="3" t="s">
        <v>28</v>
      </c>
      <c r="L2535" s="3" t="s">
        <v>28</v>
      </c>
      <c r="M2535" s="3" t="s">
        <v>28</v>
      </c>
      <c r="N2535" s="3" t="s">
        <v>28</v>
      </c>
      <c r="O2535" s="3" t="s">
        <v>27</v>
      </c>
      <c r="P2535" s="3" t="s">
        <v>28</v>
      </c>
      <c r="Q2535" s="3" t="s">
        <v>28</v>
      </c>
      <c r="R2535" s="3" t="s">
        <v>28</v>
      </c>
      <c r="S2535" s="3" t="s">
        <v>28</v>
      </c>
      <c r="T2535" s="3" t="s">
        <v>27</v>
      </c>
    </row>
    <row r="2536" spans="1:20" ht="381.75">
      <c r="A2536" s="3">
        <v>2691049</v>
      </c>
      <c r="B2536" s="3">
        <f>HYPERLINK("https://platform.v2.vetology.net/cases/2691049/screening-report/6?type=pdf&amp;v=v6&amp;scorecard=1&amp;secret_key=BX%25IJ%24%2F65ieZ%29f6", 2691049)</f>
        <v>2691049</v>
      </c>
      <c r="C2536" s="3">
        <f>HYPERLINK("https://platform.v2.vetology.net/report/v/final/"&amp;2691049, 2691049)</f>
        <v>2691049</v>
      </c>
      <c r="D2536" s="3" t="s">
        <v>8651</v>
      </c>
      <c r="E2536" s="3" t="s">
        <v>1089</v>
      </c>
      <c r="F2536" s="3" t="s">
        <v>1090</v>
      </c>
      <c r="G2536" s="3" t="s">
        <v>100</v>
      </c>
      <c r="H2536" s="3" t="s">
        <v>8652</v>
      </c>
      <c r="I2536" s="3" t="s">
        <v>856</v>
      </c>
      <c r="J2536" s="3" t="s">
        <v>857</v>
      </c>
      <c r="K2536" s="3" t="s">
        <v>27</v>
      </c>
      <c r="L2536" s="3" t="s">
        <v>28</v>
      </c>
      <c r="M2536" s="3" t="s">
        <v>28</v>
      </c>
      <c r="N2536" s="3" t="s">
        <v>28</v>
      </c>
      <c r="O2536" s="3" t="s">
        <v>27</v>
      </c>
      <c r="P2536" s="3" t="s">
        <v>28</v>
      </c>
      <c r="Q2536" s="3" t="s">
        <v>28</v>
      </c>
      <c r="R2536" s="3" t="s">
        <v>28</v>
      </c>
      <c r="S2536" s="3" t="s">
        <v>28</v>
      </c>
      <c r="T2536" s="3" t="s">
        <v>28</v>
      </c>
    </row>
    <row r="2537" spans="1:20" ht="305.25">
      <c r="A2537" s="3">
        <v>2691039</v>
      </c>
      <c r="B2537" s="3">
        <f>HYPERLINK("https://platform.v2.vetology.net/cases/2691039/screening-report/6?type=pdf&amp;v=v6&amp;scorecard=1&amp;secret_key=BX%25IJ%24%2F65ieZ%29f6", 2691039)</f>
        <v>2691039</v>
      </c>
      <c r="C2537" s="3">
        <f>HYPERLINK("https://platform.v2.vetology.net/report/v/final/"&amp;2691039, 2691039)</f>
        <v>2691039</v>
      </c>
      <c r="D2537" s="3" t="s">
        <v>8653</v>
      </c>
      <c r="E2537" s="3" t="s">
        <v>8654</v>
      </c>
      <c r="F2537" s="3" t="s">
        <v>22</v>
      </c>
      <c r="G2537" s="3" t="s">
        <v>23</v>
      </c>
      <c r="H2537" s="3" t="s">
        <v>2808</v>
      </c>
      <c r="I2537" s="3" t="s">
        <v>136</v>
      </c>
      <c r="J2537" s="3" t="s">
        <v>137</v>
      </c>
      <c r="K2537" s="3" t="s">
        <v>28</v>
      </c>
      <c r="L2537" s="3" t="s">
        <v>28</v>
      </c>
      <c r="M2537" s="3" t="s">
        <v>28</v>
      </c>
      <c r="N2537" s="3" t="s">
        <v>28</v>
      </c>
      <c r="O2537" s="3" t="s">
        <v>27</v>
      </c>
      <c r="P2537" s="3" t="s">
        <v>28</v>
      </c>
      <c r="Q2537" s="3" t="s">
        <v>27</v>
      </c>
      <c r="R2537" s="3" t="s">
        <v>28</v>
      </c>
      <c r="S2537" s="3" t="s">
        <v>28</v>
      </c>
      <c r="T2537" s="3" t="s">
        <v>27</v>
      </c>
    </row>
    <row r="2538" spans="1:20" ht="381.75">
      <c r="A2538" s="3">
        <v>2690990</v>
      </c>
      <c r="B2538" s="3">
        <f>HYPERLINK("https://platform.v2.vetology.net/cases/2690990/screening-report/6?type=pdf&amp;v=v6&amp;scorecard=1&amp;secret_key=BX%25IJ%24%2F65ieZ%29f6", 2690990)</f>
        <v>2690990</v>
      </c>
      <c r="C2538" s="3">
        <f>HYPERLINK("https://platform.v2.vetology.net/report/v/final/"&amp;2690990, 2690990)</f>
        <v>2690990</v>
      </c>
      <c r="D2538" s="3" t="s">
        <v>8655</v>
      </c>
      <c r="E2538" s="3" t="s">
        <v>1230</v>
      </c>
      <c r="F2538" s="3" t="s">
        <v>1049</v>
      </c>
      <c r="G2538" s="3" t="s">
        <v>100</v>
      </c>
      <c r="H2538" s="3" t="s">
        <v>855</v>
      </c>
      <c r="I2538" s="3" t="s">
        <v>856</v>
      </c>
      <c r="J2538" s="3" t="s">
        <v>857</v>
      </c>
      <c r="K2538" s="3" t="s">
        <v>27</v>
      </c>
      <c r="L2538" s="3" t="s">
        <v>28</v>
      </c>
      <c r="M2538" s="3" t="s">
        <v>28</v>
      </c>
      <c r="N2538" s="3" t="s">
        <v>28</v>
      </c>
      <c r="O2538" s="3" t="s">
        <v>27</v>
      </c>
      <c r="P2538" s="3" t="s">
        <v>28</v>
      </c>
      <c r="Q2538" s="3" t="s">
        <v>28</v>
      </c>
      <c r="R2538" s="3" t="s">
        <v>28</v>
      </c>
      <c r="S2538" s="3" t="s">
        <v>28</v>
      </c>
      <c r="T2538" s="3" t="s">
        <v>28</v>
      </c>
    </row>
    <row r="2539" spans="1:20" ht="409.6">
      <c r="A2539" s="3">
        <v>2690956</v>
      </c>
      <c r="B2539" s="3">
        <f>HYPERLINK("https://platform.v2.vetology.net/cases/2690956/screening-report/6?type=pdf&amp;v=v6&amp;scorecard=1&amp;secret_key=BX%25IJ%24%2F65ieZ%29f6", 2690956)</f>
        <v>2690956</v>
      </c>
      <c r="C2539" s="3">
        <f>HYPERLINK("https://platform.v2.vetology.net/report/v/final/"&amp;2690956, 2690956)</f>
        <v>2690956</v>
      </c>
      <c r="D2539" s="3" t="s">
        <v>8656</v>
      </c>
      <c r="E2539" s="3" t="s">
        <v>1941</v>
      </c>
      <c r="F2539" s="3" t="s">
        <v>7526</v>
      </c>
      <c r="G2539" s="3" t="s">
        <v>1772</v>
      </c>
      <c r="H2539" s="3" t="s">
        <v>519</v>
      </c>
      <c r="I2539" s="3" t="s">
        <v>520</v>
      </c>
      <c r="J2539" s="3" t="s">
        <v>335</v>
      </c>
      <c r="K2539" s="3" t="s">
        <v>28</v>
      </c>
      <c r="L2539" s="3" t="s">
        <v>28</v>
      </c>
      <c r="M2539" s="3" t="s">
        <v>28</v>
      </c>
      <c r="N2539" s="3" t="s">
        <v>28</v>
      </c>
      <c r="O2539" s="3" t="s">
        <v>27</v>
      </c>
      <c r="P2539" s="3" t="s">
        <v>28</v>
      </c>
      <c r="Q2539" s="3" t="s">
        <v>28</v>
      </c>
      <c r="R2539" s="3" t="s">
        <v>28</v>
      </c>
      <c r="S2539" s="3" t="s">
        <v>28</v>
      </c>
      <c r="T2539" s="3" t="s">
        <v>28</v>
      </c>
    </row>
    <row r="2540" spans="1:20" ht="381.75">
      <c r="A2540" s="3">
        <v>2690955</v>
      </c>
      <c r="B2540" s="3">
        <f>HYPERLINK("https://platform.v2.vetology.net/cases/2690955/screening-report/6?type=pdf&amp;v=v6&amp;scorecard=1&amp;secret_key=BX%25IJ%24%2F65ieZ%29f6", 2690955)</f>
        <v>2690955</v>
      </c>
      <c r="C2540" s="3">
        <f>HYPERLINK("https://platform.v2.vetology.net/report/v/final/"&amp;2690955, 2690955)</f>
        <v>2690955</v>
      </c>
      <c r="D2540" s="3" t="s">
        <v>8657</v>
      </c>
      <c r="E2540" s="3" t="s">
        <v>8658</v>
      </c>
      <c r="F2540" s="3" t="s">
        <v>8659</v>
      </c>
      <c r="G2540" s="3" t="s">
        <v>1772</v>
      </c>
      <c r="H2540" s="3" t="s">
        <v>8660</v>
      </c>
      <c r="I2540" s="3" t="s">
        <v>233</v>
      </c>
      <c r="J2540" s="3" t="s">
        <v>234</v>
      </c>
      <c r="K2540" s="3" t="s">
        <v>27</v>
      </c>
      <c r="L2540" s="3" t="s">
        <v>28</v>
      </c>
      <c r="M2540" s="3" t="s">
        <v>27</v>
      </c>
      <c r="N2540" s="3" t="s">
        <v>28</v>
      </c>
      <c r="O2540" s="3" t="s">
        <v>28</v>
      </c>
      <c r="P2540" s="3" t="s">
        <v>28</v>
      </c>
      <c r="Q2540" s="3" t="s">
        <v>28</v>
      </c>
      <c r="R2540" s="3" t="s">
        <v>28</v>
      </c>
      <c r="S2540" s="3" t="s">
        <v>28</v>
      </c>
      <c r="T2540" s="3" t="s">
        <v>28</v>
      </c>
    </row>
    <row r="2541" spans="1:20" ht="409.6">
      <c r="A2541" s="3">
        <v>2690854</v>
      </c>
      <c r="B2541" s="3">
        <f>HYPERLINK("https://platform.v2.vetology.net/cases/2690854/screening-report/6?type=pdf&amp;v=v6&amp;scorecard=1&amp;secret_key=BX%25IJ%24%2F65ieZ%29f6", 2690854)</f>
        <v>2690854</v>
      </c>
      <c r="C2541" s="3">
        <f>HYPERLINK("https://platform.v2.vetology.net/report/v/final/"&amp;2690854, 2690854)</f>
        <v>2690854</v>
      </c>
      <c r="D2541" s="3" t="s">
        <v>8661</v>
      </c>
      <c r="E2541" s="3" t="s">
        <v>8662</v>
      </c>
      <c r="F2541" s="3" t="s">
        <v>8663</v>
      </c>
      <c r="G2541" s="3" t="s">
        <v>57</v>
      </c>
      <c r="H2541" s="3" t="s">
        <v>8664</v>
      </c>
      <c r="I2541" s="3" t="s">
        <v>8665</v>
      </c>
      <c r="J2541" s="3" t="s">
        <v>8666</v>
      </c>
      <c r="K2541" s="3" t="s">
        <v>27</v>
      </c>
      <c r="L2541" s="3" t="s">
        <v>27</v>
      </c>
      <c r="M2541" s="3" t="s">
        <v>28</v>
      </c>
      <c r="N2541" s="3" t="s">
        <v>27</v>
      </c>
      <c r="O2541" s="3" t="s">
        <v>27</v>
      </c>
      <c r="P2541" s="3" t="s">
        <v>28</v>
      </c>
      <c r="Q2541" s="3" t="s">
        <v>28</v>
      </c>
      <c r="R2541" s="3" t="s">
        <v>27</v>
      </c>
      <c r="S2541" s="3" t="s">
        <v>27</v>
      </c>
      <c r="T2541" s="3" t="s">
        <v>28</v>
      </c>
    </row>
    <row r="2542" spans="1:20" ht="366">
      <c r="A2542" s="3">
        <v>2690841</v>
      </c>
      <c r="B2542" s="3">
        <f>HYPERLINK("https://platform.v2.vetology.net/cases/2690841/screening-report/6?type=pdf&amp;v=v6&amp;scorecard=1&amp;secret_key=BX%25IJ%24%2F65ieZ%29f6", 2690841)</f>
        <v>2690841</v>
      </c>
      <c r="C2542" s="3">
        <f>HYPERLINK("https://platform.v2.vetology.net/report/v/final/"&amp;2690841, 2690841)</f>
        <v>2690841</v>
      </c>
      <c r="D2542" s="3" t="s">
        <v>8667</v>
      </c>
      <c r="E2542" s="3" t="s">
        <v>8668</v>
      </c>
      <c r="F2542" s="3" t="s">
        <v>5415</v>
      </c>
      <c r="G2542" s="3" t="s">
        <v>100</v>
      </c>
      <c r="H2542" s="3" t="s">
        <v>8669</v>
      </c>
      <c r="I2542" s="3" t="s">
        <v>267</v>
      </c>
      <c r="J2542" s="3" t="s">
        <v>268</v>
      </c>
      <c r="K2542" s="3" t="s">
        <v>27</v>
      </c>
      <c r="L2542" s="3" t="s">
        <v>28</v>
      </c>
      <c r="M2542" s="3" t="s">
        <v>28</v>
      </c>
      <c r="N2542" s="3" t="s">
        <v>28</v>
      </c>
      <c r="O2542" s="3" t="s">
        <v>27</v>
      </c>
      <c r="P2542" s="3" t="s">
        <v>27</v>
      </c>
      <c r="Q2542" s="3" t="s">
        <v>28</v>
      </c>
      <c r="R2542" s="3" t="s">
        <v>28</v>
      </c>
      <c r="S2542" s="3" t="s">
        <v>28</v>
      </c>
      <c r="T2542" s="3" t="s">
        <v>28</v>
      </c>
    </row>
    <row r="2543" spans="1:20" ht="409.6">
      <c r="A2543" s="3">
        <v>2690821</v>
      </c>
      <c r="B2543" s="3">
        <f>HYPERLINK("https://platform.v2.vetology.net/cases/2690821/screening-report/6?type=pdf&amp;v=v6&amp;scorecard=1&amp;secret_key=BX%25IJ%24%2F65ieZ%29f6", 2690821)</f>
        <v>2690821</v>
      </c>
      <c r="C2543" s="3">
        <f>HYPERLINK("https://platform.v2.vetology.net/report/v/final/"&amp;2690821, 2690821)</f>
        <v>2690821</v>
      </c>
      <c r="D2543" s="3" t="s">
        <v>8670</v>
      </c>
      <c r="E2543" s="3" t="s">
        <v>8671</v>
      </c>
      <c r="F2543" s="3" t="s">
        <v>8672</v>
      </c>
      <c r="G2543" s="3" t="s">
        <v>1772</v>
      </c>
      <c r="H2543" s="3" t="s">
        <v>8673</v>
      </c>
      <c r="I2543" s="3" t="s">
        <v>718</v>
      </c>
      <c r="J2543" s="3" t="s">
        <v>719</v>
      </c>
      <c r="K2543" s="3" t="s">
        <v>28</v>
      </c>
      <c r="L2543" s="3" t="s">
        <v>28</v>
      </c>
      <c r="M2543" s="3" t="s">
        <v>28</v>
      </c>
      <c r="N2543" s="3" t="s">
        <v>28</v>
      </c>
      <c r="O2543" s="3" t="s">
        <v>27</v>
      </c>
      <c r="P2543" s="3" t="s">
        <v>28</v>
      </c>
      <c r="Q2543" s="3" t="s">
        <v>28</v>
      </c>
      <c r="R2543" s="3" t="s">
        <v>28</v>
      </c>
      <c r="S2543" s="3" t="s">
        <v>28</v>
      </c>
      <c r="T2543" s="3" t="s">
        <v>28</v>
      </c>
    </row>
    <row r="2544" spans="1:20" ht="409.6">
      <c r="A2544" s="3">
        <v>2690812</v>
      </c>
      <c r="B2544" s="3">
        <f>HYPERLINK("https://platform.v2.vetology.net/cases/2690812/screening-report/6?type=pdf&amp;v=v6&amp;scorecard=1&amp;secret_key=BX%25IJ%24%2F65ieZ%29f6", 2690812)</f>
        <v>2690812</v>
      </c>
      <c r="C2544" s="3">
        <f>HYPERLINK("https://platform.v2.vetology.net/report/v/final/"&amp;2690812, 2690812)</f>
        <v>2690812</v>
      </c>
      <c r="D2544" s="3" t="s">
        <v>8674</v>
      </c>
      <c r="E2544" s="3" t="s">
        <v>8675</v>
      </c>
      <c r="F2544" s="3" t="s">
        <v>8676</v>
      </c>
      <c r="G2544" s="3" t="s">
        <v>1772</v>
      </c>
      <c r="H2544" s="3" t="s">
        <v>8677</v>
      </c>
      <c r="I2544" s="3" t="s">
        <v>754</v>
      </c>
      <c r="J2544" s="3" t="s">
        <v>755</v>
      </c>
      <c r="K2544" s="3" t="s">
        <v>27</v>
      </c>
      <c r="L2544" s="3" t="s">
        <v>28</v>
      </c>
      <c r="M2544" s="3" t="s">
        <v>28</v>
      </c>
      <c r="N2544" s="3" t="s">
        <v>28</v>
      </c>
      <c r="O2544" s="3" t="s">
        <v>28</v>
      </c>
      <c r="P2544" s="3" t="s">
        <v>28</v>
      </c>
      <c r="Q2544" s="3" t="s">
        <v>28</v>
      </c>
      <c r="R2544" s="3" t="s">
        <v>28</v>
      </c>
      <c r="S2544" s="3" t="s">
        <v>28</v>
      </c>
      <c r="T2544" s="3" t="s">
        <v>28</v>
      </c>
    </row>
    <row r="2545" spans="1:20" ht="409.6">
      <c r="A2545" s="3">
        <v>2690803</v>
      </c>
      <c r="B2545" s="3">
        <f>HYPERLINK("https://platform.v2.vetology.net/cases/2690803/screening-report/6?type=pdf&amp;v=v6&amp;scorecard=1&amp;secret_key=BX%25IJ%24%2F65ieZ%29f6", 2690803)</f>
        <v>2690803</v>
      </c>
      <c r="C2545" s="3">
        <f>HYPERLINK("https://platform.v2.vetology.net/report/v/final/"&amp;2690803, 2690803)</f>
        <v>2690803</v>
      </c>
      <c r="D2545" s="3" t="s">
        <v>8678</v>
      </c>
      <c r="E2545" s="3" t="s">
        <v>8679</v>
      </c>
      <c r="F2545" s="3" t="s">
        <v>8680</v>
      </c>
      <c r="G2545" s="3" t="s">
        <v>1772</v>
      </c>
      <c r="H2545" s="3" t="s">
        <v>8681</v>
      </c>
      <c r="I2545" s="3" t="s">
        <v>1660</v>
      </c>
      <c r="J2545" s="3" t="s">
        <v>207</v>
      </c>
      <c r="K2545" s="3" t="s">
        <v>27</v>
      </c>
      <c r="L2545" s="3" t="s">
        <v>28</v>
      </c>
      <c r="M2545" s="3" t="s">
        <v>28</v>
      </c>
      <c r="N2545" s="3" t="s">
        <v>28</v>
      </c>
      <c r="O2545" s="3" t="s">
        <v>27</v>
      </c>
      <c r="P2545" s="3" t="s">
        <v>28</v>
      </c>
      <c r="Q2545" s="3" t="s">
        <v>28</v>
      </c>
      <c r="R2545" s="3" t="s">
        <v>28</v>
      </c>
      <c r="S2545" s="3" t="s">
        <v>28</v>
      </c>
      <c r="T2545" s="3" t="s">
        <v>27</v>
      </c>
    </row>
    <row r="2546" spans="1:20" ht="305.25">
      <c r="A2546" s="3">
        <v>2690801</v>
      </c>
      <c r="B2546" s="3">
        <f>HYPERLINK("https://platform.v2.vetology.net/cases/2690801/screening-report/6?type=pdf&amp;v=v6&amp;scorecard=1&amp;secret_key=BX%25IJ%24%2F65ieZ%29f6", 2690801)</f>
        <v>2690801</v>
      </c>
      <c r="C2546" s="3">
        <f>HYPERLINK("https://platform.v2.vetology.net/report/v/final/"&amp;2690801, 2690801)</f>
        <v>2690801</v>
      </c>
      <c r="D2546" s="3" t="s">
        <v>8682</v>
      </c>
      <c r="E2546" s="3" t="s">
        <v>8683</v>
      </c>
      <c r="F2546" s="3" t="s">
        <v>8684</v>
      </c>
      <c r="G2546" s="3" t="s">
        <v>186</v>
      </c>
      <c r="H2546" s="3" t="s">
        <v>8685</v>
      </c>
      <c r="I2546" s="3" t="s">
        <v>784</v>
      </c>
      <c r="J2546" s="3" t="s">
        <v>785</v>
      </c>
      <c r="K2546" s="3" t="s">
        <v>27</v>
      </c>
      <c r="L2546" s="3" t="s">
        <v>28</v>
      </c>
      <c r="M2546" s="3" t="s">
        <v>27</v>
      </c>
      <c r="N2546" s="3" t="s">
        <v>27</v>
      </c>
      <c r="O2546" s="3" t="s">
        <v>27</v>
      </c>
      <c r="P2546" s="3" t="s">
        <v>28</v>
      </c>
      <c r="Q2546" s="3" t="s">
        <v>27</v>
      </c>
      <c r="R2546" s="3" t="s">
        <v>28</v>
      </c>
      <c r="S2546" s="3" t="s">
        <v>27</v>
      </c>
      <c r="T2546" s="3" t="s">
        <v>27</v>
      </c>
    </row>
    <row r="2547" spans="1:20" ht="305.25">
      <c r="A2547" s="3">
        <v>2690726</v>
      </c>
      <c r="B2547" s="3">
        <f>HYPERLINK("https://platform.v2.vetology.net/cases/2690726/screening-report/6?type=pdf&amp;v=v6&amp;scorecard=1&amp;secret_key=BX%25IJ%24%2F65ieZ%29f6", 2690726)</f>
        <v>2690726</v>
      </c>
      <c r="C2547" s="3">
        <f>HYPERLINK("https://platform.v2.vetology.net/report/v/final/"&amp;2690726, 2690726)</f>
        <v>2690726</v>
      </c>
      <c r="D2547" s="3" t="s">
        <v>8686</v>
      </c>
      <c r="E2547" s="3" t="s">
        <v>8687</v>
      </c>
      <c r="F2547" s="3" t="s">
        <v>260</v>
      </c>
      <c r="G2547" s="3" t="s">
        <v>186</v>
      </c>
      <c r="H2547" s="3" t="s">
        <v>8688</v>
      </c>
      <c r="I2547" s="3" t="s">
        <v>784</v>
      </c>
      <c r="J2547" s="3" t="s">
        <v>785</v>
      </c>
      <c r="K2547" s="3" t="s">
        <v>28</v>
      </c>
      <c r="L2547" s="3" t="s">
        <v>28</v>
      </c>
      <c r="M2547" s="3" t="s">
        <v>27</v>
      </c>
      <c r="N2547" s="3" t="s">
        <v>28</v>
      </c>
      <c r="O2547" s="3" t="s">
        <v>27</v>
      </c>
      <c r="P2547" s="3" t="s">
        <v>28</v>
      </c>
      <c r="Q2547" s="3" t="s">
        <v>27</v>
      </c>
      <c r="R2547" s="3" t="s">
        <v>28</v>
      </c>
      <c r="S2547" s="3" t="s">
        <v>28</v>
      </c>
      <c r="T2547" s="3" t="s">
        <v>27</v>
      </c>
    </row>
    <row r="2548" spans="1:20" ht="381.75">
      <c r="A2548" s="3">
        <v>2690678</v>
      </c>
      <c r="B2548" s="3">
        <f>HYPERLINK("https://platform.v2.vetology.net/cases/2690678/screening-report/6?type=pdf&amp;v=v6&amp;scorecard=1&amp;secret_key=BX%25IJ%24%2F65ieZ%29f6", 2690678)</f>
        <v>2690678</v>
      </c>
      <c r="C2548" s="3">
        <f>HYPERLINK("https://platform.v2.vetology.net/report/v/final/"&amp;2690678, 2690678)</f>
        <v>2690678</v>
      </c>
      <c r="D2548" s="3" t="s">
        <v>8689</v>
      </c>
      <c r="E2548" s="3" t="s">
        <v>8690</v>
      </c>
      <c r="F2548" s="3" t="s">
        <v>8397</v>
      </c>
      <c r="G2548" s="3" t="s">
        <v>57</v>
      </c>
      <c r="H2548" s="3" t="s">
        <v>8691</v>
      </c>
      <c r="I2548" s="3" t="s">
        <v>213</v>
      </c>
      <c r="J2548" s="3" t="s">
        <v>214</v>
      </c>
      <c r="K2548" s="3" t="s">
        <v>28</v>
      </c>
      <c r="L2548" s="3" t="s">
        <v>28</v>
      </c>
      <c r="M2548" s="3" t="s">
        <v>27</v>
      </c>
      <c r="N2548" s="3" t="s">
        <v>28</v>
      </c>
      <c r="O2548" s="3" t="s">
        <v>28</v>
      </c>
      <c r="P2548" s="3" t="s">
        <v>28</v>
      </c>
      <c r="Q2548" s="3" t="s">
        <v>28</v>
      </c>
      <c r="R2548" s="3" t="s">
        <v>28</v>
      </c>
      <c r="S2548" s="3" t="s">
        <v>28</v>
      </c>
      <c r="T2548" s="3" t="s">
        <v>28</v>
      </c>
    </row>
    <row r="2549" spans="1:20" ht="409.6">
      <c r="A2549" s="3">
        <v>2690666</v>
      </c>
      <c r="B2549" s="3">
        <f>HYPERLINK("https://platform.v2.vetology.net/cases/2690666/screening-report/6?type=pdf&amp;v=v6&amp;scorecard=1&amp;secret_key=BX%25IJ%24%2F65ieZ%29f6", 2690666)</f>
        <v>2690666</v>
      </c>
      <c r="C2549" s="3">
        <f>HYPERLINK("https://platform.v2.vetology.net/report/v/final/"&amp;2690666, 2690666)</f>
        <v>2690666</v>
      </c>
      <c r="D2549" s="3" t="s">
        <v>8692</v>
      </c>
      <c r="E2549" s="3" t="s">
        <v>8693</v>
      </c>
      <c r="F2549" s="3" t="s">
        <v>8694</v>
      </c>
      <c r="G2549" s="3" t="s">
        <v>186</v>
      </c>
      <c r="H2549" s="3" t="s">
        <v>8695</v>
      </c>
      <c r="I2549" s="3" t="s">
        <v>108</v>
      </c>
      <c r="J2549" s="3" t="s">
        <v>109</v>
      </c>
      <c r="K2549" s="3" t="s">
        <v>28</v>
      </c>
      <c r="L2549" s="3" t="s">
        <v>27</v>
      </c>
      <c r="M2549" s="3" t="s">
        <v>28</v>
      </c>
      <c r="N2549" s="3" t="s">
        <v>27</v>
      </c>
      <c r="O2549" s="3" t="s">
        <v>27</v>
      </c>
      <c r="P2549" s="3" t="s">
        <v>28</v>
      </c>
      <c r="Q2549" s="3" t="s">
        <v>28</v>
      </c>
      <c r="R2549" s="3" t="s">
        <v>27</v>
      </c>
      <c r="S2549" s="3" t="s">
        <v>27</v>
      </c>
      <c r="T2549" s="3" t="s">
        <v>27</v>
      </c>
    </row>
    <row r="2550" spans="1:20" ht="336">
      <c r="A2550" s="3">
        <v>2690664</v>
      </c>
      <c r="B2550" s="3">
        <f>HYPERLINK("https://platform.v2.vetology.net/cases/2690664/screening-report/6?type=pdf&amp;v=v6&amp;scorecard=1&amp;secret_key=BX%25IJ%24%2F65ieZ%29f6", 2690664)</f>
        <v>2690664</v>
      </c>
      <c r="C2550" s="3">
        <f>HYPERLINK("https://platform.v2.vetology.net/report/v/final/"&amp;2690664, 2690664)</f>
        <v>2690664</v>
      </c>
      <c r="D2550" s="3" t="s">
        <v>8696</v>
      </c>
      <c r="E2550" s="3" t="s">
        <v>8697</v>
      </c>
      <c r="F2550" s="3" t="s">
        <v>8698</v>
      </c>
      <c r="G2550" s="3" t="s">
        <v>186</v>
      </c>
      <c r="H2550" s="3" t="s">
        <v>8699</v>
      </c>
      <c r="I2550" s="3" t="s">
        <v>829</v>
      </c>
      <c r="J2550" s="3" t="s">
        <v>830</v>
      </c>
      <c r="K2550" s="3" t="s">
        <v>28</v>
      </c>
      <c r="L2550" s="3" t="s">
        <v>27</v>
      </c>
      <c r="M2550" s="3" t="s">
        <v>28</v>
      </c>
      <c r="N2550" s="3" t="s">
        <v>27</v>
      </c>
      <c r="O2550" s="3" t="s">
        <v>27</v>
      </c>
      <c r="P2550" s="3" t="s">
        <v>28</v>
      </c>
      <c r="Q2550" s="3" t="s">
        <v>27</v>
      </c>
      <c r="R2550" s="3" t="s">
        <v>27</v>
      </c>
      <c r="S2550" s="3" t="s">
        <v>27</v>
      </c>
      <c r="T2550" s="3" t="s">
        <v>27</v>
      </c>
    </row>
    <row r="2551" spans="1:20" ht="275.25">
      <c r="A2551" s="3">
        <v>2690656</v>
      </c>
      <c r="B2551" s="3">
        <f>HYPERLINK("https://platform.v2.vetology.net/cases/2690656/screening-report/6?type=pdf&amp;v=v6&amp;scorecard=1&amp;secret_key=BX%25IJ%24%2F65ieZ%29f6", 2690656)</f>
        <v>2690656</v>
      </c>
      <c r="C2551" s="3">
        <f>HYPERLINK("https://platform.v2.vetology.net/report/v/final/"&amp;2690656, 2690656)</f>
        <v>2690656</v>
      </c>
      <c r="D2551" s="3" t="s">
        <v>8700</v>
      </c>
      <c r="E2551" s="3" t="s">
        <v>8701</v>
      </c>
      <c r="F2551" s="3" t="s">
        <v>8702</v>
      </c>
      <c r="G2551" s="3" t="s">
        <v>186</v>
      </c>
      <c r="H2551" s="3" t="s">
        <v>590</v>
      </c>
      <c r="I2551" s="3" t="s">
        <v>291</v>
      </c>
      <c r="J2551" s="3" t="s">
        <v>225</v>
      </c>
      <c r="K2551" s="3" t="s">
        <v>28</v>
      </c>
      <c r="L2551" s="3" t="s">
        <v>28</v>
      </c>
      <c r="M2551" s="3" t="s">
        <v>28</v>
      </c>
      <c r="N2551" s="3" t="s">
        <v>27</v>
      </c>
      <c r="O2551" s="3" t="s">
        <v>27</v>
      </c>
      <c r="P2551" s="3" t="s">
        <v>28</v>
      </c>
      <c r="Q2551" s="3" t="s">
        <v>28</v>
      </c>
      <c r="R2551" s="3" t="s">
        <v>27</v>
      </c>
      <c r="S2551" s="3" t="s">
        <v>27</v>
      </c>
      <c r="T2551" s="3" t="s">
        <v>27</v>
      </c>
    </row>
    <row r="2552" spans="1:20" ht="305.25">
      <c r="A2552" s="3">
        <v>2690642</v>
      </c>
      <c r="B2552" s="3">
        <f>HYPERLINK("https://platform.v2.vetology.net/cases/2690642/screening-report/6?type=pdf&amp;v=v6&amp;scorecard=1&amp;secret_key=BX%25IJ%24%2F65ieZ%29f6", 2690642)</f>
        <v>2690642</v>
      </c>
      <c r="C2552" s="3">
        <f>HYPERLINK("https://platform.v2.vetology.net/report/v/final/"&amp;2690642, 2690642)</f>
        <v>2690642</v>
      </c>
      <c r="D2552" s="3" t="s">
        <v>8703</v>
      </c>
      <c r="E2552" s="3" t="s">
        <v>8704</v>
      </c>
      <c r="F2552" s="3" t="s">
        <v>222</v>
      </c>
      <c r="G2552" s="3" t="s">
        <v>186</v>
      </c>
      <c r="H2552" s="3" t="s">
        <v>851</v>
      </c>
      <c r="I2552" s="3" t="s">
        <v>32</v>
      </c>
      <c r="J2552" s="3" t="s">
        <v>33</v>
      </c>
      <c r="K2552" s="3" t="s">
        <v>28</v>
      </c>
      <c r="L2552" s="3" t="s">
        <v>28</v>
      </c>
      <c r="M2552" s="3" t="s">
        <v>28</v>
      </c>
      <c r="N2552" s="3" t="s">
        <v>28</v>
      </c>
      <c r="O2552" s="3" t="s">
        <v>27</v>
      </c>
      <c r="P2552" s="3" t="s">
        <v>28</v>
      </c>
      <c r="Q2552" s="3" t="s">
        <v>28</v>
      </c>
      <c r="R2552" s="3" t="s">
        <v>28</v>
      </c>
      <c r="S2552" s="3" t="s">
        <v>28</v>
      </c>
      <c r="T2552" s="3" t="s">
        <v>27</v>
      </c>
    </row>
    <row r="2553" spans="1:20" ht="409.6">
      <c r="A2553" s="3">
        <v>2690617</v>
      </c>
      <c r="B2553" s="3">
        <f>HYPERLINK("https://platform.v2.vetology.net/cases/2690617/screening-report/6?type=pdf&amp;v=v6&amp;scorecard=1&amp;secret_key=BX%25IJ%24%2F65ieZ%29f6", 2690617)</f>
        <v>2690617</v>
      </c>
      <c r="C2553" s="3">
        <f>HYPERLINK("https://platform.v2.vetology.net/report/v/final/"&amp;2690617, 2690617)</f>
        <v>2690617</v>
      </c>
      <c r="D2553" s="3" t="s">
        <v>8705</v>
      </c>
      <c r="E2553" s="3" t="s">
        <v>8706</v>
      </c>
      <c r="F2553" s="3" t="s">
        <v>8707</v>
      </c>
      <c r="G2553" s="3" t="s">
        <v>186</v>
      </c>
      <c r="H2553" s="3" t="s">
        <v>8708</v>
      </c>
      <c r="I2553" s="3" t="s">
        <v>351</v>
      </c>
      <c r="J2553" s="3" t="s">
        <v>5881</v>
      </c>
      <c r="K2553" s="3" t="s">
        <v>28</v>
      </c>
      <c r="L2553" s="3" t="s">
        <v>28</v>
      </c>
      <c r="M2553" s="3" t="s">
        <v>28</v>
      </c>
      <c r="N2553" s="3" t="s">
        <v>28</v>
      </c>
      <c r="O2553" s="3" t="s">
        <v>28</v>
      </c>
      <c r="P2553" s="3" t="s">
        <v>28</v>
      </c>
      <c r="Q2553" s="3" t="s">
        <v>28</v>
      </c>
      <c r="R2553" s="3" t="s">
        <v>28</v>
      </c>
      <c r="S2553" s="3" t="s">
        <v>28</v>
      </c>
      <c r="T2553" s="3" t="s">
        <v>27</v>
      </c>
    </row>
    <row r="2554" spans="1:20" ht="366">
      <c r="A2554" s="3">
        <v>2690607</v>
      </c>
      <c r="B2554" s="3">
        <f>HYPERLINK("https://platform.v2.vetology.net/cases/2690607/screening-report/6?type=pdf&amp;v=v6&amp;scorecard=1&amp;secret_key=BX%25IJ%24%2F65ieZ%29f6", 2690607)</f>
        <v>2690607</v>
      </c>
      <c r="C2554" s="3">
        <f>HYPERLINK("https://platform.v2.vetology.net/report/v/final/"&amp;2690607, 2690607)</f>
        <v>2690607</v>
      </c>
      <c r="D2554" s="3" t="s">
        <v>8709</v>
      </c>
      <c r="E2554" s="3" t="s">
        <v>8710</v>
      </c>
      <c r="F2554" s="3" t="s">
        <v>8711</v>
      </c>
      <c r="G2554" s="3" t="s">
        <v>186</v>
      </c>
      <c r="H2554" s="3" t="s">
        <v>8712</v>
      </c>
      <c r="I2554" s="3" t="s">
        <v>1210</v>
      </c>
      <c r="J2554" s="3" t="s">
        <v>207</v>
      </c>
      <c r="K2554" s="3" t="s">
        <v>27</v>
      </c>
      <c r="L2554" s="3" t="s">
        <v>27</v>
      </c>
      <c r="M2554" s="3" t="s">
        <v>28</v>
      </c>
      <c r="N2554" s="3" t="s">
        <v>28</v>
      </c>
      <c r="O2554" s="3" t="s">
        <v>27</v>
      </c>
      <c r="P2554" s="3" t="s">
        <v>28</v>
      </c>
      <c r="Q2554" s="3" t="s">
        <v>27</v>
      </c>
      <c r="R2554" s="3" t="s">
        <v>27</v>
      </c>
      <c r="S2554" s="3" t="s">
        <v>27</v>
      </c>
      <c r="T2554" s="3" t="s">
        <v>27</v>
      </c>
    </row>
    <row r="2555" spans="1:20" ht="381.75">
      <c r="A2555" s="3">
        <v>2690585</v>
      </c>
      <c r="B2555" s="3">
        <f>HYPERLINK("https://platform.v2.vetology.net/cases/2690585/screening-report/6?type=pdf&amp;v=v6&amp;scorecard=1&amp;secret_key=BX%25IJ%24%2F65ieZ%29f6", 2690585)</f>
        <v>2690585</v>
      </c>
      <c r="C2555" s="3">
        <f>HYPERLINK("https://platform.v2.vetology.net/report/v/final/"&amp;2690585, 2690585)</f>
        <v>2690585</v>
      </c>
      <c r="D2555" s="3" t="s">
        <v>8713</v>
      </c>
      <c r="E2555" s="3" t="s">
        <v>8714</v>
      </c>
      <c r="F2555" s="3" t="s">
        <v>8715</v>
      </c>
      <c r="G2555" s="3" t="s">
        <v>211</v>
      </c>
      <c r="H2555" s="3" t="s">
        <v>31</v>
      </c>
      <c r="I2555" s="3" t="s">
        <v>32</v>
      </c>
      <c r="J2555" s="3" t="s">
        <v>119</v>
      </c>
      <c r="K2555" s="3" t="s">
        <v>28</v>
      </c>
      <c r="L2555" s="3" t="s">
        <v>28</v>
      </c>
      <c r="M2555" s="3" t="s">
        <v>28</v>
      </c>
      <c r="N2555" s="3" t="s">
        <v>28</v>
      </c>
      <c r="O2555" s="3" t="s">
        <v>28</v>
      </c>
      <c r="P2555" s="3" t="s">
        <v>28</v>
      </c>
      <c r="Q2555" s="3" t="s">
        <v>28</v>
      </c>
      <c r="R2555" s="3" t="s">
        <v>28</v>
      </c>
      <c r="S2555" s="3" t="s">
        <v>28</v>
      </c>
      <c r="T2555" s="3" t="s">
        <v>28</v>
      </c>
    </row>
    <row r="2556" spans="1:20" ht="229.5">
      <c r="A2556" s="3">
        <v>2690584</v>
      </c>
      <c r="B2556" s="3">
        <f>HYPERLINK("https://platform.v2.vetology.net/cases/2690584/screening-report/6?type=pdf&amp;v=v6&amp;scorecard=1&amp;secret_key=BX%25IJ%24%2F65ieZ%29f6", 2690584)</f>
        <v>2690584</v>
      </c>
      <c r="C2556" s="3">
        <f>HYPERLINK("https://platform.v2.vetology.net/report/v/final/"&amp;2690584, 2690584)</f>
        <v>2690584</v>
      </c>
      <c r="D2556" s="3" t="s">
        <v>8716</v>
      </c>
      <c r="E2556" s="3" t="s">
        <v>8717</v>
      </c>
      <c r="F2556" s="3" t="s">
        <v>8718</v>
      </c>
      <c r="G2556" s="3" t="s">
        <v>179</v>
      </c>
      <c r="H2556" s="3" t="s">
        <v>31</v>
      </c>
      <c r="I2556" s="3" t="s">
        <v>32</v>
      </c>
      <c r="J2556" s="3" t="s">
        <v>847</v>
      </c>
      <c r="K2556" s="3" t="s">
        <v>28</v>
      </c>
      <c r="L2556" s="3" t="s">
        <v>28</v>
      </c>
      <c r="M2556" s="3" t="s">
        <v>28</v>
      </c>
      <c r="N2556" s="3" t="s">
        <v>28</v>
      </c>
      <c r="O2556" s="3" t="s">
        <v>27</v>
      </c>
      <c r="P2556" s="3" t="s">
        <v>28</v>
      </c>
      <c r="Q2556" s="3" t="s">
        <v>28</v>
      </c>
      <c r="R2556" s="3" t="s">
        <v>28</v>
      </c>
      <c r="S2556" s="3" t="s">
        <v>28</v>
      </c>
      <c r="T2556" s="3" t="s">
        <v>28</v>
      </c>
    </row>
    <row r="2557" spans="1:20" ht="409.6">
      <c r="A2557" s="3">
        <v>2690563</v>
      </c>
      <c r="B2557" s="3">
        <f>HYPERLINK("https://platform.v2.vetology.net/cases/2690563/screening-report/6?type=pdf&amp;v=v6&amp;scorecard=1&amp;secret_key=BX%25IJ%24%2F65ieZ%29f6", 2690563)</f>
        <v>2690563</v>
      </c>
      <c r="C2557" s="3">
        <f>HYPERLINK("https://platform.v2.vetology.net/report/v/final/"&amp;2690563, 2690563)</f>
        <v>2690563</v>
      </c>
      <c r="D2557" s="3" t="s">
        <v>8719</v>
      </c>
      <c r="E2557" s="3" t="s">
        <v>8720</v>
      </c>
      <c r="F2557" s="3" t="s">
        <v>22</v>
      </c>
      <c r="G2557" s="3" t="s">
        <v>100</v>
      </c>
      <c r="H2557" s="3" t="s">
        <v>5510</v>
      </c>
      <c r="I2557" s="3" t="s">
        <v>5511</v>
      </c>
      <c r="J2557" s="3" t="s">
        <v>5512</v>
      </c>
      <c r="K2557" s="3" t="s">
        <v>28</v>
      </c>
      <c r="L2557" s="3" t="s">
        <v>28</v>
      </c>
      <c r="M2557" s="3" t="s">
        <v>27</v>
      </c>
      <c r="N2557" s="3" t="s">
        <v>27</v>
      </c>
      <c r="O2557" s="3" t="s">
        <v>27</v>
      </c>
      <c r="P2557" s="3" t="s">
        <v>28</v>
      </c>
      <c r="Q2557" s="3" t="s">
        <v>28</v>
      </c>
      <c r="R2557" s="3" t="s">
        <v>27</v>
      </c>
      <c r="S2557" s="3" t="s">
        <v>27</v>
      </c>
      <c r="T2557" s="3" t="s">
        <v>27</v>
      </c>
    </row>
    <row r="2558" spans="1:20" ht="409.6">
      <c r="A2558" s="3">
        <v>2690555</v>
      </c>
      <c r="B2558" s="3">
        <f>HYPERLINK("https://platform.v2.vetology.net/cases/2690555/screening-report/6?type=pdf&amp;v=v6&amp;scorecard=1&amp;secret_key=BX%25IJ%24%2F65ieZ%29f6", 2690555)</f>
        <v>2690555</v>
      </c>
      <c r="C2558" s="3">
        <f>HYPERLINK("https://platform.v2.vetology.net/report/v/final/"&amp;2690555, 2690555)</f>
        <v>2690555</v>
      </c>
      <c r="D2558" s="3" t="s">
        <v>8721</v>
      </c>
      <c r="E2558" s="3" t="s">
        <v>8722</v>
      </c>
      <c r="F2558" s="3" t="s">
        <v>8723</v>
      </c>
      <c r="G2558" s="3" t="s">
        <v>186</v>
      </c>
      <c r="H2558" s="3" t="s">
        <v>8724</v>
      </c>
      <c r="I2558" s="3" t="s">
        <v>667</v>
      </c>
      <c r="J2558" s="3" t="s">
        <v>668</v>
      </c>
      <c r="K2558" s="3" t="s">
        <v>28</v>
      </c>
      <c r="L2558" s="3" t="s">
        <v>28</v>
      </c>
      <c r="M2558" s="3" t="s">
        <v>28</v>
      </c>
      <c r="N2558" s="3" t="s">
        <v>28</v>
      </c>
      <c r="O2558" s="3" t="s">
        <v>27</v>
      </c>
      <c r="P2558" s="3" t="s">
        <v>28</v>
      </c>
      <c r="Q2558" s="3" t="s">
        <v>28</v>
      </c>
      <c r="R2558" s="3" t="s">
        <v>28</v>
      </c>
      <c r="S2558" s="3" t="s">
        <v>28</v>
      </c>
      <c r="T2558" s="3" t="s">
        <v>27</v>
      </c>
    </row>
    <row r="2559" spans="1:20" ht="409.6">
      <c r="A2559" s="3">
        <v>2690494</v>
      </c>
      <c r="B2559" s="3">
        <f>HYPERLINK("https://platform.v2.vetology.net/cases/2690494/screening-report/6?type=pdf&amp;v=v6&amp;scorecard=1&amp;secret_key=BX%25IJ%24%2F65ieZ%29f6", 2690494)</f>
        <v>2690494</v>
      </c>
      <c r="C2559" s="3">
        <f>HYPERLINK("https://platform.v2.vetology.net/report/v/final/"&amp;2690494, 2690494)</f>
        <v>2690494</v>
      </c>
      <c r="D2559" s="3" t="s">
        <v>8725</v>
      </c>
      <c r="E2559" s="3" t="s">
        <v>8726</v>
      </c>
      <c r="F2559" s="3" t="s">
        <v>22</v>
      </c>
      <c r="G2559" s="3" t="s">
        <v>23</v>
      </c>
      <c r="H2559" s="3" t="s">
        <v>8727</v>
      </c>
      <c r="I2559" s="3" t="s">
        <v>2972</v>
      </c>
      <c r="J2559" s="3" t="s">
        <v>387</v>
      </c>
      <c r="K2559" s="3" t="s">
        <v>27</v>
      </c>
      <c r="L2559" s="3" t="s">
        <v>28</v>
      </c>
      <c r="M2559" s="3" t="s">
        <v>28</v>
      </c>
      <c r="N2559" s="3" t="s">
        <v>28</v>
      </c>
      <c r="O2559" s="3" t="s">
        <v>28</v>
      </c>
      <c r="P2559" s="3" t="s">
        <v>28</v>
      </c>
      <c r="Q2559" s="3" t="s">
        <v>28</v>
      </c>
      <c r="R2559" s="3" t="s">
        <v>28</v>
      </c>
      <c r="S2559" s="3" t="s">
        <v>28</v>
      </c>
      <c r="T2559" s="3" t="s">
        <v>28</v>
      </c>
    </row>
    <row r="2560" spans="1:20" ht="381.75">
      <c r="A2560" s="3">
        <v>2690491</v>
      </c>
      <c r="B2560" s="3">
        <f>HYPERLINK("https://platform.v2.vetology.net/cases/2690491/screening-report/6?type=pdf&amp;v=v6&amp;scorecard=1&amp;secret_key=BX%25IJ%24%2F65ieZ%29f6", 2690491)</f>
        <v>2690491</v>
      </c>
      <c r="C2560" s="3">
        <f>HYPERLINK("https://platform.v2.vetology.net/report/v/final/"&amp;2690491, 2690491)</f>
        <v>2690491</v>
      </c>
      <c r="D2560" s="3" t="s">
        <v>8728</v>
      </c>
      <c r="E2560" s="3" t="s">
        <v>7073</v>
      </c>
      <c r="F2560" s="3" t="s">
        <v>3245</v>
      </c>
      <c r="G2560" s="3" t="s">
        <v>57</v>
      </c>
      <c r="H2560" s="3" t="s">
        <v>8729</v>
      </c>
      <c r="I2560" s="3" t="s">
        <v>1875</v>
      </c>
      <c r="J2560" s="3" t="s">
        <v>755</v>
      </c>
      <c r="K2560" s="3" t="s">
        <v>28</v>
      </c>
      <c r="L2560" s="3" t="s">
        <v>28</v>
      </c>
      <c r="M2560" s="3" t="s">
        <v>27</v>
      </c>
      <c r="N2560" s="3" t="s">
        <v>28</v>
      </c>
      <c r="O2560" s="3" t="s">
        <v>27</v>
      </c>
      <c r="P2560" s="3" t="s">
        <v>28</v>
      </c>
      <c r="Q2560" s="3" t="s">
        <v>27</v>
      </c>
      <c r="R2560" s="3" t="s">
        <v>28</v>
      </c>
      <c r="S2560" s="3" t="s">
        <v>28</v>
      </c>
      <c r="T2560" s="3" t="s">
        <v>28</v>
      </c>
    </row>
    <row r="2561" spans="1:20" ht="229.5">
      <c r="A2561" s="3">
        <v>2690478</v>
      </c>
      <c r="B2561" s="3">
        <f>HYPERLINK("https://platform.v2.vetology.net/cases/2690478/screening-report/6?type=pdf&amp;v=v6&amp;scorecard=1&amp;secret_key=BX%25IJ%24%2F65ieZ%29f6", 2690478)</f>
        <v>2690478</v>
      </c>
      <c r="C2561" s="3">
        <f>HYPERLINK("https://platform.v2.vetology.net/report/v/final/"&amp;2690478, 2690478)</f>
        <v>2690478</v>
      </c>
      <c r="D2561" s="3" t="s">
        <v>8730</v>
      </c>
      <c r="E2561" s="3" t="s">
        <v>8731</v>
      </c>
      <c r="F2561" s="3" t="s">
        <v>1762</v>
      </c>
      <c r="G2561" s="3" t="s">
        <v>100</v>
      </c>
      <c r="H2561" s="3" t="s">
        <v>31</v>
      </c>
      <c r="I2561" s="3" t="s">
        <v>32</v>
      </c>
      <c r="J2561" s="3" t="s">
        <v>1566</v>
      </c>
      <c r="K2561" s="3" t="s">
        <v>28</v>
      </c>
      <c r="L2561" s="3" t="s">
        <v>28</v>
      </c>
      <c r="M2561" s="3" t="s">
        <v>28</v>
      </c>
      <c r="N2561" s="3" t="s">
        <v>28</v>
      </c>
      <c r="O2561" s="3" t="s">
        <v>28</v>
      </c>
      <c r="P2561" s="3" t="s">
        <v>28</v>
      </c>
      <c r="Q2561" s="3" t="s">
        <v>28</v>
      </c>
      <c r="R2561" s="3" t="s">
        <v>28</v>
      </c>
      <c r="S2561" s="3" t="s">
        <v>28</v>
      </c>
      <c r="T2561" s="3" t="s">
        <v>28</v>
      </c>
    </row>
    <row r="2562" spans="1:20" ht="409.6">
      <c r="A2562" s="3">
        <v>2690440</v>
      </c>
      <c r="B2562" s="3">
        <f>HYPERLINK("https://platform.v2.vetology.net/cases/2690440/screening-report/6?type=pdf&amp;v=v6&amp;scorecard=1&amp;secret_key=BX%25IJ%24%2F65ieZ%29f6", 2690440)</f>
        <v>2690440</v>
      </c>
      <c r="C2562" s="3">
        <f>HYPERLINK("https://platform.v2.vetology.net/report/v/final/"&amp;2690440, 2690440)</f>
        <v>2690440</v>
      </c>
      <c r="D2562" s="3" t="s">
        <v>8732</v>
      </c>
      <c r="E2562" s="3" t="s">
        <v>8733</v>
      </c>
      <c r="F2562" s="3" t="s">
        <v>22</v>
      </c>
      <c r="G2562" s="3" t="s">
        <v>23</v>
      </c>
      <c r="H2562" s="3" t="s">
        <v>3877</v>
      </c>
      <c r="I2562" s="3" t="s">
        <v>2011</v>
      </c>
      <c r="J2562" s="3" t="s">
        <v>225</v>
      </c>
      <c r="K2562" s="3" t="s">
        <v>28</v>
      </c>
      <c r="L2562" s="3" t="s">
        <v>27</v>
      </c>
      <c r="M2562" s="3" t="s">
        <v>28</v>
      </c>
      <c r="N2562" s="3" t="s">
        <v>27</v>
      </c>
      <c r="O2562" s="3" t="s">
        <v>28</v>
      </c>
      <c r="P2562" s="3" t="s">
        <v>28</v>
      </c>
      <c r="Q2562" s="3" t="s">
        <v>27</v>
      </c>
      <c r="R2562" s="3" t="s">
        <v>27</v>
      </c>
      <c r="S2562" s="3" t="s">
        <v>27</v>
      </c>
      <c r="T2562" s="3" t="s">
        <v>27</v>
      </c>
    </row>
    <row r="2563" spans="1:20" ht="229.5">
      <c r="A2563" s="3">
        <v>2690434</v>
      </c>
      <c r="B2563" s="3">
        <f>HYPERLINK("https://platform.v2.vetology.net/cases/2690434/screening-report/6?type=pdf&amp;v=v6&amp;scorecard=1&amp;secret_key=BX%25IJ%24%2F65ieZ%29f6", 2690434)</f>
        <v>2690434</v>
      </c>
      <c r="C2563" s="3">
        <f>HYPERLINK("https://platform.v2.vetology.net/report/v/final/"&amp;2690434, 2690434)</f>
        <v>2690434</v>
      </c>
      <c r="D2563" s="3" t="s">
        <v>8734</v>
      </c>
      <c r="E2563" s="3" t="s">
        <v>8735</v>
      </c>
      <c r="F2563" s="3" t="s">
        <v>8736</v>
      </c>
      <c r="G2563" s="3" t="s">
        <v>179</v>
      </c>
      <c r="H2563" s="3" t="s">
        <v>31</v>
      </c>
      <c r="I2563" s="3" t="s">
        <v>1497</v>
      </c>
      <c r="J2563" s="3" t="s">
        <v>847</v>
      </c>
      <c r="K2563" s="3" t="s">
        <v>28</v>
      </c>
      <c r="L2563" s="3" t="s">
        <v>28</v>
      </c>
      <c r="M2563" s="3" t="s">
        <v>28</v>
      </c>
      <c r="N2563" s="3" t="s">
        <v>28</v>
      </c>
      <c r="O2563" s="3" t="s">
        <v>27</v>
      </c>
      <c r="P2563" s="3" t="s">
        <v>28</v>
      </c>
      <c r="Q2563" s="3" t="s">
        <v>28</v>
      </c>
      <c r="R2563" s="3" t="s">
        <v>28</v>
      </c>
      <c r="S2563" s="3" t="s">
        <v>28</v>
      </c>
      <c r="T2563" s="3" t="s">
        <v>28</v>
      </c>
    </row>
    <row r="2564" spans="1:20" ht="409.6">
      <c r="A2564" s="3">
        <v>2690404</v>
      </c>
      <c r="B2564" s="3">
        <f>HYPERLINK("https://platform.v2.vetology.net/cases/2690404/screening-report/6?type=pdf&amp;v=v6&amp;scorecard=1&amp;secret_key=BX%25IJ%24%2F65ieZ%29f6", 2690404)</f>
        <v>2690404</v>
      </c>
      <c r="C2564" s="3">
        <f>HYPERLINK("https://platform.v2.vetology.net/report/v/final/"&amp;2690404, 2690404)</f>
        <v>2690404</v>
      </c>
      <c r="D2564" s="3" t="s">
        <v>8737</v>
      </c>
      <c r="E2564" s="3" t="s">
        <v>8738</v>
      </c>
      <c r="F2564" s="3" t="s">
        <v>8739</v>
      </c>
      <c r="G2564" s="3" t="s">
        <v>566</v>
      </c>
      <c r="H2564" s="3" t="s">
        <v>6314</v>
      </c>
      <c r="I2564" s="3" t="s">
        <v>520</v>
      </c>
      <c r="J2564" s="3" t="s">
        <v>335</v>
      </c>
      <c r="K2564" s="3" t="s">
        <v>28</v>
      </c>
      <c r="L2564" s="3" t="s">
        <v>28</v>
      </c>
      <c r="M2564" s="3" t="s">
        <v>28</v>
      </c>
      <c r="N2564" s="3" t="s">
        <v>28</v>
      </c>
      <c r="O2564" s="3" t="s">
        <v>27</v>
      </c>
      <c r="P2564" s="3" t="s">
        <v>28</v>
      </c>
      <c r="Q2564" s="3" t="s">
        <v>28</v>
      </c>
      <c r="R2564" s="3" t="s">
        <v>28</v>
      </c>
      <c r="S2564" s="3" t="s">
        <v>28</v>
      </c>
      <c r="T2564" s="3" t="s">
        <v>28</v>
      </c>
    </row>
    <row r="2565" spans="1:20" ht="409.6">
      <c r="A2565" s="3">
        <v>2690281</v>
      </c>
      <c r="B2565" s="3">
        <f>HYPERLINK("https://platform.v2.vetology.net/cases/2690281/screening-report/6?type=pdf&amp;v=v6&amp;scorecard=1&amp;secret_key=BX%25IJ%24%2F65ieZ%29f6", 2690281)</f>
        <v>2690281</v>
      </c>
      <c r="C2565" s="3">
        <f>HYPERLINK("https://platform.v2.vetology.net/report/v/final/"&amp;2690281, 2690281)</f>
        <v>2690281</v>
      </c>
      <c r="D2565" s="3" t="s">
        <v>8740</v>
      </c>
      <c r="E2565" s="3" t="s">
        <v>8741</v>
      </c>
      <c r="F2565" s="3" t="s">
        <v>8742</v>
      </c>
      <c r="G2565" s="3" t="s">
        <v>100</v>
      </c>
      <c r="H2565" s="3" t="s">
        <v>6696</v>
      </c>
      <c r="I2565" s="3" t="s">
        <v>4591</v>
      </c>
      <c r="J2565" s="3" t="s">
        <v>4592</v>
      </c>
      <c r="K2565" s="3" t="s">
        <v>27</v>
      </c>
      <c r="L2565" s="3" t="s">
        <v>28</v>
      </c>
      <c r="M2565" s="3" t="s">
        <v>28</v>
      </c>
      <c r="N2565" s="3" t="s">
        <v>28</v>
      </c>
      <c r="O2565" s="3" t="s">
        <v>27</v>
      </c>
      <c r="P2565" s="3" t="s">
        <v>28</v>
      </c>
      <c r="Q2565" s="3" t="s">
        <v>28</v>
      </c>
      <c r="R2565" s="3" t="s">
        <v>28</v>
      </c>
      <c r="S2565" s="3" t="s">
        <v>27</v>
      </c>
      <c r="T2565" s="3" t="s">
        <v>28</v>
      </c>
    </row>
    <row r="2566" spans="1:20" ht="290.25">
      <c r="A2566" s="3">
        <v>2690275</v>
      </c>
      <c r="B2566" s="3">
        <f>HYPERLINK("https://platform.v2.vetology.net/cases/2690275/screening-report/6?type=pdf&amp;v=v6&amp;scorecard=1&amp;secret_key=BX%25IJ%24%2F65ieZ%29f6", 2690275)</f>
        <v>2690275</v>
      </c>
      <c r="C2566" s="3">
        <f>HYPERLINK("https://platform.v2.vetology.net/report/v/final/"&amp;2690275, 2690275)</f>
        <v>2690275</v>
      </c>
      <c r="D2566" s="3" t="s">
        <v>8743</v>
      </c>
      <c r="E2566" s="3" t="s">
        <v>8744</v>
      </c>
      <c r="F2566" s="3" t="s">
        <v>8745</v>
      </c>
      <c r="G2566" s="3" t="s">
        <v>186</v>
      </c>
      <c r="H2566" s="3" t="s">
        <v>3850</v>
      </c>
      <c r="I2566" s="3"/>
      <c r="J2566" s="3" t="s">
        <v>207</v>
      </c>
      <c r="K2566" s="3" t="s">
        <v>28</v>
      </c>
      <c r="L2566" s="3" t="s">
        <v>28</v>
      </c>
      <c r="M2566" s="3" t="s">
        <v>28</v>
      </c>
      <c r="N2566" s="3" t="s">
        <v>28</v>
      </c>
      <c r="O2566" s="3" t="s">
        <v>28</v>
      </c>
      <c r="P2566" s="3" t="s">
        <v>28</v>
      </c>
      <c r="Q2566" s="3" t="s">
        <v>28</v>
      </c>
      <c r="R2566" s="3" t="s">
        <v>28</v>
      </c>
      <c r="S2566" s="3" t="s">
        <v>28</v>
      </c>
      <c r="T2566" s="3" t="s">
        <v>28</v>
      </c>
    </row>
    <row r="2567" spans="1:20" ht="244.5">
      <c r="A2567" s="3">
        <v>2690259</v>
      </c>
      <c r="B2567" s="3">
        <f>HYPERLINK("https://platform.v2.vetology.net/cases/2690259/screening-report/6?type=pdf&amp;v=v6&amp;scorecard=1&amp;secret_key=BX%25IJ%24%2F65ieZ%29f6", 2690259)</f>
        <v>2690259</v>
      </c>
      <c r="C2567" s="3">
        <f>HYPERLINK("https://platform.v2.vetology.net/report/v/final/"&amp;2690259, 2690259)</f>
        <v>2690259</v>
      </c>
      <c r="D2567" s="3" t="s">
        <v>8746</v>
      </c>
      <c r="E2567" s="3" t="s">
        <v>8747</v>
      </c>
      <c r="F2567" s="3" t="s">
        <v>1377</v>
      </c>
      <c r="G2567" s="3" t="s">
        <v>186</v>
      </c>
      <c r="H2567" s="3" t="s">
        <v>8748</v>
      </c>
      <c r="I2567" s="3" t="s">
        <v>2170</v>
      </c>
      <c r="J2567" s="3" t="s">
        <v>2171</v>
      </c>
      <c r="K2567" s="3" t="s">
        <v>27</v>
      </c>
      <c r="L2567" s="3" t="s">
        <v>28</v>
      </c>
      <c r="M2567" s="3" t="s">
        <v>28</v>
      </c>
      <c r="N2567" s="3" t="s">
        <v>27</v>
      </c>
      <c r="O2567" s="3" t="s">
        <v>27</v>
      </c>
      <c r="P2567" s="3" t="s">
        <v>28</v>
      </c>
      <c r="Q2567" s="3" t="s">
        <v>28</v>
      </c>
      <c r="R2567" s="3" t="s">
        <v>28</v>
      </c>
      <c r="S2567" s="3" t="s">
        <v>28</v>
      </c>
      <c r="T2567" s="3" t="s">
        <v>27</v>
      </c>
    </row>
    <row r="2568" spans="1:20" ht="409.6">
      <c r="A2568" s="3">
        <v>2690250</v>
      </c>
      <c r="B2568" s="3">
        <f>HYPERLINK("https://platform.v2.vetology.net/cases/2690250/screening-report/6?type=pdf&amp;v=v6&amp;scorecard=1&amp;secret_key=BX%25IJ%24%2F65ieZ%29f6", 2690250)</f>
        <v>2690250</v>
      </c>
      <c r="C2568" s="3">
        <f>HYPERLINK("https://platform.v2.vetology.net/report/v/final/"&amp;2690250, 2690250)</f>
        <v>2690250</v>
      </c>
      <c r="D2568" s="3" t="s">
        <v>8749</v>
      </c>
      <c r="E2568" s="3" t="s">
        <v>8750</v>
      </c>
      <c r="F2568" s="3" t="s">
        <v>8751</v>
      </c>
      <c r="G2568" s="3" t="s">
        <v>186</v>
      </c>
      <c r="H2568" s="3" t="s">
        <v>903</v>
      </c>
      <c r="I2568" s="3" t="s">
        <v>904</v>
      </c>
      <c r="J2568" s="3" t="s">
        <v>905</v>
      </c>
      <c r="K2568" s="3" t="s">
        <v>27</v>
      </c>
      <c r="L2568" s="3" t="s">
        <v>28</v>
      </c>
      <c r="M2568" s="3" t="s">
        <v>28</v>
      </c>
      <c r="N2568" s="3" t="s">
        <v>28</v>
      </c>
      <c r="O2568" s="3" t="s">
        <v>27</v>
      </c>
      <c r="P2568" s="3" t="s">
        <v>28</v>
      </c>
      <c r="Q2568" s="3" t="s">
        <v>27</v>
      </c>
      <c r="R2568" s="3" t="s">
        <v>28</v>
      </c>
      <c r="S2568" s="3" t="s">
        <v>28</v>
      </c>
      <c r="T2568" s="3" t="s">
        <v>28</v>
      </c>
    </row>
    <row r="2569" spans="1:20" ht="366">
      <c r="A2569" s="3">
        <v>2690192</v>
      </c>
      <c r="B2569" s="3">
        <f>HYPERLINK("https://platform.v2.vetology.net/cases/2690192/screening-report/6?type=pdf&amp;v=v6&amp;scorecard=1&amp;secret_key=BX%25IJ%24%2F65ieZ%29f6", 2690192)</f>
        <v>2690192</v>
      </c>
      <c r="C2569" s="3">
        <f>HYPERLINK("https://platform.v2.vetology.net/report/v/final/"&amp;2690192, 2690192)</f>
        <v>2690192</v>
      </c>
      <c r="D2569" s="3" t="s">
        <v>8752</v>
      </c>
      <c r="E2569" s="3" t="s">
        <v>8753</v>
      </c>
      <c r="F2569" s="3" t="s">
        <v>8754</v>
      </c>
      <c r="G2569" s="3" t="s">
        <v>100</v>
      </c>
      <c r="H2569" s="3" t="s">
        <v>1381</v>
      </c>
      <c r="I2569" s="3" t="s">
        <v>267</v>
      </c>
      <c r="J2569" s="3" t="s">
        <v>268</v>
      </c>
      <c r="K2569" s="3" t="s">
        <v>27</v>
      </c>
      <c r="L2569" s="3" t="s">
        <v>27</v>
      </c>
      <c r="M2569" s="3" t="s">
        <v>28</v>
      </c>
      <c r="N2569" s="3" t="s">
        <v>28</v>
      </c>
      <c r="O2569" s="3" t="s">
        <v>27</v>
      </c>
      <c r="P2569" s="3" t="s">
        <v>27</v>
      </c>
      <c r="Q2569" s="3" t="s">
        <v>28</v>
      </c>
      <c r="R2569" s="3" t="s">
        <v>28</v>
      </c>
      <c r="S2569" s="3" t="s">
        <v>28</v>
      </c>
      <c r="T2569" s="3" t="s">
        <v>28</v>
      </c>
    </row>
    <row r="2570" spans="1:20" ht="275.25">
      <c r="A2570" s="3">
        <v>2690148</v>
      </c>
      <c r="B2570" s="3">
        <f>HYPERLINK("https://platform.v2.vetology.net/cases/2690148/screening-report/6?type=pdf&amp;v=v6&amp;scorecard=1&amp;secret_key=BX%25IJ%24%2F65ieZ%29f6", 2690148)</f>
        <v>2690148</v>
      </c>
      <c r="C2570" s="3">
        <f>HYPERLINK("https://platform.v2.vetology.net/report/v/final/"&amp;2690148, 2690148)</f>
        <v>2690148</v>
      </c>
      <c r="D2570" s="3" t="s">
        <v>954</v>
      </c>
      <c r="E2570" s="3" t="s">
        <v>8755</v>
      </c>
      <c r="F2570" s="3" t="s">
        <v>1049</v>
      </c>
      <c r="G2570" s="3" t="s">
        <v>100</v>
      </c>
      <c r="H2570" s="3" t="s">
        <v>8756</v>
      </c>
      <c r="I2570" s="3" t="s">
        <v>8757</v>
      </c>
      <c r="J2570" s="3" t="s">
        <v>207</v>
      </c>
      <c r="K2570" s="3" t="s">
        <v>27</v>
      </c>
      <c r="L2570" s="3" t="s">
        <v>28</v>
      </c>
      <c r="M2570" s="3" t="s">
        <v>27</v>
      </c>
      <c r="N2570" s="3" t="s">
        <v>28</v>
      </c>
      <c r="O2570" s="3" t="s">
        <v>28</v>
      </c>
      <c r="P2570" s="3" t="s">
        <v>27</v>
      </c>
      <c r="Q2570" s="3" t="s">
        <v>28</v>
      </c>
      <c r="R2570" s="3" t="s">
        <v>28</v>
      </c>
      <c r="S2570" s="3" t="s">
        <v>28</v>
      </c>
      <c r="T2570" s="3" t="s">
        <v>27</v>
      </c>
    </row>
    <row r="2571" spans="1:20" ht="244.5">
      <c r="A2571" s="3">
        <v>2690101</v>
      </c>
      <c r="B2571" s="3">
        <f>HYPERLINK("https://platform.v2.vetology.net/cases/2690101/screening-report/6?type=pdf&amp;v=v6&amp;scorecard=1&amp;secret_key=BX%25IJ%24%2F65ieZ%29f6", 2690101)</f>
        <v>2690101</v>
      </c>
      <c r="C2571" s="3">
        <f>HYPERLINK("https://platform.v2.vetology.net/report/v/final/"&amp;2690101, 2690101)</f>
        <v>2690101</v>
      </c>
      <c r="D2571" s="3" t="s">
        <v>8758</v>
      </c>
      <c r="E2571" s="3" t="s">
        <v>8759</v>
      </c>
      <c r="F2571" s="3" t="s">
        <v>22</v>
      </c>
      <c r="G2571" s="3" t="s">
        <v>100</v>
      </c>
      <c r="H2571" s="3" t="s">
        <v>403</v>
      </c>
      <c r="I2571" s="3" t="s">
        <v>643</v>
      </c>
      <c r="J2571" s="3" t="s">
        <v>6139</v>
      </c>
      <c r="K2571" s="3" t="s">
        <v>28</v>
      </c>
      <c r="L2571" s="3" t="s">
        <v>27</v>
      </c>
      <c r="M2571" s="3" t="s">
        <v>28</v>
      </c>
      <c r="N2571" s="3" t="s">
        <v>27</v>
      </c>
      <c r="O2571" s="3" t="s">
        <v>27</v>
      </c>
      <c r="P2571" s="3" t="s">
        <v>27</v>
      </c>
      <c r="Q2571" s="3" t="s">
        <v>28</v>
      </c>
      <c r="R2571" s="3" t="s">
        <v>28</v>
      </c>
      <c r="S2571" s="3" t="s">
        <v>27</v>
      </c>
      <c r="T2571" s="3" t="s">
        <v>27</v>
      </c>
    </row>
    <row r="2572" spans="1:20" ht="409.6">
      <c r="A2572" s="3">
        <v>2690077</v>
      </c>
      <c r="B2572" s="3">
        <f>HYPERLINK("https://platform.v2.vetology.net/cases/2690077/screening-report/6?type=pdf&amp;v=v6&amp;scorecard=1&amp;secret_key=BX%25IJ%24%2F65ieZ%29f6", 2690077)</f>
        <v>2690077</v>
      </c>
      <c r="C2572" s="3">
        <f>HYPERLINK("https://platform.v2.vetology.net/report/v/final/"&amp;2690077, 2690077)</f>
        <v>2690077</v>
      </c>
      <c r="D2572" s="3" t="s">
        <v>8760</v>
      </c>
      <c r="E2572" s="3" t="s">
        <v>8761</v>
      </c>
      <c r="F2572" s="3"/>
      <c r="G2572" s="3" t="s">
        <v>122</v>
      </c>
      <c r="H2572" s="3" t="s">
        <v>8762</v>
      </c>
      <c r="I2572" s="3" t="s">
        <v>1417</v>
      </c>
      <c r="J2572" s="3" t="s">
        <v>1418</v>
      </c>
      <c r="K2572" s="3" t="s">
        <v>27</v>
      </c>
      <c r="L2572" s="3" t="s">
        <v>28</v>
      </c>
      <c r="M2572" s="3" t="s">
        <v>27</v>
      </c>
      <c r="N2572" s="3" t="s">
        <v>28</v>
      </c>
      <c r="O2572" s="3" t="s">
        <v>27</v>
      </c>
      <c r="P2572" s="3" t="s">
        <v>27</v>
      </c>
      <c r="Q2572" s="3" t="s">
        <v>27</v>
      </c>
      <c r="R2572" s="3" t="s">
        <v>28</v>
      </c>
      <c r="S2572" s="3" t="s">
        <v>28</v>
      </c>
      <c r="T2572" s="3" t="s">
        <v>28</v>
      </c>
    </row>
    <row r="2573" spans="1:20" ht="396.75">
      <c r="A2573" s="3">
        <v>2690065</v>
      </c>
      <c r="B2573" s="3">
        <f>HYPERLINK("https://platform.v2.vetology.net/cases/2690065/screening-report/6?type=pdf&amp;v=v6&amp;scorecard=1&amp;secret_key=BX%25IJ%24%2F65ieZ%29f6", 2690065)</f>
        <v>2690065</v>
      </c>
      <c r="C2573" s="3">
        <f>HYPERLINK("https://platform.v2.vetology.net/report/v/final/"&amp;2690065, 2690065)</f>
        <v>2690065</v>
      </c>
      <c r="D2573" s="3" t="s">
        <v>8763</v>
      </c>
      <c r="E2573" s="3" t="s">
        <v>8764</v>
      </c>
      <c r="F2573" s="3" t="s">
        <v>22</v>
      </c>
      <c r="G2573" s="3" t="s">
        <v>23</v>
      </c>
      <c r="H2573" s="3" t="s">
        <v>8765</v>
      </c>
      <c r="I2573" s="3" t="s">
        <v>2854</v>
      </c>
      <c r="J2573" s="3" t="s">
        <v>2855</v>
      </c>
      <c r="K2573" s="3" t="s">
        <v>27</v>
      </c>
      <c r="L2573" s="3" t="s">
        <v>28</v>
      </c>
      <c r="M2573" s="3" t="s">
        <v>28</v>
      </c>
      <c r="N2573" s="3" t="s">
        <v>28</v>
      </c>
      <c r="O2573" s="3" t="s">
        <v>28</v>
      </c>
      <c r="P2573" s="3" t="s">
        <v>28</v>
      </c>
      <c r="Q2573" s="3" t="s">
        <v>28</v>
      </c>
      <c r="R2573" s="3" t="s">
        <v>28</v>
      </c>
      <c r="S2573" s="3" t="s">
        <v>28</v>
      </c>
      <c r="T2573" s="3" t="s">
        <v>28</v>
      </c>
    </row>
    <row r="2574" spans="1:20" ht="305.25">
      <c r="A2574" s="3">
        <v>2690045</v>
      </c>
      <c r="B2574" s="3">
        <f>HYPERLINK("https://platform.v2.vetology.net/cases/2690045/screening-report/6?type=pdf&amp;v=v6&amp;scorecard=1&amp;secret_key=BX%25IJ%24%2F65ieZ%29f6", 2690045)</f>
        <v>2690045</v>
      </c>
      <c r="C2574" s="3">
        <f>HYPERLINK("https://platform.v2.vetology.net/report/v/final/"&amp;2690045, 2690045)</f>
        <v>2690045</v>
      </c>
      <c r="D2574" s="3" t="s">
        <v>8766</v>
      </c>
      <c r="E2574" s="3" t="s">
        <v>8767</v>
      </c>
      <c r="F2574" s="3" t="s">
        <v>1061</v>
      </c>
      <c r="G2574" s="3" t="s">
        <v>100</v>
      </c>
      <c r="H2574" s="3" t="s">
        <v>2709</v>
      </c>
      <c r="I2574" s="3" t="s">
        <v>1082</v>
      </c>
      <c r="J2574" s="3" t="s">
        <v>1083</v>
      </c>
      <c r="K2574" s="3" t="s">
        <v>28</v>
      </c>
      <c r="L2574" s="3" t="s">
        <v>28</v>
      </c>
      <c r="M2574" s="3" t="s">
        <v>28</v>
      </c>
      <c r="N2574" s="3" t="s">
        <v>28</v>
      </c>
      <c r="O2574" s="3" t="s">
        <v>27</v>
      </c>
      <c r="P2574" s="3" t="s">
        <v>28</v>
      </c>
      <c r="Q2574" s="3" t="s">
        <v>28</v>
      </c>
      <c r="R2574" s="3" t="s">
        <v>28</v>
      </c>
      <c r="S2574" s="3" t="s">
        <v>27</v>
      </c>
      <c r="T2574" s="3" t="s">
        <v>27</v>
      </c>
    </row>
    <row r="2575" spans="1:20" ht="396.75">
      <c r="A2575" s="3">
        <v>2690040</v>
      </c>
      <c r="B2575" s="3">
        <f>HYPERLINK("https://platform.v2.vetology.net/cases/2690040/screening-report/6?type=pdf&amp;v=v6&amp;scorecard=1&amp;secret_key=BX%25IJ%24%2F65ieZ%29f6", 2690040)</f>
        <v>2690040</v>
      </c>
      <c r="C2575" s="3">
        <f>HYPERLINK("https://platform.v2.vetology.net/report/v/final/"&amp;2690040, 2690040)</f>
        <v>2690040</v>
      </c>
      <c r="D2575" s="3" t="s">
        <v>8768</v>
      </c>
      <c r="E2575" s="3" t="s">
        <v>7087</v>
      </c>
      <c r="F2575" s="3" t="s">
        <v>1291</v>
      </c>
      <c r="G2575" s="3" t="s">
        <v>100</v>
      </c>
      <c r="H2575" s="3" t="s">
        <v>8769</v>
      </c>
      <c r="I2575" s="3" t="s">
        <v>8770</v>
      </c>
      <c r="J2575" s="3" t="s">
        <v>8771</v>
      </c>
      <c r="K2575" s="3" t="s">
        <v>28</v>
      </c>
      <c r="L2575" s="3" t="s">
        <v>28</v>
      </c>
      <c r="M2575" s="3" t="s">
        <v>27</v>
      </c>
      <c r="N2575" s="3" t="s">
        <v>27</v>
      </c>
      <c r="O2575" s="3" t="s">
        <v>27</v>
      </c>
      <c r="P2575" s="3" t="s">
        <v>28</v>
      </c>
      <c r="Q2575" s="3" t="s">
        <v>27</v>
      </c>
      <c r="R2575" s="3" t="s">
        <v>27</v>
      </c>
      <c r="S2575" s="3" t="s">
        <v>28</v>
      </c>
      <c r="T2575" s="3" t="s">
        <v>27</v>
      </c>
    </row>
    <row r="2576" spans="1:20" ht="244.5">
      <c r="A2576" s="3">
        <v>2690034</v>
      </c>
      <c r="B2576" s="3">
        <f>HYPERLINK("https://platform.v2.vetology.net/cases/2690034/screening-report/6?type=pdf&amp;v=v6&amp;scorecard=1&amp;secret_key=BX%25IJ%24%2F65ieZ%29f6", 2690034)</f>
        <v>2690034</v>
      </c>
      <c r="C2576" s="3">
        <f>HYPERLINK("https://platform.v2.vetology.net/report/v/final/"&amp;2690034, 2690034)</f>
        <v>2690034</v>
      </c>
      <c r="D2576" s="3" t="s">
        <v>8772</v>
      </c>
      <c r="E2576" s="3" t="s">
        <v>8773</v>
      </c>
      <c r="F2576" s="3" t="s">
        <v>8774</v>
      </c>
      <c r="G2576" s="3" t="s">
        <v>211</v>
      </c>
      <c r="H2576" s="3" t="s">
        <v>241</v>
      </c>
      <c r="I2576" s="3"/>
      <c r="J2576" s="3" t="s">
        <v>207</v>
      </c>
      <c r="K2576" s="3" t="s">
        <v>28</v>
      </c>
      <c r="L2576" s="3" t="s">
        <v>28</v>
      </c>
      <c r="M2576" s="3" t="s">
        <v>28</v>
      </c>
      <c r="N2576" s="3" t="s">
        <v>28</v>
      </c>
      <c r="O2576" s="3" t="s">
        <v>27</v>
      </c>
      <c r="P2576" s="3" t="s">
        <v>28</v>
      </c>
      <c r="Q2576" s="3" t="s">
        <v>28</v>
      </c>
      <c r="R2576" s="3" t="s">
        <v>28</v>
      </c>
      <c r="S2576" s="3" t="s">
        <v>28</v>
      </c>
      <c r="T2576" s="3" t="s">
        <v>27</v>
      </c>
    </row>
    <row r="2577" spans="1:20" ht="229.5">
      <c r="A2577" s="3">
        <v>2689990</v>
      </c>
      <c r="B2577" s="3">
        <f>HYPERLINK("https://platform.v2.vetology.net/cases/2689990/screening-report/6?type=pdf&amp;v=v6&amp;scorecard=1&amp;secret_key=BX%25IJ%24%2F65ieZ%29f6", 2689990)</f>
        <v>2689990</v>
      </c>
      <c r="C2577" s="3">
        <f>HYPERLINK("https://platform.v2.vetology.net/report/v/final/"&amp;2689990, 2689990)</f>
        <v>2689990</v>
      </c>
      <c r="D2577" s="3" t="s">
        <v>8775</v>
      </c>
      <c r="E2577" s="3" t="s">
        <v>8776</v>
      </c>
      <c r="F2577" s="3" t="s">
        <v>8777</v>
      </c>
      <c r="G2577" s="3" t="s">
        <v>100</v>
      </c>
      <c r="H2577" s="3" t="s">
        <v>31</v>
      </c>
      <c r="I2577" s="3" t="s">
        <v>32</v>
      </c>
      <c r="J2577" s="3" t="s">
        <v>119</v>
      </c>
      <c r="K2577" s="3" t="s">
        <v>27</v>
      </c>
      <c r="L2577" s="3" t="s">
        <v>28</v>
      </c>
      <c r="M2577" s="3" t="s">
        <v>28</v>
      </c>
      <c r="N2577" s="3" t="s">
        <v>28</v>
      </c>
      <c r="O2577" s="3" t="s">
        <v>28</v>
      </c>
      <c r="P2577" s="3" t="s">
        <v>28</v>
      </c>
      <c r="Q2577" s="3" t="s">
        <v>27</v>
      </c>
      <c r="R2577" s="3" t="s">
        <v>28</v>
      </c>
      <c r="S2577" s="3" t="s">
        <v>28</v>
      </c>
      <c r="T2577" s="3" t="s">
        <v>28</v>
      </c>
    </row>
    <row r="2578" spans="1:20" ht="305.25">
      <c r="A2578" s="3">
        <v>2689986</v>
      </c>
      <c r="B2578" s="3">
        <f>HYPERLINK("https://platform.v2.vetology.net/cases/2689986/screening-report/6?type=pdf&amp;v=v6&amp;scorecard=1&amp;secret_key=BX%25IJ%24%2F65ieZ%29f6", 2689986)</f>
        <v>2689986</v>
      </c>
      <c r="C2578" s="3">
        <f>HYPERLINK("https://platform.v2.vetology.net/report/v/final/"&amp;2689986, 2689986)</f>
        <v>2689986</v>
      </c>
      <c r="D2578" s="3" t="s">
        <v>2515</v>
      </c>
      <c r="E2578" s="3" t="s">
        <v>1089</v>
      </c>
      <c r="F2578" s="3" t="s">
        <v>1090</v>
      </c>
      <c r="G2578" s="3" t="s">
        <v>100</v>
      </c>
      <c r="H2578" s="3" t="s">
        <v>118</v>
      </c>
      <c r="I2578" s="3" t="s">
        <v>32</v>
      </c>
      <c r="J2578" s="3" t="s">
        <v>33</v>
      </c>
      <c r="K2578" s="3" t="s">
        <v>28</v>
      </c>
      <c r="L2578" s="3" t="s">
        <v>28</v>
      </c>
      <c r="M2578" s="3" t="s">
        <v>28</v>
      </c>
      <c r="N2578" s="3" t="s">
        <v>28</v>
      </c>
      <c r="O2578" s="3" t="s">
        <v>28</v>
      </c>
      <c r="P2578" s="3" t="s">
        <v>28</v>
      </c>
      <c r="Q2578" s="3" t="s">
        <v>28</v>
      </c>
      <c r="R2578" s="3" t="s">
        <v>28</v>
      </c>
      <c r="S2578" s="3" t="s">
        <v>28</v>
      </c>
      <c r="T2578" s="3" t="s">
        <v>28</v>
      </c>
    </row>
    <row r="2579" spans="1:20" ht="409.6">
      <c r="A2579" s="3">
        <v>2689914</v>
      </c>
      <c r="B2579" s="3">
        <f>HYPERLINK("https://platform.v2.vetology.net/cases/2689914/screening-report/6?type=pdf&amp;v=v6&amp;scorecard=1&amp;secret_key=BX%25IJ%24%2F65ieZ%29f6", 2689914)</f>
        <v>2689914</v>
      </c>
      <c r="C2579" s="3">
        <f>HYPERLINK("https://platform.v2.vetology.net/report/v/final/"&amp;2689914, 2689914)</f>
        <v>2689914</v>
      </c>
      <c r="D2579" s="3" t="s">
        <v>8778</v>
      </c>
      <c r="E2579" s="3" t="s">
        <v>8779</v>
      </c>
      <c r="F2579" s="3" t="s">
        <v>8780</v>
      </c>
      <c r="G2579" s="3" t="s">
        <v>1772</v>
      </c>
      <c r="H2579" s="3" t="s">
        <v>3343</v>
      </c>
      <c r="I2579" s="3" t="s">
        <v>136</v>
      </c>
      <c r="J2579" s="3" t="s">
        <v>424</v>
      </c>
      <c r="K2579" s="3" t="s">
        <v>28</v>
      </c>
      <c r="L2579" s="3" t="s">
        <v>28</v>
      </c>
      <c r="M2579" s="3" t="s">
        <v>28</v>
      </c>
      <c r="N2579" s="3" t="s">
        <v>28</v>
      </c>
      <c r="O2579" s="3" t="s">
        <v>27</v>
      </c>
      <c r="P2579" s="3" t="s">
        <v>28</v>
      </c>
      <c r="Q2579" s="3" t="s">
        <v>28</v>
      </c>
      <c r="R2579" s="3" t="s">
        <v>27</v>
      </c>
      <c r="S2579" s="3" t="s">
        <v>28</v>
      </c>
      <c r="T2579" s="3" t="s">
        <v>27</v>
      </c>
    </row>
    <row r="2580" spans="1:20" ht="409.6">
      <c r="A2580" s="3">
        <v>2689912</v>
      </c>
      <c r="B2580" s="3">
        <f>HYPERLINK("https://platform.v2.vetology.net/cases/2689912/screening-report/6?type=pdf&amp;v=v6&amp;scorecard=1&amp;secret_key=BX%25IJ%24%2F65ieZ%29f6", 2689912)</f>
        <v>2689912</v>
      </c>
      <c r="C2580" s="3">
        <f>HYPERLINK("https://platform.v2.vetology.net/report/v/final/"&amp;2689912, 2689912)</f>
        <v>2689912</v>
      </c>
      <c r="D2580" s="3" t="s">
        <v>8781</v>
      </c>
      <c r="E2580" s="3" t="s">
        <v>8782</v>
      </c>
      <c r="F2580" s="3"/>
      <c r="G2580" s="3" t="s">
        <v>100</v>
      </c>
      <c r="H2580" s="3" t="s">
        <v>1123</v>
      </c>
      <c r="I2580" s="3" t="s">
        <v>1124</v>
      </c>
      <c r="J2580" s="3" t="s">
        <v>1125</v>
      </c>
      <c r="K2580" s="3" t="s">
        <v>28</v>
      </c>
      <c r="L2580" s="3" t="s">
        <v>27</v>
      </c>
      <c r="M2580" s="3" t="s">
        <v>27</v>
      </c>
      <c r="N2580" s="3" t="s">
        <v>27</v>
      </c>
      <c r="O2580" s="3" t="s">
        <v>27</v>
      </c>
      <c r="P2580" s="3" t="s">
        <v>28</v>
      </c>
      <c r="Q2580" s="3" t="s">
        <v>27</v>
      </c>
      <c r="R2580" s="3" t="s">
        <v>27</v>
      </c>
      <c r="S2580" s="3" t="s">
        <v>27</v>
      </c>
      <c r="T2580" s="3" t="s">
        <v>28</v>
      </c>
    </row>
    <row r="2581" spans="1:20" ht="409.6">
      <c r="A2581" s="3">
        <v>2689865</v>
      </c>
      <c r="B2581" s="3">
        <f>HYPERLINK("https://platform.v2.vetology.net/cases/2689865/screening-report/6?type=pdf&amp;v=v6&amp;scorecard=1&amp;secret_key=BX%25IJ%24%2F65ieZ%29f6", 2689865)</f>
        <v>2689865</v>
      </c>
      <c r="C2581" s="3">
        <f>HYPERLINK("https://platform.v2.vetology.net/report/v/final/"&amp;2689865, 2689865)</f>
        <v>2689865</v>
      </c>
      <c r="D2581" s="3" t="s">
        <v>8783</v>
      </c>
      <c r="E2581" s="3" t="s">
        <v>8784</v>
      </c>
      <c r="F2581" s="3" t="s">
        <v>8785</v>
      </c>
      <c r="G2581" s="3" t="s">
        <v>186</v>
      </c>
      <c r="H2581" s="3" t="s">
        <v>8786</v>
      </c>
      <c r="I2581" s="3" t="s">
        <v>32</v>
      </c>
      <c r="J2581" s="3" t="s">
        <v>578</v>
      </c>
      <c r="K2581" s="3" t="s">
        <v>27</v>
      </c>
      <c r="L2581" s="3" t="s">
        <v>28</v>
      </c>
      <c r="M2581" s="3" t="s">
        <v>28</v>
      </c>
      <c r="N2581" s="3" t="s">
        <v>28</v>
      </c>
      <c r="O2581" s="3" t="s">
        <v>28</v>
      </c>
      <c r="P2581" s="3" t="s">
        <v>28</v>
      </c>
      <c r="Q2581" s="3" t="s">
        <v>27</v>
      </c>
      <c r="R2581" s="3" t="s">
        <v>28</v>
      </c>
      <c r="S2581" s="3" t="s">
        <v>28</v>
      </c>
      <c r="T2581" s="3" t="s">
        <v>28</v>
      </c>
    </row>
    <row r="2582" spans="1:20" ht="409.6">
      <c r="A2582" s="3">
        <v>2689844</v>
      </c>
      <c r="B2582" s="3">
        <f>HYPERLINK("https://platform.v2.vetology.net/cases/2689844/screening-report/6?type=pdf&amp;v=v6&amp;scorecard=1&amp;secret_key=BX%25IJ%24%2F65ieZ%29f6", 2689844)</f>
        <v>2689844</v>
      </c>
      <c r="C2582" s="3">
        <f>HYPERLINK("https://platform.v2.vetology.net/report/v/final/"&amp;2689844, 2689844)</f>
        <v>2689844</v>
      </c>
      <c r="D2582" s="3" t="s">
        <v>8787</v>
      </c>
      <c r="E2582" s="3" t="s">
        <v>8788</v>
      </c>
      <c r="F2582" s="3" t="s">
        <v>8789</v>
      </c>
      <c r="G2582" s="3" t="s">
        <v>186</v>
      </c>
      <c r="H2582" s="3" t="s">
        <v>8790</v>
      </c>
      <c r="I2582" s="3" t="s">
        <v>478</v>
      </c>
      <c r="J2582" s="3" t="s">
        <v>479</v>
      </c>
      <c r="K2582" s="3" t="s">
        <v>28</v>
      </c>
      <c r="L2582" s="3" t="s">
        <v>27</v>
      </c>
      <c r="M2582" s="3" t="s">
        <v>28</v>
      </c>
      <c r="N2582" s="3" t="s">
        <v>27</v>
      </c>
      <c r="O2582" s="3" t="s">
        <v>27</v>
      </c>
      <c r="P2582" s="3" t="s">
        <v>28</v>
      </c>
      <c r="Q2582" s="3" t="s">
        <v>27</v>
      </c>
      <c r="R2582" s="3" t="s">
        <v>28</v>
      </c>
      <c r="S2582" s="3" t="s">
        <v>27</v>
      </c>
      <c r="T2582" s="3" t="s">
        <v>27</v>
      </c>
    </row>
    <row r="2583" spans="1:20" ht="409.6">
      <c r="A2583" s="3">
        <v>2689840</v>
      </c>
      <c r="B2583" s="3">
        <f>HYPERLINK("https://platform.v2.vetology.net/cases/2689840/screening-report/6?type=pdf&amp;v=v6&amp;scorecard=1&amp;secret_key=BX%25IJ%24%2F65ieZ%29f6", 2689840)</f>
        <v>2689840</v>
      </c>
      <c r="C2583" s="3">
        <f>HYPERLINK("https://platform.v2.vetology.net/report/v/final/"&amp;2689840, 2689840)</f>
        <v>2689840</v>
      </c>
      <c r="D2583" s="3" t="s">
        <v>8791</v>
      </c>
      <c r="E2583" s="3" t="s">
        <v>8792</v>
      </c>
      <c r="F2583" s="3" t="s">
        <v>8793</v>
      </c>
      <c r="G2583" s="3" t="s">
        <v>122</v>
      </c>
      <c r="H2583" s="3" t="s">
        <v>8794</v>
      </c>
      <c r="I2583" s="3" t="s">
        <v>310</v>
      </c>
      <c r="J2583" s="3" t="s">
        <v>311</v>
      </c>
      <c r="K2583" s="3" t="s">
        <v>28</v>
      </c>
      <c r="L2583" s="3" t="s">
        <v>27</v>
      </c>
      <c r="M2583" s="3" t="s">
        <v>28</v>
      </c>
      <c r="N2583" s="3" t="s">
        <v>27</v>
      </c>
      <c r="O2583" s="3" t="s">
        <v>27</v>
      </c>
      <c r="P2583" s="3" t="s">
        <v>28</v>
      </c>
      <c r="Q2583" s="3" t="s">
        <v>28</v>
      </c>
      <c r="R2583" s="3" t="s">
        <v>27</v>
      </c>
      <c r="S2583" s="3" t="s">
        <v>27</v>
      </c>
      <c r="T2583" s="3" t="s">
        <v>27</v>
      </c>
    </row>
    <row r="2584" spans="1:20" ht="381.75">
      <c r="A2584" s="3">
        <v>2689795</v>
      </c>
      <c r="B2584" s="3">
        <f>HYPERLINK("https://platform.v2.vetology.net/cases/2689795/screening-report/6?type=pdf&amp;v=v6&amp;scorecard=1&amp;secret_key=BX%25IJ%24%2F65ieZ%29f6", 2689795)</f>
        <v>2689795</v>
      </c>
      <c r="C2584" s="3">
        <f>HYPERLINK("https://platform.v2.vetology.net/report/v/final/"&amp;2689795, 2689795)</f>
        <v>2689795</v>
      </c>
      <c r="D2584" s="3" t="s">
        <v>8795</v>
      </c>
      <c r="E2584" s="3" t="s">
        <v>8796</v>
      </c>
      <c r="F2584" s="3" t="s">
        <v>8797</v>
      </c>
      <c r="G2584" s="3" t="s">
        <v>100</v>
      </c>
      <c r="H2584" s="3" t="s">
        <v>171</v>
      </c>
      <c r="I2584" s="3" t="s">
        <v>172</v>
      </c>
      <c r="J2584" s="3" t="s">
        <v>109</v>
      </c>
      <c r="K2584" s="3" t="s">
        <v>27</v>
      </c>
      <c r="L2584" s="3" t="s">
        <v>27</v>
      </c>
      <c r="M2584" s="3" t="s">
        <v>28</v>
      </c>
      <c r="N2584" s="3" t="s">
        <v>27</v>
      </c>
      <c r="O2584" s="3" t="s">
        <v>27</v>
      </c>
      <c r="P2584" s="3" t="s">
        <v>28</v>
      </c>
      <c r="Q2584" s="3" t="s">
        <v>28</v>
      </c>
      <c r="R2584" s="3" t="s">
        <v>27</v>
      </c>
      <c r="S2584" s="3" t="s">
        <v>27</v>
      </c>
      <c r="T2584" s="3" t="s">
        <v>27</v>
      </c>
    </row>
    <row r="2585" spans="1:20" ht="305.25">
      <c r="A2585" s="3">
        <v>2689762</v>
      </c>
      <c r="B2585" s="3">
        <f>HYPERLINK("https://platform.v2.vetology.net/cases/2689762/screening-report/6?type=pdf&amp;v=v6&amp;scorecard=1&amp;secret_key=BX%25IJ%24%2F65ieZ%29f6", 2689762)</f>
        <v>2689762</v>
      </c>
      <c r="C2585" s="3">
        <f>HYPERLINK("https://platform.v2.vetology.net/report/v/final/"&amp;2689762, 2689762)</f>
        <v>2689762</v>
      </c>
      <c r="D2585" s="3" t="s">
        <v>8798</v>
      </c>
      <c r="E2585" s="3" t="s">
        <v>8799</v>
      </c>
      <c r="F2585" s="3" t="s">
        <v>22</v>
      </c>
      <c r="G2585" s="3" t="s">
        <v>23</v>
      </c>
      <c r="H2585" s="3" t="s">
        <v>1597</v>
      </c>
      <c r="I2585" s="3" t="s">
        <v>32</v>
      </c>
      <c r="J2585" s="3" t="s">
        <v>33</v>
      </c>
      <c r="K2585" s="3" t="s">
        <v>28</v>
      </c>
      <c r="L2585" s="3" t="s">
        <v>28</v>
      </c>
      <c r="M2585" s="3" t="s">
        <v>28</v>
      </c>
      <c r="N2585" s="3" t="s">
        <v>28</v>
      </c>
      <c r="O2585" s="3" t="s">
        <v>27</v>
      </c>
      <c r="P2585" s="3" t="s">
        <v>28</v>
      </c>
      <c r="Q2585" s="3" t="s">
        <v>28</v>
      </c>
      <c r="R2585" s="3" t="s">
        <v>28</v>
      </c>
      <c r="S2585" s="3" t="s">
        <v>28</v>
      </c>
      <c r="T2585" s="3" t="s">
        <v>28</v>
      </c>
    </row>
    <row r="2586" spans="1:20" ht="396.75">
      <c r="A2586" s="3">
        <v>2689706</v>
      </c>
      <c r="B2586" s="3">
        <f>HYPERLINK("https://platform.v2.vetology.net/cases/2689706/screening-report/6?type=pdf&amp;v=v6&amp;scorecard=1&amp;secret_key=BX%25IJ%24%2F65ieZ%29f6", 2689706)</f>
        <v>2689706</v>
      </c>
      <c r="C2586" s="3">
        <f>HYPERLINK("https://platform.v2.vetology.net/report/v/final/"&amp;2689706, 2689706)</f>
        <v>2689706</v>
      </c>
      <c r="D2586" s="3" t="s">
        <v>8800</v>
      </c>
      <c r="E2586" s="3" t="s">
        <v>8801</v>
      </c>
      <c r="F2586" s="3" t="s">
        <v>8802</v>
      </c>
      <c r="G2586" s="3" t="s">
        <v>496</v>
      </c>
      <c r="H2586" s="3" t="s">
        <v>7992</v>
      </c>
      <c r="I2586" s="3" t="s">
        <v>136</v>
      </c>
      <c r="J2586" s="3" t="s">
        <v>137</v>
      </c>
      <c r="K2586" s="3" t="s">
        <v>28</v>
      </c>
      <c r="L2586" s="3" t="s">
        <v>27</v>
      </c>
      <c r="M2586" s="3" t="s">
        <v>27</v>
      </c>
      <c r="N2586" s="3" t="s">
        <v>27</v>
      </c>
      <c r="O2586" s="3" t="s">
        <v>27</v>
      </c>
      <c r="P2586" s="3" t="s">
        <v>28</v>
      </c>
      <c r="Q2586" s="3" t="s">
        <v>28</v>
      </c>
      <c r="R2586" s="3" t="s">
        <v>28</v>
      </c>
      <c r="S2586" s="3" t="s">
        <v>28</v>
      </c>
      <c r="T2586" s="3" t="s">
        <v>27</v>
      </c>
    </row>
    <row r="2587" spans="1:20" ht="381.75">
      <c r="A2587" s="3">
        <v>2689685</v>
      </c>
      <c r="B2587" s="3">
        <f>HYPERLINK("https://platform.v2.vetology.net/cases/2689685/screening-report/6?type=pdf&amp;v=v6&amp;scorecard=1&amp;secret_key=BX%25IJ%24%2F65ieZ%29f6", 2689685)</f>
        <v>2689685</v>
      </c>
      <c r="C2587" s="3">
        <f>HYPERLINK("https://platform.v2.vetology.net/report/v/final/"&amp;2689685, 2689685)</f>
        <v>2689685</v>
      </c>
      <c r="D2587" s="3" t="s">
        <v>8803</v>
      </c>
      <c r="E2587" s="3" t="s">
        <v>3795</v>
      </c>
      <c r="F2587" s="3" t="s">
        <v>8804</v>
      </c>
      <c r="G2587" s="3" t="s">
        <v>211</v>
      </c>
      <c r="H2587" s="3" t="s">
        <v>1478</v>
      </c>
      <c r="I2587" s="3" t="s">
        <v>279</v>
      </c>
      <c r="J2587" s="3" t="s">
        <v>280</v>
      </c>
      <c r="K2587" s="3" t="s">
        <v>28</v>
      </c>
      <c r="L2587" s="3" t="s">
        <v>28</v>
      </c>
      <c r="M2587" s="3" t="s">
        <v>28</v>
      </c>
      <c r="N2587" s="3" t="s">
        <v>28</v>
      </c>
      <c r="O2587" s="3" t="s">
        <v>28</v>
      </c>
      <c r="P2587" s="3" t="s">
        <v>28</v>
      </c>
      <c r="Q2587" s="3" t="s">
        <v>28</v>
      </c>
      <c r="R2587" s="3" t="s">
        <v>28</v>
      </c>
      <c r="S2587" s="3" t="s">
        <v>28</v>
      </c>
      <c r="T2587" s="3" t="s">
        <v>27</v>
      </c>
    </row>
    <row r="2588" spans="1:20" ht="409.6">
      <c r="A2588" s="3">
        <v>2689598</v>
      </c>
      <c r="B2588" s="3">
        <f>HYPERLINK("https://platform.v2.vetology.net/cases/2689598/screening-report/6?type=pdf&amp;v=v6&amp;scorecard=1&amp;secret_key=BX%25IJ%24%2F65ieZ%29f6", 2689598)</f>
        <v>2689598</v>
      </c>
      <c r="C2588" s="3">
        <f>HYPERLINK("https://platform.v2.vetology.net/report/v/final/"&amp;2689598, 2689598)</f>
        <v>2689598</v>
      </c>
      <c r="D2588" s="3" t="s">
        <v>8805</v>
      </c>
      <c r="E2588" s="3" t="s">
        <v>8806</v>
      </c>
      <c r="F2588" s="3" t="s">
        <v>8807</v>
      </c>
      <c r="G2588" s="3" t="s">
        <v>211</v>
      </c>
      <c r="H2588" s="3" t="s">
        <v>8808</v>
      </c>
      <c r="I2588" s="3" t="s">
        <v>345</v>
      </c>
      <c r="J2588" s="3" t="s">
        <v>346</v>
      </c>
      <c r="K2588" s="3" t="s">
        <v>28</v>
      </c>
      <c r="L2588" s="3" t="s">
        <v>28</v>
      </c>
      <c r="M2588" s="3" t="s">
        <v>28</v>
      </c>
      <c r="N2588" s="3" t="s">
        <v>27</v>
      </c>
      <c r="O2588" s="3" t="s">
        <v>28</v>
      </c>
      <c r="P2588" s="3" t="s">
        <v>28</v>
      </c>
      <c r="Q2588" s="3" t="s">
        <v>28</v>
      </c>
      <c r="R2588" s="3" t="s">
        <v>27</v>
      </c>
      <c r="S2588" s="3" t="s">
        <v>27</v>
      </c>
      <c r="T2588" s="3" t="s">
        <v>27</v>
      </c>
    </row>
    <row r="2589" spans="1:20" ht="409.6">
      <c r="A2589" s="3">
        <v>2689542</v>
      </c>
      <c r="B2589" s="3">
        <f>HYPERLINK("https://platform.v2.vetology.net/cases/2689542/screening-report/6?type=pdf&amp;v=v6&amp;scorecard=1&amp;secret_key=BX%25IJ%24%2F65ieZ%29f6", 2689542)</f>
        <v>2689542</v>
      </c>
      <c r="C2589" s="3">
        <f>HYPERLINK("https://platform.v2.vetology.net/report/v/final/"&amp;2689542, 2689542)</f>
        <v>2689542</v>
      </c>
      <c r="D2589" s="3" t="s">
        <v>8809</v>
      </c>
      <c r="E2589" s="3" t="s">
        <v>8810</v>
      </c>
      <c r="F2589" s="3" t="s">
        <v>8811</v>
      </c>
      <c r="G2589" s="3" t="s">
        <v>179</v>
      </c>
      <c r="H2589" s="3" t="s">
        <v>8812</v>
      </c>
      <c r="I2589" s="3" t="s">
        <v>1497</v>
      </c>
      <c r="J2589" s="3" t="s">
        <v>1340</v>
      </c>
      <c r="K2589" s="3" t="s">
        <v>28</v>
      </c>
      <c r="L2589" s="3" t="s">
        <v>28</v>
      </c>
      <c r="M2589" s="3" t="s">
        <v>28</v>
      </c>
      <c r="N2589" s="3" t="s">
        <v>28</v>
      </c>
      <c r="O2589" s="3" t="s">
        <v>27</v>
      </c>
      <c r="P2589" s="3" t="s">
        <v>28</v>
      </c>
      <c r="Q2589" s="3" t="s">
        <v>27</v>
      </c>
      <c r="R2589" s="3" t="s">
        <v>28</v>
      </c>
      <c r="S2589" s="3" t="s">
        <v>28</v>
      </c>
      <c r="T2589" s="3" t="s">
        <v>28</v>
      </c>
    </row>
    <row r="2590" spans="1:20" ht="409.6">
      <c r="A2590" s="3">
        <v>2689539</v>
      </c>
      <c r="B2590" s="3">
        <f>HYPERLINK("https://platform.v2.vetology.net/cases/2689539/screening-report/6?type=pdf&amp;v=v6&amp;scorecard=1&amp;secret_key=BX%25IJ%24%2F65ieZ%29f6", 2689539)</f>
        <v>2689539</v>
      </c>
      <c r="C2590" s="3">
        <f>HYPERLINK("https://platform.v2.vetology.net/report/v/final/"&amp;2689539, 2689539)</f>
        <v>2689539</v>
      </c>
      <c r="D2590" s="3" t="s">
        <v>8813</v>
      </c>
      <c r="E2590" s="3" t="s">
        <v>8814</v>
      </c>
      <c r="F2590" s="3" t="s">
        <v>8815</v>
      </c>
      <c r="G2590" s="3" t="s">
        <v>179</v>
      </c>
      <c r="H2590" s="3" t="s">
        <v>8816</v>
      </c>
      <c r="I2590" s="3" t="s">
        <v>1396</v>
      </c>
      <c r="J2590" s="3" t="s">
        <v>1397</v>
      </c>
      <c r="K2590" s="3" t="s">
        <v>27</v>
      </c>
      <c r="L2590" s="3" t="s">
        <v>27</v>
      </c>
      <c r="M2590" s="3" t="s">
        <v>27</v>
      </c>
      <c r="N2590" s="3" t="s">
        <v>27</v>
      </c>
      <c r="O2590" s="3" t="s">
        <v>27</v>
      </c>
      <c r="P2590" s="3" t="s">
        <v>27</v>
      </c>
      <c r="Q2590" s="3" t="s">
        <v>27</v>
      </c>
      <c r="R2590" s="3" t="s">
        <v>27</v>
      </c>
      <c r="S2590" s="3" t="s">
        <v>27</v>
      </c>
      <c r="T2590" s="3" t="s">
        <v>27</v>
      </c>
    </row>
    <row r="2591" spans="1:20" ht="409.6">
      <c r="A2591" s="3">
        <v>2689467</v>
      </c>
      <c r="B2591" s="3">
        <f>HYPERLINK("https://platform.v2.vetology.net/cases/2689467/screening-report/6?type=pdf&amp;v=v6&amp;scorecard=1&amp;secret_key=BX%25IJ%24%2F65ieZ%29f6", 2689467)</f>
        <v>2689467</v>
      </c>
      <c r="C2591" s="3">
        <f>HYPERLINK("https://platform.v2.vetology.net/report/v/final/"&amp;2689467, 2689467)</f>
        <v>2689467</v>
      </c>
      <c r="D2591" s="3" t="s">
        <v>8817</v>
      </c>
      <c r="E2591" s="3" t="s">
        <v>8818</v>
      </c>
      <c r="F2591" s="3" t="s">
        <v>8819</v>
      </c>
      <c r="G2591" s="3" t="s">
        <v>179</v>
      </c>
      <c r="H2591" s="3" t="s">
        <v>8820</v>
      </c>
      <c r="I2591" s="3" t="s">
        <v>200</v>
      </c>
      <c r="J2591" s="3" t="s">
        <v>201</v>
      </c>
      <c r="K2591" s="3" t="s">
        <v>28</v>
      </c>
      <c r="L2591" s="3" t="s">
        <v>28</v>
      </c>
      <c r="M2591" s="3" t="s">
        <v>27</v>
      </c>
      <c r="N2591" s="3" t="s">
        <v>28</v>
      </c>
      <c r="O2591" s="3" t="s">
        <v>27</v>
      </c>
      <c r="P2591" s="3" t="s">
        <v>28</v>
      </c>
      <c r="Q2591" s="3" t="s">
        <v>28</v>
      </c>
      <c r="R2591" s="3" t="s">
        <v>28</v>
      </c>
      <c r="S2591" s="3" t="s">
        <v>27</v>
      </c>
      <c r="T2591" s="3" t="s">
        <v>28</v>
      </c>
    </row>
    <row r="2592" spans="1:20" ht="409.6">
      <c r="A2592" s="3">
        <v>2689466</v>
      </c>
      <c r="B2592" s="3">
        <f>HYPERLINK("https://platform.v2.vetology.net/cases/2689466/screening-report/6?type=pdf&amp;v=v6&amp;scorecard=1&amp;secret_key=BX%25IJ%24%2F65ieZ%29f6", 2689466)</f>
        <v>2689466</v>
      </c>
      <c r="C2592" s="3">
        <f>HYPERLINK("https://platform.v2.vetology.net/report/v/final/"&amp;2689466, 2689466)</f>
        <v>2689466</v>
      </c>
      <c r="D2592" s="3" t="s">
        <v>8821</v>
      </c>
      <c r="E2592" s="3" t="s">
        <v>8822</v>
      </c>
      <c r="F2592" s="3" t="s">
        <v>22</v>
      </c>
      <c r="G2592" s="3" t="s">
        <v>23</v>
      </c>
      <c r="H2592" s="3" t="s">
        <v>658</v>
      </c>
      <c r="I2592" s="3" t="s">
        <v>659</v>
      </c>
      <c r="J2592" s="3" t="s">
        <v>660</v>
      </c>
      <c r="K2592" s="3" t="s">
        <v>28</v>
      </c>
      <c r="L2592" s="3" t="s">
        <v>28</v>
      </c>
      <c r="M2592" s="3" t="s">
        <v>28</v>
      </c>
      <c r="N2592" s="3" t="s">
        <v>28</v>
      </c>
      <c r="O2592" s="3" t="s">
        <v>27</v>
      </c>
      <c r="P2592" s="3" t="s">
        <v>28</v>
      </c>
      <c r="Q2592" s="3" t="s">
        <v>27</v>
      </c>
      <c r="R2592" s="3" t="s">
        <v>28</v>
      </c>
      <c r="S2592" s="3" t="s">
        <v>28</v>
      </c>
      <c r="T2592" s="3" t="s">
        <v>28</v>
      </c>
    </row>
    <row r="2593" spans="1:20" ht="351">
      <c r="A2593" s="3">
        <v>2689456</v>
      </c>
      <c r="B2593" s="3">
        <f>HYPERLINK("https://platform.v2.vetology.net/cases/2689456/screening-report/6?type=pdf&amp;v=v6&amp;scorecard=1&amp;secret_key=BX%25IJ%24%2F65ieZ%29f6", 2689456)</f>
        <v>2689456</v>
      </c>
      <c r="C2593" s="3">
        <f>HYPERLINK("https://platform.v2.vetology.net/report/v/final/"&amp;2689456, 2689456)</f>
        <v>2689456</v>
      </c>
      <c r="D2593" s="3" t="s">
        <v>8823</v>
      </c>
      <c r="E2593" s="3" t="s">
        <v>8824</v>
      </c>
      <c r="F2593" s="3"/>
      <c r="G2593" s="3" t="s">
        <v>122</v>
      </c>
      <c r="H2593" s="3" t="s">
        <v>8825</v>
      </c>
      <c r="I2593" s="3" t="s">
        <v>1438</v>
      </c>
      <c r="J2593" s="3" t="s">
        <v>1439</v>
      </c>
      <c r="K2593" s="3" t="s">
        <v>28</v>
      </c>
      <c r="L2593" s="3" t="s">
        <v>28</v>
      </c>
      <c r="M2593" s="3" t="s">
        <v>28</v>
      </c>
      <c r="N2593" s="3" t="s">
        <v>28</v>
      </c>
      <c r="O2593" s="3" t="s">
        <v>28</v>
      </c>
      <c r="P2593" s="3" t="s">
        <v>28</v>
      </c>
      <c r="Q2593" s="3" t="s">
        <v>28</v>
      </c>
      <c r="R2593" s="3" t="s">
        <v>28</v>
      </c>
      <c r="S2593" s="3" t="s">
        <v>28</v>
      </c>
      <c r="T2593" s="3" t="s">
        <v>28</v>
      </c>
    </row>
    <row r="2594" spans="1:20" ht="409.6">
      <c r="A2594" s="3">
        <v>2689450</v>
      </c>
      <c r="B2594" s="3">
        <f>HYPERLINK("https://platform.v2.vetology.net/cases/2689450/screening-report/6?type=pdf&amp;v=v6&amp;scorecard=1&amp;secret_key=BX%25IJ%24%2F65ieZ%29f6", 2689450)</f>
        <v>2689450</v>
      </c>
      <c r="C2594" s="3">
        <f>HYPERLINK("https://platform.v2.vetology.net/report/v/final/"&amp;2689450, 2689450)</f>
        <v>2689450</v>
      </c>
      <c r="D2594" s="3" t="s">
        <v>8826</v>
      </c>
      <c r="E2594" s="3" t="s">
        <v>8827</v>
      </c>
      <c r="F2594" s="3" t="s">
        <v>8828</v>
      </c>
      <c r="G2594" s="3" t="s">
        <v>57</v>
      </c>
      <c r="H2594" s="3" t="s">
        <v>5336</v>
      </c>
      <c r="I2594" s="3" t="s">
        <v>2136</v>
      </c>
      <c r="J2594" s="3" t="s">
        <v>2137</v>
      </c>
      <c r="K2594" s="3" t="s">
        <v>27</v>
      </c>
      <c r="L2594" s="3" t="s">
        <v>27</v>
      </c>
      <c r="M2594" s="3" t="s">
        <v>27</v>
      </c>
      <c r="N2594" s="3" t="s">
        <v>28</v>
      </c>
      <c r="O2594" s="3" t="s">
        <v>27</v>
      </c>
      <c r="P2594" s="3" t="s">
        <v>27</v>
      </c>
      <c r="Q2594" s="3" t="s">
        <v>27</v>
      </c>
      <c r="R2594" s="3" t="s">
        <v>28</v>
      </c>
      <c r="S2594" s="3" t="s">
        <v>28</v>
      </c>
      <c r="T2594" s="3" t="s">
        <v>28</v>
      </c>
    </row>
    <row r="2595" spans="1:20" ht="366">
      <c r="A2595" s="3">
        <v>2689447</v>
      </c>
      <c r="B2595" s="3">
        <f>HYPERLINK("https://platform.v2.vetology.net/cases/2689447/screening-report/6?type=pdf&amp;v=v6&amp;scorecard=1&amp;secret_key=BX%25IJ%24%2F65ieZ%29f6", 2689447)</f>
        <v>2689447</v>
      </c>
      <c r="C2595" s="3">
        <f>HYPERLINK("https://platform.v2.vetology.net/report/v/final/"&amp;2689447, 2689447)</f>
        <v>2689447</v>
      </c>
      <c r="D2595" s="3" t="s">
        <v>8829</v>
      </c>
      <c r="E2595" s="3" t="s">
        <v>8830</v>
      </c>
      <c r="F2595" s="3" t="s">
        <v>22</v>
      </c>
      <c r="G2595" s="3" t="s">
        <v>23</v>
      </c>
      <c r="H2595" s="3" t="s">
        <v>304</v>
      </c>
      <c r="I2595" s="3" t="s">
        <v>305</v>
      </c>
      <c r="J2595" s="3" t="s">
        <v>119</v>
      </c>
      <c r="K2595" s="3" t="s">
        <v>28</v>
      </c>
      <c r="L2595" s="3" t="s">
        <v>28</v>
      </c>
      <c r="M2595" s="3" t="s">
        <v>28</v>
      </c>
      <c r="N2595" s="3" t="s">
        <v>28</v>
      </c>
      <c r="O2595" s="3" t="s">
        <v>28</v>
      </c>
      <c r="P2595" s="3" t="s">
        <v>28</v>
      </c>
      <c r="Q2595" s="3" t="s">
        <v>28</v>
      </c>
      <c r="R2595" s="3" t="s">
        <v>28</v>
      </c>
      <c r="S2595" s="3" t="s">
        <v>28</v>
      </c>
      <c r="T2595" s="3" t="s">
        <v>28</v>
      </c>
    </row>
    <row r="2596" spans="1:20" ht="409.6">
      <c r="A2596" s="3">
        <v>2689434</v>
      </c>
      <c r="B2596" s="3">
        <f>HYPERLINK("https://platform.v2.vetology.net/cases/2689434/screening-report/6?type=pdf&amp;v=v6&amp;scorecard=1&amp;secret_key=BX%25IJ%24%2F65ieZ%29f6", 2689434)</f>
        <v>2689434</v>
      </c>
      <c r="C2596" s="3">
        <f>HYPERLINK("https://platform.v2.vetology.net/report/v/final/"&amp;2689434, 2689434)</f>
        <v>2689434</v>
      </c>
      <c r="D2596" s="3" t="s">
        <v>8831</v>
      </c>
      <c r="E2596" s="3" t="s">
        <v>8832</v>
      </c>
      <c r="F2596" s="3" t="s">
        <v>22</v>
      </c>
      <c r="G2596" s="3" t="s">
        <v>23</v>
      </c>
      <c r="H2596" s="3" t="s">
        <v>419</v>
      </c>
      <c r="I2596" s="3" t="s">
        <v>316</v>
      </c>
      <c r="J2596" s="3" t="s">
        <v>317</v>
      </c>
      <c r="K2596" s="3" t="s">
        <v>28</v>
      </c>
      <c r="L2596" s="3" t="s">
        <v>28</v>
      </c>
      <c r="M2596" s="3" t="s">
        <v>28</v>
      </c>
      <c r="N2596" s="3" t="s">
        <v>28</v>
      </c>
      <c r="O2596" s="3" t="s">
        <v>27</v>
      </c>
      <c r="P2596" s="3" t="s">
        <v>28</v>
      </c>
      <c r="Q2596" s="3" t="s">
        <v>28</v>
      </c>
      <c r="R2596" s="3" t="s">
        <v>28</v>
      </c>
      <c r="S2596" s="3" t="s">
        <v>28</v>
      </c>
      <c r="T2596" s="3" t="s">
        <v>28</v>
      </c>
    </row>
    <row r="2597" spans="1:20" ht="396.75">
      <c r="A2597" s="3">
        <v>2689365</v>
      </c>
      <c r="B2597" s="3">
        <f>HYPERLINK("https://platform.v2.vetology.net/cases/2689365/screening-report/6?type=pdf&amp;v=v6&amp;scorecard=1&amp;secret_key=BX%25IJ%24%2F65ieZ%29f6", 2689365)</f>
        <v>2689365</v>
      </c>
      <c r="C2597" s="3">
        <f>HYPERLINK("https://platform.v2.vetology.net/report/v/final/"&amp;2689365, 2689365)</f>
        <v>2689365</v>
      </c>
      <c r="D2597" s="3" t="s">
        <v>8833</v>
      </c>
      <c r="E2597" s="3" t="s">
        <v>8834</v>
      </c>
      <c r="F2597" s="3" t="s">
        <v>8835</v>
      </c>
      <c r="G2597" s="3" t="s">
        <v>179</v>
      </c>
      <c r="H2597" s="3" t="s">
        <v>4750</v>
      </c>
      <c r="I2597" s="3" t="s">
        <v>469</v>
      </c>
      <c r="J2597" s="3" t="s">
        <v>470</v>
      </c>
      <c r="K2597" s="3" t="s">
        <v>28</v>
      </c>
      <c r="L2597" s="3" t="s">
        <v>28</v>
      </c>
      <c r="M2597" s="3" t="s">
        <v>28</v>
      </c>
      <c r="N2597" s="3" t="s">
        <v>28</v>
      </c>
      <c r="O2597" s="3" t="s">
        <v>27</v>
      </c>
      <c r="P2597" s="3" t="s">
        <v>28</v>
      </c>
      <c r="Q2597" s="3" t="s">
        <v>28</v>
      </c>
      <c r="R2597" s="3" t="s">
        <v>28</v>
      </c>
      <c r="S2597" s="3" t="s">
        <v>28</v>
      </c>
      <c r="T2597" s="3" t="s">
        <v>28</v>
      </c>
    </row>
    <row r="2598" spans="1:20" ht="409.6">
      <c r="A2598" s="3">
        <v>2689357</v>
      </c>
      <c r="B2598" s="3">
        <f>HYPERLINK("https://platform.v2.vetology.net/cases/2689357/screening-report/6?type=pdf&amp;v=v6&amp;scorecard=1&amp;secret_key=BX%25IJ%24%2F65ieZ%29f6", 2689357)</f>
        <v>2689357</v>
      </c>
      <c r="C2598" s="3">
        <f>HYPERLINK("https://platform.v2.vetology.net/report/v/final/"&amp;2689357, 2689357)</f>
        <v>2689357</v>
      </c>
      <c r="D2598" s="3" t="s">
        <v>8836</v>
      </c>
      <c r="E2598" s="3" t="s">
        <v>8837</v>
      </c>
      <c r="F2598" s="3" t="s">
        <v>8838</v>
      </c>
      <c r="G2598" s="3" t="s">
        <v>64</v>
      </c>
      <c r="H2598" s="3" t="s">
        <v>8839</v>
      </c>
      <c r="I2598" s="3" t="s">
        <v>3944</v>
      </c>
      <c r="J2598" s="3" t="s">
        <v>148</v>
      </c>
      <c r="K2598" s="3" t="s">
        <v>28</v>
      </c>
      <c r="L2598" s="3" t="s">
        <v>28</v>
      </c>
      <c r="M2598" s="3" t="s">
        <v>28</v>
      </c>
      <c r="N2598" s="3" t="s">
        <v>28</v>
      </c>
      <c r="O2598" s="3" t="s">
        <v>28</v>
      </c>
      <c r="P2598" s="3" t="s">
        <v>27</v>
      </c>
      <c r="Q2598" s="3" t="s">
        <v>28</v>
      </c>
      <c r="R2598" s="3" t="s">
        <v>28</v>
      </c>
      <c r="S2598" s="3" t="s">
        <v>28</v>
      </c>
      <c r="T2598" s="3" t="s">
        <v>28</v>
      </c>
    </row>
    <row r="2599" spans="1:20" ht="409.6">
      <c r="A2599" s="3">
        <v>2689351</v>
      </c>
      <c r="B2599" s="3">
        <f>HYPERLINK("https://platform.v2.vetology.net/cases/2689351/screening-report/6?type=pdf&amp;v=v6&amp;scorecard=1&amp;secret_key=BX%25IJ%24%2F65ieZ%29f6", 2689351)</f>
        <v>2689351</v>
      </c>
      <c r="C2599" s="3">
        <f>HYPERLINK("https://platform.v2.vetology.net/report/v/final/"&amp;2689351, 2689351)</f>
        <v>2689351</v>
      </c>
      <c r="D2599" s="3" t="s">
        <v>8840</v>
      </c>
      <c r="E2599" s="3" t="s">
        <v>8841</v>
      </c>
      <c r="F2599" s="3" t="s">
        <v>8842</v>
      </c>
      <c r="G2599" s="3" t="s">
        <v>57</v>
      </c>
      <c r="H2599" s="3" t="s">
        <v>8843</v>
      </c>
      <c r="I2599" s="3" t="s">
        <v>1070</v>
      </c>
      <c r="J2599" s="3" t="s">
        <v>207</v>
      </c>
      <c r="K2599" s="3" t="s">
        <v>27</v>
      </c>
      <c r="L2599" s="3" t="s">
        <v>28</v>
      </c>
      <c r="M2599" s="3" t="s">
        <v>28</v>
      </c>
      <c r="N2599" s="3" t="s">
        <v>28</v>
      </c>
      <c r="O2599" s="3" t="s">
        <v>27</v>
      </c>
      <c r="P2599" s="3" t="s">
        <v>28</v>
      </c>
      <c r="Q2599" s="3" t="s">
        <v>28</v>
      </c>
      <c r="R2599" s="3" t="s">
        <v>28</v>
      </c>
      <c r="S2599" s="3" t="s">
        <v>28</v>
      </c>
      <c r="T2599" s="3" t="s">
        <v>28</v>
      </c>
    </row>
    <row r="2600" spans="1:20" ht="381.75">
      <c r="A2600" s="3">
        <v>2689334</v>
      </c>
      <c r="B2600" s="3">
        <f>HYPERLINK("https://platform.v2.vetology.net/cases/2689334/screening-report/6?type=pdf&amp;v=v6&amp;scorecard=1&amp;secret_key=BX%25IJ%24%2F65ieZ%29f6", 2689334)</f>
        <v>2689334</v>
      </c>
      <c r="C2600" s="3">
        <f>HYPERLINK("https://platform.v2.vetology.net/report/v/final/"&amp;2689334, 2689334)</f>
        <v>2689334</v>
      </c>
      <c r="D2600" s="3" t="s">
        <v>8844</v>
      </c>
      <c r="E2600" s="3" t="s">
        <v>8845</v>
      </c>
      <c r="F2600" s="3" t="s">
        <v>22</v>
      </c>
      <c r="G2600" s="3" t="s">
        <v>23</v>
      </c>
      <c r="H2600" s="3" t="s">
        <v>8846</v>
      </c>
      <c r="I2600" s="3" t="s">
        <v>37</v>
      </c>
      <c r="J2600" s="3" t="s">
        <v>38</v>
      </c>
      <c r="K2600" s="3" t="s">
        <v>28</v>
      </c>
      <c r="L2600" s="3" t="s">
        <v>28</v>
      </c>
      <c r="M2600" s="3" t="s">
        <v>27</v>
      </c>
      <c r="N2600" s="3" t="s">
        <v>28</v>
      </c>
      <c r="O2600" s="3" t="s">
        <v>27</v>
      </c>
      <c r="P2600" s="3" t="s">
        <v>28</v>
      </c>
      <c r="Q2600" s="3" t="s">
        <v>28</v>
      </c>
      <c r="R2600" s="3" t="s">
        <v>28</v>
      </c>
      <c r="S2600" s="3" t="s">
        <v>28</v>
      </c>
      <c r="T2600" s="3" t="s">
        <v>28</v>
      </c>
    </row>
    <row r="2601" spans="1:20" ht="336">
      <c r="A2601" s="3">
        <v>2689249</v>
      </c>
      <c r="B2601" s="3">
        <f>HYPERLINK("https://platform.v2.vetology.net/cases/2689249/screening-report/6?type=pdf&amp;v=v6&amp;scorecard=1&amp;secret_key=BX%25IJ%24%2F65ieZ%29f6", 2689249)</f>
        <v>2689249</v>
      </c>
      <c r="C2601" s="3">
        <f>HYPERLINK("https://platform.v2.vetology.net/report/v/final/"&amp;2689249, 2689249)</f>
        <v>2689249</v>
      </c>
      <c r="D2601" s="3" t="s">
        <v>8847</v>
      </c>
      <c r="E2601" s="3" t="s">
        <v>6741</v>
      </c>
      <c r="F2601" s="3" t="s">
        <v>8848</v>
      </c>
      <c r="G2601" s="3" t="s">
        <v>23</v>
      </c>
      <c r="H2601" s="3" t="s">
        <v>1564</v>
      </c>
      <c r="I2601" s="3" t="s">
        <v>1565</v>
      </c>
      <c r="J2601" s="3" t="s">
        <v>1566</v>
      </c>
      <c r="K2601" s="3" t="s">
        <v>28</v>
      </c>
      <c r="L2601" s="3" t="s">
        <v>28</v>
      </c>
      <c r="M2601" s="3" t="s">
        <v>28</v>
      </c>
      <c r="N2601" s="3" t="s">
        <v>28</v>
      </c>
      <c r="O2601" s="3" t="s">
        <v>27</v>
      </c>
      <c r="P2601" s="3" t="s">
        <v>28</v>
      </c>
      <c r="Q2601" s="3" t="s">
        <v>28</v>
      </c>
      <c r="R2601" s="3" t="s">
        <v>28</v>
      </c>
      <c r="S2601" s="3" t="s">
        <v>28</v>
      </c>
      <c r="T2601" s="3" t="s">
        <v>28</v>
      </c>
    </row>
    <row r="2602" spans="1:20" ht="409.6">
      <c r="A2602" s="3">
        <v>2689237</v>
      </c>
      <c r="B2602" s="3">
        <f>HYPERLINK("https://platform.v2.vetology.net/cases/2689237/screening-report/6?type=pdf&amp;v=v6&amp;scorecard=1&amp;secret_key=BX%25IJ%24%2F65ieZ%29f6", 2689237)</f>
        <v>2689237</v>
      </c>
      <c r="C2602" s="3">
        <f>HYPERLINK("https://platform.v2.vetology.net/report/v/final/"&amp;2689237, 2689237)</f>
        <v>2689237</v>
      </c>
      <c r="D2602" s="3" t="s">
        <v>8849</v>
      </c>
      <c r="E2602" s="3" t="s">
        <v>8850</v>
      </c>
      <c r="F2602" s="3" t="s">
        <v>8851</v>
      </c>
      <c r="G2602" s="3" t="s">
        <v>566</v>
      </c>
      <c r="H2602" s="3" t="s">
        <v>8852</v>
      </c>
      <c r="I2602" s="3" t="s">
        <v>446</v>
      </c>
      <c r="J2602" s="3" t="s">
        <v>447</v>
      </c>
      <c r="K2602" s="3" t="s">
        <v>28</v>
      </c>
      <c r="L2602" s="3" t="s">
        <v>27</v>
      </c>
      <c r="M2602" s="3" t="s">
        <v>28</v>
      </c>
      <c r="N2602" s="3" t="s">
        <v>28</v>
      </c>
      <c r="O2602" s="3" t="s">
        <v>27</v>
      </c>
      <c r="P2602" s="3" t="s">
        <v>27</v>
      </c>
      <c r="Q2602" s="3" t="s">
        <v>28</v>
      </c>
      <c r="R2602" s="3" t="s">
        <v>28</v>
      </c>
      <c r="S2602" s="3" t="s">
        <v>28</v>
      </c>
      <c r="T2602" s="3" t="s">
        <v>28</v>
      </c>
    </row>
    <row r="2603" spans="1:20" ht="366">
      <c r="A2603" s="3">
        <v>2689232</v>
      </c>
      <c r="B2603" s="3">
        <f>HYPERLINK("https://platform.v2.vetology.net/cases/2689232/screening-report/6?type=pdf&amp;v=v6&amp;scorecard=1&amp;secret_key=BX%25IJ%24%2F65ieZ%29f6", 2689232)</f>
        <v>2689232</v>
      </c>
      <c r="C2603" s="3">
        <f>HYPERLINK("https://platform.v2.vetology.net/report/v/final/"&amp;2689232, 2689232)</f>
        <v>2689232</v>
      </c>
      <c r="D2603" s="3" t="s">
        <v>8853</v>
      </c>
      <c r="E2603" s="3" t="s">
        <v>8854</v>
      </c>
      <c r="F2603" s="3" t="s">
        <v>22</v>
      </c>
      <c r="G2603" s="3" t="s">
        <v>23</v>
      </c>
      <c r="H2603" s="3" t="s">
        <v>8855</v>
      </c>
      <c r="I2603" s="3" t="s">
        <v>1483</v>
      </c>
      <c r="J2603" s="3" t="s">
        <v>5778</v>
      </c>
      <c r="K2603" s="3" t="s">
        <v>28</v>
      </c>
      <c r="L2603" s="3" t="s">
        <v>28</v>
      </c>
      <c r="M2603" s="3" t="s">
        <v>28</v>
      </c>
      <c r="N2603" s="3" t="s">
        <v>28</v>
      </c>
      <c r="O2603" s="3" t="s">
        <v>27</v>
      </c>
      <c r="P2603" s="3" t="s">
        <v>28</v>
      </c>
      <c r="Q2603" s="3" t="s">
        <v>28</v>
      </c>
      <c r="R2603" s="3" t="s">
        <v>28</v>
      </c>
      <c r="S2603" s="3" t="s">
        <v>28</v>
      </c>
      <c r="T2603" s="3" t="s">
        <v>27</v>
      </c>
    </row>
    <row r="2604" spans="1:20" ht="381.75">
      <c r="A2604" s="3">
        <v>2689221</v>
      </c>
      <c r="B2604" s="3">
        <f>HYPERLINK("https://platform.v2.vetology.net/cases/2689221/screening-report/6?type=pdf&amp;v=v6&amp;scorecard=1&amp;secret_key=BX%25IJ%24%2F65ieZ%29f6", 2689221)</f>
        <v>2689221</v>
      </c>
      <c r="C2604" s="3">
        <f>HYPERLINK("https://platform.v2.vetology.net/report/v/final/"&amp;2689221, 2689221)</f>
        <v>2689221</v>
      </c>
      <c r="D2604" s="3" t="s">
        <v>8856</v>
      </c>
      <c r="E2604" s="3" t="s">
        <v>8857</v>
      </c>
      <c r="F2604" s="3" t="s">
        <v>22</v>
      </c>
      <c r="G2604" s="3" t="s">
        <v>23</v>
      </c>
      <c r="H2604" s="3" t="s">
        <v>171</v>
      </c>
      <c r="I2604" s="3" t="s">
        <v>172</v>
      </c>
      <c r="J2604" s="3" t="s">
        <v>109</v>
      </c>
      <c r="K2604" s="3" t="s">
        <v>28</v>
      </c>
      <c r="L2604" s="3" t="s">
        <v>28</v>
      </c>
      <c r="M2604" s="3" t="s">
        <v>28</v>
      </c>
      <c r="N2604" s="3" t="s">
        <v>27</v>
      </c>
      <c r="O2604" s="3" t="s">
        <v>27</v>
      </c>
      <c r="P2604" s="3" t="s">
        <v>28</v>
      </c>
      <c r="Q2604" s="3" t="s">
        <v>28</v>
      </c>
      <c r="R2604" s="3" t="s">
        <v>27</v>
      </c>
      <c r="S2604" s="3" t="s">
        <v>27</v>
      </c>
      <c r="T2604" s="3" t="s">
        <v>27</v>
      </c>
    </row>
    <row r="2605" spans="1:20" ht="244.5">
      <c r="A2605" s="3">
        <v>2689215</v>
      </c>
      <c r="B2605" s="3">
        <f>HYPERLINK("https://platform.v2.vetology.net/cases/2689215/screening-report/6?type=pdf&amp;v=v6&amp;scorecard=1&amp;secret_key=BX%25IJ%24%2F65ieZ%29f6", 2689215)</f>
        <v>2689215</v>
      </c>
      <c r="C2605" s="3">
        <f>HYPERLINK("https://platform.v2.vetology.net/report/v/final/"&amp;2689215, 2689215)</f>
        <v>2689215</v>
      </c>
      <c r="D2605" s="3" t="s">
        <v>8858</v>
      </c>
      <c r="E2605" s="3" t="s">
        <v>8859</v>
      </c>
      <c r="F2605" s="3" t="s">
        <v>3298</v>
      </c>
      <c r="G2605" s="3" t="s">
        <v>100</v>
      </c>
      <c r="H2605" s="3" t="s">
        <v>8860</v>
      </c>
      <c r="I2605" s="3" t="s">
        <v>829</v>
      </c>
      <c r="J2605" s="3" t="s">
        <v>830</v>
      </c>
      <c r="K2605" s="3" t="s">
        <v>28</v>
      </c>
      <c r="L2605" s="3" t="s">
        <v>27</v>
      </c>
      <c r="M2605" s="3" t="s">
        <v>28</v>
      </c>
      <c r="N2605" s="3" t="s">
        <v>27</v>
      </c>
      <c r="O2605" s="3" t="s">
        <v>27</v>
      </c>
      <c r="P2605" s="3" t="s">
        <v>28</v>
      </c>
      <c r="Q2605" s="3" t="s">
        <v>27</v>
      </c>
      <c r="R2605" s="3" t="s">
        <v>27</v>
      </c>
      <c r="S2605" s="3" t="s">
        <v>27</v>
      </c>
      <c r="T2605" s="3" t="s">
        <v>27</v>
      </c>
    </row>
    <row r="2606" spans="1:20" ht="409.6">
      <c r="A2606" s="3">
        <v>2689213</v>
      </c>
      <c r="B2606" s="3">
        <f>HYPERLINK("https://platform.v2.vetology.net/cases/2689213/screening-report/6?type=pdf&amp;v=v6&amp;scorecard=1&amp;secret_key=BX%25IJ%24%2F65ieZ%29f6", 2689213)</f>
        <v>2689213</v>
      </c>
      <c r="C2606" s="3">
        <f>HYPERLINK("https://platform.v2.vetology.net/report/v/final/"&amp;2689213, 2689213)</f>
        <v>2689213</v>
      </c>
      <c r="D2606" s="3" t="s">
        <v>8861</v>
      </c>
      <c r="E2606" s="3" t="s">
        <v>8862</v>
      </c>
      <c r="F2606" s="3" t="s">
        <v>8863</v>
      </c>
      <c r="G2606" s="3" t="s">
        <v>186</v>
      </c>
      <c r="H2606" s="3" t="s">
        <v>8864</v>
      </c>
      <c r="I2606" s="3" t="s">
        <v>5511</v>
      </c>
      <c r="J2606" s="3" t="s">
        <v>5512</v>
      </c>
      <c r="K2606" s="3" t="s">
        <v>28</v>
      </c>
      <c r="L2606" s="3" t="s">
        <v>27</v>
      </c>
      <c r="M2606" s="3" t="s">
        <v>28</v>
      </c>
      <c r="N2606" s="3" t="s">
        <v>27</v>
      </c>
      <c r="O2606" s="3" t="s">
        <v>27</v>
      </c>
      <c r="P2606" s="3" t="s">
        <v>28</v>
      </c>
      <c r="Q2606" s="3" t="s">
        <v>27</v>
      </c>
      <c r="R2606" s="3" t="s">
        <v>27</v>
      </c>
      <c r="S2606" s="3" t="s">
        <v>27</v>
      </c>
      <c r="T2606" s="3" t="s">
        <v>27</v>
      </c>
    </row>
    <row r="2607" spans="1:20" ht="275.25">
      <c r="A2607" s="3">
        <v>2689207</v>
      </c>
      <c r="B2607" s="3">
        <f>HYPERLINK("https://platform.v2.vetology.net/cases/2689207/screening-report/6?type=pdf&amp;v=v6&amp;scorecard=1&amp;secret_key=BX%25IJ%24%2F65ieZ%29f6", 2689207)</f>
        <v>2689207</v>
      </c>
      <c r="C2607" s="3">
        <f>HYPERLINK("https://platform.v2.vetology.net/report/v/final/"&amp;2689207, 2689207)</f>
        <v>2689207</v>
      </c>
      <c r="D2607" s="3" t="s">
        <v>8865</v>
      </c>
      <c r="E2607" s="3" t="s">
        <v>2192</v>
      </c>
      <c r="F2607" s="3" t="s">
        <v>1061</v>
      </c>
      <c r="G2607" s="3" t="s">
        <v>100</v>
      </c>
      <c r="H2607" s="3" t="s">
        <v>8866</v>
      </c>
      <c r="I2607" s="3" t="s">
        <v>224</v>
      </c>
      <c r="J2607" s="3" t="s">
        <v>225</v>
      </c>
      <c r="K2607" s="3" t="s">
        <v>28</v>
      </c>
      <c r="L2607" s="3" t="s">
        <v>28</v>
      </c>
      <c r="M2607" s="3" t="s">
        <v>28</v>
      </c>
      <c r="N2607" s="3" t="s">
        <v>28</v>
      </c>
      <c r="O2607" s="3" t="s">
        <v>28</v>
      </c>
      <c r="P2607" s="3" t="s">
        <v>28</v>
      </c>
      <c r="Q2607" s="3" t="s">
        <v>28</v>
      </c>
      <c r="R2607" s="3" t="s">
        <v>28</v>
      </c>
      <c r="S2607" s="3" t="s">
        <v>27</v>
      </c>
      <c r="T2607" s="3" t="s">
        <v>27</v>
      </c>
    </row>
    <row r="2608" spans="1:20" ht="305.25">
      <c r="A2608" s="3">
        <v>2689201</v>
      </c>
      <c r="B2608" s="3">
        <f>HYPERLINK("https://platform.v2.vetology.net/cases/2689201/screening-report/6?type=pdf&amp;v=v6&amp;scorecard=1&amp;secret_key=BX%25IJ%24%2F65ieZ%29f6", 2689201)</f>
        <v>2689201</v>
      </c>
      <c r="C2608" s="3">
        <f>HYPERLINK("https://platform.v2.vetology.net/report/v/final/"&amp;2689201, 2689201)</f>
        <v>2689201</v>
      </c>
      <c r="D2608" s="3" t="s">
        <v>8867</v>
      </c>
      <c r="E2608" s="3" t="s">
        <v>8868</v>
      </c>
      <c r="F2608" s="3" t="s">
        <v>8869</v>
      </c>
      <c r="G2608" s="3" t="s">
        <v>186</v>
      </c>
      <c r="H2608" s="3" t="s">
        <v>908</v>
      </c>
      <c r="I2608" s="3" t="s">
        <v>32</v>
      </c>
      <c r="J2608" s="3" t="s">
        <v>33</v>
      </c>
      <c r="K2608" s="3" t="s">
        <v>28</v>
      </c>
      <c r="L2608" s="3" t="s">
        <v>28</v>
      </c>
      <c r="M2608" s="3" t="s">
        <v>28</v>
      </c>
      <c r="N2608" s="3" t="s">
        <v>28</v>
      </c>
      <c r="O2608" s="3" t="s">
        <v>28</v>
      </c>
      <c r="P2608" s="3" t="s">
        <v>28</v>
      </c>
      <c r="Q2608" s="3" t="s">
        <v>28</v>
      </c>
      <c r="R2608" s="3" t="s">
        <v>28</v>
      </c>
      <c r="S2608" s="3" t="s">
        <v>28</v>
      </c>
      <c r="T2608" s="3" t="s">
        <v>28</v>
      </c>
    </row>
    <row r="2609" spans="1:20" ht="409.6">
      <c r="A2609" s="3">
        <v>2689192</v>
      </c>
      <c r="B2609" s="3">
        <f>HYPERLINK("https://platform.v2.vetology.net/cases/2689192/screening-report/6?type=pdf&amp;v=v6&amp;scorecard=1&amp;secret_key=BX%25IJ%24%2F65ieZ%29f6", 2689192)</f>
        <v>2689192</v>
      </c>
      <c r="C2609" s="3">
        <f>HYPERLINK("https://platform.v2.vetology.net/report/v/final/"&amp;2689192, 2689192)</f>
        <v>2689192</v>
      </c>
      <c r="D2609" s="3" t="s">
        <v>8870</v>
      </c>
      <c r="E2609" s="3" t="s">
        <v>8871</v>
      </c>
      <c r="F2609" s="3" t="s">
        <v>22</v>
      </c>
      <c r="G2609" s="3" t="s">
        <v>23</v>
      </c>
      <c r="H2609" s="3" t="s">
        <v>8872</v>
      </c>
      <c r="I2609" s="3" t="s">
        <v>429</v>
      </c>
      <c r="J2609" s="3" t="s">
        <v>430</v>
      </c>
      <c r="K2609" s="3" t="s">
        <v>27</v>
      </c>
      <c r="L2609" s="3" t="s">
        <v>27</v>
      </c>
      <c r="M2609" s="3" t="s">
        <v>27</v>
      </c>
      <c r="N2609" s="3" t="s">
        <v>27</v>
      </c>
      <c r="O2609" s="3" t="s">
        <v>27</v>
      </c>
      <c r="P2609" s="3" t="s">
        <v>28</v>
      </c>
      <c r="Q2609" s="3" t="s">
        <v>28</v>
      </c>
      <c r="R2609" s="3" t="s">
        <v>27</v>
      </c>
      <c r="S2609" s="3" t="s">
        <v>28</v>
      </c>
      <c r="T2609" s="3" t="s">
        <v>27</v>
      </c>
    </row>
    <row r="2610" spans="1:20" ht="229.5">
      <c r="A2610" s="3">
        <v>2689124</v>
      </c>
      <c r="B2610" s="3">
        <f>HYPERLINK("https://platform.v2.vetology.net/cases/2689124/screening-report/6?type=pdf&amp;v=v6&amp;scorecard=1&amp;secret_key=BX%25IJ%24%2F65ieZ%29f6", 2689124)</f>
        <v>2689124</v>
      </c>
      <c r="C2610" s="3">
        <f>HYPERLINK("https://platform.v2.vetology.net/report/v/final/"&amp;2689124, 2689124)</f>
        <v>2689124</v>
      </c>
      <c r="D2610" s="3" t="s">
        <v>8873</v>
      </c>
      <c r="E2610" s="3" t="s">
        <v>8874</v>
      </c>
      <c r="F2610" s="3" t="s">
        <v>3751</v>
      </c>
      <c r="G2610" s="3" t="s">
        <v>186</v>
      </c>
      <c r="H2610" s="3" t="s">
        <v>944</v>
      </c>
      <c r="I2610" s="3" t="s">
        <v>32</v>
      </c>
      <c r="J2610" s="3" t="s">
        <v>119</v>
      </c>
      <c r="K2610" s="3" t="s">
        <v>28</v>
      </c>
      <c r="L2610" s="3" t="s">
        <v>28</v>
      </c>
      <c r="M2610" s="3" t="s">
        <v>28</v>
      </c>
      <c r="N2610" s="3" t="s">
        <v>28</v>
      </c>
      <c r="O2610" s="3" t="s">
        <v>28</v>
      </c>
      <c r="P2610" s="3" t="s">
        <v>28</v>
      </c>
      <c r="Q2610" s="3" t="s">
        <v>28</v>
      </c>
      <c r="R2610" s="3" t="s">
        <v>28</v>
      </c>
      <c r="S2610" s="3" t="s">
        <v>28</v>
      </c>
      <c r="T2610" s="3" t="s">
        <v>28</v>
      </c>
    </row>
    <row r="2611" spans="1:20" ht="409.6">
      <c r="A2611" s="3">
        <v>2689117</v>
      </c>
      <c r="B2611" s="3">
        <f>HYPERLINK("https://platform.v2.vetology.net/cases/2689117/screening-report/6?type=pdf&amp;v=v6&amp;scorecard=1&amp;secret_key=BX%25IJ%24%2F65ieZ%29f6", 2689117)</f>
        <v>2689117</v>
      </c>
      <c r="C2611" s="3">
        <f>HYPERLINK("https://platform.v2.vetology.net/report/v/final/"&amp;2689117, 2689117)</f>
        <v>2689117</v>
      </c>
      <c r="D2611" s="3" t="s">
        <v>8875</v>
      </c>
      <c r="E2611" s="3" t="s">
        <v>8876</v>
      </c>
      <c r="F2611" s="3" t="s">
        <v>8877</v>
      </c>
      <c r="G2611" s="3" t="s">
        <v>566</v>
      </c>
      <c r="H2611" s="3" t="s">
        <v>8878</v>
      </c>
      <c r="I2611" s="3" t="s">
        <v>993</v>
      </c>
      <c r="J2611" s="3" t="s">
        <v>994</v>
      </c>
      <c r="K2611" s="3" t="s">
        <v>28</v>
      </c>
      <c r="L2611" s="3" t="s">
        <v>28</v>
      </c>
      <c r="M2611" s="3" t="s">
        <v>28</v>
      </c>
      <c r="N2611" s="3" t="s">
        <v>28</v>
      </c>
      <c r="O2611" s="3" t="s">
        <v>28</v>
      </c>
      <c r="P2611" s="3" t="s">
        <v>28</v>
      </c>
      <c r="Q2611" s="3" t="s">
        <v>28</v>
      </c>
      <c r="R2611" s="3" t="s">
        <v>28</v>
      </c>
      <c r="S2611" s="3" t="s">
        <v>28</v>
      </c>
      <c r="T2611" s="3" t="s">
        <v>28</v>
      </c>
    </row>
    <row r="2612" spans="1:20" ht="409.6">
      <c r="A2612" s="3">
        <v>2689116</v>
      </c>
      <c r="B2612" s="3">
        <f>HYPERLINK("https://platform.v2.vetology.net/cases/2689116/screening-report/6?type=pdf&amp;v=v6&amp;scorecard=1&amp;secret_key=BX%25IJ%24%2F65ieZ%29f6", 2689116)</f>
        <v>2689116</v>
      </c>
      <c r="C2612" s="3">
        <f>HYPERLINK("https://platform.v2.vetology.net/report/v/final/"&amp;2689116, 2689116)</f>
        <v>2689116</v>
      </c>
      <c r="D2612" s="3" t="s">
        <v>8879</v>
      </c>
      <c r="E2612" s="3" t="s">
        <v>8880</v>
      </c>
      <c r="F2612" s="3" t="s">
        <v>8881</v>
      </c>
      <c r="G2612" s="3" t="s">
        <v>186</v>
      </c>
      <c r="H2612" s="3" t="s">
        <v>8882</v>
      </c>
      <c r="I2612" s="3" t="s">
        <v>368</v>
      </c>
      <c r="J2612" s="3" t="s">
        <v>369</v>
      </c>
      <c r="K2612" s="3" t="s">
        <v>28</v>
      </c>
      <c r="L2612" s="3" t="s">
        <v>28</v>
      </c>
      <c r="M2612" s="3" t="s">
        <v>27</v>
      </c>
      <c r="N2612" s="3" t="s">
        <v>28</v>
      </c>
      <c r="O2612" s="3" t="s">
        <v>27</v>
      </c>
      <c r="P2612" s="3" t="s">
        <v>28</v>
      </c>
      <c r="Q2612" s="3" t="s">
        <v>27</v>
      </c>
      <c r="R2612" s="3" t="s">
        <v>28</v>
      </c>
      <c r="S2612" s="3" t="s">
        <v>28</v>
      </c>
      <c r="T2612" s="3" t="s">
        <v>28</v>
      </c>
    </row>
    <row r="2613" spans="1:20" ht="366">
      <c r="A2613" s="3">
        <v>2689109</v>
      </c>
      <c r="B2613" s="3">
        <f>HYPERLINK("https://platform.v2.vetology.net/cases/2689109/screening-report/6?type=pdf&amp;v=v6&amp;scorecard=1&amp;secret_key=BX%25IJ%24%2F65ieZ%29f6", 2689109)</f>
        <v>2689109</v>
      </c>
      <c r="C2613" s="3">
        <f>HYPERLINK("https://platform.v2.vetology.net/report/v/final/"&amp;2689109, 2689109)</f>
        <v>2689109</v>
      </c>
      <c r="D2613" s="3" t="s">
        <v>8883</v>
      </c>
      <c r="E2613" s="3" t="s">
        <v>8884</v>
      </c>
      <c r="F2613" s="3" t="s">
        <v>8885</v>
      </c>
      <c r="G2613" s="3" t="s">
        <v>179</v>
      </c>
      <c r="H2613" s="3" t="s">
        <v>8886</v>
      </c>
      <c r="I2613" s="3" t="s">
        <v>793</v>
      </c>
      <c r="J2613" s="3" t="s">
        <v>794</v>
      </c>
      <c r="K2613" s="3" t="s">
        <v>28</v>
      </c>
      <c r="L2613" s="3" t="s">
        <v>28</v>
      </c>
      <c r="M2613" s="3" t="s">
        <v>28</v>
      </c>
      <c r="N2613" s="3" t="s">
        <v>28</v>
      </c>
      <c r="O2613" s="3" t="s">
        <v>27</v>
      </c>
      <c r="P2613" s="3" t="s">
        <v>28</v>
      </c>
      <c r="Q2613" s="3" t="s">
        <v>28</v>
      </c>
      <c r="R2613" s="3" t="s">
        <v>28</v>
      </c>
      <c r="S2613" s="3" t="s">
        <v>28</v>
      </c>
      <c r="T2613" s="3" t="s">
        <v>28</v>
      </c>
    </row>
    <row r="2614" spans="1:20" ht="409.6">
      <c r="A2614" s="3">
        <v>2689078</v>
      </c>
      <c r="B2614" s="3">
        <f>HYPERLINK("https://platform.v2.vetology.net/cases/2689078/screening-report/6?type=pdf&amp;v=v6&amp;scorecard=1&amp;secret_key=BX%25IJ%24%2F65ieZ%29f6", 2689078)</f>
        <v>2689078</v>
      </c>
      <c r="C2614" s="3">
        <f>HYPERLINK("https://platform.v2.vetology.net/report/v/final/"&amp;2689078, 2689078)</f>
        <v>2689078</v>
      </c>
      <c r="D2614" s="3" t="s">
        <v>8887</v>
      </c>
      <c r="E2614" s="3" t="s">
        <v>8888</v>
      </c>
      <c r="F2614" s="3" t="s">
        <v>8889</v>
      </c>
      <c r="G2614" s="3" t="s">
        <v>57</v>
      </c>
      <c r="H2614" s="3" t="s">
        <v>8890</v>
      </c>
      <c r="I2614" s="3" t="s">
        <v>8891</v>
      </c>
      <c r="J2614" s="3" t="s">
        <v>8892</v>
      </c>
      <c r="K2614" s="3" t="s">
        <v>28</v>
      </c>
      <c r="L2614" s="3" t="s">
        <v>27</v>
      </c>
      <c r="M2614" s="3" t="s">
        <v>27</v>
      </c>
      <c r="N2614" s="3" t="s">
        <v>27</v>
      </c>
      <c r="O2614" s="3" t="s">
        <v>27</v>
      </c>
      <c r="P2614" s="3" t="s">
        <v>28</v>
      </c>
      <c r="Q2614" s="3" t="s">
        <v>27</v>
      </c>
      <c r="R2614" s="3" t="s">
        <v>27</v>
      </c>
      <c r="S2614" s="3" t="s">
        <v>27</v>
      </c>
      <c r="T2614" s="3" t="s">
        <v>27</v>
      </c>
    </row>
    <row r="2615" spans="1:20" ht="321">
      <c r="A2615" s="3">
        <v>2689076</v>
      </c>
      <c r="B2615" s="3">
        <f>HYPERLINK("https://platform.v2.vetology.net/cases/2689076/screening-report/6?type=pdf&amp;v=v6&amp;scorecard=1&amp;secret_key=BX%25IJ%24%2F65ieZ%29f6", 2689076)</f>
        <v>2689076</v>
      </c>
      <c r="C2615" s="3">
        <f>HYPERLINK("https://platform.v2.vetology.net/report/v/final/"&amp;2689076, 2689076)</f>
        <v>2689076</v>
      </c>
      <c r="D2615" s="3" t="s">
        <v>8893</v>
      </c>
      <c r="E2615" s="3" t="s">
        <v>8894</v>
      </c>
      <c r="F2615" s="3" t="s">
        <v>22</v>
      </c>
      <c r="G2615" s="3" t="s">
        <v>23</v>
      </c>
      <c r="H2615" s="3" t="s">
        <v>745</v>
      </c>
      <c r="I2615" s="3" t="s">
        <v>746</v>
      </c>
      <c r="J2615" s="3" t="s">
        <v>207</v>
      </c>
      <c r="K2615" s="3" t="s">
        <v>27</v>
      </c>
      <c r="L2615" s="3" t="s">
        <v>28</v>
      </c>
      <c r="M2615" s="3" t="s">
        <v>28</v>
      </c>
      <c r="N2615" s="3" t="s">
        <v>28</v>
      </c>
      <c r="O2615" s="3" t="s">
        <v>27</v>
      </c>
      <c r="P2615" s="3" t="s">
        <v>28</v>
      </c>
      <c r="Q2615" s="3" t="s">
        <v>28</v>
      </c>
      <c r="R2615" s="3" t="s">
        <v>28</v>
      </c>
      <c r="S2615" s="3" t="s">
        <v>28</v>
      </c>
      <c r="T2615" s="3" t="s">
        <v>28</v>
      </c>
    </row>
    <row r="2616" spans="1:20" ht="275.25">
      <c r="A2616" s="3">
        <v>2689062</v>
      </c>
      <c r="B2616" s="3">
        <f>HYPERLINK("https://platform.v2.vetology.net/cases/2689062/screening-report/6?type=pdf&amp;v=v6&amp;scorecard=1&amp;secret_key=BX%25IJ%24%2F65ieZ%29f6", 2689062)</f>
        <v>2689062</v>
      </c>
      <c r="C2616" s="3">
        <f>HYPERLINK("https://platform.v2.vetology.net/report/v/final/"&amp;2689062, 2689062)</f>
        <v>2689062</v>
      </c>
      <c r="D2616" s="3" t="s">
        <v>8895</v>
      </c>
      <c r="E2616" s="3" t="s">
        <v>8896</v>
      </c>
      <c r="F2616" s="3" t="s">
        <v>8897</v>
      </c>
      <c r="G2616" s="3" t="s">
        <v>23</v>
      </c>
      <c r="H2616" s="3" t="s">
        <v>3343</v>
      </c>
      <c r="I2616" s="3" t="s">
        <v>136</v>
      </c>
      <c r="J2616" s="3" t="s">
        <v>137</v>
      </c>
      <c r="K2616" s="3" t="s">
        <v>28</v>
      </c>
      <c r="L2616" s="3" t="s">
        <v>28</v>
      </c>
      <c r="M2616" s="3" t="s">
        <v>28</v>
      </c>
      <c r="N2616" s="3" t="s">
        <v>28</v>
      </c>
      <c r="O2616" s="3" t="s">
        <v>27</v>
      </c>
      <c r="P2616" s="3" t="s">
        <v>28</v>
      </c>
      <c r="Q2616" s="3" t="s">
        <v>27</v>
      </c>
      <c r="R2616" s="3" t="s">
        <v>28</v>
      </c>
      <c r="S2616" s="3" t="s">
        <v>28</v>
      </c>
      <c r="T2616" s="3" t="s">
        <v>27</v>
      </c>
    </row>
    <row r="2617" spans="1:20" ht="396.75">
      <c r="A2617" s="3">
        <v>2689054</v>
      </c>
      <c r="B2617" s="3">
        <f>HYPERLINK("https://platform.v2.vetology.net/cases/2689054/screening-report/6?type=pdf&amp;v=v6&amp;scorecard=1&amp;secret_key=BX%25IJ%24%2F65ieZ%29f6", 2689054)</f>
        <v>2689054</v>
      </c>
      <c r="C2617" s="3">
        <f>HYPERLINK("https://platform.v2.vetology.net/report/v/final/"&amp;2689054, 2689054)</f>
        <v>2689054</v>
      </c>
      <c r="D2617" s="3" t="s">
        <v>8898</v>
      </c>
      <c r="E2617" s="3" t="s">
        <v>2550</v>
      </c>
      <c r="F2617" s="3" t="s">
        <v>260</v>
      </c>
      <c r="G2617" s="3" t="s">
        <v>186</v>
      </c>
      <c r="H2617" s="3" t="s">
        <v>8899</v>
      </c>
      <c r="I2617" s="3" t="s">
        <v>572</v>
      </c>
      <c r="J2617" s="3" t="s">
        <v>573</v>
      </c>
      <c r="K2617" s="3" t="s">
        <v>27</v>
      </c>
      <c r="L2617" s="3" t="s">
        <v>28</v>
      </c>
      <c r="M2617" s="3" t="s">
        <v>28</v>
      </c>
      <c r="N2617" s="3" t="s">
        <v>28</v>
      </c>
      <c r="O2617" s="3" t="s">
        <v>27</v>
      </c>
      <c r="P2617" s="3" t="s">
        <v>28</v>
      </c>
      <c r="Q2617" s="3" t="s">
        <v>28</v>
      </c>
      <c r="R2617" s="3" t="s">
        <v>28</v>
      </c>
      <c r="S2617" s="3" t="s">
        <v>28</v>
      </c>
      <c r="T2617" s="3" t="s">
        <v>28</v>
      </c>
    </row>
    <row r="2618" spans="1:20" ht="321">
      <c r="A2618" s="3">
        <v>2689020</v>
      </c>
      <c r="B2618" s="3">
        <f>HYPERLINK("https://platform.v2.vetology.net/cases/2689020/screening-report/6?type=pdf&amp;v=v6&amp;scorecard=1&amp;secret_key=BX%25IJ%24%2F65ieZ%29f6", 2689020)</f>
        <v>2689020</v>
      </c>
      <c r="C2618" s="3">
        <f>HYPERLINK("https://platform.v2.vetology.net/report/v/final/"&amp;2689020, 2689020)</f>
        <v>2689020</v>
      </c>
      <c r="D2618" s="3" t="s">
        <v>8900</v>
      </c>
      <c r="E2618" s="3" t="s">
        <v>8901</v>
      </c>
      <c r="F2618" s="3" t="s">
        <v>3245</v>
      </c>
      <c r="G2618" s="3" t="s">
        <v>57</v>
      </c>
      <c r="H2618" s="3" t="s">
        <v>8902</v>
      </c>
      <c r="I2618" s="3" t="s">
        <v>5245</v>
      </c>
      <c r="J2618" s="3" t="s">
        <v>5246</v>
      </c>
      <c r="K2618" s="3" t="s">
        <v>27</v>
      </c>
      <c r="L2618" s="3" t="s">
        <v>28</v>
      </c>
      <c r="M2618" s="3" t="s">
        <v>27</v>
      </c>
      <c r="N2618" s="3" t="s">
        <v>28</v>
      </c>
      <c r="O2618" s="3" t="s">
        <v>27</v>
      </c>
      <c r="P2618" s="3" t="s">
        <v>27</v>
      </c>
      <c r="Q2618" s="3" t="s">
        <v>27</v>
      </c>
      <c r="R2618" s="3" t="s">
        <v>28</v>
      </c>
      <c r="S2618" s="3" t="s">
        <v>28</v>
      </c>
      <c r="T2618" s="3" t="s">
        <v>28</v>
      </c>
    </row>
    <row r="2619" spans="1:20" ht="321">
      <c r="A2619" s="3">
        <v>2689007</v>
      </c>
      <c r="B2619" s="3">
        <f>HYPERLINK("https://platform.v2.vetology.net/cases/2689007/screening-report/6?type=pdf&amp;v=v6&amp;scorecard=1&amp;secret_key=BX%25IJ%24%2F65ieZ%29f6", 2689007)</f>
        <v>2689007</v>
      </c>
      <c r="C2619" s="3">
        <f>HYPERLINK("https://platform.v2.vetology.net/report/v/final/"&amp;2689007, 2689007)</f>
        <v>2689007</v>
      </c>
      <c r="D2619" s="3" t="s">
        <v>8903</v>
      </c>
      <c r="E2619" s="3" t="s">
        <v>8904</v>
      </c>
      <c r="F2619" s="3" t="s">
        <v>22</v>
      </c>
      <c r="G2619" s="3" t="s">
        <v>23</v>
      </c>
      <c r="H2619" s="3" t="s">
        <v>31</v>
      </c>
      <c r="I2619" s="3" t="s">
        <v>32</v>
      </c>
      <c r="J2619" s="3" t="s">
        <v>119</v>
      </c>
      <c r="K2619" s="3" t="s">
        <v>28</v>
      </c>
      <c r="L2619" s="3" t="s">
        <v>28</v>
      </c>
      <c r="M2619" s="3" t="s">
        <v>28</v>
      </c>
      <c r="N2619" s="3" t="s">
        <v>28</v>
      </c>
      <c r="O2619" s="3" t="s">
        <v>27</v>
      </c>
      <c r="P2619" s="3" t="s">
        <v>28</v>
      </c>
      <c r="Q2619" s="3" t="s">
        <v>28</v>
      </c>
      <c r="R2619" s="3" t="s">
        <v>28</v>
      </c>
      <c r="S2619" s="3" t="s">
        <v>28</v>
      </c>
      <c r="T2619" s="3" t="s">
        <v>28</v>
      </c>
    </row>
    <row r="2620" spans="1:20" ht="409.6">
      <c r="A2620" s="3">
        <v>2688994</v>
      </c>
      <c r="B2620" s="3">
        <f>HYPERLINK("https://platform.v2.vetology.net/cases/2688994/screening-report/6?type=pdf&amp;v=v6&amp;scorecard=1&amp;secret_key=BX%25IJ%24%2F65ieZ%29f6", 2688994)</f>
        <v>2688994</v>
      </c>
      <c r="C2620" s="3">
        <f>HYPERLINK("https://platform.v2.vetology.net/report/v/final/"&amp;2688994, 2688994)</f>
        <v>2688994</v>
      </c>
      <c r="D2620" s="3" t="s">
        <v>8905</v>
      </c>
      <c r="E2620" s="3" t="s">
        <v>8906</v>
      </c>
      <c r="F2620" s="3" t="s">
        <v>8907</v>
      </c>
      <c r="G2620" s="3" t="s">
        <v>1772</v>
      </c>
      <c r="H2620" s="3" t="s">
        <v>8908</v>
      </c>
      <c r="I2620" s="3" t="s">
        <v>8909</v>
      </c>
      <c r="J2620" s="3" t="s">
        <v>297</v>
      </c>
      <c r="K2620" s="3" t="s">
        <v>27</v>
      </c>
      <c r="L2620" s="3" t="s">
        <v>28</v>
      </c>
      <c r="M2620" s="3" t="s">
        <v>28</v>
      </c>
      <c r="N2620" s="3" t="s">
        <v>28</v>
      </c>
      <c r="O2620" s="3" t="s">
        <v>28</v>
      </c>
      <c r="P2620" s="3" t="s">
        <v>28</v>
      </c>
      <c r="Q2620" s="3" t="s">
        <v>28</v>
      </c>
      <c r="R2620" s="3" t="s">
        <v>28</v>
      </c>
      <c r="S2620" s="3" t="s">
        <v>28</v>
      </c>
      <c r="T2620" s="3" t="s">
        <v>28</v>
      </c>
    </row>
    <row r="2621" spans="1:20" ht="305.25">
      <c r="A2621" s="3">
        <v>2688919</v>
      </c>
      <c r="B2621" s="3">
        <f>HYPERLINK("https://platform.v2.vetology.net/cases/2688919/screening-report/6?type=pdf&amp;v=v6&amp;scorecard=1&amp;secret_key=BX%25IJ%24%2F65ieZ%29f6", 2688919)</f>
        <v>2688919</v>
      </c>
      <c r="C2621" s="3">
        <f>HYPERLINK("https://platform.v2.vetology.net/report/v/final/"&amp;2688919, 2688919)</f>
        <v>2688919</v>
      </c>
      <c r="D2621" s="3" t="s">
        <v>8910</v>
      </c>
      <c r="E2621" s="3" t="s">
        <v>8911</v>
      </c>
      <c r="F2621" s="3" t="s">
        <v>22</v>
      </c>
      <c r="G2621" s="3" t="s">
        <v>23</v>
      </c>
      <c r="H2621" s="3" t="s">
        <v>31</v>
      </c>
      <c r="I2621" s="3" t="s">
        <v>32</v>
      </c>
      <c r="J2621" s="3" t="s">
        <v>33</v>
      </c>
      <c r="K2621" s="3" t="s">
        <v>28</v>
      </c>
      <c r="L2621" s="3" t="s">
        <v>28</v>
      </c>
      <c r="M2621" s="3" t="s">
        <v>28</v>
      </c>
      <c r="N2621" s="3" t="s">
        <v>28</v>
      </c>
      <c r="O2621" s="3" t="s">
        <v>28</v>
      </c>
      <c r="P2621" s="3" t="s">
        <v>28</v>
      </c>
      <c r="Q2621" s="3" t="s">
        <v>28</v>
      </c>
      <c r="R2621" s="3" t="s">
        <v>28</v>
      </c>
      <c r="S2621" s="3" t="s">
        <v>28</v>
      </c>
      <c r="T2621" s="3" t="s">
        <v>28</v>
      </c>
    </row>
    <row r="2622" spans="1:20" ht="305.25">
      <c r="A2622" s="3">
        <v>2688865</v>
      </c>
      <c r="B2622" s="3">
        <f>HYPERLINK("https://platform.v2.vetology.net/cases/2688865/screening-report/6?type=pdf&amp;v=v6&amp;scorecard=1&amp;secret_key=BX%25IJ%24%2F65ieZ%29f6", 2688865)</f>
        <v>2688865</v>
      </c>
      <c r="C2622" s="3">
        <f>HYPERLINK("https://platform.v2.vetology.net/report/v/final/"&amp;2688865, 2688865)</f>
        <v>2688865</v>
      </c>
      <c r="D2622" s="3" t="s">
        <v>8912</v>
      </c>
      <c r="E2622" s="3" t="s">
        <v>8913</v>
      </c>
      <c r="F2622" s="3" t="s">
        <v>8914</v>
      </c>
      <c r="G2622" s="3" t="s">
        <v>186</v>
      </c>
      <c r="H2622" s="3" t="s">
        <v>944</v>
      </c>
      <c r="I2622" s="3" t="s">
        <v>32</v>
      </c>
      <c r="J2622" s="3" t="s">
        <v>33</v>
      </c>
      <c r="K2622" s="3" t="s">
        <v>28</v>
      </c>
      <c r="L2622" s="3" t="s">
        <v>28</v>
      </c>
      <c r="M2622" s="3" t="s">
        <v>28</v>
      </c>
      <c r="N2622" s="3" t="s">
        <v>28</v>
      </c>
      <c r="O2622" s="3" t="s">
        <v>27</v>
      </c>
      <c r="P2622" s="3" t="s">
        <v>28</v>
      </c>
      <c r="Q2622" s="3" t="s">
        <v>28</v>
      </c>
      <c r="R2622" s="3" t="s">
        <v>28</v>
      </c>
      <c r="S2622" s="3" t="s">
        <v>28</v>
      </c>
      <c r="T2622" s="3" t="s">
        <v>28</v>
      </c>
    </row>
    <row r="2623" spans="1:20" ht="409.6">
      <c r="A2623" s="3">
        <v>2688852</v>
      </c>
      <c r="B2623" s="3">
        <f>HYPERLINK("https://platform.v2.vetology.net/cases/2688852/screening-report/6?type=pdf&amp;v=v6&amp;scorecard=1&amp;secret_key=BX%25IJ%24%2F65ieZ%29f6", 2688852)</f>
        <v>2688852</v>
      </c>
      <c r="C2623" s="3">
        <f>HYPERLINK("https://platform.v2.vetology.net/report/v/final/"&amp;2688852, 2688852)</f>
        <v>2688852</v>
      </c>
      <c r="D2623" s="3" t="s">
        <v>8915</v>
      </c>
      <c r="E2623" s="3" t="s">
        <v>8916</v>
      </c>
      <c r="F2623" s="3" t="s">
        <v>22</v>
      </c>
      <c r="G2623" s="3" t="s">
        <v>23</v>
      </c>
      <c r="H2623" s="3" t="s">
        <v>951</v>
      </c>
      <c r="I2623" s="3" t="s">
        <v>952</v>
      </c>
      <c r="J2623" s="3" t="s">
        <v>953</v>
      </c>
      <c r="K2623" s="3" t="s">
        <v>28</v>
      </c>
      <c r="L2623" s="3" t="s">
        <v>28</v>
      </c>
      <c r="M2623" s="3" t="s">
        <v>28</v>
      </c>
      <c r="N2623" s="3" t="s">
        <v>28</v>
      </c>
      <c r="O2623" s="3" t="s">
        <v>27</v>
      </c>
      <c r="P2623" s="3" t="s">
        <v>27</v>
      </c>
      <c r="Q2623" s="3" t="s">
        <v>28</v>
      </c>
      <c r="R2623" s="3" t="s">
        <v>28</v>
      </c>
      <c r="S2623" s="3" t="s">
        <v>27</v>
      </c>
      <c r="T2623" s="3" t="s">
        <v>27</v>
      </c>
    </row>
    <row r="2624" spans="1:20" ht="409.6">
      <c r="A2624" s="3">
        <v>2688841</v>
      </c>
      <c r="B2624" s="3">
        <f>HYPERLINK("https://platform.v2.vetology.net/cases/2688841/screening-report/6?type=pdf&amp;v=v6&amp;scorecard=1&amp;secret_key=BX%25IJ%24%2F65ieZ%29f6", 2688841)</f>
        <v>2688841</v>
      </c>
      <c r="C2624" s="3">
        <f>HYPERLINK("https://platform.v2.vetology.net/report/v/final/"&amp;2688841, 2688841)</f>
        <v>2688841</v>
      </c>
      <c r="D2624" s="3" t="s">
        <v>8917</v>
      </c>
      <c r="E2624" s="3" t="s">
        <v>1089</v>
      </c>
      <c r="F2624" s="3" t="s">
        <v>1090</v>
      </c>
      <c r="G2624" s="3" t="s">
        <v>100</v>
      </c>
      <c r="H2624" s="3" t="s">
        <v>8918</v>
      </c>
      <c r="I2624" s="3" t="s">
        <v>6257</v>
      </c>
      <c r="J2624" s="3" t="s">
        <v>6258</v>
      </c>
      <c r="K2624" s="3" t="s">
        <v>27</v>
      </c>
      <c r="L2624" s="3" t="s">
        <v>27</v>
      </c>
      <c r="M2624" s="3" t="s">
        <v>27</v>
      </c>
      <c r="N2624" s="3" t="s">
        <v>27</v>
      </c>
      <c r="O2624" s="3" t="s">
        <v>27</v>
      </c>
      <c r="P2624" s="3" t="s">
        <v>28</v>
      </c>
      <c r="Q2624" s="3" t="s">
        <v>28</v>
      </c>
      <c r="R2624" s="3" t="s">
        <v>28</v>
      </c>
      <c r="S2624" s="3" t="s">
        <v>27</v>
      </c>
      <c r="T2624" s="3" t="s">
        <v>28</v>
      </c>
    </row>
    <row r="2625" spans="1:20" ht="290.25">
      <c r="A2625" s="3">
        <v>2688784</v>
      </c>
      <c r="B2625" s="3">
        <f>HYPERLINK("https://platform.v2.vetology.net/cases/2688784/screening-report/6?type=pdf&amp;v=v6&amp;scorecard=1&amp;secret_key=BX%25IJ%24%2F65ieZ%29f6", 2688784)</f>
        <v>2688784</v>
      </c>
      <c r="C2625" s="3">
        <f>HYPERLINK("https://platform.v2.vetology.net/report/v/final/"&amp;2688784, 2688784)</f>
        <v>2688784</v>
      </c>
      <c r="D2625" s="3" t="s">
        <v>8919</v>
      </c>
      <c r="E2625" s="3" t="s">
        <v>8920</v>
      </c>
      <c r="F2625" s="3" t="s">
        <v>22</v>
      </c>
      <c r="G2625" s="3" t="s">
        <v>100</v>
      </c>
      <c r="H2625" s="3" t="s">
        <v>403</v>
      </c>
      <c r="I2625" s="3" t="s">
        <v>1964</v>
      </c>
      <c r="J2625" s="3" t="s">
        <v>1965</v>
      </c>
      <c r="K2625" s="3" t="s">
        <v>28</v>
      </c>
      <c r="L2625" s="3" t="s">
        <v>28</v>
      </c>
      <c r="M2625" s="3" t="s">
        <v>28</v>
      </c>
      <c r="N2625" s="3" t="s">
        <v>27</v>
      </c>
      <c r="O2625" s="3" t="s">
        <v>28</v>
      </c>
      <c r="P2625" s="3" t="s">
        <v>28</v>
      </c>
      <c r="Q2625" s="3" t="s">
        <v>28</v>
      </c>
      <c r="R2625" s="3" t="s">
        <v>28</v>
      </c>
      <c r="S2625" s="3" t="s">
        <v>28</v>
      </c>
      <c r="T2625" s="3" t="s">
        <v>27</v>
      </c>
    </row>
    <row r="2626" spans="1:20" ht="305.25">
      <c r="A2626" s="3">
        <v>2688773</v>
      </c>
      <c r="B2626" s="3">
        <f>HYPERLINK("https://platform.v2.vetology.net/cases/2688773/screening-report/6?type=pdf&amp;v=v6&amp;scorecard=1&amp;secret_key=BX%25IJ%24%2F65ieZ%29f6", 2688773)</f>
        <v>2688773</v>
      </c>
      <c r="C2626" s="3">
        <f>HYPERLINK("https://platform.v2.vetology.net/report/v/final/"&amp;2688773, 2688773)</f>
        <v>2688773</v>
      </c>
      <c r="D2626" s="3" t="s">
        <v>8921</v>
      </c>
      <c r="E2626" s="3" t="s">
        <v>8922</v>
      </c>
      <c r="F2626" s="3" t="s">
        <v>8923</v>
      </c>
      <c r="G2626" s="3" t="s">
        <v>186</v>
      </c>
      <c r="H2626" s="3" t="s">
        <v>8924</v>
      </c>
      <c r="I2626" s="3" t="s">
        <v>3181</v>
      </c>
      <c r="J2626" s="3" t="s">
        <v>3182</v>
      </c>
      <c r="K2626" s="3" t="s">
        <v>28</v>
      </c>
      <c r="L2626" s="3" t="s">
        <v>28</v>
      </c>
      <c r="M2626" s="3" t="s">
        <v>27</v>
      </c>
      <c r="N2626" s="3" t="s">
        <v>28</v>
      </c>
      <c r="O2626" s="3" t="s">
        <v>27</v>
      </c>
      <c r="P2626" s="3" t="s">
        <v>28</v>
      </c>
      <c r="Q2626" s="3" t="s">
        <v>27</v>
      </c>
      <c r="R2626" s="3" t="s">
        <v>28</v>
      </c>
      <c r="S2626" s="3" t="s">
        <v>28</v>
      </c>
      <c r="T2626" s="3" t="s">
        <v>27</v>
      </c>
    </row>
    <row r="2627" spans="1:20" ht="409.6">
      <c r="A2627" s="3">
        <v>2688748</v>
      </c>
      <c r="B2627" s="3">
        <f>HYPERLINK("https://platform.v2.vetology.net/cases/2688748/screening-report/6?type=pdf&amp;v=v6&amp;scorecard=1&amp;secret_key=BX%25IJ%24%2F65ieZ%29f6", 2688748)</f>
        <v>2688748</v>
      </c>
      <c r="C2627" s="3">
        <f>HYPERLINK("https://platform.v2.vetology.net/report/v/final/"&amp;2688748, 2688748)</f>
        <v>2688748</v>
      </c>
      <c r="D2627" s="3" t="s">
        <v>8925</v>
      </c>
      <c r="E2627" s="3" t="s">
        <v>8926</v>
      </c>
      <c r="F2627" s="3"/>
      <c r="G2627" s="3" t="s">
        <v>100</v>
      </c>
      <c r="H2627" s="3" t="s">
        <v>8927</v>
      </c>
      <c r="I2627" s="3" t="s">
        <v>1798</v>
      </c>
      <c r="J2627" s="3" t="s">
        <v>1799</v>
      </c>
      <c r="K2627" s="3" t="s">
        <v>27</v>
      </c>
      <c r="L2627" s="3" t="s">
        <v>27</v>
      </c>
      <c r="M2627" s="3" t="s">
        <v>28</v>
      </c>
      <c r="N2627" s="3" t="s">
        <v>28</v>
      </c>
      <c r="O2627" s="3" t="s">
        <v>27</v>
      </c>
      <c r="P2627" s="3" t="s">
        <v>27</v>
      </c>
      <c r="Q2627" s="3" t="s">
        <v>27</v>
      </c>
      <c r="R2627" s="3" t="s">
        <v>28</v>
      </c>
      <c r="S2627" s="3" t="s">
        <v>27</v>
      </c>
      <c r="T2627" s="3" t="s">
        <v>27</v>
      </c>
    </row>
    <row r="2628" spans="1:20" ht="409.6">
      <c r="A2628" s="3">
        <v>2688745</v>
      </c>
      <c r="B2628" s="3">
        <f>HYPERLINK("https://platform.v2.vetology.net/cases/2688745/screening-report/6?type=pdf&amp;v=v6&amp;scorecard=1&amp;secret_key=BX%25IJ%24%2F65ieZ%29f6", 2688745)</f>
        <v>2688745</v>
      </c>
      <c r="C2628" s="3">
        <f>HYPERLINK("https://platform.v2.vetology.net/report/v/final/"&amp;2688745, 2688745)</f>
        <v>2688745</v>
      </c>
      <c r="D2628" s="3" t="s">
        <v>8928</v>
      </c>
      <c r="E2628" s="3" t="s">
        <v>8929</v>
      </c>
      <c r="F2628" s="3" t="s">
        <v>8930</v>
      </c>
      <c r="G2628" s="3" t="s">
        <v>64</v>
      </c>
      <c r="H2628" s="3" t="s">
        <v>1222</v>
      </c>
      <c r="I2628" s="3" t="s">
        <v>632</v>
      </c>
      <c r="J2628" s="3" t="s">
        <v>1223</v>
      </c>
      <c r="K2628" s="3" t="s">
        <v>28</v>
      </c>
      <c r="L2628" s="3" t="s">
        <v>27</v>
      </c>
      <c r="M2628" s="3" t="s">
        <v>28</v>
      </c>
      <c r="N2628" s="3" t="s">
        <v>27</v>
      </c>
      <c r="O2628" s="3" t="s">
        <v>28</v>
      </c>
      <c r="P2628" s="3" t="s">
        <v>28</v>
      </c>
      <c r="Q2628" s="3" t="s">
        <v>28</v>
      </c>
      <c r="R2628" s="3" t="s">
        <v>28</v>
      </c>
      <c r="S2628" s="3" t="s">
        <v>27</v>
      </c>
      <c r="T2628" s="3" t="s">
        <v>28</v>
      </c>
    </row>
    <row r="2629" spans="1:20" ht="409.6">
      <c r="A2629" s="3">
        <v>2688719</v>
      </c>
      <c r="B2629" s="3">
        <f>HYPERLINK("https://platform.v2.vetology.net/cases/2688719/screening-report/6?type=pdf&amp;v=v6&amp;scorecard=1&amp;secret_key=BX%25IJ%24%2F65ieZ%29f6", 2688719)</f>
        <v>2688719</v>
      </c>
      <c r="C2629" s="3">
        <f>HYPERLINK("https://platform.v2.vetology.net/report/v/final/"&amp;2688719, 2688719)</f>
        <v>2688719</v>
      </c>
      <c r="D2629" s="3" t="s">
        <v>8931</v>
      </c>
      <c r="E2629" s="3" t="s">
        <v>8932</v>
      </c>
      <c r="F2629" s="3" t="s">
        <v>8933</v>
      </c>
      <c r="G2629" s="3" t="s">
        <v>57</v>
      </c>
      <c r="H2629" s="3" t="s">
        <v>2448</v>
      </c>
      <c r="I2629" s="3" t="s">
        <v>596</v>
      </c>
      <c r="J2629" s="3" t="s">
        <v>597</v>
      </c>
      <c r="K2629" s="3" t="s">
        <v>28</v>
      </c>
      <c r="L2629" s="3" t="s">
        <v>27</v>
      </c>
      <c r="M2629" s="3" t="s">
        <v>28</v>
      </c>
      <c r="N2629" s="3" t="s">
        <v>27</v>
      </c>
      <c r="O2629" s="3" t="s">
        <v>27</v>
      </c>
      <c r="P2629" s="3" t="s">
        <v>28</v>
      </c>
      <c r="Q2629" s="3" t="s">
        <v>28</v>
      </c>
      <c r="R2629" s="3" t="s">
        <v>27</v>
      </c>
      <c r="S2629" s="3" t="s">
        <v>27</v>
      </c>
      <c r="T2629" s="3" t="s">
        <v>27</v>
      </c>
    </row>
    <row r="2630" spans="1:20" ht="409.6">
      <c r="A2630" s="3">
        <v>2688672</v>
      </c>
      <c r="B2630" s="3">
        <f>HYPERLINK("https://platform.v2.vetology.net/cases/2688672/screening-report/6?type=pdf&amp;v=v6&amp;scorecard=1&amp;secret_key=BX%25IJ%24%2F65ieZ%29f6", 2688672)</f>
        <v>2688672</v>
      </c>
      <c r="C2630" s="3">
        <f>HYPERLINK("https://platform.v2.vetology.net/report/v/final/"&amp;2688672, 2688672)</f>
        <v>2688672</v>
      </c>
      <c r="D2630" s="3" t="s">
        <v>8934</v>
      </c>
      <c r="E2630" s="3" t="s">
        <v>8935</v>
      </c>
      <c r="F2630" s="3" t="s">
        <v>8936</v>
      </c>
      <c r="G2630" s="3" t="s">
        <v>186</v>
      </c>
      <c r="H2630" s="3" t="s">
        <v>8937</v>
      </c>
      <c r="I2630" s="3" t="s">
        <v>285</v>
      </c>
      <c r="J2630" s="3" t="s">
        <v>2264</v>
      </c>
      <c r="K2630" s="3" t="s">
        <v>28</v>
      </c>
      <c r="L2630" s="3" t="s">
        <v>28</v>
      </c>
      <c r="M2630" s="3" t="s">
        <v>27</v>
      </c>
      <c r="N2630" s="3" t="s">
        <v>28</v>
      </c>
      <c r="O2630" s="3" t="s">
        <v>27</v>
      </c>
      <c r="P2630" s="3" t="s">
        <v>28</v>
      </c>
      <c r="Q2630" s="3" t="s">
        <v>27</v>
      </c>
      <c r="R2630" s="3" t="s">
        <v>28</v>
      </c>
      <c r="S2630" s="3" t="s">
        <v>27</v>
      </c>
      <c r="T2630" s="3" t="s">
        <v>28</v>
      </c>
    </row>
    <row r="2631" spans="1:20" ht="244.5">
      <c r="A2631" s="3">
        <v>2688616</v>
      </c>
      <c r="B2631" s="3">
        <f>HYPERLINK("https://platform.v2.vetology.net/cases/2688616/screening-report/6?type=pdf&amp;v=v6&amp;scorecard=1&amp;secret_key=BX%25IJ%24%2F65ieZ%29f6", 2688616)</f>
        <v>2688616</v>
      </c>
      <c r="C2631" s="3">
        <f>HYPERLINK("https://platform.v2.vetology.net/report/v/final/"&amp;2688616, 2688616)</f>
        <v>2688616</v>
      </c>
      <c r="D2631" s="3" t="s">
        <v>8938</v>
      </c>
      <c r="E2631" s="3" t="s">
        <v>8939</v>
      </c>
      <c r="F2631" s="3" t="s">
        <v>22</v>
      </c>
      <c r="G2631" s="3" t="s">
        <v>100</v>
      </c>
      <c r="H2631" s="3" t="s">
        <v>8940</v>
      </c>
      <c r="I2631" s="3" t="s">
        <v>291</v>
      </c>
      <c r="J2631" s="3" t="s">
        <v>207</v>
      </c>
      <c r="K2631" s="3" t="s">
        <v>28</v>
      </c>
      <c r="L2631" s="3" t="s">
        <v>28</v>
      </c>
      <c r="M2631" s="3" t="s">
        <v>28</v>
      </c>
      <c r="N2631" s="3" t="s">
        <v>27</v>
      </c>
      <c r="O2631" s="3" t="s">
        <v>27</v>
      </c>
      <c r="P2631" s="3" t="s">
        <v>28</v>
      </c>
      <c r="Q2631" s="3" t="s">
        <v>28</v>
      </c>
      <c r="R2631" s="3" t="s">
        <v>27</v>
      </c>
      <c r="S2631" s="3" t="s">
        <v>27</v>
      </c>
      <c r="T2631" s="3" t="s">
        <v>27</v>
      </c>
    </row>
    <row r="2632" spans="1:20" ht="409.6">
      <c r="A2632" s="3">
        <v>2688603</v>
      </c>
      <c r="B2632" s="3">
        <f>HYPERLINK("https://platform.v2.vetology.net/cases/2688603/screening-report/6?type=pdf&amp;v=v6&amp;scorecard=1&amp;secret_key=BX%25IJ%24%2F65ieZ%29f6", 2688603)</f>
        <v>2688603</v>
      </c>
      <c r="C2632" s="3">
        <f>HYPERLINK("https://platform.v2.vetology.net/report/v/final/"&amp;2688603, 2688603)</f>
        <v>2688603</v>
      </c>
      <c r="D2632" s="3" t="s">
        <v>8941</v>
      </c>
      <c r="E2632" s="3" t="s">
        <v>8942</v>
      </c>
      <c r="F2632" s="3" t="s">
        <v>8943</v>
      </c>
      <c r="G2632" s="3" t="s">
        <v>186</v>
      </c>
      <c r="H2632" s="3" t="s">
        <v>8944</v>
      </c>
      <c r="I2632" s="3" t="s">
        <v>1396</v>
      </c>
      <c r="J2632" s="3" t="s">
        <v>1397</v>
      </c>
      <c r="K2632" s="3" t="s">
        <v>27</v>
      </c>
      <c r="L2632" s="3" t="s">
        <v>27</v>
      </c>
      <c r="M2632" s="3" t="s">
        <v>27</v>
      </c>
      <c r="N2632" s="3" t="s">
        <v>27</v>
      </c>
      <c r="O2632" s="3" t="s">
        <v>27</v>
      </c>
      <c r="P2632" s="3" t="s">
        <v>27</v>
      </c>
      <c r="Q2632" s="3" t="s">
        <v>27</v>
      </c>
      <c r="R2632" s="3" t="s">
        <v>27</v>
      </c>
      <c r="S2632" s="3" t="s">
        <v>27</v>
      </c>
      <c r="T2632" s="3" t="s">
        <v>27</v>
      </c>
    </row>
    <row r="2633" spans="1:20" ht="396.75">
      <c r="A2633" s="3">
        <v>2688559</v>
      </c>
      <c r="B2633" s="3">
        <f>HYPERLINK("https://platform.v2.vetology.net/cases/2688559/screening-report/6?type=pdf&amp;v=v6&amp;scorecard=1&amp;secret_key=BX%25IJ%24%2F65ieZ%29f6", 2688559)</f>
        <v>2688559</v>
      </c>
      <c r="C2633" s="3">
        <f>HYPERLINK("https://platform.v2.vetology.net/report/v/final/"&amp;2688559, 2688559)</f>
        <v>2688559</v>
      </c>
      <c r="D2633" s="3" t="s">
        <v>8945</v>
      </c>
      <c r="E2633" s="3" t="s">
        <v>8946</v>
      </c>
      <c r="F2633" s="3" t="s">
        <v>22</v>
      </c>
      <c r="G2633" s="3" t="s">
        <v>23</v>
      </c>
      <c r="H2633" s="3" t="s">
        <v>8947</v>
      </c>
      <c r="I2633" s="3" t="s">
        <v>572</v>
      </c>
      <c r="J2633" s="3" t="s">
        <v>573</v>
      </c>
      <c r="K2633" s="3" t="s">
        <v>27</v>
      </c>
      <c r="L2633" s="3" t="s">
        <v>28</v>
      </c>
      <c r="M2633" s="3" t="s">
        <v>27</v>
      </c>
      <c r="N2633" s="3" t="s">
        <v>28</v>
      </c>
      <c r="O2633" s="3" t="s">
        <v>27</v>
      </c>
      <c r="P2633" s="3" t="s">
        <v>28</v>
      </c>
      <c r="Q2633" s="3" t="s">
        <v>28</v>
      </c>
      <c r="R2633" s="3" t="s">
        <v>28</v>
      </c>
      <c r="S2633" s="3" t="s">
        <v>27</v>
      </c>
      <c r="T2633" s="3" t="s">
        <v>28</v>
      </c>
    </row>
    <row r="2634" spans="1:20" ht="229.5">
      <c r="A2634" s="3">
        <v>2688380</v>
      </c>
      <c r="B2634" s="3">
        <f>HYPERLINK("https://platform.v2.vetology.net/cases/2688380/screening-report/6?type=pdf&amp;v=v6&amp;scorecard=1&amp;secret_key=BX%25IJ%24%2F65ieZ%29f6", 2688380)</f>
        <v>2688380</v>
      </c>
      <c r="C2634" s="3">
        <f>HYPERLINK("https://platform.v2.vetology.net/report/v/final/"&amp;2688380, 2688380)</f>
        <v>2688380</v>
      </c>
      <c r="D2634" s="3" t="s">
        <v>8948</v>
      </c>
      <c r="E2634" s="3" t="s">
        <v>8949</v>
      </c>
      <c r="F2634" s="3" t="s">
        <v>22</v>
      </c>
      <c r="G2634" s="3" t="s">
        <v>100</v>
      </c>
      <c r="H2634" s="3" t="s">
        <v>31</v>
      </c>
      <c r="I2634" s="3" t="s">
        <v>32</v>
      </c>
      <c r="J2634" s="3" t="s">
        <v>847</v>
      </c>
      <c r="K2634" s="3" t="s">
        <v>27</v>
      </c>
      <c r="L2634" s="3" t="s">
        <v>28</v>
      </c>
      <c r="M2634" s="3" t="s">
        <v>27</v>
      </c>
      <c r="N2634" s="3" t="s">
        <v>28</v>
      </c>
      <c r="O2634" s="3" t="s">
        <v>27</v>
      </c>
      <c r="P2634" s="3" t="s">
        <v>28</v>
      </c>
      <c r="Q2634" s="3" t="s">
        <v>27</v>
      </c>
      <c r="R2634" s="3" t="s">
        <v>28</v>
      </c>
      <c r="S2634" s="3" t="s">
        <v>28</v>
      </c>
      <c r="T2634" s="3" t="s">
        <v>28</v>
      </c>
    </row>
    <row r="2635" spans="1:20" ht="381.75">
      <c r="A2635" s="3">
        <v>2688362</v>
      </c>
      <c r="B2635" s="3">
        <f>HYPERLINK("https://platform.v2.vetology.net/cases/2688362/screening-report/6?type=pdf&amp;v=v6&amp;scorecard=1&amp;secret_key=BX%25IJ%24%2F65ieZ%29f6", 2688362)</f>
        <v>2688362</v>
      </c>
      <c r="C2635" s="3">
        <f>HYPERLINK("https://platform.v2.vetology.net/report/v/final/"&amp;2688362, 2688362)</f>
        <v>2688362</v>
      </c>
      <c r="D2635" s="3" t="s">
        <v>1229</v>
      </c>
      <c r="E2635" s="3" t="s">
        <v>1230</v>
      </c>
      <c r="F2635" s="3" t="s">
        <v>2159</v>
      </c>
      <c r="G2635" s="3" t="s">
        <v>100</v>
      </c>
      <c r="H2635" s="3" t="s">
        <v>8950</v>
      </c>
      <c r="I2635" s="3" t="s">
        <v>2029</v>
      </c>
      <c r="J2635" s="3" t="s">
        <v>2030</v>
      </c>
      <c r="K2635" s="3" t="s">
        <v>27</v>
      </c>
      <c r="L2635" s="3" t="s">
        <v>28</v>
      </c>
      <c r="M2635" s="3" t="s">
        <v>28</v>
      </c>
      <c r="N2635" s="3" t="s">
        <v>28</v>
      </c>
      <c r="O2635" s="3" t="s">
        <v>27</v>
      </c>
      <c r="P2635" s="3" t="s">
        <v>28</v>
      </c>
      <c r="Q2635" s="3" t="s">
        <v>28</v>
      </c>
      <c r="R2635" s="3" t="s">
        <v>28</v>
      </c>
      <c r="S2635" s="3" t="s">
        <v>28</v>
      </c>
      <c r="T2635" s="3" t="s">
        <v>28</v>
      </c>
    </row>
    <row r="2636" spans="1:20" ht="229.5">
      <c r="A2636" s="3">
        <v>2688333</v>
      </c>
      <c r="B2636" s="3">
        <f>HYPERLINK("https://platform.v2.vetology.net/cases/2688333/screening-report/6?type=pdf&amp;v=v6&amp;scorecard=1&amp;secret_key=BX%25IJ%24%2F65ieZ%29f6", 2688333)</f>
        <v>2688333</v>
      </c>
      <c r="C2636" s="3">
        <f>HYPERLINK("https://platform.v2.vetology.net/report/v/final/"&amp;2688333, 2688333)</f>
        <v>2688333</v>
      </c>
      <c r="D2636" s="3" t="s">
        <v>2246</v>
      </c>
      <c r="E2636" s="3" t="s">
        <v>8325</v>
      </c>
      <c r="F2636" s="3" t="s">
        <v>1061</v>
      </c>
      <c r="G2636" s="3" t="s">
        <v>100</v>
      </c>
      <c r="H2636" s="3" t="s">
        <v>8951</v>
      </c>
      <c r="I2636" s="3" t="s">
        <v>305</v>
      </c>
      <c r="J2636" s="3" t="s">
        <v>119</v>
      </c>
      <c r="K2636" s="3" t="s">
        <v>28</v>
      </c>
      <c r="L2636" s="3" t="s">
        <v>28</v>
      </c>
      <c r="M2636" s="3" t="s">
        <v>28</v>
      </c>
      <c r="N2636" s="3" t="s">
        <v>28</v>
      </c>
      <c r="O2636" s="3" t="s">
        <v>28</v>
      </c>
      <c r="P2636" s="3" t="s">
        <v>28</v>
      </c>
      <c r="Q2636" s="3" t="s">
        <v>28</v>
      </c>
      <c r="R2636" s="3" t="s">
        <v>28</v>
      </c>
      <c r="S2636" s="3" t="s">
        <v>28</v>
      </c>
      <c r="T2636" s="3" t="s">
        <v>28</v>
      </c>
    </row>
    <row r="2637" spans="1:20" ht="366">
      <c r="A2637" s="3">
        <v>2688272</v>
      </c>
      <c r="B2637" s="3">
        <f>HYPERLINK("https://platform.v2.vetology.net/cases/2688272/screening-report/6?type=pdf&amp;v=v6&amp;scorecard=1&amp;secret_key=BX%25IJ%24%2F65ieZ%29f6", 2688272)</f>
        <v>2688272</v>
      </c>
      <c r="C2637" s="3">
        <f>HYPERLINK("https://platform.v2.vetology.net/report/v/final/"&amp;2688272, 2688272)</f>
        <v>2688272</v>
      </c>
      <c r="D2637" s="3" t="s">
        <v>8952</v>
      </c>
      <c r="E2637" s="3" t="s">
        <v>8953</v>
      </c>
      <c r="F2637" s="3" t="s">
        <v>1762</v>
      </c>
      <c r="G2637" s="3" t="s">
        <v>100</v>
      </c>
      <c r="H2637" s="3" t="s">
        <v>554</v>
      </c>
      <c r="I2637" s="3" t="s">
        <v>555</v>
      </c>
      <c r="J2637" s="3" t="s">
        <v>8954</v>
      </c>
      <c r="K2637" s="3" t="s">
        <v>27</v>
      </c>
      <c r="L2637" s="3" t="s">
        <v>28</v>
      </c>
      <c r="M2637" s="3" t="s">
        <v>28</v>
      </c>
      <c r="N2637" s="3" t="s">
        <v>28</v>
      </c>
      <c r="O2637" s="3" t="s">
        <v>28</v>
      </c>
      <c r="P2637" s="3" t="s">
        <v>28</v>
      </c>
      <c r="Q2637" s="3" t="s">
        <v>28</v>
      </c>
      <c r="R2637" s="3" t="s">
        <v>28</v>
      </c>
      <c r="S2637" s="3" t="s">
        <v>28</v>
      </c>
      <c r="T2637" s="3" t="s">
        <v>28</v>
      </c>
    </row>
    <row r="2638" spans="1:20" ht="396.75">
      <c r="A2638" s="3">
        <v>2688269</v>
      </c>
      <c r="B2638" s="3">
        <f>HYPERLINK("https://platform.v2.vetology.net/cases/2688269/screening-report/6?type=pdf&amp;v=v6&amp;scorecard=1&amp;secret_key=BX%25IJ%24%2F65ieZ%29f6", 2688269)</f>
        <v>2688269</v>
      </c>
      <c r="C2638" s="3">
        <f>HYPERLINK("https://platform.v2.vetology.net/report/v/final/"&amp;2688269, 2688269)</f>
        <v>2688269</v>
      </c>
      <c r="D2638" s="3" t="s">
        <v>8955</v>
      </c>
      <c r="E2638" s="3" t="s">
        <v>8956</v>
      </c>
      <c r="F2638" s="3" t="s">
        <v>22</v>
      </c>
      <c r="G2638" s="3" t="s">
        <v>23</v>
      </c>
      <c r="H2638" s="3" t="s">
        <v>1508</v>
      </c>
      <c r="I2638" s="3" t="s">
        <v>351</v>
      </c>
      <c r="J2638" s="3" t="s">
        <v>352</v>
      </c>
      <c r="K2638" s="3" t="s">
        <v>28</v>
      </c>
      <c r="L2638" s="3" t="s">
        <v>28</v>
      </c>
      <c r="M2638" s="3" t="s">
        <v>28</v>
      </c>
      <c r="N2638" s="3" t="s">
        <v>28</v>
      </c>
      <c r="O2638" s="3" t="s">
        <v>27</v>
      </c>
      <c r="P2638" s="3" t="s">
        <v>28</v>
      </c>
      <c r="Q2638" s="3" t="s">
        <v>28</v>
      </c>
      <c r="R2638" s="3" t="s">
        <v>28</v>
      </c>
      <c r="S2638" s="3" t="s">
        <v>28</v>
      </c>
      <c r="T2638" s="3" t="s">
        <v>27</v>
      </c>
    </row>
    <row r="2639" spans="1:20" ht="351">
      <c r="A2639" s="3">
        <v>2688172</v>
      </c>
      <c r="B2639" s="3">
        <f>HYPERLINK("https://platform.v2.vetology.net/cases/2688172/screening-report/6?type=pdf&amp;v=v6&amp;scorecard=1&amp;secret_key=BX%25IJ%24%2F65ieZ%29f6", 2688172)</f>
        <v>2688172</v>
      </c>
      <c r="C2639" s="3">
        <f>HYPERLINK("https://platform.v2.vetology.net/report/v/final/"&amp;2688172, 2688172)</f>
        <v>2688172</v>
      </c>
      <c r="D2639" s="3" t="s">
        <v>8957</v>
      </c>
      <c r="E2639" s="3" t="s">
        <v>8958</v>
      </c>
      <c r="F2639" s="3" t="s">
        <v>8959</v>
      </c>
      <c r="G2639" s="3" t="s">
        <v>57</v>
      </c>
      <c r="H2639" s="3" t="s">
        <v>8960</v>
      </c>
      <c r="I2639" s="3" t="s">
        <v>793</v>
      </c>
      <c r="J2639" s="3" t="s">
        <v>794</v>
      </c>
      <c r="K2639" s="3" t="s">
        <v>28</v>
      </c>
      <c r="L2639" s="3" t="s">
        <v>28</v>
      </c>
      <c r="M2639" s="3" t="s">
        <v>28</v>
      </c>
      <c r="N2639" s="3" t="s">
        <v>28</v>
      </c>
      <c r="O2639" s="3" t="s">
        <v>28</v>
      </c>
      <c r="P2639" s="3" t="s">
        <v>28</v>
      </c>
      <c r="Q2639" s="3" t="s">
        <v>28</v>
      </c>
      <c r="R2639" s="3" t="s">
        <v>28</v>
      </c>
      <c r="S2639" s="3" t="s">
        <v>28</v>
      </c>
      <c r="T2639" s="3" t="s">
        <v>28</v>
      </c>
    </row>
    <row r="2640" spans="1:20" ht="336">
      <c r="A2640" s="3">
        <v>2688093</v>
      </c>
      <c r="B2640" s="3">
        <f>HYPERLINK("https://platform.v2.vetology.net/cases/2688093/screening-report/6?type=pdf&amp;v=v6&amp;scorecard=1&amp;secret_key=BX%25IJ%24%2F65ieZ%29f6", 2688093)</f>
        <v>2688093</v>
      </c>
      <c r="C2640" s="3">
        <f>HYPERLINK("https://platform.v2.vetology.net/report/v/final/"&amp;2688093, 2688093)</f>
        <v>2688093</v>
      </c>
      <c r="D2640" s="3" t="s">
        <v>8961</v>
      </c>
      <c r="E2640" s="3" t="s">
        <v>8962</v>
      </c>
      <c r="F2640" s="3" t="s">
        <v>8963</v>
      </c>
      <c r="G2640" s="3" t="s">
        <v>57</v>
      </c>
      <c r="H2640" s="3" t="s">
        <v>8964</v>
      </c>
      <c r="I2640" s="3" t="s">
        <v>8965</v>
      </c>
      <c r="J2640" s="3" t="s">
        <v>8966</v>
      </c>
      <c r="K2640" s="3" t="s">
        <v>28</v>
      </c>
      <c r="L2640" s="3" t="s">
        <v>28</v>
      </c>
      <c r="M2640" s="3" t="s">
        <v>28</v>
      </c>
      <c r="N2640" s="3" t="s">
        <v>28</v>
      </c>
      <c r="O2640" s="3" t="s">
        <v>27</v>
      </c>
      <c r="P2640" s="3" t="s">
        <v>27</v>
      </c>
      <c r="Q2640" s="3" t="s">
        <v>27</v>
      </c>
      <c r="R2640" s="3" t="s">
        <v>28</v>
      </c>
      <c r="S2640" s="3" t="s">
        <v>27</v>
      </c>
      <c r="T2640" s="3" t="s">
        <v>28</v>
      </c>
    </row>
    <row r="2641" spans="1:20" ht="409.6">
      <c r="A2641" s="3">
        <v>2688071</v>
      </c>
      <c r="B2641" s="3">
        <f>HYPERLINK("https://platform.v2.vetology.net/cases/2688071/screening-report/6?type=pdf&amp;v=v6&amp;scorecard=1&amp;secret_key=BX%25IJ%24%2F65ieZ%29f6", 2688071)</f>
        <v>2688071</v>
      </c>
      <c r="C2641" s="3">
        <f>HYPERLINK("https://platform.v2.vetology.net/report/v/final/"&amp;2688071, 2688071)</f>
        <v>2688071</v>
      </c>
      <c r="D2641" s="3" t="s">
        <v>8967</v>
      </c>
      <c r="E2641" s="3" t="s">
        <v>8968</v>
      </c>
      <c r="F2641" s="3" t="s">
        <v>8969</v>
      </c>
      <c r="G2641" s="3" t="s">
        <v>64</v>
      </c>
      <c r="H2641" s="3" t="s">
        <v>6887</v>
      </c>
      <c r="I2641" s="3" t="s">
        <v>37</v>
      </c>
      <c r="J2641" s="3" t="s">
        <v>38</v>
      </c>
      <c r="K2641" s="3" t="s">
        <v>28</v>
      </c>
      <c r="L2641" s="3" t="s">
        <v>28</v>
      </c>
      <c r="M2641" s="3" t="s">
        <v>27</v>
      </c>
      <c r="N2641" s="3" t="s">
        <v>28</v>
      </c>
      <c r="O2641" s="3" t="s">
        <v>27</v>
      </c>
      <c r="P2641" s="3" t="s">
        <v>28</v>
      </c>
      <c r="Q2641" s="3" t="s">
        <v>28</v>
      </c>
      <c r="R2641" s="3" t="s">
        <v>28</v>
      </c>
      <c r="S2641" s="3" t="s">
        <v>28</v>
      </c>
      <c r="T2641" s="3" t="s">
        <v>28</v>
      </c>
    </row>
    <row r="2642" spans="1:20" ht="366">
      <c r="A2642" s="3">
        <v>2688070</v>
      </c>
      <c r="B2642" s="3">
        <f>HYPERLINK("https://platform.v2.vetology.net/cases/2688070/screening-report/6?type=pdf&amp;v=v6&amp;scorecard=1&amp;secret_key=BX%25IJ%24%2F65ieZ%29f6", 2688070)</f>
        <v>2688070</v>
      </c>
      <c r="C2642" s="3">
        <f>HYPERLINK("https://platform.v2.vetology.net/report/v/final/"&amp;2688070, 2688070)</f>
        <v>2688070</v>
      </c>
      <c r="D2642" s="3" t="s">
        <v>8970</v>
      </c>
      <c r="E2642" s="3" t="s">
        <v>8971</v>
      </c>
      <c r="F2642" s="3"/>
      <c r="G2642" s="3" t="s">
        <v>23</v>
      </c>
      <c r="H2642" s="3" t="s">
        <v>118</v>
      </c>
      <c r="I2642" s="3" t="s">
        <v>32</v>
      </c>
      <c r="J2642" s="3" t="s">
        <v>33</v>
      </c>
      <c r="K2642" s="3" t="s">
        <v>28</v>
      </c>
      <c r="L2642" s="3" t="s">
        <v>28</v>
      </c>
      <c r="M2642" s="3" t="s">
        <v>28</v>
      </c>
      <c r="N2642" s="3" t="s">
        <v>28</v>
      </c>
      <c r="O2642" s="3" t="s">
        <v>28</v>
      </c>
      <c r="P2642" s="3" t="s">
        <v>28</v>
      </c>
      <c r="Q2642" s="3" t="s">
        <v>28</v>
      </c>
      <c r="R2642" s="3" t="s">
        <v>28</v>
      </c>
      <c r="S2642" s="3" t="s">
        <v>28</v>
      </c>
      <c r="T2642" s="3" t="s">
        <v>28</v>
      </c>
    </row>
    <row r="2643" spans="1:20" ht="409.6">
      <c r="A2643" s="3">
        <v>2688049</v>
      </c>
      <c r="B2643" s="3">
        <f>HYPERLINK("https://platform.v2.vetology.net/cases/2688049/screening-report/6?type=pdf&amp;v=v6&amp;scorecard=1&amp;secret_key=BX%25IJ%24%2F65ieZ%29f6", 2688049)</f>
        <v>2688049</v>
      </c>
      <c r="C2643" s="3">
        <f>HYPERLINK("https://platform.v2.vetology.net/report/v/final/"&amp;2688049, 2688049)</f>
        <v>2688049</v>
      </c>
      <c r="D2643" s="3" t="s">
        <v>8972</v>
      </c>
      <c r="E2643" s="3" t="s">
        <v>8973</v>
      </c>
      <c r="F2643" s="3" t="s">
        <v>8974</v>
      </c>
      <c r="G2643" s="3" t="s">
        <v>496</v>
      </c>
      <c r="H2643" s="3" t="s">
        <v>3420</v>
      </c>
      <c r="I2643" s="3" t="s">
        <v>2397</v>
      </c>
      <c r="J2643" s="3" t="s">
        <v>2398</v>
      </c>
      <c r="K2643" s="3" t="s">
        <v>27</v>
      </c>
      <c r="L2643" s="3" t="s">
        <v>27</v>
      </c>
      <c r="M2643" s="3" t="s">
        <v>27</v>
      </c>
      <c r="N2643" s="3" t="s">
        <v>27</v>
      </c>
      <c r="O2643" s="3" t="s">
        <v>27</v>
      </c>
      <c r="P2643" s="3" t="s">
        <v>28</v>
      </c>
      <c r="Q2643" s="3" t="s">
        <v>27</v>
      </c>
      <c r="R2643" s="3" t="s">
        <v>27</v>
      </c>
      <c r="S2643" s="3" t="s">
        <v>27</v>
      </c>
      <c r="T2643" s="3" t="s">
        <v>27</v>
      </c>
    </row>
    <row r="2644" spans="1:20" ht="409.6">
      <c r="A2644" s="3">
        <v>2688016</v>
      </c>
      <c r="B2644" s="3">
        <f>HYPERLINK("https://platform.v2.vetology.net/cases/2688016/screening-report/6?type=pdf&amp;v=v6&amp;scorecard=1&amp;secret_key=BX%25IJ%24%2F65ieZ%29f6", 2688016)</f>
        <v>2688016</v>
      </c>
      <c r="C2644" s="3">
        <f>HYPERLINK("https://platform.v2.vetology.net/report/v/final/"&amp;2688016, 2688016)</f>
        <v>2688016</v>
      </c>
      <c r="D2644" s="3" t="s">
        <v>8975</v>
      </c>
      <c r="E2644" s="3" t="s">
        <v>8976</v>
      </c>
      <c r="F2644" s="3" t="s">
        <v>8977</v>
      </c>
      <c r="G2644" s="3" t="s">
        <v>57</v>
      </c>
      <c r="H2644" s="3" t="s">
        <v>2475</v>
      </c>
      <c r="I2644" s="3" t="s">
        <v>1497</v>
      </c>
      <c r="J2644" s="3" t="s">
        <v>1340</v>
      </c>
      <c r="K2644" s="3" t="s">
        <v>28</v>
      </c>
      <c r="L2644" s="3" t="s">
        <v>28</v>
      </c>
      <c r="M2644" s="3" t="s">
        <v>28</v>
      </c>
      <c r="N2644" s="3" t="s">
        <v>28</v>
      </c>
      <c r="O2644" s="3" t="s">
        <v>27</v>
      </c>
      <c r="P2644" s="3" t="s">
        <v>28</v>
      </c>
      <c r="Q2644" s="3" t="s">
        <v>27</v>
      </c>
      <c r="R2644" s="3" t="s">
        <v>28</v>
      </c>
      <c r="S2644" s="3" t="s">
        <v>27</v>
      </c>
      <c r="T2644" s="3" t="s">
        <v>28</v>
      </c>
    </row>
    <row r="2645" spans="1:20" ht="229.5">
      <c r="A2645" s="3">
        <v>2687995</v>
      </c>
      <c r="B2645" s="3">
        <f>HYPERLINK("https://platform.v2.vetology.net/cases/2687995/screening-report/6?type=pdf&amp;v=v6&amp;scorecard=1&amp;secret_key=BX%25IJ%24%2F65ieZ%29f6", 2687995)</f>
        <v>2687995</v>
      </c>
      <c r="C2645" s="3">
        <f>HYPERLINK("https://platform.v2.vetology.net/report/v/final/"&amp;2687995, 2687995)</f>
        <v>2687995</v>
      </c>
      <c r="D2645" s="3" t="s">
        <v>8978</v>
      </c>
      <c r="E2645" s="3" t="s">
        <v>8979</v>
      </c>
      <c r="F2645" s="3" t="s">
        <v>8980</v>
      </c>
      <c r="G2645" s="3" t="s">
        <v>186</v>
      </c>
      <c r="H2645" s="3" t="s">
        <v>31</v>
      </c>
      <c r="I2645" s="3" t="s">
        <v>1497</v>
      </c>
      <c r="J2645" s="3" t="s">
        <v>847</v>
      </c>
      <c r="K2645" s="3" t="s">
        <v>28</v>
      </c>
      <c r="L2645" s="3" t="s">
        <v>28</v>
      </c>
      <c r="M2645" s="3" t="s">
        <v>28</v>
      </c>
      <c r="N2645" s="3" t="s">
        <v>28</v>
      </c>
      <c r="O2645" s="3" t="s">
        <v>27</v>
      </c>
      <c r="P2645" s="3" t="s">
        <v>28</v>
      </c>
      <c r="Q2645" s="3" t="s">
        <v>28</v>
      </c>
      <c r="R2645" s="3" t="s">
        <v>28</v>
      </c>
      <c r="S2645" s="3" t="s">
        <v>28</v>
      </c>
      <c r="T2645" s="3" t="s">
        <v>28</v>
      </c>
    </row>
    <row r="2646" spans="1:20" ht="275.25">
      <c r="A2646" s="3">
        <v>2687952</v>
      </c>
      <c r="B2646" s="3">
        <f>HYPERLINK("https://platform.v2.vetology.net/cases/2687952/screening-report/6?type=pdf&amp;v=v6&amp;scorecard=1&amp;secret_key=BX%25IJ%24%2F65ieZ%29f6", 2687952)</f>
        <v>2687952</v>
      </c>
      <c r="C2646" s="3">
        <f>HYPERLINK("https://platform.v2.vetology.net/report/v/final/"&amp;2687952, 2687952)</f>
        <v>2687952</v>
      </c>
      <c r="D2646" s="3" t="s">
        <v>8981</v>
      </c>
      <c r="E2646" s="3" t="s">
        <v>8982</v>
      </c>
      <c r="F2646" s="3" t="s">
        <v>22</v>
      </c>
      <c r="G2646" s="3" t="s">
        <v>100</v>
      </c>
      <c r="H2646" s="3" t="s">
        <v>8983</v>
      </c>
      <c r="I2646" s="3" t="s">
        <v>2011</v>
      </c>
      <c r="J2646" s="3" t="s">
        <v>225</v>
      </c>
      <c r="K2646" s="3" t="s">
        <v>28</v>
      </c>
      <c r="L2646" s="3" t="s">
        <v>27</v>
      </c>
      <c r="M2646" s="3" t="s">
        <v>28</v>
      </c>
      <c r="N2646" s="3" t="s">
        <v>27</v>
      </c>
      <c r="O2646" s="3" t="s">
        <v>27</v>
      </c>
      <c r="P2646" s="3" t="s">
        <v>28</v>
      </c>
      <c r="Q2646" s="3" t="s">
        <v>28</v>
      </c>
      <c r="R2646" s="3" t="s">
        <v>27</v>
      </c>
      <c r="S2646" s="3" t="s">
        <v>27</v>
      </c>
      <c r="T2646" s="3" t="s">
        <v>27</v>
      </c>
    </row>
    <row r="2647" spans="1:20" ht="396.75">
      <c r="A2647" s="3">
        <v>2687947</v>
      </c>
      <c r="B2647" s="3">
        <f>HYPERLINK("https://platform.v2.vetology.net/cases/2687947/screening-report/6?type=pdf&amp;v=v6&amp;scorecard=1&amp;secret_key=BX%25IJ%24%2F65ieZ%29f6", 2687947)</f>
        <v>2687947</v>
      </c>
      <c r="C2647" s="3">
        <f>HYPERLINK("https://platform.v2.vetology.net/report/v/final/"&amp;2687947, 2687947)</f>
        <v>2687947</v>
      </c>
      <c r="D2647" s="3" t="s">
        <v>8984</v>
      </c>
      <c r="E2647" s="3" t="s">
        <v>8985</v>
      </c>
      <c r="F2647" s="3" t="s">
        <v>8986</v>
      </c>
      <c r="G2647" s="3" t="s">
        <v>834</v>
      </c>
      <c r="H2647" s="3" t="s">
        <v>8987</v>
      </c>
      <c r="I2647" s="3" t="s">
        <v>2854</v>
      </c>
      <c r="J2647" s="3" t="s">
        <v>2855</v>
      </c>
      <c r="K2647" s="3" t="s">
        <v>27</v>
      </c>
      <c r="L2647" s="3" t="s">
        <v>28</v>
      </c>
      <c r="M2647" s="3" t="s">
        <v>28</v>
      </c>
      <c r="N2647" s="3" t="s">
        <v>28</v>
      </c>
      <c r="O2647" s="3" t="s">
        <v>27</v>
      </c>
      <c r="P2647" s="3" t="s">
        <v>28</v>
      </c>
      <c r="Q2647" s="3" t="s">
        <v>28</v>
      </c>
      <c r="R2647" s="3" t="s">
        <v>28</v>
      </c>
      <c r="S2647" s="3" t="s">
        <v>28</v>
      </c>
      <c r="T2647" s="3" t="s">
        <v>28</v>
      </c>
    </row>
    <row r="2648" spans="1:20" ht="409.6">
      <c r="A2648" s="3">
        <v>2687935</v>
      </c>
      <c r="B2648" s="3">
        <f>HYPERLINK("https://platform.v2.vetology.net/cases/2687935/screening-report/6?type=pdf&amp;v=v6&amp;scorecard=1&amp;secret_key=BX%25IJ%24%2F65ieZ%29f6", 2687935)</f>
        <v>2687935</v>
      </c>
      <c r="C2648" s="3">
        <f>HYPERLINK("https://platform.v2.vetology.net/report/v/final/"&amp;2687935, 2687935)</f>
        <v>2687935</v>
      </c>
      <c r="D2648" s="3" t="s">
        <v>8988</v>
      </c>
      <c r="E2648" s="3" t="s">
        <v>8989</v>
      </c>
      <c r="F2648" s="3" t="s">
        <v>8990</v>
      </c>
      <c r="G2648" s="3" t="s">
        <v>186</v>
      </c>
      <c r="H2648" s="3" t="s">
        <v>8991</v>
      </c>
      <c r="I2648" s="3" t="s">
        <v>345</v>
      </c>
      <c r="J2648" s="3" t="s">
        <v>346</v>
      </c>
      <c r="K2648" s="3" t="s">
        <v>28</v>
      </c>
      <c r="L2648" s="3" t="s">
        <v>28</v>
      </c>
      <c r="M2648" s="3" t="s">
        <v>28</v>
      </c>
      <c r="N2648" s="3" t="s">
        <v>27</v>
      </c>
      <c r="O2648" s="3" t="s">
        <v>28</v>
      </c>
      <c r="P2648" s="3" t="s">
        <v>28</v>
      </c>
      <c r="Q2648" s="3" t="s">
        <v>28</v>
      </c>
      <c r="R2648" s="3" t="s">
        <v>27</v>
      </c>
      <c r="S2648" s="3" t="s">
        <v>27</v>
      </c>
      <c r="T2648" s="3" t="s">
        <v>27</v>
      </c>
    </row>
    <row r="2649" spans="1:20" ht="409.6">
      <c r="A2649" s="3">
        <v>2687836</v>
      </c>
      <c r="B2649" s="3">
        <f>HYPERLINK("https://platform.v2.vetology.net/cases/2687836/screening-report/6?type=pdf&amp;v=v6&amp;scorecard=1&amp;secret_key=BX%25IJ%24%2F65ieZ%29f6", 2687836)</f>
        <v>2687836</v>
      </c>
      <c r="C2649" s="3">
        <f>HYPERLINK("https://platform.v2.vetology.net/report/v/final/"&amp;2687836, 2687836)</f>
        <v>2687836</v>
      </c>
      <c r="D2649" s="3" t="s">
        <v>8992</v>
      </c>
      <c r="E2649" s="3" t="s">
        <v>8993</v>
      </c>
      <c r="F2649" s="3" t="s">
        <v>8994</v>
      </c>
      <c r="G2649" s="3" t="s">
        <v>186</v>
      </c>
      <c r="H2649" s="3" t="s">
        <v>8292</v>
      </c>
      <c r="I2649" s="3" t="s">
        <v>678</v>
      </c>
      <c r="J2649" s="3" t="s">
        <v>679</v>
      </c>
      <c r="K2649" s="3" t="s">
        <v>28</v>
      </c>
      <c r="L2649" s="3" t="s">
        <v>27</v>
      </c>
      <c r="M2649" s="3" t="s">
        <v>28</v>
      </c>
      <c r="N2649" s="3" t="s">
        <v>27</v>
      </c>
      <c r="O2649" s="3" t="s">
        <v>27</v>
      </c>
      <c r="P2649" s="3" t="s">
        <v>28</v>
      </c>
      <c r="Q2649" s="3" t="s">
        <v>28</v>
      </c>
      <c r="R2649" s="3" t="s">
        <v>27</v>
      </c>
      <c r="S2649" s="3" t="s">
        <v>27</v>
      </c>
      <c r="T2649" s="3" t="s">
        <v>27</v>
      </c>
    </row>
    <row r="2650" spans="1:20" ht="366">
      <c r="A2650" s="3">
        <v>2687720</v>
      </c>
      <c r="B2650" s="3">
        <f>HYPERLINK("https://platform.v2.vetology.net/cases/2687720/screening-report/6?type=pdf&amp;v=v6&amp;scorecard=1&amp;secret_key=BX%25IJ%24%2F65ieZ%29f6", 2687720)</f>
        <v>2687720</v>
      </c>
      <c r="C2650" s="3">
        <f>HYPERLINK("https://platform.v2.vetology.net/report/v/final/"&amp;2687720, 2687720)</f>
        <v>2687720</v>
      </c>
      <c r="D2650" s="3" t="s">
        <v>8995</v>
      </c>
      <c r="E2650" s="3" t="s">
        <v>8996</v>
      </c>
      <c r="F2650" s="3"/>
      <c r="G2650" s="3" t="s">
        <v>122</v>
      </c>
      <c r="H2650" s="3" t="s">
        <v>1271</v>
      </c>
      <c r="I2650" s="3" t="s">
        <v>883</v>
      </c>
      <c r="J2650" s="3" t="s">
        <v>884</v>
      </c>
      <c r="K2650" s="3" t="s">
        <v>28</v>
      </c>
      <c r="L2650" s="3" t="s">
        <v>28</v>
      </c>
      <c r="M2650" s="3" t="s">
        <v>28</v>
      </c>
      <c r="N2650" s="3" t="s">
        <v>28</v>
      </c>
      <c r="O2650" s="3" t="s">
        <v>27</v>
      </c>
      <c r="P2650" s="3" t="s">
        <v>28</v>
      </c>
      <c r="Q2650" s="3" t="s">
        <v>28</v>
      </c>
      <c r="R2650" s="3" t="s">
        <v>28</v>
      </c>
      <c r="S2650" s="3" t="s">
        <v>28</v>
      </c>
      <c r="T2650" s="3" t="s">
        <v>28</v>
      </c>
    </row>
    <row r="2651" spans="1:20" ht="409.6">
      <c r="A2651" s="3">
        <v>2687701</v>
      </c>
      <c r="B2651" s="3">
        <f>HYPERLINK("https://platform.v2.vetology.net/cases/2687701/screening-report/6?type=pdf&amp;v=v6&amp;scorecard=1&amp;secret_key=BX%25IJ%24%2F65ieZ%29f6", 2687701)</f>
        <v>2687701</v>
      </c>
      <c r="C2651" s="3">
        <f>HYPERLINK("https://platform.v2.vetology.net/report/v/final/"&amp;2687701, 2687701)</f>
        <v>2687701</v>
      </c>
      <c r="D2651" s="3" t="s">
        <v>8997</v>
      </c>
      <c r="E2651" s="3" t="s">
        <v>8998</v>
      </c>
      <c r="F2651" s="3" t="s">
        <v>22</v>
      </c>
      <c r="G2651" s="3" t="s">
        <v>23</v>
      </c>
      <c r="H2651" s="3" t="s">
        <v>8999</v>
      </c>
      <c r="I2651" s="3" t="s">
        <v>632</v>
      </c>
      <c r="J2651" s="3" t="s">
        <v>1223</v>
      </c>
      <c r="K2651" s="3" t="s">
        <v>27</v>
      </c>
      <c r="L2651" s="3" t="s">
        <v>28</v>
      </c>
      <c r="M2651" s="3" t="s">
        <v>28</v>
      </c>
      <c r="N2651" s="3" t="s">
        <v>28</v>
      </c>
      <c r="O2651" s="3" t="s">
        <v>28</v>
      </c>
      <c r="P2651" s="3" t="s">
        <v>28</v>
      </c>
      <c r="Q2651" s="3" t="s">
        <v>27</v>
      </c>
      <c r="R2651" s="3" t="s">
        <v>28</v>
      </c>
      <c r="S2651" s="3" t="s">
        <v>27</v>
      </c>
      <c r="T2651" s="3" t="s">
        <v>28</v>
      </c>
    </row>
    <row r="2652" spans="1:20" ht="259.5">
      <c r="A2652" s="3">
        <v>2687652</v>
      </c>
      <c r="B2652" s="3">
        <f>HYPERLINK("https://platform.v2.vetology.net/cases/2687652/screening-report/6?type=pdf&amp;v=v6&amp;scorecard=1&amp;secret_key=BX%25IJ%24%2F65ieZ%29f6", 2687652)</f>
        <v>2687652</v>
      </c>
      <c r="C2652" s="3">
        <f>HYPERLINK("https://platform.v2.vetology.net/report/v/final/"&amp;2687652, 2687652)</f>
        <v>2687652</v>
      </c>
      <c r="D2652" s="3" t="s">
        <v>9000</v>
      </c>
      <c r="E2652" s="3" t="s">
        <v>9001</v>
      </c>
      <c r="F2652" s="3" t="s">
        <v>22</v>
      </c>
      <c r="G2652" s="3" t="s">
        <v>100</v>
      </c>
      <c r="H2652" s="3" t="s">
        <v>1108</v>
      </c>
      <c r="I2652" s="3" t="s">
        <v>1109</v>
      </c>
      <c r="J2652" s="3" t="s">
        <v>1110</v>
      </c>
      <c r="K2652" s="3" t="s">
        <v>28</v>
      </c>
      <c r="L2652" s="3" t="s">
        <v>28</v>
      </c>
      <c r="M2652" s="3" t="s">
        <v>28</v>
      </c>
      <c r="N2652" s="3" t="s">
        <v>28</v>
      </c>
      <c r="O2652" s="3" t="s">
        <v>28</v>
      </c>
      <c r="P2652" s="3" t="s">
        <v>28</v>
      </c>
      <c r="Q2652" s="3" t="s">
        <v>28</v>
      </c>
      <c r="R2652" s="3" t="s">
        <v>28</v>
      </c>
      <c r="S2652" s="3" t="s">
        <v>28</v>
      </c>
      <c r="T2652" s="3" t="s">
        <v>27</v>
      </c>
    </row>
    <row r="2653" spans="1:20" ht="321">
      <c r="A2653" s="3">
        <v>2687636</v>
      </c>
      <c r="B2653" s="3">
        <f>HYPERLINK("https://platform.v2.vetology.net/cases/2687636/screening-report/6?type=pdf&amp;v=v6&amp;scorecard=1&amp;secret_key=BX%25IJ%24%2F65ieZ%29f6", 2687636)</f>
        <v>2687636</v>
      </c>
      <c r="C2653" s="3">
        <f>HYPERLINK("https://platform.v2.vetology.net/report/v/final/"&amp;2687636, 2687636)</f>
        <v>2687636</v>
      </c>
      <c r="D2653" s="3" t="s">
        <v>9002</v>
      </c>
      <c r="E2653" s="3" t="s">
        <v>9003</v>
      </c>
      <c r="F2653" s="3" t="s">
        <v>9004</v>
      </c>
      <c r="G2653" s="3" t="s">
        <v>100</v>
      </c>
      <c r="H2653" s="3" t="s">
        <v>9005</v>
      </c>
      <c r="I2653" s="3" t="s">
        <v>9006</v>
      </c>
      <c r="J2653" s="3" t="s">
        <v>9007</v>
      </c>
      <c r="K2653" s="3" t="s">
        <v>28</v>
      </c>
      <c r="L2653" s="3" t="s">
        <v>28</v>
      </c>
      <c r="M2653" s="3" t="s">
        <v>28</v>
      </c>
      <c r="N2653" s="3" t="s">
        <v>28</v>
      </c>
      <c r="O2653" s="3" t="s">
        <v>27</v>
      </c>
      <c r="P2653" s="3" t="s">
        <v>27</v>
      </c>
      <c r="Q2653" s="3" t="s">
        <v>28</v>
      </c>
      <c r="R2653" s="3" t="s">
        <v>28</v>
      </c>
      <c r="S2653" s="3" t="s">
        <v>28</v>
      </c>
      <c r="T2653" s="3" t="s">
        <v>27</v>
      </c>
    </row>
    <row r="2654" spans="1:20" ht="305.25">
      <c r="A2654" s="3">
        <v>2687566</v>
      </c>
      <c r="B2654" s="3">
        <f>HYPERLINK("https://platform.v2.vetology.net/cases/2687566/screening-report/6?type=pdf&amp;v=v6&amp;scorecard=1&amp;secret_key=BX%25IJ%24%2F65ieZ%29f6", 2687566)</f>
        <v>2687566</v>
      </c>
      <c r="C2654" s="3">
        <f>HYPERLINK("https://platform.v2.vetology.net/report/v/final/"&amp;2687566, 2687566)</f>
        <v>2687566</v>
      </c>
      <c r="D2654" s="3" t="s">
        <v>9008</v>
      </c>
      <c r="E2654" s="3" t="s">
        <v>9009</v>
      </c>
      <c r="F2654" s="3" t="s">
        <v>22</v>
      </c>
      <c r="G2654" s="3" t="s">
        <v>100</v>
      </c>
      <c r="H2654" s="3" t="s">
        <v>9010</v>
      </c>
      <c r="I2654" s="3" t="s">
        <v>8393</v>
      </c>
      <c r="J2654" s="3" t="s">
        <v>8394</v>
      </c>
      <c r="K2654" s="3" t="s">
        <v>28</v>
      </c>
      <c r="L2654" s="3" t="s">
        <v>28</v>
      </c>
      <c r="M2654" s="3" t="s">
        <v>28</v>
      </c>
      <c r="N2654" s="3" t="s">
        <v>28</v>
      </c>
      <c r="O2654" s="3" t="s">
        <v>27</v>
      </c>
      <c r="P2654" s="3" t="s">
        <v>28</v>
      </c>
      <c r="Q2654" s="3" t="s">
        <v>28</v>
      </c>
      <c r="R2654" s="3" t="s">
        <v>28</v>
      </c>
      <c r="S2654" s="3" t="s">
        <v>28</v>
      </c>
      <c r="T2654" s="3" t="s">
        <v>27</v>
      </c>
    </row>
    <row r="2655" spans="1:20" ht="409.6">
      <c r="A2655" s="3">
        <v>2687516</v>
      </c>
      <c r="B2655" s="3">
        <f>HYPERLINK("https://platform.v2.vetology.net/cases/2687516/screening-report/6?type=pdf&amp;v=v6&amp;scorecard=1&amp;secret_key=BX%25IJ%24%2F65ieZ%29f6", 2687516)</f>
        <v>2687516</v>
      </c>
      <c r="C2655" s="3">
        <f>HYPERLINK("https://platform.v2.vetology.net/report/v/final/"&amp;2687516, 2687516)</f>
        <v>2687516</v>
      </c>
      <c r="D2655" s="3" t="s">
        <v>9011</v>
      </c>
      <c r="E2655" s="3" t="s">
        <v>9012</v>
      </c>
      <c r="F2655" s="3" t="s">
        <v>9013</v>
      </c>
      <c r="G2655" s="3" t="s">
        <v>736</v>
      </c>
      <c r="H2655" s="3" t="s">
        <v>6954</v>
      </c>
      <c r="I2655" s="3" t="s">
        <v>555</v>
      </c>
      <c r="J2655" s="3" t="s">
        <v>556</v>
      </c>
      <c r="K2655" s="3" t="s">
        <v>27</v>
      </c>
      <c r="L2655" s="3" t="s">
        <v>28</v>
      </c>
      <c r="M2655" s="3" t="s">
        <v>28</v>
      </c>
      <c r="N2655" s="3" t="s">
        <v>28</v>
      </c>
      <c r="O2655" s="3" t="s">
        <v>28</v>
      </c>
      <c r="P2655" s="3" t="s">
        <v>28</v>
      </c>
      <c r="Q2655" s="3" t="s">
        <v>28</v>
      </c>
      <c r="R2655" s="3" t="s">
        <v>28</v>
      </c>
      <c r="S2655" s="3" t="s">
        <v>28</v>
      </c>
      <c r="T2655" s="3" t="s">
        <v>28</v>
      </c>
    </row>
    <row r="2656" spans="1:20" ht="321">
      <c r="A2656" s="3">
        <v>2687459</v>
      </c>
      <c r="B2656" s="3">
        <f>HYPERLINK("https://platform.v2.vetology.net/cases/2687459/screening-report/6?type=pdf&amp;v=v6&amp;scorecard=1&amp;secret_key=BX%25IJ%24%2F65ieZ%29f6", 2687459)</f>
        <v>2687459</v>
      </c>
      <c r="C2656" s="3">
        <f>HYPERLINK("https://platform.v2.vetology.net/report/v/final/"&amp;2687459, 2687459)</f>
        <v>2687459</v>
      </c>
      <c r="D2656" s="3" t="s">
        <v>9014</v>
      </c>
      <c r="E2656" s="3" t="s">
        <v>1636</v>
      </c>
      <c r="F2656" s="3" t="s">
        <v>9015</v>
      </c>
      <c r="G2656" s="3" t="s">
        <v>211</v>
      </c>
      <c r="H2656" s="3" t="s">
        <v>590</v>
      </c>
      <c r="I2656" s="3" t="s">
        <v>291</v>
      </c>
      <c r="J2656" s="3" t="s">
        <v>225</v>
      </c>
      <c r="K2656" s="3" t="s">
        <v>28</v>
      </c>
      <c r="L2656" s="3" t="s">
        <v>27</v>
      </c>
      <c r="M2656" s="3" t="s">
        <v>28</v>
      </c>
      <c r="N2656" s="3" t="s">
        <v>27</v>
      </c>
      <c r="O2656" s="3" t="s">
        <v>27</v>
      </c>
      <c r="P2656" s="3" t="s">
        <v>28</v>
      </c>
      <c r="Q2656" s="3" t="s">
        <v>28</v>
      </c>
      <c r="R2656" s="3" t="s">
        <v>28</v>
      </c>
      <c r="S2656" s="3" t="s">
        <v>27</v>
      </c>
      <c r="T2656" s="3" t="s">
        <v>27</v>
      </c>
    </row>
    <row r="2657" spans="1:20" ht="409.6">
      <c r="A2657" s="3">
        <v>2687444</v>
      </c>
      <c r="B2657" s="3">
        <f>HYPERLINK("https://platform.v2.vetology.net/cases/2687444/screening-report/6?type=pdf&amp;v=v6&amp;scorecard=1&amp;secret_key=BX%25IJ%24%2F65ieZ%29f6", 2687444)</f>
        <v>2687444</v>
      </c>
      <c r="C2657" s="3">
        <f>HYPERLINK("https://platform.v2.vetology.net/report/v/final/"&amp;2687444, 2687444)</f>
        <v>2687444</v>
      </c>
      <c r="D2657" s="3" t="s">
        <v>9016</v>
      </c>
      <c r="E2657" s="3" t="s">
        <v>9017</v>
      </c>
      <c r="F2657" s="3" t="s">
        <v>9018</v>
      </c>
      <c r="G2657" s="3" t="s">
        <v>566</v>
      </c>
      <c r="H2657" s="3" t="s">
        <v>2861</v>
      </c>
      <c r="I2657" s="3" t="s">
        <v>667</v>
      </c>
      <c r="J2657" s="3" t="s">
        <v>668</v>
      </c>
      <c r="K2657" s="3" t="s">
        <v>28</v>
      </c>
      <c r="L2657" s="3" t="s">
        <v>28</v>
      </c>
      <c r="M2657" s="3" t="s">
        <v>28</v>
      </c>
      <c r="N2657" s="3" t="s">
        <v>28</v>
      </c>
      <c r="O2657" s="3" t="s">
        <v>27</v>
      </c>
      <c r="P2657" s="3" t="s">
        <v>28</v>
      </c>
      <c r="Q2657" s="3" t="s">
        <v>28</v>
      </c>
      <c r="R2657" s="3" t="s">
        <v>28</v>
      </c>
      <c r="S2657" s="3" t="s">
        <v>28</v>
      </c>
      <c r="T2657" s="3" t="s">
        <v>27</v>
      </c>
    </row>
    <row r="2658" spans="1:20" ht="409.6">
      <c r="A2658" s="3">
        <v>2687433</v>
      </c>
      <c r="B2658" s="3">
        <f>HYPERLINK("https://platform.v2.vetology.net/cases/2687433/screening-report/6?type=pdf&amp;v=v6&amp;scorecard=1&amp;secret_key=BX%25IJ%24%2F65ieZ%29f6", 2687433)</f>
        <v>2687433</v>
      </c>
      <c r="C2658" s="3">
        <f>HYPERLINK("https://platform.v2.vetology.net/report/v/final/"&amp;2687433, 2687433)</f>
        <v>2687433</v>
      </c>
      <c r="D2658" s="3" t="s">
        <v>9019</v>
      </c>
      <c r="E2658" s="3" t="s">
        <v>9020</v>
      </c>
      <c r="F2658" s="3" t="s">
        <v>9021</v>
      </c>
      <c r="G2658" s="3" t="s">
        <v>186</v>
      </c>
      <c r="H2658" s="3" t="s">
        <v>554</v>
      </c>
      <c r="I2658" s="3" t="s">
        <v>555</v>
      </c>
      <c r="J2658" s="3" t="s">
        <v>556</v>
      </c>
      <c r="K2658" s="3" t="s">
        <v>28</v>
      </c>
      <c r="L2658" s="3" t="s">
        <v>28</v>
      </c>
      <c r="M2658" s="3" t="s">
        <v>28</v>
      </c>
      <c r="N2658" s="3" t="s">
        <v>28</v>
      </c>
      <c r="O2658" s="3" t="s">
        <v>28</v>
      </c>
      <c r="P2658" s="3" t="s">
        <v>28</v>
      </c>
      <c r="Q2658" s="3" t="s">
        <v>28</v>
      </c>
      <c r="R2658" s="3" t="s">
        <v>28</v>
      </c>
      <c r="S2658" s="3" t="s">
        <v>28</v>
      </c>
      <c r="T2658" s="3" t="s">
        <v>28</v>
      </c>
    </row>
    <row r="2659" spans="1:20" ht="396.75">
      <c r="A2659" s="3">
        <v>2687423</v>
      </c>
      <c r="B2659" s="3">
        <f>HYPERLINK("https://platform.v2.vetology.net/cases/2687423/screening-report/6?type=pdf&amp;v=v6&amp;scorecard=1&amp;secret_key=BX%25IJ%24%2F65ieZ%29f6", 2687423)</f>
        <v>2687423</v>
      </c>
      <c r="C2659" s="3">
        <f>HYPERLINK("https://platform.v2.vetology.net/report/v/final/"&amp;2687423, 2687423)</f>
        <v>2687423</v>
      </c>
      <c r="D2659" s="3" t="s">
        <v>9022</v>
      </c>
      <c r="E2659" s="3" t="s">
        <v>9023</v>
      </c>
      <c r="F2659" s="3" t="s">
        <v>1762</v>
      </c>
      <c r="G2659" s="3" t="s">
        <v>100</v>
      </c>
      <c r="H2659" s="3" t="s">
        <v>350</v>
      </c>
      <c r="I2659" s="3" t="s">
        <v>351</v>
      </c>
      <c r="J2659" s="3" t="s">
        <v>352</v>
      </c>
      <c r="K2659" s="3" t="s">
        <v>28</v>
      </c>
      <c r="L2659" s="3" t="s">
        <v>28</v>
      </c>
      <c r="M2659" s="3" t="s">
        <v>28</v>
      </c>
      <c r="N2659" s="3" t="s">
        <v>28</v>
      </c>
      <c r="O2659" s="3" t="s">
        <v>28</v>
      </c>
      <c r="P2659" s="3" t="s">
        <v>28</v>
      </c>
      <c r="Q2659" s="3" t="s">
        <v>28</v>
      </c>
      <c r="R2659" s="3" t="s">
        <v>28</v>
      </c>
      <c r="S2659" s="3" t="s">
        <v>28</v>
      </c>
      <c r="T2659" s="3" t="s">
        <v>27</v>
      </c>
    </row>
    <row r="2660" spans="1:20" ht="305.25">
      <c r="A2660" s="3">
        <v>2687415</v>
      </c>
      <c r="B2660" s="3">
        <f>HYPERLINK("https://platform.v2.vetology.net/cases/2687415/screening-report/6?type=pdf&amp;v=v6&amp;scorecard=1&amp;secret_key=BX%25IJ%24%2F65ieZ%29f6", 2687415)</f>
        <v>2687415</v>
      </c>
      <c r="C2660" s="3">
        <f>HYPERLINK("https://platform.v2.vetology.net/report/v/final/"&amp;2687415, 2687415)</f>
        <v>2687415</v>
      </c>
      <c r="D2660" s="3" t="s">
        <v>9024</v>
      </c>
      <c r="E2660" s="3" t="s">
        <v>9025</v>
      </c>
      <c r="F2660" s="3" t="s">
        <v>9026</v>
      </c>
      <c r="G2660" s="3" t="s">
        <v>186</v>
      </c>
      <c r="H2660" s="3" t="s">
        <v>9027</v>
      </c>
      <c r="I2660" s="3" t="s">
        <v>1725</v>
      </c>
      <c r="J2660" s="3" t="s">
        <v>1726</v>
      </c>
      <c r="K2660" s="3" t="s">
        <v>27</v>
      </c>
      <c r="L2660" s="3" t="s">
        <v>27</v>
      </c>
      <c r="M2660" s="3" t="s">
        <v>28</v>
      </c>
      <c r="N2660" s="3" t="s">
        <v>28</v>
      </c>
      <c r="O2660" s="3" t="s">
        <v>27</v>
      </c>
      <c r="P2660" s="3" t="s">
        <v>28</v>
      </c>
      <c r="Q2660" s="3" t="s">
        <v>27</v>
      </c>
      <c r="R2660" s="3" t="s">
        <v>28</v>
      </c>
      <c r="S2660" s="3" t="s">
        <v>28</v>
      </c>
      <c r="T2660" s="3" t="s">
        <v>28</v>
      </c>
    </row>
    <row r="2661" spans="1:20" ht="351">
      <c r="A2661" s="3">
        <v>2687392</v>
      </c>
      <c r="B2661" s="3">
        <f>HYPERLINK("https://platform.v2.vetology.net/cases/2687392/screening-report/6?type=pdf&amp;v=v6&amp;scorecard=1&amp;secret_key=BX%25IJ%24%2F65ieZ%29f6", 2687392)</f>
        <v>2687392</v>
      </c>
      <c r="C2661" s="3">
        <f>HYPERLINK("https://platform.v2.vetology.net/report/v/final/"&amp;2687392, 2687392)</f>
        <v>2687392</v>
      </c>
      <c r="D2661" s="3" t="s">
        <v>9028</v>
      </c>
      <c r="E2661" s="3" t="s">
        <v>9029</v>
      </c>
      <c r="F2661" s="3" t="s">
        <v>9030</v>
      </c>
      <c r="G2661" s="3" t="s">
        <v>100</v>
      </c>
      <c r="H2661" s="3" t="s">
        <v>9031</v>
      </c>
      <c r="I2661" s="3" t="s">
        <v>2777</v>
      </c>
      <c r="J2661" s="3" t="s">
        <v>2778</v>
      </c>
      <c r="K2661" s="3" t="s">
        <v>27</v>
      </c>
      <c r="L2661" s="3" t="s">
        <v>27</v>
      </c>
      <c r="M2661" s="3" t="s">
        <v>28</v>
      </c>
      <c r="N2661" s="3" t="s">
        <v>28</v>
      </c>
      <c r="O2661" s="3" t="s">
        <v>27</v>
      </c>
      <c r="P2661" s="3" t="s">
        <v>28</v>
      </c>
      <c r="Q2661" s="3" t="s">
        <v>27</v>
      </c>
      <c r="R2661" s="3" t="s">
        <v>28</v>
      </c>
      <c r="S2661" s="3" t="s">
        <v>27</v>
      </c>
      <c r="T2661" s="3" t="s">
        <v>28</v>
      </c>
    </row>
    <row r="2662" spans="1:20" ht="229.5">
      <c r="A2662" s="3">
        <v>2687349</v>
      </c>
      <c r="B2662" s="3">
        <f>HYPERLINK("https://platform.v2.vetology.net/cases/2687349/screening-report/6?type=pdf&amp;v=v6&amp;scorecard=1&amp;secret_key=BX%25IJ%24%2F65ieZ%29f6", 2687349)</f>
        <v>2687349</v>
      </c>
      <c r="C2662" s="3">
        <f>HYPERLINK("https://platform.v2.vetology.net/report/v/final/"&amp;2687349, 2687349)</f>
        <v>2687349</v>
      </c>
      <c r="D2662" s="3" t="s">
        <v>9032</v>
      </c>
      <c r="E2662" s="3" t="s">
        <v>9033</v>
      </c>
      <c r="F2662" s="3" t="s">
        <v>9034</v>
      </c>
      <c r="G2662" s="3" t="s">
        <v>186</v>
      </c>
      <c r="H2662" s="3" t="s">
        <v>135</v>
      </c>
      <c r="I2662" s="3" t="s">
        <v>136</v>
      </c>
      <c r="J2662" s="3" t="s">
        <v>137</v>
      </c>
      <c r="K2662" s="3" t="s">
        <v>28</v>
      </c>
      <c r="L2662" s="3" t="s">
        <v>28</v>
      </c>
      <c r="M2662" s="3" t="s">
        <v>27</v>
      </c>
      <c r="N2662" s="3" t="s">
        <v>27</v>
      </c>
      <c r="O2662" s="3" t="s">
        <v>27</v>
      </c>
      <c r="P2662" s="3" t="s">
        <v>28</v>
      </c>
      <c r="Q2662" s="3" t="s">
        <v>28</v>
      </c>
      <c r="R2662" s="3" t="s">
        <v>28</v>
      </c>
      <c r="S2662" s="3" t="s">
        <v>28</v>
      </c>
      <c r="T2662" s="3" t="s">
        <v>27</v>
      </c>
    </row>
    <row r="2663" spans="1:20" ht="409.6">
      <c r="A2663" s="3">
        <v>2687319</v>
      </c>
      <c r="B2663" s="3">
        <f>HYPERLINK("https://platform.v2.vetology.net/cases/2687319/screening-report/6?type=pdf&amp;v=v6&amp;scorecard=1&amp;secret_key=BX%25IJ%24%2F65ieZ%29f6", 2687319)</f>
        <v>2687319</v>
      </c>
      <c r="C2663" s="3">
        <f>HYPERLINK("https://platform.v2.vetology.net/report/v/final/"&amp;2687319, 2687319)</f>
        <v>2687319</v>
      </c>
      <c r="D2663" s="3" t="s">
        <v>9035</v>
      </c>
      <c r="E2663" s="3" t="s">
        <v>9036</v>
      </c>
      <c r="F2663" s="3" t="s">
        <v>9037</v>
      </c>
      <c r="G2663" s="3" t="s">
        <v>566</v>
      </c>
      <c r="H2663" s="3" t="s">
        <v>1932</v>
      </c>
      <c r="I2663" s="3" t="s">
        <v>136</v>
      </c>
      <c r="J2663" s="3" t="s">
        <v>137</v>
      </c>
      <c r="K2663" s="3" t="s">
        <v>27</v>
      </c>
      <c r="L2663" s="3" t="s">
        <v>28</v>
      </c>
      <c r="M2663" s="3" t="s">
        <v>28</v>
      </c>
      <c r="N2663" s="3" t="s">
        <v>27</v>
      </c>
      <c r="O2663" s="3" t="s">
        <v>27</v>
      </c>
      <c r="P2663" s="3" t="s">
        <v>28</v>
      </c>
      <c r="Q2663" s="3" t="s">
        <v>28</v>
      </c>
      <c r="R2663" s="3" t="s">
        <v>28</v>
      </c>
      <c r="S2663" s="3" t="s">
        <v>28</v>
      </c>
      <c r="T2663" s="3" t="s">
        <v>27</v>
      </c>
    </row>
    <row r="2664" spans="1:20" ht="275.25">
      <c r="A2664" s="3">
        <v>2687307</v>
      </c>
      <c r="B2664" s="3">
        <f>HYPERLINK("https://platform.v2.vetology.net/cases/2687307/screening-report/6?type=pdf&amp;v=v6&amp;scorecard=1&amp;secret_key=BX%25IJ%24%2F65ieZ%29f6", 2687307)</f>
        <v>2687307</v>
      </c>
      <c r="C2664" s="3">
        <f>HYPERLINK("https://platform.v2.vetology.net/report/v/final/"&amp;2687307, 2687307)</f>
        <v>2687307</v>
      </c>
      <c r="D2664" s="3" t="s">
        <v>9038</v>
      </c>
      <c r="E2664" s="3" t="s">
        <v>9039</v>
      </c>
      <c r="F2664" s="3" t="s">
        <v>9040</v>
      </c>
      <c r="G2664" s="3" t="s">
        <v>100</v>
      </c>
      <c r="H2664" s="3" t="s">
        <v>9041</v>
      </c>
      <c r="I2664" s="3" t="s">
        <v>72</v>
      </c>
      <c r="J2664" s="3" t="s">
        <v>207</v>
      </c>
      <c r="K2664" s="3" t="s">
        <v>27</v>
      </c>
      <c r="L2664" s="3" t="s">
        <v>27</v>
      </c>
      <c r="M2664" s="3" t="s">
        <v>28</v>
      </c>
      <c r="N2664" s="3" t="s">
        <v>28</v>
      </c>
      <c r="O2664" s="3" t="s">
        <v>27</v>
      </c>
      <c r="P2664" s="3" t="s">
        <v>28</v>
      </c>
      <c r="Q2664" s="3" t="s">
        <v>28</v>
      </c>
      <c r="R2664" s="3" t="s">
        <v>28</v>
      </c>
      <c r="S2664" s="3" t="s">
        <v>27</v>
      </c>
      <c r="T2664" s="3" t="s">
        <v>28</v>
      </c>
    </row>
    <row r="2665" spans="1:20" ht="229.5">
      <c r="A2665" s="3">
        <v>2687296</v>
      </c>
      <c r="B2665" s="3">
        <f>HYPERLINK("https://platform.v2.vetology.net/cases/2687296/screening-report/6?type=pdf&amp;v=v6&amp;scorecard=1&amp;secret_key=BX%25IJ%24%2F65ieZ%29f6", 2687296)</f>
        <v>2687296</v>
      </c>
      <c r="C2665" s="3">
        <f>HYPERLINK("https://platform.v2.vetology.net/report/v/final/"&amp;2687296, 2687296)</f>
        <v>2687296</v>
      </c>
      <c r="D2665" s="3" t="s">
        <v>9042</v>
      </c>
      <c r="E2665" s="3" t="s">
        <v>3015</v>
      </c>
      <c r="F2665" s="3" t="s">
        <v>1090</v>
      </c>
      <c r="G2665" s="3" t="s">
        <v>100</v>
      </c>
      <c r="H2665" s="3" t="s">
        <v>2267</v>
      </c>
      <c r="I2665" s="3" t="s">
        <v>305</v>
      </c>
      <c r="J2665" s="3" t="s">
        <v>119</v>
      </c>
      <c r="K2665" s="3" t="s">
        <v>28</v>
      </c>
      <c r="L2665" s="3" t="s">
        <v>28</v>
      </c>
      <c r="M2665" s="3" t="s">
        <v>28</v>
      </c>
      <c r="N2665" s="3" t="s">
        <v>28</v>
      </c>
      <c r="O2665" s="3" t="s">
        <v>28</v>
      </c>
      <c r="P2665" s="3" t="s">
        <v>28</v>
      </c>
      <c r="Q2665" s="3" t="s">
        <v>28</v>
      </c>
      <c r="R2665" s="3" t="s">
        <v>28</v>
      </c>
      <c r="S2665" s="3" t="s">
        <v>28</v>
      </c>
      <c r="T2665" s="3" t="s">
        <v>28</v>
      </c>
    </row>
    <row r="2666" spans="1:20" ht="321">
      <c r="A2666" s="3">
        <v>2687287</v>
      </c>
      <c r="B2666" s="3">
        <f>HYPERLINK("https://platform.v2.vetology.net/cases/2687287/screening-report/6?type=pdf&amp;v=v6&amp;scorecard=1&amp;secret_key=BX%25IJ%24%2F65ieZ%29f6", 2687287)</f>
        <v>2687287</v>
      </c>
      <c r="C2666" s="3">
        <f>HYPERLINK("https://platform.v2.vetology.net/report/v/final/"&amp;2687287, 2687287)</f>
        <v>2687287</v>
      </c>
      <c r="D2666" s="3" t="s">
        <v>9043</v>
      </c>
      <c r="E2666" s="3" t="s">
        <v>9044</v>
      </c>
      <c r="F2666" s="3" t="s">
        <v>9045</v>
      </c>
      <c r="G2666" s="3" t="s">
        <v>186</v>
      </c>
      <c r="H2666" s="3" t="s">
        <v>9046</v>
      </c>
      <c r="I2666" s="3" t="s">
        <v>706</v>
      </c>
      <c r="J2666" s="3" t="s">
        <v>707</v>
      </c>
      <c r="K2666" s="3" t="s">
        <v>27</v>
      </c>
      <c r="L2666" s="3" t="s">
        <v>28</v>
      </c>
      <c r="M2666" s="3" t="s">
        <v>28</v>
      </c>
      <c r="N2666" s="3" t="s">
        <v>28</v>
      </c>
      <c r="O2666" s="3" t="s">
        <v>27</v>
      </c>
      <c r="P2666" s="3" t="s">
        <v>27</v>
      </c>
      <c r="Q2666" s="3" t="s">
        <v>28</v>
      </c>
      <c r="R2666" s="3" t="s">
        <v>28</v>
      </c>
      <c r="S2666" s="3" t="s">
        <v>28</v>
      </c>
      <c r="T2666" s="3" t="s">
        <v>27</v>
      </c>
    </row>
    <row r="2667" spans="1:20" ht="381.75">
      <c r="A2667" s="3">
        <v>2687275</v>
      </c>
      <c r="B2667" s="3">
        <f>HYPERLINK("https://platform.v2.vetology.net/cases/2687275/screening-report/6?type=pdf&amp;v=v6&amp;scorecard=1&amp;secret_key=BX%25IJ%24%2F65ieZ%29f6", 2687275)</f>
        <v>2687275</v>
      </c>
      <c r="C2667" s="3">
        <f>HYPERLINK("https://platform.v2.vetology.net/report/v/final/"&amp;2687275, 2687275)</f>
        <v>2687275</v>
      </c>
      <c r="D2667" s="3" t="s">
        <v>9047</v>
      </c>
      <c r="E2667" s="3" t="s">
        <v>1230</v>
      </c>
      <c r="F2667" s="3" t="s">
        <v>1049</v>
      </c>
      <c r="G2667" s="3" t="s">
        <v>100</v>
      </c>
      <c r="H2667" s="3" t="s">
        <v>9048</v>
      </c>
      <c r="I2667" s="3" t="s">
        <v>324</v>
      </c>
      <c r="J2667" s="3" t="s">
        <v>325</v>
      </c>
      <c r="K2667" s="3" t="s">
        <v>27</v>
      </c>
      <c r="L2667" s="3" t="s">
        <v>28</v>
      </c>
      <c r="M2667" s="3" t="s">
        <v>27</v>
      </c>
      <c r="N2667" s="3" t="s">
        <v>28</v>
      </c>
      <c r="O2667" s="3" t="s">
        <v>27</v>
      </c>
      <c r="P2667" s="3" t="s">
        <v>28</v>
      </c>
      <c r="Q2667" s="3" t="s">
        <v>27</v>
      </c>
      <c r="R2667" s="3" t="s">
        <v>28</v>
      </c>
      <c r="S2667" s="3" t="s">
        <v>27</v>
      </c>
      <c r="T2667" s="3" t="s">
        <v>28</v>
      </c>
    </row>
    <row r="2668" spans="1:20" ht="409.6">
      <c r="A2668" s="3">
        <v>2687267</v>
      </c>
      <c r="B2668" s="3">
        <f>HYPERLINK("https://platform.v2.vetology.net/cases/2687267/screening-report/6?type=pdf&amp;v=v6&amp;scorecard=1&amp;secret_key=BX%25IJ%24%2F65ieZ%29f6", 2687267)</f>
        <v>2687267</v>
      </c>
      <c r="C2668" s="3">
        <f>HYPERLINK("https://platform.v2.vetology.net/report/v/final/"&amp;2687267, 2687267)</f>
        <v>2687267</v>
      </c>
      <c r="D2668" s="3" t="s">
        <v>9049</v>
      </c>
      <c r="E2668" s="3" t="s">
        <v>9050</v>
      </c>
      <c r="F2668" s="3" t="s">
        <v>9051</v>
      </c>
      <c r="G2668" s="3" t="s">
        <v>211</v>
      </c>
      <c r="H2668" s="3" t="s">
        <v>2629</v>
      </c>
      <c r="I2668" s="3" t="s">
        <v>32</v>
      </c>
      <c r="J2668" s="3" t="s">
        <v>33</v>
      </c>
      <c r="K2668" s="3" t="s">
        <v>28</v>
      </c>
      <c r="L2668" s="3" t="s">
        <v>28</v>
      </c>
      <c r="M2668" s="3" t="s">
        <v>28</v>
      </c>
      <c r="N2668" s="3" t="s">
        <v>28</v>
      </c>
      <c r="O2668" s="3" t="s">
        <v>28</v>
      </c>
      <c r="P2668" s="3" t="s">
        <v>28</v>
      </c>
      <c r="Q2668" s="3" t="s">
        <v>28</v>
      </c>
      <c r="R2668" s="3" t="s">
        <v>28</v>
      </c>
      <c r="S2668" s="3" t="s">
        <v>28</v>
      </c>
      <c r="T2668" s="3" t="s">
        <v>28</v>
      </c>
    </row>
    <row r="2669" spans="1:20" ht="244.5">
      <c r="A2669" s="3">
        <v>2687257</v>
      </c>
      <c r="B2669" s="3">
        <f>HYPERLINK("https://platform.v2.vetology.net/cases/2687257/screening-report/6?type=pdf&amp;v=v6&amp;scorecard=1&amp;secret_key=BX%25IJ%24%2F65ieZ%29f6", 2687257)</f>
        <v>2687257</v>
      </c>
      <c r="C2669" s="3">
        <f>HYPERLINK("https://platform.v2.vetology.net/report/v/final/"&amp;2687257, 2687257)</f>
        <v>2687257</v>
      </c>
      <c r="D2669" s="3" t="s">
        <v>9052</v>
      </c>
      <c r="E2669" s="3" t="s">
        <v>9053</v>
      </c>
      <c r="F2669" s="3" t="s">
        <v>1049</v>
      </c>
      <c r="G2669" s="3" t="s">
        <v>100</v>
      </c>
      <c r="H2669" s="3" t="s">
        <v>9054</v>
      </c>
      <c r="I2669" s="3" t="s">
        <v>4827</v>
      </c>
      <c r="J2669" s="3" t="s">
        <v>4700</v>
      </c>
      <c r="K2669" s="3" t="s">
        <v>27</v>
      </c>
      <c r="L2669" s="3" t="s">
        <v>28</v>
      </c>
      <c r="M2669" s="3" t="s">
        <v>27</v>
      </c>
      <c r="N2669" s="3" t="s">
        <v>28</v>
      </c>
      <c r="O2669" s="3" t="s">
        <v>27</v>
      </c>
      <c r="P2669" s="3" t="s">
        <v>28</v>
      </c>
      <c r="Q2669" s="3" t="s">
        <v>28</v>
      </c>
      <c r="R2669" s="3" t="s">
        <v>28</v>
      </c>
      <c r="S2669" s="3" t="s">
        <v>28</v>
      </c>
      <c r="T2669" s="3" t="s">
        <v>28</v>
      </c>
    </row>
    <row r="2670" spans="1:20" ht="229.5">
      <c r="A2670" s="3">
        <v>2687244</v>
      </c>
      <c r="B2670" s="3">
        <f>HYPERLINK("https://platform.v2.vetology.net/cases/2687244/screening-report/6?type=pdf&amp;v=v6&amp;scorecard=1&amp;secret_key=BX%25IJ%24%2F65ieZ%29f6", 2687244)</f>
        <v>2687244</v>
      </c>
      <c r="C2670" s="3">
        <f>HYPERLINK("https://platform.v2.vetology.net/report/v/final/"&amp;2687244, 2687244)</f>
        <v>2687244</v>
      </c>
      <c r="D2670" s="3" t="s">
        <v>9055</v>
      </c>
      <c r="E2670" s="3" t="s">
        <v>9056</v>
      </c>
      <c r="F2670" s="3" t="s">
        <v>956</v>
      </c>
      <c r="G2670" s="3" t="s">
        <v>100</v>
      </c>
      <c r="H2670" s="3" t="s">
        <v>9057</v>
      </c>
      <c r="I2670" s="3"/>
      <c r="J2670" s="3" t="s">
        <v>207</v>
      </c>
      <c r="K2670" s="3" t="s">
        <v>27</v>
      </c>
      <c r="L2670" s="3" t="s">
        <v>28</v>
      </c>
      <c r="M2670" s="3" t="s">
        <v>28</v>
      </c>
      <c r="N2670" s="3" t="s">
        <v>28</v>
      </c>
      <c r="O2670" s="3" t="s">
        <v>27</v>
      </c>
      <c r="P2670" s="3" t="s">
        <v>28</v>
      </c>
      <c r="Q2670" s="3" t="s">
        <v>28</v>
      </c>
      <c r="R2670" s="3" t="s">
        <v>28</v>
      </c>
      <c r="S2670" s="3" t="s">
        <v>28</v>
      </c>
      <c r="T2670" s="3" t="s">
        <v>28</v>
      </c>
    </row>
    <row r="2671" spans="1:20" ht="409.6">
      <c r="A2671" s="3">
        <v>2687230</v>
      </c>
      <c r="B2671" s="3">
        <f>HYPERLINK("https://platform.v2.vetology.net/cases/2687230/screening-report/6?type=pdf&amp;v=v6&amp;scorecard=1&amp;secret_key=BX%25IJ%24%2F65ieZ%29f6", 2687230)</f>
        <v>2687230</v>
      </c>
      <c r="C2671" s="3">
        <f>HYPERLINK("https://platform.v2.vetology.net/report/v/final/"&amp;2687230, 2687230)</f>
        <v>2687230</v>
      </c>
      <c r="D2671" s="3" t="s">
        <v>9058</v>
      </c>
      <c r="E2671" s="3" t="s">
        <v>9059</v>
      </c>
      <c r="F2671" s="3" t="s">
        <v>9060</v>
      </c>
      <c r="G2671" s="3" t="s">
        <v>736</v>
      </c>
      <c r="H2671" s="3" t="s">
        <v>9061</v>
      </c>
      <c r="I2671" s="3" t="s">
        <v>1611</v>
      </c>
      <c r="J2671" s="3" t="s">
        <v>1612</v>
      </c>
      <c r="K2671" s="3" t="s">
        <v>28</v>
      </c>
      <c r="L2671" s="3" t="s">
        <v>28</v>
      </c>
      <c r="M2671" s="3" t="s">
        <v>28</v>
      </c>
      <c r="N2671" s="3" t="s">
        <v>28</v>
      </c>
      <c r="O2671" s="3" t="s">
        <v>27</v>
      </c>
      <c r="P2671" s="3" t="s">
        <v>28</v>
      </c>
      <c r="Q2671" s="3" t="s">
        <v>28</v>
      </c>
      <c r="R2671" s="3" t="s">
        <v>28</v>
      </c>
      <c r="S2671" s="3" t="s">
        <v>27</v>
      </c>
      <c r="T2671" s="3" t="s">
        <v>28</v>
      </c>
    </row>
    <row r="2672" spans="1:20" ht="396.75">
      <c r="A2672" s="3">
        <v>2687227</v>
      </c>
      <c r="B2672" s="3">
        <f>HYPERLINK("https://platform.v2.vetology.net/cases/2687227/screening-report/6?type=pdf&amp;v=v6&amp;scorecard=1&amp;secret_key=BX%25IJ%24%2F65ieZ%29f6", 2687227)</f>
        <v>2687227</v>
      </c>
      <c r="C2672" s="3">
        <f>HYPERLINK("https://platform.v2.vetology.net/report/v/final/"&amp;2687227, 2687227)</f>
        <v>2687227</v>
      </c>
      <c r="D2672" s="3" t="s">
        <v>9062</v>
      </c>
      <c r="E2672" s="3" t="s">
        <v>9063</v>
      </c>
      <c r="F2672" s="3"/>
      <c r="G2672" s="3" t="s">
        <v>100</v>
      </c>
      <c r="H2672" s="3" t="s">
        <v>9064</v>
      </c>
      <c r="I2672" s="3" t="s">
        <v>816</v>
      </c>
      <c r="J2672" s="3" t="s">
        <v>817</v>
      </c>
      <c r="K2672" s="3" t="s">
        <v>28</v>
      </c>
      <c r="L2672" s="3" t="s">
        <v>27</v>
      </c>
      <c r="M2672" s="3" t="s">
        <v>28</v>
      </c>
      <c r="N2672" s="3" t="s">
        <v>27</v>
      </c>
      <c r="O2672" s="3" t="s">
        <v>27</v>
      </c>
      <c r="P2672" s="3" t="s">
        <v>28</v>
      </c>
      <c r="Q2672" s="3" t="s">
        <v>28</v>
      </c>
      <c r="R2672" s="3" t="s">
        <v>27</v>
      </c>
      <c r="S2672" s="3" t="s">
        <v>28</v>
      </c>
      <c r="T2672" s="3" t="s">
        <v>28</v>
      </c>
    </row>
    <row r="2673" spans="1:20" ht="229.5">
      <c r="A2673" s="3">
        <v>2687209</v>
      </c>
      <c r="B2673" s="3">
        <f>HYPERLINK("https://platform.v2.vetology.net/cases/2687209/screening-report/6?type=pdf&amp;v=v6&amp;scorecard=1&amp;secret_key=BX%25IJ%24%2F65ieZ%29f6", 2687209)</f>
        <v>2687209</v>
      </c>
      <c r="C2673" s="3">
        <f>HYPERLINK("https://platform.v2.vetology.net/report/v/final/"&amp;2687209, 2687209)</f>
        <v>2687209</v>
      </c>
      <c r="D2673" s="3" t="s">
        <v>9065</v>
      </c>
      <c r="E2673" s="3" t="s">
        <v>9066</v>
      </c>
      <c r="F2673" s="3" t="s">
        <v>22</v>
      </c>
      <c r="G2673" s="3" t="s">
        <v>372</v>
      </c>
      <c r="H2673" s="3" t="s">
        <v>7371</v>
      </c>
      <c r="I2673" s="3" t="s">
        <v>305</v>
      </c>
      <c r="J2673" s="3" t="s">
        <v>119</v>
      </c>
      <c r="K2673" s="3" t="s">
        <v>28</v>
      </c>
      <c r="L2673" s="3" t="s">
        <v>28</v>
      </c>
      <c r="M2673" s="3" t="s">
        <v>28</v>
      </c>
      <c r="N2673" s="3" t="s">
        <v>28</v>
      </c>
      <c r="O2673" s="3" t="s">
        <v>28</v>
      </c>
      <c r="P2673" s="3" t="s">
        <v>28</v>
      </c>
      <c r="Q2673" s="3" t="s">
        <v>28</v>
      </c>
      <c r="R2673" s="3" t="s">
        <v>28</v>
      </c>
      <c r="S2673" s="3" t="s">
        <v>28</v>
      </c>
      <c r="T2673" s="3" t="s">
        <v>28</v>
      </c>
    </row>
    <row r="2674" spans="1:20" ht="409.6">
      <c r="A2674" s="3">
        <v>2687200</v>
      </c>
      <c r="B2674" s="3">
        <f>HYPERLINK("https://platform.v2.vetology.net/cases/2687200/screening-report/6?type=pdf&amp;v=v6&amp;scorecard=1&amp;secret_key=BX%25IJ%24%2F65ieZ%29f6", 2687200)</f>
        <v>2687200</v>
      </c>
      <c r="C2674" s="3">
        <f>HYPERLINK("https://platform.v2.vetology.net/report/v/final/"&amp;2687200, 2687200)</f>
        <v>2687200</v>
      </c>
      <c r="D2674" s="3" t="s">
        <v>9067</v>
      </c>
      <c r="E2674" s="3" t="s">
        <v>9068</v>
      </c>
      <c r="F2674" s="3" t="s">
        <v>9069</v>
      </c>
      <c r="G2674" s="3" t="s">
        <v>566</v>
      </c>
      <c r="H2674" s="3" t="s">
        <v>9070</v>
      </c>
      <c r="I2674" s="3" t="s">
        <v>1497</v>
      </c>
      <c r="J2674" s="3" t="s">
        <v>399</v>
      </c>
      <c r="K2674" s="3" t="s">
        <v>28</v>
      </c>
      <c r="L2674" s="3" t="s">
        <v>28</v>
      </c>
      <c r="M2674" s="3" t="s">
        <v>28</v>
      </c>
      <c r="N2674" s="3" t="s">
        <v>28</v>
      </c>
      <c r="O2674" s="3" t="s">
        <v>27</v>
      </c>
      <c r="P2674" s="3" t="s">
        <v>28</v>
      </c>
      <c r="Q2674" s="3" t="s">
        <v>27</v>
      </c>
      <c r="R2674" s="3" t="s">
        <v>28</v>
      </c>
      <c r="S2674" s="3" t="s">
        <v>28</v>
      </c>
      <c r="T2674" s="3" t="s">
        <v>27</v>
      </c>
    </row>
    <row r="2675" spans="1:20" ht="229.5">
      <c r="A2675" s="3">
        <v>2687196</v>
      </c>
      <c r="B2675" s="3">
        <f>HYPERLINK("https://platform.v2.vetology.net/cases/2687196/screening-report/6?type=pdf&amp;v=v6&amp;scorecard=1&amp;secret_key=BX%25IJ%24%2F65ieZ%29f6", 2687196)</f>
        <v>2687196</v>
      </c>
      <c r="C2675" s="3">
        <f>HYPERLINK("https://platform.v2.vetology.net/report/v/final/"&amp;2687196, 2687196)</f>
        <v>2687196</v>
      </c>
      <c r="D2675" s="3" t="s">
        <v>9071</v>
      </c>
      <c r="E2675" s="3" t="s">
        <v>5743</v>
      </c>
      <c r="F2675" s="3" t="s">
        <v>22</v>
      </c>
      <c r="G2675" s="3" t="s">
        <v>100</v>
      </c>
      <c r="H2675" s="3" t="s">
        <v>9072</v>
      </c>
      <c r="I2675" s="3" t="s">
        <v>305</v>
      </c>
      <c r="J2675" s="3" t="s">
        <v>119</v>
      </c>
      <c r="K2675" s="3" t="s">
        <v>28</v>
      </c>
      <c r="L2675" s="3" t="s">
        <v>28</v>
      </c>
      <c r="M2675" s="3" t="s">
        <v>28</v>
      </c>
      <c r="N2675" s="3" t="s">
        <v>28</v>
      </c>
      <c r="O2675" s="3" t="s">
        <v>28</v>
      </c>
      <c r="P2675" s="3" t="s">
        <v>28</v>
      </c>
      <c r="Q2675" s="3" t="s">
        <v>28</v>
      </c>
      <c r="R2675" s="3" t="s">
        <v>28</v>
      </c>
      <c r="S2675" s="3" t="s">
        <v>28</v>
      </c>
      <c r="T2675" s="3" t="s">
        <v>28</v>
      </c>
    </row>
    <row r="2676" spans="1:20" ht="366">
      <c r="A2676" s="3">
        <v>2687188</v>
      </c>
      <c r="B2676" s="3">
        <f>HYPERLINK("https://platform.v2.vetology.net/cases/2687188/screening-report/6?type=pdf&amp;v=v6&amp;scorecard=1&amp;secret_key=BX%25IJ%24%2F65ieZ%29f6", 2687188)</f>
        <v>2687188</v>
      </c>
      <c r="C2676" s="3">
        <f>HYPERLINK("https://platform.v2.vetology.net/report/v/final/"&amp;2687188, 2687188)</f>
        <v>2687188</v>
      </c>
      <c r="D2676" s="3" t="s">
        <v>9073</v>
      </c>
      <c r="E2676" s="3" t="s">
        <v>9074</v>
      </c>
      <c r="F2676" s="3" t="s">
        <v>9075</v>
      </c>
      <c r="G2676" s="3" t="s">
        <v>186</v>
      </c>
      <c r="H2676" s="3" t="s">
        <v>9076</v>
      </c>
      <c r="I2676" s="3" t="s">
        <v>1483</v>
      </c>
      <c r="J2676" s="3" t="s">
        <v>5778</v>
      </c>
      <c r="K2676" s="3" t="s">
        <v>28</v>
      </c>
      <c r="L2676" s="3" t="s">
        <v>28</v>
      </c>
      <c r="M2676" s="3" t="s">
        <v>28</v>
      </c>
      <c r="N2676" s="3" t="s">
        <v>28</v>
      </c>
      <c r="O2676" s="3" t="s">
        <v>27</v>
      </c>
      <c r="P2676" s="3" t="s">
        <v>28</v>
      </c>
      <c r="Q2676" s="3" t="s">
        <v>28</v>
      </c>
      <c r="R2676" s="3" t="s">
        <v>28</v>
      </c>
      <c r="S2676" s="3" t="s">
        <v>28</v>
      </c>
      <c r="T2676" s="3" t="s">
        <v>27</v>
      </c>
    </row>
    <row r="2677" spans="1:20" ht="305.25">
      <c r="A2677" s="3">
        <v>2687183</v>
      </c>
      <c r="B2677" s="3">
        <f>HYPERLINK("https://platform.v2.vetology.net/cases/2687183/screening-report/6?type=pdf&amp;v=v6&amp;scorecard=1&amp;secret_key=BX%25IJ%24%2F65ieZ%29f6", 2687183)</f>
        <v>2687183</v>
      </c>
      <c r="C2677" s="3">
        <f>HYPERLINK("https://platform.v2.vetology.net/report/v/final/"&amp;2687183, 2687183)</f>
        <v>2687183</v>
      </c>
      <c r="D2677" s="3" t="s">
        <v>9077</v>
      </c>
      <c r="E2677" s="3" t="s">
        <v>9078</v>
      </c>
      <c r="F2677" s="3" t="s">
        <v>1762</v>
      </c>
      <c r="G2677" s="3" t="s">
        <v>100</v>
      </c>
      <c r="H2677" s="3" t="s">
        <v>31</v>
      </c>
      <c r="I2677" s="3" t="s">
        <v>32</v>
      </c>
      <c r="J2677" s="3" t="s">
        <v>33</v>
      </c>
      <c r="K2677" s="3" t="s">
        <v>28</v>
      </c>
      <c r="L2677" s="3" t="s">
        <v>28</v>
      </c>
      <c r="M2677" s="3" t="s">
        <v>28</v>
      </c>
      <c r="N2677" s="3" t="s">
        <v>28</v>
      </c>
      <c r="O2677" s="3" t="s">
        <v>27</v>
      </c>
      <c r="P2677" s="3" t="s">
        <v>28</v>
      </c>
      <c r="Q2677" s="3" t="s">
        <v>28</v>
      </c>
      <c r="R2677" s="3" t="s">
        <v>28</v>
      </c>
      <c r="S2677" s="3" t="s">
        <v>28</v>
      </c>
      <c r="T2677" s="3" t="s">
        <v>28</v>
      </c>
    </row>
    <row r="2678" spans="1:20" ht="290.25">
      <c r="A2678" s="3">
        <v>2687170</v>
      </c>
      <c r="B2678" s="3">
        <f>HYPERLINK("https://platform.v2.vetology.net/cases/2687170/screening-report/6?type=pdf&amp;v=v6&amp;scorecard=1&amp;secret_key=BX%25IJ%24%2F65ieZ%29f6", 2687170)</f>
        <v>2687170</v>
      </c>
      <c r="C2678" s="3">
        <f>HYPERLINK("https://platform.v2.vetology.net/report/v/final/"&amp;2687170, 2687170)</f>
        <v>2687170</v>
      </c>
      <c r="D2678" s="3" t="s">
        <v>9079</v>
      </c>
      <c r="E2678" s="3" t="s">
        <v>9080</v>
      </c>
      <c r="F2678" s="3" t="s">
        <v>8863</v>
      </c>
      <c r="G2678" s="3" t="s">
        <v>186</v>
      </c>
      <c r="H2678" s="3" t="s">
        <v>9081</v>
      </c>
      <c r="I2678" s="3" t="s">
        <v>3619</v>
      </c>
      <c r="J2678" s="3" t="s">
        <v>3620</v>
      </c>
      <c r="K2678" s="3" t="s">
        <v>28</v>
      </c>
      <c r="L2678" s="3" t="s">
        <v>27</v>
      </c>
      <c r="M2678" s="3" t="s">
        <v>28</v>
      </c>
      <c r="N2678" s="3" t="s">
        <v>27</v>
      </c>
      <c r="O2678" s="3" t="s">
        <v>27</v>
      </c>
      <c r="P2678" s="3" t="s">
        <v>28</v>
      </c>
      <c r="Q2678" s="3" t="s">
        <v>27</v>
      </c>
      <c r="R2678" s="3" t="s">
        <v>28</v>
      </c>
      <c r="S2678" s="3" t="s">
        <v>27</v>
      </c>
      <c r="T2678" s="3" t="s">
        <v>27</v>
      </c>
    </row>
    <row r="2679" spans="1:20" ht="351">
      <c r="A2679" s="3">
        <v>2687168</v>
      </c>
      <c r="B2679" s="3">
        <f>HYPERLINK("https://platform.v2.vetology.net/cases/2687168/screening-report/6?type=pdf&amp;v=v6&amp;scorecard=1&amp;secret_key=BX%25IJ%24%2F65ieZ%29f6", 2687168)</f>
        <v>2687168</v>
      </c>
      <c r="C2679" s="3">
        <f>HYPERLINK("https://platform.v2.vetology.net/report/v/final/"&amp;2687168, 2687168)</f>
        <v>2687168</v>
      </c>
      <c r="D2679" s="3" t="s">
        <v>9082</v>
      </c>
      <c r="E2679" s="3" t="s">
        <v>9083</v>
      </c>
      <c r="F2679" s="3" t="s">
        <v>22</v>
      </c>
      <c r="G2679" s="3" t="s">
        <v>100</v>
      </c>
      <c r="H2679" s="3" t="s">
        <v>9084</v>
      </c>
      <c r="I2679" s="3" t="s">
        <v>9085</v>
      </c>
      <c r="J2679" s="3" t="s">
        <v>9086</v>
      </c>
      <c r="K2679" s="3" t="s">
        <v>28</v>
      </c>
      <c r="L2679" s="3" t="s">
        <v>28</v>
      </c>
      <c r="M2679" s="3" t="s">
        <v>27</v>
      </c>
      <c r="N2679" s="3" t="s">
        <v>28</v>
      </c>
      <c r="O2679" s="3" t="s">
        <v>28</v>
      </c>
      <c r="P2679" s="3" t="s">
        <v>28</v>
      </c>
      <c r="Q2679" s="3" t="s">
        <v>28</v>
      </c>
      <c r="R2679" s="3" t="s">
        <v>28</v>
      </c>
      <c r="S2679" s="3" t="s">
        <v>28</v>
      </c>
      <c r="T2679" s="3" t="s">
        <v>27</v>
      </c>
    </row>
    <row r="2680" spans="1:20" ht="409.6">
      <c r="A2680" s="3">
        <v>2687158</v>
      </c>
      <c r="B2680" s="3">
        <f>HYPERLINK("https://platform.v2.vetology.net/cases/2687158/screening-report/6?type=pdf&amp;v=v6&amp;scorecard=1&amp;secret_key=BX%25IJ%24%2F65ieZ%29f6", 2687158)</f>
        <v>2687158</v>
      </c>
      <c r="C2680" s="3">
        <f>HYPERLINK("https://platform.v2.vetology.net/report/v/final/"&amp;2687158, 2687158)</f>
        <v>2687158</v>
      </c>
      <c r="D2680" s="3" t="s">
        <v>9087</v>
      </c>
      <c r="E2680" s="3" t="s">
        <v>9088</v>
      </c>
      <c r="F2680" s="3" t="s">
        <v>9089</v>
      </c>
      <c r="G2680" s="3" t="s">
        <v>57</v>
      </c>
      <c r="H2680" s="3" t="s">
        <v>31</v>
      </c>
      <c r="I2680" s="3" t="s">
        <v>1497</v>
      </c>
      <c r="J2680" s="3" t="s">
        <v>33</v>
      </c>
      <c r="K2680" s="3" t="s">
        <v>28</v>
      </c>
      <c r="L2680" s="3" t="s">
        <v>28</v>
      </c>
      <c r="M2680" s="3" t="s">
        <v>28</v>
      </c>
      <c r="N2680" s="3" t="s">
        <v>27</v>
      </c>
      <c r="O2680" s="3" t="s">
        <v>27</v>
      </c>
      <c r="P2680" s="3" t="s">
        <v>27</v>
      </c>
      <c r="Q2680" s="3" t="s">
        <v>27</v>
      </c>
      <c r="R2680" s="3" t="s">
        <v>28</v>
      </c>
      <c r="S2680" s="3" t="s">
        <v>28</v>
      </c>
      <c r="T2680" s="3" t="s">
        <v>28</v>
      </c>
    </row>
    <row r="2681" spans="1:20" ht="409.6">
      <c r="A2681" s="3">
        <v>2687157</v>
      </c>
      <c r="B2681" s="3">
        <f>HYPERLINK("https://platform.v2.vetology.net/cases/2687157/screening-report/6?type=pdf&amp;v=v6&amp;scorecard=1&amp;secret_key=BX%25IJ%24%2F65ieZ%29f6", 2687157)</f>
        <v>2687157</v>
      </c>
      <c r="C2681" s="3">
        <f>HYPERLINK("https://platform.v2.vetology.net/report/v/final/"&amp;2687157, 2687157)</f>
        <v>2687157</v>
      </c>
      <c r="D2681" s="3" t="s">
        <v>9090</v>
      </c>
      <c r="E2681" s="3" t="s">
        <v>9091</v>
      </c>
      <c r="F2681" s="3" t="s">
        <v>22</v>
      </c>
      <c r="G2681" s="3" t="s">
        <v>372</v>
      </c>
      <c r="H2681" s="3" t="s">
        <v>1338</v>
      </c>
      <c r="I2681" s="3" t="s">
        <v>1339</v>
      </c>
      <c r="J2681" s="3" t="s">
        <v>1340</v>
      </c>
      <c r="K2681" s="3" t="s">
        <v>27</v>
      </c>
      <c r="L2681" s="3" t="s">
        <v>28</v>
      </c>
      <c r="M2681" s="3" t="s">
        <v>27</v>
      </c>
      <c r="N2681" s="3" t="s">
        <v>28</v>
      </c>
      <c r="O2681" s="3" t="s">
        <v>27</v>
      </c>
      <c r="P2681" s="3" t="s">
        <v>28</v>
      </c>
      <c r="Q2681" s="3" t="s">
        <v>27</v>
      </c>
      <c r="R2681" s="3" t="s">
        <v>28</v>
      </c>
      <c r="S2681" s="3" t="s">
        <v>28</v>
      </c>
      <c r="T2681" s="3" t="s">
        <v>28</v>
      </c>
    </row>
    <row r="2682" spans="1:20" ht="351">
      <c r="A2682" s="3">
        <v>2687146</v>
      </c>
      <c r="B2682" s="3">
        <f>HYPERLINK("https://platform.v2.vetology.net/cases/2687146/screening-report/6?type=pdf&amp;v=v6&amp;scorecard=1&amp;secret_key=BX%25IJ%24%2F65ieZ%29f6", 2687146)</f>
        <v>2687146</v>
      </c>
      <c r="C2682" s="3">
        <f>HYPERLINK("https://platform.v2.vetology.net/report/v/final/"&amp;2687146, 2687146)</f>
        <v>2687146</v>
      </c>
      <c r="D2682" s="3" t="s">
        <v>9092</v>
      </c>
      <c r="E2682" s="3" t="s">
        <v>9093</v>
      </c>
      <c r="F2682" s="3" t="s">
        <v>9094</v>
      </c>
      <c r="G2682" s="3" t="s">
        <v>186</v>
      </c>
      <c r="H2682" s="3" t="s">
        <v>9095</v>
      </c>
      <c r="I2682" s="3" t="s">
        <v>3835</v>
      </c>
      <c r="J2682" s="3" t="s">
        <v>3009</v>
      </c>
      <c r="K2682" s="3" t="s">
        <v>27</v>
      </c>
      <c r="L2682" s="3" t="s">
        <v>28</v>
      </c>
      <c r="M2682" s="3" t="s">
        <v>27</v>
      </c>
      <c r="N2682" s="3" t="s">
        <v>28</v>
      </c>
      <c r="O2682" s="3" t="s">
        <v>27</v>
      </c>
      <c r="P2682" s="3" t="s">
        <v>28</v>
      </c>
      <c r="Q2682" s="3" t="s">
        <v>27</v>
      </c>
      <c r="R2682" s="3" t="s">
        <v>28</v>
      </c>
      <c r="S2682" s="3" t="s">
        <v>28</v>
      </c>
      <c r="T2682" s="3" t="s">
        <v>28</v>
      </c>
    </row>
    <row r="2683" spans="1:20" ht="229.5">
      <c r="A2683" s="3">
        <v>2687117</v>
      </c>
      <c r="B2683" s="3">
        <f>HYPERLINK("https://platform.v2.vetology.net/cases/2687117/screening-report/6?type=pdf&amp;v=v6&amp;scorecard=1&amp;secret_key=BX%25IJ%24%2F65ieZ%29f6", 2687117)</f>
        <v>2687117</v>
      </c>
      <c r="C2683" s="3">
        <f>HYPERLINK("https://platform.v2.vetology.net/report/v/final/"&amp;2687117, 2687117)</f>
        <v>2687117</v>
      </c>
      <c r="D2683" s="3" t="s">
        <v>9096</v>
      </c>
      <c r="E2683" s="3" t="s">
        <v>9097</v>
      </c>
      <c r="F2683" s="3" t="s">
        <v>5415</v>
      </c>
      <c r="G2683" s="3" t="s">
        <v>100</v>
      </c>
      <c r="H2683" s="3" t="s">
        <v>31</v>
      </c>
      <c r="I2683" s="3" t="s">
        <v>32</v>
      </c>
      <c r="J2683" s="3" t="s">
        <v>119</v>
      </c>
      <c r="K2683" s="3" t="s">
        <v>28</v>
      </c>
      <c r="L2683" s="3" t="s">
        <v>28</v>
      </c>
      <c r="M2683" s="3" t="s">
        <v>28</v>
      </c>
      <c r="N2683" s="3" t="s">
        <v>28</v>
      </c>
      <c r="O2683" s="3" t="s">
        <v>28</v>
      </c>
      <c r="P2683" s="3" t="s">
        <v>28</v>
      </c>
      <c r="Q2683" s="3" t="s">
        <v>28</v>
      </c>
      <c r="R2683" s="3" t="s">
        <v>28</v>
      </c>
      <c r="S2683" s="3" t="s">
        <v>28</v>
      </c>
      <c r="T2683" s="3" t="s">
        <v>28</v>
      </c>
    </row>
    <row r="2684" spans="1:20" ht="366">
      <c r="A2684" s="3">
        <v>2687103</v>
      </c>
      <c r="B2684" s="3">
        <f>HYPERLINK("https://platform.v2.vetology.net/cases/2687103/screening-report/6?type=pdf&amp;v=v6&amp;scorecard=1&amp;secret_key=BX%25IJ%24%2F65ieZ%29f6", 2687103)</f>
        <v>2687103</v>
      </c>
      <c r="C2684" s="3">
        <f>HYPERLINK("https://platform.v2.vetology.net/report/v/final/"&amp;2687103, 2687103)</f>
        <v>2687103</v>
      </c>
      <c r="D2684" s="3" t="s">
        <v>9098</v>
      </c>
      <c r="E2684" s="3" t="s">
        <v>9099</v>
      </c>
      <c r="F2684" s="3" t="s">
        <v>9100</v>
      </c>
      <c r="G2684" s="3" t="s">
        <v>100</v>
      </c>
      <c r="H2684" s="3" t="s">
        <v>6121</v>
      </c>
      <c r="I2684" s="3" t="s">
        <v>200</v>
      </c>
      <c r="J2684" s="3" t="s">
        <v>219</v>
      </c>
      <c r="K2684" s="3" t="s">
        <v>27</v>
      </c>
      <c r="L2684" s="3" t="s">
        <v>28</v>
      </c>
      <c r="M2684" s="3" t="s">
        <v>28</v>
      </c>
      <c r="N2684" s="3" t="s">
        <v>28</v>
      </c>
      <c r="O2684" s="3" t="s">
        <v>27</v>
      </c>
      <c r="P2684" s="3" t="s">
        <v>28</v>
      </c>
      <c r="Q2684" s="3" t="s">
        <v>28</v>
      </c>
      <c r="R2684" s="3" t="s">
        <v>28</v>
      </c>
      <c r="S2684" s="3" t="s">
        <v>28</v>
      </c>
      <c r="T2684" s="3" t="s">
        <v>28</v>
      </c>
    </row>
    <row r="2685" spans="1:20" ht="275.25">
      <c r="A2685" s="3">
        <v>2687087</v>
      </c>
      <c r="B2685" s="3">
        <f>HYPERLINK("https://platform.v2.vetology.net/cases/2687087/screening-report/6?type=pdf&amp;v=v6&amp;scorecard=1&amp;secret_key=BX%25IJ%24%2F65ieZ%29f6", 2687087)</f>
        <v>2687087</v>
      </c>
      <c r="C2685" s="3">
        <f>HYPERLINK("https://platform.v2.vetology.net/report/v/final/"&amp;2687087, 2687087)</f>
        <v>2687087</v>
      </c>
      <c r="D2685" s="3" t="s">
        <v>9101</v>
      </c>
      <c r="E2685" s="3" t="s">
        <v>9102</v>
      </c>
      <c r="F2685" s="3" t="s">
        <v>22</v>
      </c>
      <c r="G2685" s="3" t="s">
        <v>100</v>
      </c>
      <c r="H2685" s="3" t="s">
        <v>3877</v>
      </c>
      <c r="I2685" s="3" t="s">
        <v>2011</v>
      </c>
      <c r="J2685" s="3" t="s">
        <v>225</v>
      </c>
      <c r="K2685" s="3" t="s">
        <v>28</v>
      </c>
      <c r="L2685" s="3" t="s">
        <v>27</v>
      </c>
      <c r="M2685" s="3" t="s">
        <v>27</v>
      </c>
      <c r="N2685" s="3" t="s">
        <v>27</v>
      </c>
      <c r="O2685" s="3" t="s">
        <v>27</v>
      </c>
      <c r="P2685" s="3" t="s">
        <v>28</v>
      </c>
      <c r="Q2685" s="3" t="s">
        <v>28</v>
      </c>
      <c r="R2685" s="3" t="s">
        <v>27</v>
      </c>
      <c r="S2685" s="3" t="s">
        <v>27</v>
      </c>
      <c r="T2685" s="3" t="s">
        <v>27</v>
      </c>
    </row>
    <row r="2686" spans="1:20" ht="409.6">
      <c r="A2686" s="3">
        <v>2687066</v>
      </c>
      <c r="B2686" s="3">
        <f>HYPERLINK("https://platform.v2.vetology.net/cases/2687066/screening-report/6?type=pdf&amp;v=v6&amp;scorecard=1&amp;secret_key=BX%25IJ%24%2F65ieZ%29f6", 2687066)</f>
        <v>2687066</v>
      </c>
      <c r="C2686" s="3">
        <f>HYPERLINK("https://platform.v2.vetology.net/report/v/final/"&amp;2687066, 2687066)</f>
        <v>2687066</v>
      </c>
      <c r="D2686" s="3" t="s">
        <v>9103</v>
      </c>
      <c r="E2686" s="3" t="s">
        <v>9104</v>
      </c>
      <c r="F2686" s="3" t="s">
        <v>9105</v>
      </c>
      <c r="G2686" s="3" t="s">
        <v>64</v>
      </c>
      <c r="H2686" s="3" t="s">
        <v>1478</v>
      </c>
      <c r="I2686" s="3" t="s">
        <v>279</v>
      </c>
      <c r="J2686" s="3" t="s">
        <v>280</v>
      </c>
      <c r="K2686" s="3" t="s">
        <v>28</v>
      </c>
      <c r="L2686" s="3" t="s">
        <v>28</v>
      </c>
      <c r="M2686" s="3" t="s">
        <v>28</v>
      </c>
      <c r="N2686" s="3" t="s">
        <v>27</v>
      </c>
      <c r="O2686" s="3" t="s">
        <v>28</v>
      </c>
      <c r="P2686" s="3" t="s">
        <v>28</v>
      </c>
      <c r="Q2686" s="3" t="s">
        <v>28</v>
      </c>
      <c r="R2686" s="3" t="s">
        <v>28</v>
      </c>
      <c r="S2686" s="3" t="s">
        <v>28</v>
      </c>
      <c r="T2686" s="3" t="s">
        <v>28</v>
      </c>
    </row>
    <row r="2687" spans="1:20" ht="351">
      <c r="A2687" s="3">
        <v>2687061</v>
      </c>
      <c r="B2687" s="3">
        <f>HYPERLINK("https://platform.v2.vetology.net/cases/2687061/screening-report/6?type=pdf&amp;v=v6&amp;scorecard=1&amp;secret_key=BX%25IJ%24%2F65ieZ%29f6", 2687061)</f>
        <v>2687061</v>
      </c>
      <c r="C2687" s="3">
        <f>HYPERLINK("https://platform.v2.vetology.net/report/v/final/"&amp;2687061, 2687061)</f>
        <v>2687061</v>
      </c>
      <c r="D2687" s="3" t="s">
        <v>9106</v>
      </c>
      <c r="E2687" s="3" t="s">
        <v>9107</v>
      </c>
      <c r="F2687" s="3" t="s">
        <v>3298</v>
      </c>
      <c r="G2687" s="3" t="s">
        <v>100</v>
      </c>
      <c r="H2687" s="3" t="s">
        <v>9108</v>
      </c>
      <c r="I2687" s="3" t="s">
        <v>3247</v>
      </c>
      <c r="J2687" s="3" t="s">
        <v>3248</v>
      </c>
      <c r="K2687" s="3" t="s">
        <v>28</v>
      </c>
      <c r="L2687" s="3" t="s">
        <v>28</v>
      </c>
      <c r="M2687" s="3" t="s">
        <v>28</v>
      </c>
      <c r="N2687" s="3" t="s">
        <v>28</v>
      </c>
      <c r="O2687" s="3" t="s">
        <v>27</v>
      </c>
      <c r="P2687" s="3" t="s">
        <v>27</v>
      </c>
      <c r="Q2687" s="3" t="s">
        <v>27</v>
      </c>
      <c r="R2687" s="3" t="s">
        <v>28</v>
      </c>
      <c r="S2687" s="3" t="s">
        <v>27</v>
      </c>
      <c r="T2687" s="3" t="s">
        <v>27</v>
      </c>
    </row>
    <row r="2688" spans="1:20" ht="229.5">
      <c r="A2688" s="3">
        <v>2687038</v>
      </c>
      <c r="B2688" s="3">
        <f>HYPERLINK("https://platform.v2.vetology.net/cases/2687038/screening-report/6?type=pdf&amp;v=v6&amp;scorecard=1&amp;secret_key=BX%25IJ%24%2F65ieZ%29f6", 2687038)</f>
        <v>2687038</v>
      </c>
      <c r="C2688" s="3">
        <f>HYPERLINK("https://platform.v2.vetology.net/report/v/final/"&amp;2687038, 2687038)</f>
        <v>2687038</v>
      </c>
      <c r="D2688" s="3" t="s">
        <v>9109</v>
      </c>
      <c r="E2688" s="3" t="s">
        <v>9110</v>
      </c>
      <c r="F2688" s="3" t="s">
        <v>9111</v>
      </c>
      <c r="G2688" s="3" t="s">
        <v>100</v>
      </c>
      <c r="H2688" s="3" t="s">
        <v>118</v>
      </c>
      <c r="I2688" s="3" t="s">
        <v>2041</v>
      </c>
      <c r="J2688" s="3" t="s">
        <v>2042</v>
      </c>
      <c r="K2688" s="3" t="s">
        <v>27</v>
      </c>
      <c r="L2688" s="3" t="s">
        <v>28</v>
      </c>
      <c r="M2688" s="3" t="s">
        <v>28</v>
      </c>
      <c r="N2688" s="3" t="s">
        <v>28</v>
      </c>
      <c r="O2688" s="3" t="s">
        <v>28</v>
      </c>
      <c r="P2688" s="3" t="s">
        <v>28</v>
      </c>
      <c r="Q2688" s="3" t="s">
        <v>28</v>
      </c>
      <c r="R2688" s="3" t="s">
        <v>28</v>
      </c>
      <c r="S2688" s="3" t="s">
        <v>28</v>
      </c>
      <c r="T2688" s="3" t="s">
        <v>28</v>
      </c>
    </row>
    <row r="2689" spans="1:20" ht="409.6">
      <c r="A2689" s="3">
        <v>2686960</v>
      </c>
      <c r="B2689" s="3">
        <f>HYPERLINK("https://platform.v2.vetology.net/cases/2686960/screening-report/6?type=pdf&amp;v=v6&amp;scorecard=1&amp;secret_key=BX%25IJ%24%2F65ieZ%29f6", 2686960)</f>
        <v>2686960</v>
      </c>
      <c r="C2689" s="3">
        <f>HYPERLINK("https://platform.v2.vetology.net/report/v/final/"&amp;2686960, 2686960)</f>
        <v>2686960</v>
      </c>
      <c r="D2689" s="3" t="s">
        <v>9112</v>
      </c>
      <c r="E2689" s="3" t="s">
        <v>9113</v>
      </c>
      <c r="F2689" s="3" t="s">
        <v>9114</v>
      </c>
      <c r="G2689" s="3" t="s">
        <v>834</v>
      </c>
      <c r="H2689" s="3" t="s">
        <v>9115</v>
      </c>
      <c r="I2689" s="3" t="s">
        <v>1034</v>
      </c>
      <c r="J2689" s="3" t="s">
        <v>9116</v>
      </c>
      <c r="K2689" s="3" t="s">
        <v>28</v>
      </c>
      <c r="L2689" s="3" t="s">
        <v>28</v>
      </c>
      <c r="M2689" s="3" t="s">
        <v>28</v>
      </c>
      <c r="N2689" s="3" t="s">
        <v>27</v>
      </c>
      <c r="O2689" s="3" t="s">
        <v>27</v>
      </c>
      <c r="P2689" s="3" t="s">
        <v>28</v>
      </c>
      <c r="Q2689" s="3" t="s">
        <v>28</v>
      </c>
      <c r="R2689" s="3" t="s">
        <v>27</v>
      </c>
      <c r="S2689" s="3" t="s">
        <v>28</v>
      </c>
      <c r="T2689" s="3" t="s">
        <v>27</v>
      </c>
    </row>
    <row r="2690" spans="1:20" ht="409.6">
      <c r="A2690" s="3">
        <v>2686952</v>
      </c>
      <c r="B2690" s="3">
        <f>HYPERLINK("https://platform.v2.vetology.net/cases/2686952/screening-report/6?type=pdf&amp;v=v6&amp;scorecard=1&amp;secret_key=BX%25IJ%24%2F65ieZ%29f6", 2686952)</f>
        <v>2686952</v>
      </c>
      <c r="C2690" s="3">
        <f>HYPERLINK("https://platform.v2.vetology.net/report/v/final/"&amp;2686952, 2686952)</f>
        <v>2686952</v>
      </c>
      <c r="D2690" s="3" t="s">
        <v>9117</v>
      </c>
      <c r="E2690" s="3" t="s">
        <v>9118</v>
      </c>
      <c r="F2690" s="3" t="s">
        <v>9119</v>
      </c>
      <c r="G2690" s="3" t="s">
        <v>186</v>
      </c>
      <c r="H2690" s="3" t="s">
        <v>9120</v>
      </c>
      <c r="I2690" s="3" t="s">
        <v>9121</v>
      </c>
      <c r="J2690" s="3" t="s">
        <v>2589</v>
      </c>
      <c r="K2690" s="3" t="s">
        <v>28</v>
      </c>
      <c r="L2690" s="3" t="s">
        <v>28</v>
      </c>
      <c r="M2690" s="3" t="s">
        <v>28</v>
      </c>
      <c r="N2690" s="3" t="s">
        <v>28</v>
      </c>
      <c r="O2690" s="3" t="s">
        <v>27</v>
      </c>
      <c r="P2690" s="3" t="s">
        <v>27</v>
      </c>
      <c r="Q2690" s="3" t="s">
        <v>27</v>
      </c>
      <c r="R2690" s="3" t="s">
        <v>28</v>
      </c>
      <c r="S2690" s="3" t="s">
        <v>28</v>
      </c>
      <c r="T2690" s="3" t="s">
        <v>28</v>
      </c>
    </row>
    <row r="2691" spans="1:20" ht="409.6">
      <c r="A2691" s="3">
        <v>2686704</v>
      </c>
      <c r="B2691" s="3">
        <f>HYPERLINK("https://platform.v2.vetology.net/cases/2686704/screening-report/6?type=pdf&amp;v=v6&amp;scorecard=1&amp;secret_key=BX%25IJ%24%2F65ieZ%29f6", 2686704)</f>
        <v>2686704</v>
      </c>
      <c r="C2691" s="3">
        <f>HYPERLINK("https://platform.v2.vetology.net/report/v/final/"&amp;2686704, 2686704)</f>
        <v>2686704</v>
      </c>
      <c r="D2691" s="3" t="s">
        <v>9122</v>
      </c>
      <c r="E2691" s="3" t="s">
        <v>9123</v>
      </c>
      <c r="F2691" s="3" t="s">
        <v>9124</v>
      </c>
      <c r="G2691" s="3" t="s">
        <v>179</v>
      </c>
      <c r="H2691" s="3" t="s">
        <v>9125</v>
      </c>
      <c r="I2691" s="3" t="s">
        <v>939</v>
      </c>
      <c r="J2691" s="3" t="s">
        <v>940</v>
      </c>
      <c r="K2691" s="3" t="s">
        <v>27</v>
      </c>
      <c r="L2691" s="3" t="s">
        <v>28</v>
      </c>
      <c r="M2691" s="3" t="s">
        <v>27</v>
      </c>
      <c r="N2691" s="3" t="s">
        <v>28</v>
      </c>
      <c r="O2691" s="3" t="s">
        <v>27</v>
      </c>
      <c r="P2691" s="3" t="s">
        <v>27</v>
      </c>
      <c r="Q2691" s="3" t="s">
        <v>27</v>
      </c>
      <c r="R2691" s="3" t="s">
        <v>28</v>
      </c>
      <c r="S2691" s="3" t="s">
        <v>28</v>
      </c>
      <c r="T2691" s="3" t="s">
        <v>28</v>
      </c>
    </row>
    <row r="2692" spans="1:20" ht="321">
      <c r="A2692" s="3">
        <v>2686699</v>
      </c>
      <c r="B2692" s="3">
        <f>HYPERLINK("https://platform.v2.vetology.net/cases/2686699/screening-report/6?type=pdf&amp;v=v6&amp;scorecard=1&amp;secret_key=BX%25IJ%24%2F65ieZ%29f6", 2686699)</f>
        <v>2686699</v>
      </c>
      <c r="C2692" s="3">
        <f>HYPERLINK("https://platform.v2.vetology.net/report/v/final/"&amp;2686699, 2686699)</f>
        <v>2686699</v>
      </c>
      <c r="D2692" s="3" t="s">
        <v>9126</v>
      </c>
      <c r="E2692" s="3" t="s">
        <v>7087</v>
      </c>
      <c r="F2692" s="3" t="s">
        <v>1164</v>
      </c>
      <c r="G2692" s="3" t="s">
        <v>100</v>
      </c>
      <c r="H2692" s="3" t="s">
        <v>9127</v>
      </c>
      <c r="I2692" s="3" t="s">
        <v>2524</v>
      </c>
      <c r="J2692" s="3" t="s">
        <v>1374</v>
      </c>
      <c r="K2692" s="3" t="s">
        <v>27</v>
      </c>
      <c r="L2692" s="3" t="s">
        <v>27</v>
      </c>
      <c r="M2692" s="3" t="s">
        <v>27</v>
      </c>
      <c r="N2692" s="3" t="s">
        <v>27</v>
      </c>
      <c r="O2692" s="3" t="s">
        <v>27</v>
      </c>
      <c r="P2692" s="3" t="s">
        <v>28</v>
      </c>
      <c r="Q2692" s="3" t="s">
        <v>27</v>
      </c>
      <c r="R2692" s="3" t="s">
        <v>27</v>
      </c>
      <c r="S2692" s="3" t="s">
        <v>27</v>
      </c>
      <c r="T2692" s="3" t="s">
        <v>27</v>
      </c>
    </row>
    <row r="2693" spans="1:20" ht="409.6">
      <c r="A2693" s="3">
        <v>2686664</v>
      </c>
      <c r="B2693" s="3">
        <f>HYPERLINK("https://platform.v2.vetology.net/cases/2686664/screening-report/6?type=pdf&amp;v=v6&amp;scorecard=1&amp;secret_key=BX%25IJ%24%2F65ieZ%29f6", 2686664)</f>
        <v>2686664</v>
      </c>
      <c r="C2693" s="3">
        <f>HYPERLINK("https://platform.v2.vetology.net/report/v/final/"&amp;2686664, 2686664)</f>
        <v>2686664</v>
      </c>
      <c r="D2693" s="3" t="s">
        <v>9128</v>
      </c>
      <c r="E2693" s="3" t="s">
        <v>9129</v>
      </c>
      <c r="F2693" s="3" t="s">
        <v>9130</v>
      </c>
      <c r="G2693" s="3" t="s">
        <v>57</v>
      </c>
      <c r="H2693" s="3" t="s">
        <v>118</v>
      </c>
      <c r="I2693" s="3" t="s">
        <v>32</v>
      </c>
      <c r="J2693" s="3" t="s">
        <v>119</v>
      </c>
      <c r="K2693" s="3" t="s">
        <v>28</v>
      </c>
      <c r="L2693" s="3" t="s">
        <v>28</v>
      </c>
      <c r="M2693" s="3" t="s">
        <v>28</v>
      </c>
      <c r="N2693" s="3" t="s">
        <v>28</v>
      </c>
      <c r="O2693" s="3" t="s">
        <v>28</v>
      </c>
      <c r="P2693" s="3" t="s">
        <v>28</v>
      </c>
      <c r="Q2693" s="3" t="s">
        <v>28</v>
      </c>
      <c r="R2693" s="3" t="s">
        <v>28</v>
      </c>
      <c r="S2693" s="3" t="s">
        <v>28</v>
      </c>
      <c r="T2693" s="3" t="s">
        <v>28</v>
      </c>
    </row>
    <row r="2694" spans="1:20" ht="396.75">
      <c r="A2694" s="3">
        <v>2686651</v>
      </c>
      <c r="B2694" s="3">
        <f>HYPERLINK("https://platform.v2.vetology.net/cases/2686651/screening-report/6?type=pdf&amp;v=v6&amp;scorecard=1&amp;secret_key=BX%25IJ%24%2F65ieZ%29f6", 2686651)</f>
        <v>2686651</v>
      </c>
      <c r="C2694" s="3">
        <f>HYPERLINK("https://platform.v2.vetology.net/report/v/final/"&amp;2686651, 2686651)</f>
        <v>2686651</v>
      </c>
      <c r="D2694" s="3" t="s">
        <v>9131</v>
      </c>
      <c r="E2694" s="3" t="s">
        <v>9132</v>
      </c>
      <c r="F2694" s="3" t="s">
        <v>56</v>
      </c>
      <c r="G2694" s="3" t="s">
        <v>57</v>
      </c>
      <c r="H2694" s="3" t="s">
        <v>350</v>
      </c>
      <c r="I2694" s="3" t="s">
        <v>351</v>
      </c>
      <c r="J2694" s="3" t="s">
        <v>352</v>
      </c>
      <c r="K2694" s="3" t="s">
        <v>28</v>
      </c>
      <c r="L2694" s="3" t="s">
        <v>28</v>
      </c>
      <c r="M2694" s="3" t="s">
        <v>28</v>
      </c>
      <c r="N2694" s="3" t="s">
        <v>28</v>
      </c>
      <c r="O2694" s="3" t="s">
        <v>28</v>
      </c>
      <c r="P2694" s="3" t="s">
        <v>28</v>
      </c>
      <c r="Q2694" s="3" t="s">
        <v>28</v>
      </c>
      <c r="R2694" s="3" t="s">
        <v>28</v>
      </c>
      <c r="S2694" s="3" t="s">
        <v>28</v>
      </c>
      <c r="T2694" s="3" t="s">
        <v>27</v>
      </c>
    </row>
    <row r="2695" spans="1:20" ht="409.6">
      <c r="A2695" s="3">
        <v>2686638</v>
      </c>
      <c r="B2695" s="3">
        <f>HYPERLINK("https://platform.v2.vetology.net/cases/2686638/screening-report/6?type=pdf&amp;v=v6&amp;scorecard=1&amp;secret_key=BX%25IJ%24%2F65ieZ%29f6", 2686638)</f>
        <v>2686638</v>
      </c>
      <c r="C2695" s="3">
        <f>HYPERLINK("https://platform.v2.vetology.net/report/v/final/"&amp;2686638, 2686638)</f>
        <v>2686638</v>
      </c>
      <c r="D2695" s="3" t="s">
        <v>9133</v>
      </c>
      <c r="E2695" s="3" t="s">
        <v>9134</v>
      </c>
      <c r="F2695" s="3" t="s">
        <v>22</v>
      </c>
      <c r="G2695" s="3" t="s">
        <v>372</v>
      </c>
      <c r="H2695" s="3" t="s">
        <v>1478</v>
      </c>
      <c r="I2695" s="3" t="s">
        <v>279</v>
      </c>
      <c r="J2695" s="3" t="s">
        <v>280</v>
      </c>
      <c r="K2695" s="3" t="s">
        <v>28</v>
      </c>
      <c r="L2695" s="3" t="s">
        <v>28</v>
      </c>
      <c r="M2695" s="3" t="s">
        <v>28</v>
      </c>
      <c r="N2695" s="3" t="s">
        <v>28</v>
      </c>
      <c r="O2695" s="3" t="s">
        <v>27</v>
      </c>
      <c r="P2695" s="3" t="s">
        <v>28</v>
      </c>
      <c r="Q2695" s="3" t="s">
        <v>28</v>
      </c>
      <c r="R2695" s="3" t="s">
        <v>28</v>
      </c>
      <c r="S2695" s="3" t="s">
        <v>28</v>
      </c>
      <c r="T2695" s="3" t="s">
        <v>27</v>
      </c>
    </row>
    <row r="2696" spans="1:20" ht="305.25">
      <c r="A2696" s="3">
        <v>2686633</v>
      </c>
      <c r="B2696" s="3">
        <f>HYPERLINK("https://platform.v2.vetology.net/cases/2686633/screening-report/6?type=pdf&amp;v=v6&amp;scorecard=1&amp;secret_key=BX%25IJ%24%2F65ieZ%29f6", 2686633)</f>
        <v>2686633</v>
      </c>
      <c r="C2696" s="3">
        <f>HYPERLINK("https://platform.v2.vetology.net/report/v/final/"&amp;2686633, 2686633)</f>
        <v>2686633</v>
      </c>
      <c r="D2696" s="3" t="s">
        <v>9135</v>
      </c>
      <c r="E2696" s="3" t="s">
        <v>9136</v>
      </c>
      <c r="F2696" s="3" t="s">
        <v>22</v>
      </c>
      <c r="G2696" s="3" t="s">
        <v>100</v>
      </c>
      <c r="H2696" s="3" t="s">
        <v>9137</v>
      </c>
      <c r="I2696" s="3" t="s">
        <v>793</v>
      </c>
      <c r="J2696" s="3" t="s">
        <v>794</v>
      </c>
      <c r="K2696" s="3" t="s">
        <v>28</v>
      </c>
      <c r="L2696" s="3" t="s">
        <v>28</v>
      </c>
      <c r="M2696" s="3" t="s">
        <v>28</v>
      </c>
      <c r="N2696" s="3" t="s">
        <v>28</v>
      </c>
      <c r="O2696" s="3" t="s">
        <v>28</v>
      </c>
      <c r="P2696" s="3" t="s">
        <v>28</v>
      </c>
      <c r="Q2696" s="3" t="s">
        <v>28</v>
      </c>
      <c r="R2696" s="3" t="s">
        <v>28</v>
      </c>
      <c r="S2696" s="3" t="s">
        <v>28</v>
      </c>
      <c r="T2696" s="3" t="s">
        <v>28</v>
      </c>
    </row>
    <row r="2697" spans="1:20" ht="381.75">
      <c r="A2697" s="3">
        <v>2686624</v>
      </c>
      <c r="B2697" s="3">
        <f>HYPERLINK("https://platform.v2.vetology.net/cases/2686624/screening-report/6?type=pdf&amp;v=v6&amp;scorecard=1&amp;secret_key=BX%25IJ%24%2F65ieZ%29f6", 2686624)</f>
        <v>2686624</v>
      </c>
      <c r="C2697" s="3">
        <f>HYPERLINK("https://platform.v2.vetology.net/report/v/final/"&amp;2686624, 2686624)</f>
        <v>2686624</v>
      </c>
      <c r="D2697" s="3" t="s">
        <v>9138</v>
      </c>
      <c r="E2697" s="3" t="s">
        <v>9139</v>
      </c>
      <c r="F2697" s="3" t="s">
        <v>9140</v>
      </c>
      <c r="G2697" s="3" t="s">
        <v>496</v>
      </c>
      <c r="H2697" s="3" t="s">
        <v>9141</v>
      </c>
      <c r="I2697" s="3" t="s">
        <v>9142</v>
      </c>
      <c r="J2697" s="3" t="s">
        <v>9143</v>
      </c>
      <c r="K2697" s="3" t="s">
        <v>27</v>
      </c>
      <c r="L2697" s="3" t="s">
        <v>28</v>
      </c>
      <c r="M2697" s="3" t="s">
        <v>28</v>
      </c>
      <c r="N2697" s="3" t="s">
        <v>28</v>
      </c>
      <c r="O2697" s="3" t="s">
        <v>27</v>
      </c>
      <c r="P2697" s="3" t="s">
        <v>28</v>
      </c>
      <c r="Q2697" s="3" t="s">
        <v>28</v>
      </c>
      <c r="R2697" s="3" t="s">
        <v>28</v>
      </c>
      <c r="S2697" s="3" t="s">
        <v>28</v>
      </c>
      <c r="T2697" s="3" t="s">
        <v>28</v>
      </c>
    </row>
    <row r="2698" spans="1:20" ht="366">
      <c r="A2698" s="3">
        <v>2686615</v>
      </c>
      <c r="B2698" s="3">
        <f>HYPERLINK("https://platform.v2.vetology.net/cases/2686615/screening-report/6?type=pdf&amp;v=v6&amp;scorecard=1&amp;secret_key=BX%25IJ%24%2F65ieZ%29f6", 2686615)</f>
        <v>2686615</v>
      </c>
      <c r="C2698" s="3">
        <f>HYPERLINK("https://platform.v2.vetology.net/report/v/final/"&amp;2686615, 2686615)</f>
        <v>2686615</v>
      </c>
      <c r="D2698" s="3" t="s">
        <v>9144</v>
      </c>
      <c r="E2698" s="3" t="s">
        <v>1089</v>
      </c>
      <c r="F2698" s="3" t="s">
        <v>1090</v>
      </c>
      <c r="G2698" s="3" t="s">
        <v>100</v>
      </c>
      <c r="H2698" s="3" t="s">
        <v>9145</v>
      </c>
      <c r="I2698" s="3" t="s">
        <v>754</v>
      </c>
      <c r="J2698" s="3" t="s">
        <v>755</v>
      </c>
      <c r="K2698" s="3" t="s">
        <v>27</v>
      </c>
      <c r="L2698" s="3" t="s">
        <v>28</v>
      </c>
      <c r="M2698" s="3" t="s">
        <v>28</v>
      </c>
      <c r="N2698" s="3" t="s">
        <v>28</v>
      </c>
      <c r="O2698" s="3" t="s">
        <v>27</v>
      </c>
      <c r="P2698" s="3" t="s">
        <v>28</v>
      </c>
      <c r="Q2698" s="3" t="s">
        <v>27</v>
      </c>
      <c r="R2698" s="3" t="s">
        <v>28</v>
      </c>
      <c r="S2698" s="3" t="s">
        <v>28</v>
      </c>
      <c r="T2698" s="3" t="s">
        <v>28</v>
      </c>
    </row>
    <row r="2699" spans="1:20" ht="396.75">
      <c r="A2699" s="3">
        <v>2686595</v>
      </c>
      <c r="B2699" s="3">
        <f>HYPERLINK("https://platform.v2.vetology.net/cases/2686595/screening-report/6?type=pdf&amp;v=v6&amp;scorecard=1&amp;secret_key=BX%25IJ%24%2F65ieZ%29f6", 2686595)</f>
        <v>2686595</v>
      </c>
      <c r="C2699" s="3">
        <f>HYPERLINK("https://platform.v2.vetology.net/report/v/final/"&amp;2686595, 2686595)</f>
        <v>2686595</v>
      </c>
      <c r="D2699" s="3" t="s">
        <v>9146</v>
      </c>
      <c r="E2699" s="3" t="s">
        <v>9147</v>
      </c>
      <c r="F2699" s="3"/>
      <c r="G2699" s="3" t="s">
        <v>122</v>
      </c>
      <c r="H2699" s="3" t="s">
        <v>9148</v>
      </c>
      <c r="I2699" s="3" t="s">
        <v>351</v>
      </c>
      <c r="J2699" s="3" t="s">
        <v>352</v>
      </c>
      <c r="K2699" s="3" t="s">
        <v>28</v>
      </c>
      <c r="L2699" s="3" t="s">
        <v>28</v>
      </c>
      <c r="M2699" s="3" t="s">
        <v>28</v>
      </c>
      <c r="N2699" s="3" t="s">
        <v>28</v>
      </c>
      <c r="O2699" s="3" t="s">
        <v>28</v>
      </c>
      <c r="P2699" s="3" t="s">
        <v>28</v>
      </c>
      <c r="Q2699" s="3" t="s">
        <v>28</v>
      </c>
      <c r="R2699" s="3" t="s">
        <v>28</v>
      </c>
      <c r="S2699" s="3" t="s">
        <v>28</v>
      </c>
      <c r="T2699" s="3" t="s">
        <v>27</v>
      </c>
    </row>
    <row r="2700" spans="1:20" ht="396.75">
      <c r="A2700" s="3">
        <v>2686555</v>
      </c>
      <c r="B2700" s="3">
        <f>HYPERLINK("https://platform.v2.vetology.net/cases/2686555/screening-report/6?type=pdf&amp;v=v6&amp;scorecard=1&amp;secret_key=BX%25IJ%24%2F65ieZ%29f6", 2686555)</f>
        <v>2686555</v>
      </c>
      <c r="C2700" s="3">
        <f>HYPERLINK("https://platform.v2.vetology.net/report/v/final/"&amp;2686555, 2686555)</f>
        <v>2686555</v>
      </c>
      <c r="D2700" s="3" t="s">
        <v>9149</v>
      </c>
      <c r="E2700" s="3" t="s">
        <v>5903</v>
      </c>
      <c r="F2700" s="3" t="s">
        <v>5904</v>
      </c>
      <c r="G2700" s="3" t="s">
        <v>100</v>
      </c>
      <c r="H2700" s="3" t="s">
        <v>5495</v>
      </c>
      <c r="I2700" s="3" t="s">
        <v>351</v>
      </c>
      <c r="J2700" s="3" t="s">
        <v>352</v>
      </c>
      <c r="K2700" s="3" t="s">
        <v>28</v>
      </c>
      <c r="L2700" s="3" t="s">
        <v>28</v>
      </c>
      <c r="M2700" s="3" t="s">
        <v>28</v>
      </c>
      <c r="N2700" s="3" t="s">
        <v>28</v>
      </c>
      <c r="O2700" s="3" t="s">
        <v>27</v>
      </c>
      <c r="P2700" s="3" t="s">
        <v>28</v>
      </c>
      <c r="Q2700" s="3" t="s">
        <v>28</v>
      </c>
      <c r="R2700" s="3" t="s">
        <v>28</v>
      </c>
      <c r="S2700" s="3" t="s">
        <v>28</v>
      </c>
      <c r="T2700" s="3" t="s">
        <v>27</v>
      </c>
    </row>
    <row r="2701" spans="1:20" ht="336">
      <c r="A2701" s="3">
        <v>2686527</v>
      </c>
      <c r="B2701" s="3">
        <f>HYPERLINK("https://platform.v2.vetology.net/cases/2686527/screening-report/6?type=pdf&amp;v=v6&amp;scorecard=1&amp;secret_key=BX%25IJ%24%2F65ieZ%29f6", 2686527)</f>
        <v>2686527</v>
      </c>
      <c r="C2701" s="3">
        <f>HYPERLINK("https://platform.v2.vetology.net/report/v/final/"&amp;2686527, 2686527)</f>
        <v>2686527</v>
      </c>
      <c r="D2701" s="3" t="s">
        <v>9150</v>
      </c>
      <c r="E2701" s="3" t="s">
        <v>9151</v>
      </c>
      <c r="F2701" s="3" t="s">
        <v>1377</v>
      </c>
      <c r="G2701" s="3" t="s">
        <v>186</v>
      </c>
      <c r="H2701" s="3" t="s">
        <v>601</v>
      </c>
      <c r="I2701" s="3" t="s">
        <v>32</v>
      </c>
      <c r="J2701" s="3" t="s">
        <v>119</v>
      </c>
      <c r="K2701" s="3" t="s">
        <v>28</v>
      </c>
      <c r="L2701" s="3" t="s">
        <v>28</v>
      </c>
      <c r="M2701" s="3" t="s">
        <v>28</v>
      </c>
      <c r="N2701" s="3" t="s">
        <v>28</v>
      </c>
      <c r="O2701" s="3" t="s">
        <v>28</v>
      </c>
      <c r="P2701" s="3" t="s">
        <v>28</v>
      </c>
      <c r="Q2701" s="3" t="s">
        <v>28</v>
      </c>
      <c r="R2701" s="3" t="s">
        <v>28</v>
      </c>
      <c r="S2701" s="3" t="s">
        <v>28</v>
      </c>
      <c r="T2701" s="3" t="s">
        <v>28</v>
      </c>
    </row>
    <row r="2702" spans="1:20" ht="321">
      <c r="A2702" s="3">
        <v>2686518</v>
      </c>
      <c r="B2702" s="3">
        <f>HYPERLINK("https://platform.v2.vetology.net/cases/2686518/screening-report/6?type=pdf&amp;v=v6&amp;scorecard=1&amp;secret_key=BX%25IJ%24%2F65ieZ%29f6", 2686518)</f>
        <v>2686518</v>
      </c>
      <c r="C2702" s="3">
        <f>HYPERLINK("https://platform.v2.vetology.net/report/v/final/"&amp;2686518, 2686518)</f>
        <v>2686518</v>
      </c>
      <c r="D2702" s="3" t="s">
        <v>9152</v>
      </c>
      <c r="E2702" s="3" t="s">
        <v>9153</v>
      </c>
      <c r="F2702" s="3" t="s">
        <v>22</v>
      </c>
      <c r="G2702" s="3" t="s">
        <v>372</v>
      </c>
      <c r="H2702" s="3" t="s">
        <v>9154</v>
      </c>
      <c r="I2702" s="3" t="s">
        <v>706</v>
      </c>
      <c r="J2702" s="3" t="s">
        <v>707</v>
      </c>
      <c r="K2702" s="3" t="s">
        <v>28</v>
      </c>
      <c r="L2702" s="3" t="s">
        <v>28</v>
      </c>
      <c r="M2702" s="3" t="s">
        <v>28</v>
      </c>
      <c r="N2702" s="3" t="s">
        <v>28</v>
      </c>
      <c r="O2702" s="3" t="s">
        <v>27</v>
      </c>
      <c r="P2702" s="3" t="s">
        <v>28</v>
      </c>
      <c r="Q2702" s="3" t="s">
        <v>28</v>
      </c>
      <c r="R2702" s="3" t="s">
        <v>28</v>
      </c>
      <c r="S2702" s="3" t="s">
        <v>28</v>
      </c>
      <c r="T2702" s="3" t="s">
        <v>27</v>
      </c>
    </row>
    <row r="2703" spans="1:20" ht="321">
      <c r="A2703" s="3">
        <v>2686469</v>
      </c>
      <c r="B2703" s="3">
        <f>HYPERLINK("https://platform.v2.vetology.net/cases/2686469/screening-report/6?type=pdf&amp;v=v6&amp;scorecard=1&amp;secret_key=BX%25IJ%24%2F65ieZ%29f6", 2686469)</f>
        <v>2686469</v>
      </c>
      <c r="C2703" s="3">
        <f>HYPERLINK("https://platform.v2.vetology.net/report/v/final/"&amp;2686469, 2686469)</f>
        <v>2686469</v>
      </c>
      <c r="D2703" s="3" t="s">
        <v>9155</v>
      </c>
      <c r="E2703" s="3" t="s">
        <v>9156</v>
      </c>
      <c r="F2703" s="3" t="s">
        <v>9157</v>
      </c>
      <c r="G2703" s="3" t="s">
        <v>179</v>
      </c>
      <c r="H2703" s="3" t="s">
        <v>9158</v>
      </c>
      <c r="I2703" s="3" t="s">
        <v>6441</v>
      </c>
      <c r="J2703" s="3" t="s">
        <v>479</v>
      </c>
      <c r="K2703" s="3" t="s">
        <v>27</v>
      </c>
      <c r="L2703" s="3" t="s">
        <v>27</v>
      </c>
      <c r="M2703" s="3" t="s">
        <v>28</v>
      </c>
      <c r="N2703" s="3" t="s">
        <v>28</v>
      </c>
      <c r="O2703" s="3" t="s">
        <v>27</v>
      </c>
      <c r="P2703" s="3" t="s">
        <v>28</v>
      </c>
      <c r="Q2703" s="3" t="s">
        <v>27</v>
      </c>
      <c r="R2703" s="3" t="s">
        <v>28</v>
      </c>
      <c r="S2703" s="3" t="s">
        <v>28</v>
      </c>
      <c r="T2703" s="3" t="s">
        <v>27</v>
      </c>
    </row>
    <row r="2704" spans="1:20" ht="366">
      <c r="A2704" s="3">
        <v>2686419</v>
      </c>
      <c r="B2704" s="3">
        <f>HYPERLINK("https://platform.v2.vetology.net/cases/2686419/screening-report/6?type=pdf&amp;v=v6&amp;scorecard=1&amp;secret_key=BX%25IJ%24%2F65ieZ%29f6", 2686419)</f>
        <v>2686419</v>
      </c>
      <c r="C2704" s="3">
        <f>HYPERLINK("https://platform.v2.vetology.net/report/v/final/"&amp;2686419, 2686419)</f>
        <v>2686419</v>
      </c>
      <c r="D2704" s="3" t="s">
        <v>9159</v>
      </c>
      <c r="E2704" s="3" t="s">
        <v>9160</v>
      </c>
      <c r="F2704" s="3" t="s">
        <v>1377</v>
      </c>
      <c r="G2704" s="3" t="s">
        <v>186</v>
      </c>
      <c r="H2704" s="3" t="s">
        <v>3881</v>
      </c>
      <c r="I2704" s="3" t="s">
        <v>2432</v>
      </c>
      <c r="J2704" s="3" t="s">
        <v>2433</v>
      </c>
      <c r="K2704" s="3" t="s">
        <v>27</v>
      </c>
      <c r="L2704" s="3" t="s">
        <v>27</v>
      </c>
      <c r="M2704" s="3" t="s">
        <v>28</v>
      </c>
      <c r="N2704" s="3" t="s">
        <v>28</v>
      </c>
      <c r="O2704" s="3" t="s">
        <v>27</v>
      </c>
      <c r="P2704" s="3" t="s">
        <v>28</v>
      </c>
      <c r="Q2704" s="3" t="s">
        <v>28</v>
      </c>
      <c r="R2704" s="3" t="s">
        <v>28</v>
      </c>
      <c r="S2704" s="3" t="s">
        <v>27</v>
      </c>
      <c r="T2704" s="3" t="s">
        <v>27</v>
      </c>
    </row>
    <row r="2705" spans="1:20" ht="409.6">
      <c r="A2705" s="3">
        <v>2686379</v>
      </c>
      <c r="B2705" s="3">
        <f>HYPERLINK("https://platform.v2.vetology.net/cases/2686379/screening-report/6?type=pdf&amp;v=v6&amp;scorecard=1&amp;secret_key=BX%25IJ%24%2F65ieZ%29f6", 2686379)</f>
        <v>2686379</v>
      </c>
      <c r="C2705" s="3">
        <f>HYPERLINK("https://platform.v2.vetology.net/report/v/final/"&amp;2686379, 2686379)</f>
        <v>2686379</v>
      </c>
      <c r="D2705" s="3" t="s">
        <v>9161</v>
      </c>
      <c r="E2705" s="3" t="s">
        <v>9162</v>
      </c>
      <c r="F2705" s="3" t="s">
        <v>9163</v>
      </c>
      <c r="G2705" s="3" t="s">
        <v>57</v>
      </c>
      <c r="H2705" s="3" t="s">
        <v>141</v>
      </c>
      <c r="I2705" s="3" t="s">
        <v>142</v>
      </c>
      <c r="J2705" s="3" t="s">
        <v>143</v>
      </c>
      <c r="K2705" s="3" t="s">
        <v>27</v>
      </c>
      <c r="L2705" s="3" t="s">
        <v>28</v>
      </c>
      <c r="M2705" s="3" t="s">
        <v>28</v>
      </c>
      <c r="N2705" s="3" t="s">
        <v>28</v>
      </c>
      <c r="O2705" s="3" t="s">
        <v>27</v>
      </c>
      <c r="P2705" s="3" t="s">
        <v>28</v>
      </c>
      <c r="Q2705" s="3" t="s">
        <v>28</v>
      </c>
      <c r="R2705" s="3" t="s">
        <v>28</v>
      </c>
      <c r="S2705" s="3" t="s">
        <v>28</v>
      </c>
      <c r="T2705" s="3" t="s">
        <v>27</v>
      </c>
    </row>
    <row r="2706" spans="1:20" ht="409.6">
      <c r="A2706" s="3">
        <v>2686365</v>
      </c>
      <c r="B2706" s="3">
        <f>HYPERLINK("https://platform.v2.vetology.net/cases/2686365/screening-report/6?type=pdf&amp;v=v6&amp;scorecard=1&amp;secret_key=BX%25IJ%24%2F65ieZ%29f6", 2686365)</f>
        <v>2686365</v>
      </c>
      <c r="C2706" s="3">
        <f>HYPERLINK("https://platform.v2.vetology.net/report/v/final/"&amp;2686365, 2686365)</f>
        <v>2686365</v>
      </c>
      <c r="D2706" s="3" t="s">
        <v>9164</v>
      </c>
      <c r="E2706" s="3" t="s">
        <v>9165</v>
      </c>
      <c r="F2706" s="3" t="s">
        <v>22</v>
      </c>
      <c r="G2706" s="3" t="s">
        <v>372</v>
      </c>
      <c r="H2706" s="3" t="s">
        <v>9166</v>
      </c>
      <c r="I2706" s="3" t="s">
        <v>72</v>
      </c>
      <c r="J2706" s="3" t="s">
        <v>207</v>
      </c>
      <c r="K2706" s="3" t="s">
        <v>27</v>
      </c>
      <c r="L2706" s="3" t="s">
        <v>28</v>
      </c>
      <c r="M2706" s="3" t="s">
        <v>27</v>
      </c>
      <c r="N2706" s="3" t="s">
        <v>28</v>
      </c>
      <c r="O2706" s="3" t="s">
        <v>27</v>
      </c>
      <c r="P2706" s="3" t="s">
        <v>28</v>
      </c>
      <c r="Q2706" s="3" t="s">
        <v>27</v>
      </c>
      <c r="R2706" s="3" t="s">
        <v>28</v>
      </c>
      <c r="S2706" s="3" t="s">
        <v>28</v>
      </c>
      <c r="T2706" s="3" t="s">
        <v>28</v>
      </c>
    </row>
    <row r="2707" spans="1:20" ht="366">
      <c r="A2707" s="3">
        <v>2686298</v>
      </c>
      <c r="B2707" s="3">
        <f>HYPERLINK("https://platform.v2.vetology.net/cases/2686298/screening-report/6?type=pdf&amp;v=v6&amp;scorecard=1&amp;secret_key=BX%25IJ%24%2F65ieZ%29f6", 2686298)</f>
        <v>2686298</v>
      </c>
      <c r="C2707" s="3">
        <f>HYPERLINK("https://platform.v2.vetology.net/report/v/final/"&amp;2686298, 2686298)</f>
        <v>2686298</v>
      </c>
      <c r="D2707" s="3" t="s">
        <v>3124</v>
      </c>
      <c r="E2707" s="3" t="s">
        <v>1230</v>
      </c>
      <c r="F2707" s="3" t="s">
        <v>2159</v>
      </c>
      <c r="G2707" s="3" t="s">
        <v>100</v>
      </c>
      <c r="H2707" s="3" t="s">
        <v>9167</v>
      </c>
      <c r="I2707" s="3" t="s">
        <v>200</v>
      </c>
      <c r="J2707" s="3" t="s">
        <v>219</v>
      </c>
      <c r="K2707" s="3" t="s">
        <v>27</v>
      </c>
      <c r="L2707" s="3" t="s">
        <v>28</v>
      </c>
      <c r="M2707" s="3" t="s">
        <v>28</v>
      </c>
      <c r="N2707" s="3" t="s">
        <v>28</v>
      </c>
      <c r="O2707" s="3" t="s">
        <v>27</v>
      </c>
      <c r="P2707" s="3" t="s">
        <v>28</v>
      </c>
      <c r="Q2707" s="3" t="s">
        <v>28</v>
      </c>
      <c r="R2707" s="3" t="s">
        <v>28</v>
      </c>
      <c r="S2707" s="3" t="s">
        <v>28</v>
      </c>
      <c r="T2707" s="3" t="s">
        <v>28</v>
      </c>
    </row>
    <row r="2708" spans="1:20" ht="259.5">
      <c r="A2708" s="3">
        <v>2686289</v>
      </c>
      <c r="B2708" s="3">
        <f>HYPERLINK("https://platform.v2.vetology.net/cases/2686289/screening-report/6?type=pdf&amp;v=v6&amp;scorecard=1&amp;secret_key=BX%25IJ%24%2F65ieZ%29f6", 2686289)</f>
        <v>2686289</v>
      </c>
      <c r="C2708" s="3">
        <f>HYPERLINK("https://platform.v2.vetology.net/report/v/final/"&amp;2686289, 2686289)</f>
        <v>2686289</v>
      </c>
      <c r="D2708" s="3" t="s">
        <v>9168</v>
      </c>
      <c r="E2708" s="3" t="s">
        <v>9169</v>
      </c>
      <c r="F2708" s="3" t="s">
        <v>22</v>
      </c>
      <c r="G2708" s="3" t="s">
        <v>100</v>
      </c>
      <c r="H2708" s="3" t="s">
        <v>4837</v>
      </c>
      <c r="I2708" s="3" t="s">
        <v>4838</v>
      </c>
      <c r="J2708" s="3" t="s">
        <v>8048</v>
      </c>
      <c r="K2708" s="3" t="s">
        <v>28</v>
      </c>
      <c r="L2708" s="3" t="s">
        <v>27</v>
      </c>
      <c r="M2708" s="3" t="s">
        <v>27</v>
      </c>
      <c r="N2708" s="3" t="s">
        <v>28</v>
      </c>
      <c r="O2708" s="3" t="s">
        <v>28</v>
      </c>
      <c r="P2708" s="3" t="s">
        <v>28</v>
      </c>
      <c r="Q2708" s="3" t="s">
        <v>28</v>
      </c>
      <c r="R2708" s="3" t="s">
        <v>28</v>
      </c>
      <c r="S2708" s="3" t="s">
        <v>28</v>
      </c>
      <c r="T2708" s="3" t="s">
        <v>27</v>
      </c>
    </row>
    <row r="2709" spans="1:20" ht="275.25">
      <c r="A2709" s="3">
        <v>2686263</v>
      </c>
      <c r="B2709" s="3">
        <f>HYPERLINK("https://platform.v2.vetology.net/cases/2686263/screening-report/6?type=pdf&amp;v=v6&amp;scorecard=1&amp;secret_key=BX%25IJ%24%2F65ieZ%29f6", 2686263)</f>
        <v>2686263</v>
      </c>
      <c r="C2709" s="3">
        <f>HYPERLINK("https://platform.v2.vetology.net/report/v/final/"&amp;2686263, 2686263)</f>
        <v>2686263</v>
      </c>
      <c r="D2709" s="3" t="s">
        <v>9170</v>
      </c>
      <c r="E2709" s="3" t="s">
        <v>9171</v>
      </c>
      <c r="F2709" s="3" t="s">
        <v>22</v>
      </c>
      <c r="G2709" s="3" t="s">
        <v>100</v>
      </c>
      <c r="H2709" s="3" t="s">
        <v>590</v>
      </c>
      <c r="I2709" s="3" t="s">
        <v>291</v>
      </c>
      <c r="J2709" s="3" t="s">
        <v>225</v>
      </c>
      <c r="K2709" s="3" t="s">
        <v>28</v>
      </c>
      <c r="L2709" s="3" t="s">
        <v>27</v>
      </c>
      <c r="M2709" s="3" t="s">
        <v>28</v>
      </c>
      <c r="N2709" s="3" t="s">
        <v>28</v>
      </c>
      <c r="O2709" s="3" t="s">
        <v>27</v>
      </c>
      <c r="P2709" s="3" t="s">
        <v>28</v>
      </c>
      <c r="Q2709" s="3" t="s">
        <v>28</v>
      </c>
      <c r="R2709" s="3" t="s">
        <v>28</v>
      </c>
      <c r="S2709" s="3" t="s">
        <v>28</v>
      </c>
      <c r="T2709" s="3" t="s">
        <v>27</v>
      </c>
    </row>
    <row r="2710" spans="1:20" ht="229.5">
      <c r="A2710" s="3">
        <v>2686250</v>
      </c>
      <c r="B2710" s="3">
        <f>HYPERLINK("https://platform.v2.vetology.net/cases/2686250/screening-report/6?type=pdf&amp;v=v6&amp;scorecard=1&amp;secret_key=BX%25IJ%24%2F65ieZ%29f6", 2686250)</f>
        <v>2686250</v>
      </c>
      <c r="C2710" s="3">
        <f>HYPERLINK("https://platform.v2.vetology.net/report/v/final/"&amp;2686250, 2686250)</f>
        <v>2686250</v>
      </c>
      <c r="D2710" s="3" t="s">
        <v>9172</v>
      </c>
      <c r="E2710" s="3" t="s">
        <v>9173</v>
      </c>
      <c r="F2710" s="3" t="s">
        <v>22</v>
      </c>
      <c r="G2710" s="3" t="s">
        <v>100</v>
      </c>
      <c r="H2710" s="3" t="s">
        <v>1015</v>
      </c>
      <c r="I2710" s="3" t="s">
        <v>129</v>
      </c>
      <c r="J2710" s="3" t="s">
        <v>119</v>
      </c>
      <c r="K2710" s="3" t="s">
        <v>28</v>
      </c>
      <c r="L2710" s="3" t="s">
        <v>28</v>
      </c>
      <c r="M2710" s="3" t="s">
        <v>28</v>
      </c>
      <c r="N2710" s="3" t="s">
        <v>28</v>
      </c>
      <c r="O2710" s="3" t="s">
        <v>27</v>
      </c>
      <c r="P2710" s="3" t="s">
        <v>28</v>
      </c>
      <c r="Q2710" s="3" t="s">
        <v>28</v>
      </c>
      <c r="R2710" s="3" t="s">
        <v>28</v>
      </c>
      <c r="S2710" s="3" t="s">
        <v>28</v>
      </c>
      <c r="T2710" s="3" t="s">
        <v>28</v>
      </c>
    </row>
    <row r="2711" spans="1:20" ht="409.6">
      <c r="A2711" s="3">
        <v>2686245</v>
      </c>
      <c r="B2711" s="3">
        <f>HYPERLINK("https://platform.v2.vetology.net/cases/2686245/screening-report/6?type=pdf&amp;v=v6&amp;scorecard=1&amp;secret_key=BX%25IJ%24%2F65ieZ%29f6", 2686245)</f>
        <v>2686245</v>
      </c>
      <c r="C2711" s="3">
        <f>HYPERLINK("https://platform.v2.vetology.net/report/v/final/"&amp;2686245, 2686245)</f>
        <v>2686245</v>
      </c>
      <c r="D2711" s="3" t="s">
        <v>9174</v>
      </c>
      <c r="E2711" s="3" t="s">
        <v>9175</v>
      </c>
      <c r="F2711" s="3" t="s">
        <v>22</v>
      </c>
      <c r="G2711" s="3" t="s">
        <v>100</v>
      </c>
      <c r="H2711" s="3" t="s">
        <v>9176</v>
      </c>
      <c r="I2711" s="3" t="s">
        <v>2686</v>
      </c>
      <c r="J2711" s="3" t="s">
        <v>2687</v>
      </c>
      <c r="K2711" s="3" t="s">
        <v>27</v>
      </c>
      <c r="L2711" s="3" t="s">
        <v>27</v>
      </c>
      <c r="M2711" s="3" t="s">
        <v>27</v>
      </c>
      <c r="N2711" s="3" t="s">
        <v>27</v>
      </c>
      <c r="O2711" s="3" t="s">
        <v>27</v>
      </c>
      <c r="P2711" s="3" t="s">
        <v>28</v>
      </c>
      <c r="Q2711" s="3" t="s">
        <v>27</v>
      </c>
      <c r="R2711" s="3" t="s">
        <v>27</v>
      </c>
      <c r="S2711" s="3" t="s">
        <v>27</v>
      </c>
      <c r="T2711" s="3" t="s">
        <v>27</v>
      </c>
    </row>
    <row r="2712" spans="1:20" ht="409.6">
      <c r="A2712" s="3">
        <v>2686198</v>
      </c>
      <c r="B2712" s="3">
        <f>HYPERLINK("https://platform.v2.vetology.net/cases/2686198/screening-report/6?type=pdf&amp;v=v6&amp;scorecard=1&amp;secret_key=BX%25IJ%24%2F65ieZ%29f6", 2686198)</f>
        <v>2686198</v>
      </c>
      <c r="C2712" s="3">
        <f>HYPERLINK("https://platform.v2.vetology.net/report/v/final/"&amp;2686198, 2686198)</f>
        <v>2686198</v>
      </c>
      <c r="D2712" s="3" t="s">
        <v>9177</v>
      </c>
      <c r="E2712" s="3" t="s">
        <v>9178</v>
      </c>
      <c r="F2712" s="3" t="s">
        <v>22</v>
      </c>
      <c r="G2712" s="3" t="s">
        <v>100</v>
      </c>
      <c r="H2712" s="3" t="s">
        <v>9179</v>
      </c>
      <c r="I2712" s="3" t="s">
        <v>2771</v>
      </c>
      <c r="J2712" s="3" t="s">
        <v>2772</v>
      </c>
      <c r="K2712" s="3" t="s">
        <v>28</v>
      </c>
      <c r="L2712" s="3" t="s">
        <v>27</v>
      </c>
      <c r="M2712" s="3" t="s">
        <v>28</v>
      </c>
      <c r="N2712" s="3" t="s">
        <v>27</v>
      </c>
      <c r="O2712" s="3" t="s">
        <v>28</v>
      </c>
      <c r="P2712" s="3" t="s">
        <v>28</v>
      </c>
      <c r="Q2712" s="3" t="s">
        <v>28</v>
      </c>
      <c r="R2712" s="3" t="s">
        <v>27</v>
      </c>
      <c r="S2712" s="3" t="s">
        <v>27</v>
      </c>
      <c r="T2712" s="3" t="s">
        <v>27</v>
      </c>
    </row>
    <row r="2713" spans="1:20" ht="409.6">
      <c r="A2713" s="3">
        <v>2686129</v>
      </c>
      <c r="B2713" s="3">
        <f>HYPERLINK("https://platform.v2.vetology.net/cases/2686129/screening-report/6?type=pdf&amp;v=v6&amp;scorecard=1&amp;secret_key=BX%25IJ%24%2F65ieZ%29f6", 2686129)</f>
        <v>2686129</v>
      </c>
      <c r="C2713" s="3">
        <f>HYPERLINK("https://platform.v2.vetology.net/report/v/final/"&amp;2686129, 2686129)</f>
        <v>2686129</v>
      </c>
      <c r="D2713" s="3" t="s">
        <v>9180</v>
      </c>
      <c r="E2713" s="3" t="s">
        <v>9181</v>
      </c>
      <c r="F2713" s="3" t="s">
        <v>9182</v>
      </c>
      <c r="G2713" s="3" t="s">
        <v>1772</v>
      </c>
      <c r="H2713" s="3" t="s">
        <v>4388</v>
      </c>
      <c r="I2713" s="3" t="s">
        <v>1312</v>
      </c>
      <c r="J2713" s="3" t="s">
        <v>1313</v>
      </c>
      <c r="K2713" s="3" t="s">
        <v>27</v>
      </c>
      <c r="L2713" s="3" t="s">
        <v>27</v>
      </c>
      <c r="M2713" s="3" t="s">
        <v>27</v>
      </c>
      <c r="N2713" s="3" t="s">
        <v>27</v>
      </c>
      <c r="O2713" s="3" t="s">
        <v>27</v>
      </c>
      <c r="P2713" s="3" t="s">
        <v>28</v>
      </c>
      <c r="Q2713" s="3" t="s">
        <v>27</v>
      </c>
      <c r="R2713" s="3" t="s">
        <v>28</v>
      </c>
      <c r="S2713" s="3" t="s">
        <v>27</v>
      </c>
      <c r="T2713" s="3" t="s">
        <v>27</v>
      </c>
    </row>
    <row r="2714" spans="1:20" ht="244.5">
      <c r="A2714" s="3">
        <v>2686107</v>
      </c>
      <c r="B2714" s="3">
        <f>HYPERLINK("https://platform.v2.vetology.net/cases/2686107/screening-report/6?type=pdf&amp;v=v6&amp;scorecard=1&amp;secret_key=BX%25IJ%24%2F65ieZ%29f6", 2686107)</f>
        <v>2686107</v>
      </c>
      <c r="C2714" s="3">
        <f>HYPERLINK("https://platform.v2.vetology.net/report/v/final/"&amp;2686107, 2686107)</f>
        <v>2686107</v>
      </c>
      <c r="D2714" s="3" t="s">
        <v>9183</v>
      </c>
      <c r="E2714" s="3" t="s">
        <v>3632</v>
      </c>
      <c r="F2714" s="3" t="s">
        <v>1762</v>
      </c>
      <c r="G2714" s="3" t="s">
        <v>100</v>
      </c>
      <c r="H2714" s="3" t="s">
        <v>2169</v>
      </c>
      <c r="I2714" s="3" t="s">
        <v>2170</v>
      </c>
      <c r="J2714" s="3" t="s">
        <v>2171</v>
      </c>
      <c r="K2714" s="3" t="s">
        <v>28</v>
      </c>
      <c r="L2714" s="3" t="s">
        <v>28</v>
      </c>
      <c r="M2714" s="3" t="s">
        <v>28</v>
      </c>
      <c r="N2714" s="3" t="s">
        <v>28</v>
      </c>
      <c r="O2714" s="3" t="s">
        <v>27</v>
      </c>
      <c r="P2714" s="3" t="s">
        <v>28</v>
      </c>
      <c r="Q2714" s="3" t="s">
        <v>28</v>
      </c>
      <c r="R2714" s="3" t="s">
        <v>28</v>
      </c>
      <c r="S2714" s="3" t="s">
        <v>28</v>
      </c>
      <c r="T2714" s="3" t="s">
        <v>27</v>
      </c>
    </row>
    <row r="2715" spans="1:20" ht="409.6">
      <c r="A2715" s="3">
        <v>2686008</v>
      </c>
      <c r="B2715" s="3">
        <f>HYPERLINK("https://platform.v2.vetology.net/cases/2686008/screening-report/6?type=pdf&amp;v=v6&amp;scorecard=1&amp;secret_key=BX%25IJ%24%2F65ieZ%29f6", 2686008)</f>
        <v>2686008</v>
      </c>
      <c r="C2715" s="3">
        <f>HYPERLINK("https://platform.v2.vetology.net/report/v/final/"&amp;2686008, 2686008)</f>
        <v>2686008</v>
      </c>
      <c r="D2715" s="3" t="s">
        <v>9184</v>
      </c>
      <c r="E2715" s="3" t="s">
        <v>9185</v>
      </c>
      <c r="F2715" s="3" t="s">
        <v>9186</v>
      </c>
      <c r="G2715" s="3" t="s">
        <v>186</v>
      </c>
      <c r="H2715" s="3" t="s">
        <v>9187</v>
      </c>
      <c r="I2715" s="3" t="s">
        <v>6582</v>
      </c>
      <c r="J2715" s="3" t="s">
        <v>6583</v>
      </c>
      <c r="K2715" s="3" t="s">
        <v>27</v>
      </c>
      <c r="L2715" s="3" t="s">
        <v>28</v>
      </c>
      <c r="M2715" s="3" t="s">
        <v>27</v>
      </c>
      <c r="N2715" s="3" t="s">
        <v>28</v>
      </c>
      <c r="O2715" s="3" t="s">
        <v>28</v>
      </c>
      <c r="P2715" s="3" t="s">
        <v>28</v>
      </c>
      <c r="Q2715" s="3" t="s">
        <v>27</v>
      </c>
      <c r="R2715" s="3" t="s">
        <v>28</v>
      </c>
      <c r="S2715" s="3" t="s">
        <v>28</v>
      </c>
      <c r="T2715" s="3" t="s">
        <v>28</v>
      </c>
    </row>
    <row r="2716" spans="1:20" ht="409.6">
      <c r="A2716" s="3">
        <v>2685958</v>
      </c>
      <c r="B2716" s="3">
        <f>HYPERLINK("https://platform.v2.vetology.net/cases/2685958/screening-report/6?type=pdf&amp;v=v6&amp;scorecard=1&amp;secret_key=BX%25IJ%24%2F65ieZ%29f6", 2685958)</f>
        <v>2685958</v>
      </c>
      <c r="C2716" s="3">
        <f>HYPERLINK("https://platform.v2.vetology.net/report/v/final/"&amp;2685958, 2685958)</f>
        <v>2685958</v>
      </c>
      <c r="D2716" s="3" t="s">
        <v>9188</v>
      </c>
      <c r="E2716" s="3" t="s">
        <v>9189</v>
      </c>
      <c r="F2716" s="3" t="s">
        <v>222</v>
      </c>
      <c r="G2716" s="3" t="s">
        <v>186</v>
      </c>
      <c r="H2716" s="3" t="s">
        <v>9190</v>
      </c>
      <c r="I2716" s="3" t="s">
        <v>2816</v>
      </c>
      <c r="J2716" s="3" t="s">
        <v>60</v>
      </c>
      <c r="K2716" s="3" t="s">
        <v>28</v>
      </c>
      <c r="L2716" s="3" t="s">
        <v>27</v>
      </c>
      <c r="M2716" s="3" t="s">
        <v>28</v>
      </c>
      <c r="N2716" s="3" t="s">
        <v>27</v>
      </c>
      <c r="O2716" s="3" t="s">
        <v>27</v>
      </c>
      <c r="P2716" s="3" t="s">
        <v>28</v>
      </c>
      <c r="Q2716" s="3" t="s">
        <v>27</v>
      </c>
      <c r="R2716" s="3" t="s">
        <v>27</v>
      </c>
      <c r="S2716" s="3" t="s">
        <v>27</v>
      </c>
      <c r="T2716" s="3" t="s">
        <v>27</v>
      </c>
    </row>
    <row r="2717" spans="1:20" ht="381.75">
      <c r="A2717" s="3">
        <v>2685924</v>
      </c>
      <c r="B2717" s="3">
        <f>HYPERLINK("https://platform.v2.vetology.net/cases/2685924/screening-report/6?type=pdf&amp;v=v6&amp;scorecard=1&amp;secret_key=BX%25IJ%24%2F65ieZ%29f6", 2685924)</f>
        <v>2685924</v>
      </c>
      <c r="C2717" s="3">
        <f>HYPERLINK("https://platform.v2.vetology.net/report/v/final/"&amp;2685924, 2685924)</f>
        <v>2685924</v>
      </c>
      <c r="D2717" s="3" t="s">
        <v>9191</v>
      </c>
      <c r="E2717" s="3" t="s">
        <v>9192</v>
      </c>
      <c r="F2717" s="3" t="s">
        <v>9193</v>
      </c>
      <c r="G2717" s="3" t="s">
        <v>179</v>
      </c>
      <c r="H2717" s="3" t="s">
        <v>1905</v>
      </c>
      <c r="I2717" s="3" t="s">
        <v>37</v>
      </c>
      <c r="J2717" s="3" t="s">
        <v>38</v>
      </c>
      <c r="K2717" s="3" t="s">
        <v>27</v>
      </c>
      <c r="L2717" s="3" t="s">
        <v>28</v>
      </c>
      <c r="M2717" s="3" t="s">
        <v>28</v>
      </c>
      <c r="N2717" s="3" t="s">
        <v>28</v>
      </c>
      <c r="O2717" s="3" t="s">
        <v>27</v>
      </c>
      <c r="P2717" s="3" t="s">
        <v>28</v>
      </c>
      <c r="Q2717" s="3" t="s">
        <v>28</v>
      </c>
      <c r="R2717" s="3" t="s">
        <v>28</v>
      </c>
      <c r="S2717" s="3" t="s">
        <v>28</v>
      </c>
      <c r="T2717" s="3" t="s">
        <v>28</v>
      </c>
    </row>
    <row r="2718" spans="1:20" ht="381.75">
      <c r="A2718" s="3">
        <v>2685893</v>
      </c>
      <c r="B2718" s="3">
        <f>HYPERLINK("https://platform.v2.vetology.net/cases/2685893/screening-report/6?type=pdf&amp;v=v6&amp;scorecard=1&amp;secret_key=BX%25IJ%24%2F65ieZ%29f6", 2685893)</f>
        <v>2685893</v>
      </c>
      <c r="C2718" s="3">
        <f>HYPERLINK("https://platform.v2.vetology.net/report/v/final/"&amp;2685893, 2685893)</f>
        <v>2685893</v>
      </c>
      <c r="D2718" s="3" t="s">
        <v>9194</v>
      </c>
      <c r="E2718" s="3" t="s">
        <v>9195</v>
      </c>
      <c r="F2718" s="3" t="s">
        <v>3298</v>
      </c>
      <c r="G2718" s="3" t="s">
        <v>100</v>
      </c>
      <c r="H2718" s="3" t="s">
        <v>4333</v>
      </c>
      <c r="I2718" s="3" t="s">
        <v>5277</v>
      </c>
      <c r="J2718" s="3" t="s">
        <v>325</v>
      </c>
      <c r="K2718" s="3" t="s">
        <v>27</v>
      </c>
      <c r="L2718" s="3" t="s">
        <v>28</v>
      </c>
      <c r="M2718" s="3" t="s">
        <v>28</v>
      </c>
      <c r="N2718" s="3" t="s">
        <v>28</v>
      </c>
      <c r="O2718" s="3" t="s">
        <v>28</v>
      </c>
      <c r="P2718" s="3" t="s">
        <v>28</v>
      </c>
      <c r="Q2718" s="3" t="s">
        <v>28</v>
      </c>
      <c r="R2718" s="3" t="s">
        <v>28</v>
      </c>
      <c r="S2718" s="3" t="s">
        <v>28</v>
      </c>
      <c r="T2718" s="3" t="s">
        <v>28</v>
      </c>
    </row>
    <row r="2719" spans="1:20" ht="229.5">
      <c r="A2719" s="3">
        <v>2685837</v>
      </c>
      <c r="B2719" s="3">
        <f>HYPERLINK("https://platform.v2.vetology.net/cases/2685837/screening-report/6?type=pdf&amp;v=v6&amp;scorecard=1&amp;secret_key=BX%25IJ%24%2F65ieZ%29f6", 2685837)</f>
        <v>2685837</v>
      </c>
      <c r="C2719" s="3">
        <f>HYPERLINK("https://platform.v2.vetology.net/report/v/final/"&amp;2685837, 2685837)</f>
        <v>2685837</v>
      </c>
      <c r="D2719" s="3" t="s">
        <v>9196</v>
      </c>
      <c r="E2719" s="3" t="s">
        <v>9197</v>
      </c>
      <c r="F2719" s="3" t="s">
        <v>22</v>
      </c>
      <c r="G2719" s="3" t="s">
        <v>100</v>
      </c>
      <c r="H2719" s="3" t="s">
        <v>9198</v>
      </c>
      <c r="I2719" s="3" t="s">
        <v>305</v>
      </c>
      <c r="J2719" s="3" t="s">
        <v>119</v>
      </c>
      <c r="K2719" s="3" t="s">
        <v>28</v>
      </c>
      <c r="L2719" s="3" t="s">
        <v>28</v>
      </c>
      <c r="M2719" s="3" t="s">
        <v>28</v>
      </c>
      <c r="N2719" s="3" t="s">
        <v>28</v>
      </c>
      <c r="O2719" s="3" t="s">
        <v>28</v>
      </c>
      <c r="P2719" s="3" t="s">
        <v>28</v>
      </c>
      <c r="Q2719" s="3" t="s">
        <v>28</v>
      </c>
      <c r="R2719" s="3" t="s">
        <v>28</v>
      </c>
      <c r="S2719" s="3" t="s">
        <v>28</v>
      </c>
      <c r="T2719" s="3" t="s">
        <v>28</v>
      </c>
    </row>
    <row r="2720" spans="1:20" ht="381.75">
      <c r="A2720" s="3">
        <v>2685767</v>
      </c>
      <c r="B2720" s="3">
        <f>HYPERLINK("https://platform.v2.vetology.net/cases/2685767/screening-report/6?type=pdf&amp;v=v6&amp;scorecard=1&amp;secret_key=BX%25IJ%24%2F65ieZ%29f6", 2685767)</f>
        <v>2685767</v>
      </c>
      <c r="C2720" s="3">
        <f>HYPERLINK("https://platform.v2.vetology.net/report/v/final/"&amp;2685767, 2685767)</f>
        <v>2685767</v>
      </c>
      <c r="D2720" s="3" t="s">
        <v>9199</v>
      </c>
      <c r="E2720" s="3" t="s">
        <v>9200</v>
      </c>
      <c r="F2720" s="3"/>
      <c r="G2720" s="3" t="s">
        <v>122</v>
      </c>
      <c r="H2720" s="3" t="s">
        <v>1905</v>
      </c>
      <c r="I2720" s="3" t="s">
        <v>37</v>
      </c>
      <c r="J2720" s="3" t="s">
        <v>38</v>
      </c>
      <c r="K2720" s="3" t="s">
        <v>28</v>
      </c>
      <c r="L2720" s="3" t="s">
        <v>28</v>
      </c>
      <c r="M2720" s="3" t="s">
        <v>28</v>
      </c>
      <c r="N2720" s="3" t="s">
        <v>28</v>
      </c>
      <c r="O2720" s="3" t="s">
        <v>27</v>
      </c>
      <c r="P2720" s="3" t="s">
        <v>28</v>
      </c>
      <c r="Q2720" s="3" t="s">
        <v>28</v>
      </c>
      <c r="R2720" s="3" t="s">
        <v>28</v>
      </c>
      <c r="S2720" s="3" t="s">
        <v>28</v>
      </c>
      <c r="T2720" s="3" t="s">
        <v>28</v>
      </c>
    </row>
    <row r="2721" spans="1:20" ht="409.6">
      <c r="A2721" s="3">
        <v>2685741</v>
      </c>
      <c r="B2721" s="3">
        <f>HYPERLINK("https://platform.v2.vetology.net/cases/2685741/screening-report/6?type=pdf&amp;v=v6&amp;scorecard=1&amp;secret_key=BX%25IJ%24%2F65ieZ%29f6", 2685741)</f>
        <v>2685741</v>
      </c>
      <c r="C2721" s="3">
        <f>HYPERLINK("https://platform.v2.vetology.net/report/v/final/"&amp;2685741, 2685741)</f>
        <v>2685741</v>
      </c>
      <c r="D2721" s="3" t="s">
        <v>9201</v>
      </c>
      <c r="E2721" s="3" t="s">
        <v>955</v>
      </c>
      <c r="F2721" s="3" t="s">
        <v>956</v>
      </c>
      <c r="G2721" s="3" t="s">
        <v>100</v>
      </c>
      <c r="H2721" s="3" t="s">
        <v>9202</v>
      </c>
      <c r="I2721" s="3" t="s">
        <v>78</v>
      </c>
      <c r="J2721" s="3" t="s">
        <v>79</v>
      </c>
      <c r="K2721" s="3" t="s">
        <v>27</v>
      </c>
      <c r="L2721" s="3" t="s">
        <v>28</v>
      </c>
      <c r="M2721" s="3" t="s">
        <v>28</v>
      </c>
      <c r="N2721" s="3" t="s">
        <v>28</v>
      </c>
      <c r="O2721" s="3" t="s">
        <v>27</v>
      </c>
      <c r="P2721" s="3" t="s">
        <v>27</v>
      </c>
      <c r="Q2721" s="3" t="s">
        <v>27</v>
      </c>
      <c r="R2721" s="3" t="s">
        <v>28</v>
      </c>
      <c r="S2721" s="3" t="s">
        <v>28</v>
      </c>
      <c r="T2721" s="3" t="s">
        <v>28</v>
      </c>
    </row>
    <row r="2722" spans="1:20" ht="351">
      <c r="A2722" s="3">
        <v>2685738</v>
      </c>
      <c r="B2722" s="3">
        <f>HYPERLINK("https://platform.v2.vetology.net/cases/2685738/screening-report/6?type=pdf&amp;v=v6&amp;scorecard=1&amp;secret_key=BX%25IJ%24%2F65ieZ%29f6", 2685738)</f>
        <v>2685738</v>
      </c>
      <c r="C2722" s="3">
        <f>HYPERLINK("https://platform.v2.vetology.net/report/v/final/"&amp;2685738, 2685738)</f>
        <v>2685738</v>
      </c>
      <c r="D2722" s="3" t="s">
        <v>9203</v>
      </c>
      <c r="E2722" s="3" t="s">
        <v>9204</v>
      </c>
      <c r="F2722" s="3"/>
      <c r="G2722" s="3" t="s">
        <v>122</v>
      </c>
      <c r="H2722" s="3" t="s">
        <v>9205</v>
      </c>
      <c r="I2722" s="3" t="s">
        <v>8495</v>
      </c>
      <c r="J2722" s="3" t="s">
        <v>8496</v>
      </c>
      <c r="K2722" s="3" t="s">
        <v>27</v>
      </c>
      <c r="L2722" s="3" t="s">
        <v>28</v>
      </c>
      <c r="M2722" s="3" t="s">
        <v>28</v>
      </c>
      <c r="N2722" s="3" t="s">
        <v>28</v>
      </c>
      <c r="O2722" s="3" t="s">
        <v>27</v>
      </c>
      <c r="P2722" s="3" t="s">
        <v>28</v>
      </c>
      <c r="Q2722" s="3" t="s">
        <v>28</v>
      </c>
      <c r="R2722" s="3" t="s">
        <v>28</v>
      </c>
      <c r="S2722" s="3" t="s">
        <v>28</v>
      </c>
      <c r="T2722" s="3" t="s">
        <v>27</v>
      </c>
    </row>
    <row r="2723" spans="1:20" ht="351">
      <c r="A2723" s="3">
        <v>2685729</v>
      </c>
      <c r="B2723" s="3">
        <f>HYPERLINK("https://platform.v2.vetology.net/cases/2685729/screening-report/6?type=pdf&amp;v=v6&amp;scorecard=1&amp;secret_key=BX%25IJ%24%2F65ieZ%29f6", 2685729)</f>
        <v>2685729</v>
      </c>
      <c r="C2723" s="3">
        <f>HYPERLINK("https://platform.v2.vetology.net/report/v/final/"&amp;2685729, 2685729)</f>
        <v>2685729</v>
      </c>
      <c r="D2723" s="3" t="s">
        <v>9206</v>
      </c>
      <c r="E2723" s="3" t="s">
        <v>9207</v>
      </c>
      <c r="F2723" s="3" t="s">
        <v>22</v>
      </c>
      <c r="G2723" s="3" t="s">
        <v>23</v>
      </c>
      <c r="H2723" s="3" t="s">
        <v>9208</v>
      </c>
      <c r="I2723" s="3" t="s">
        <v>305</v>
      </c>
      <c r="J2723" s="3" t="s">
        <v>119</v>
      </c>
      <c r="K2723" s="3" t="s">
        <v>28</v>
      </c>
      <c r="L2723" s="3" t="s">
        <v>28</v>
      </c>
      <c r="M2723" s="3" t="s">
        <v>28</v>
      </c>
      <c r="N2723" s="3" t="s">
        <v>28</v>
      </c>
      <c r="O2723" s="3" t="s">
        <v>28</v>
      </c>
      <c r="P2723" s="3" t="s">
        <v>28</v>
      </c>
      <c r="Q2723" s="3" t="s">
        <v>28</v>
      </c>
      <c r="R2723" s="3" t="s">
        <v>28</v>
      </c>
      <c r="S2723" s="3" t="s">
        <v>28</v>
      </c>
      <c r="T2723" s="3" t="s">
        <v>28</v>
      </c>
    </row>
    <row r="2724" spans="1:20" ht="409.6">
      <c r="A2724" s="3">
        <v>2685695</v>
      </c>
      <c r="B2724" s="3">
        <f>HYPERLINK("https://platform.v2.vetology.net/cases/2685695/screening-report/6?type=pdf&amp;v=v6&amp;scorecard=1&amp;secret_key=BX%25IJ%24%2F65ieZ%29f6", 2685695)</f>
        <v>2685695</v>
      </c>
      <c r="C2724" s="3">
        <f>HYPERLINK("https://platform.v2.vetology.net/report/v/final/"&amp;2685695, 2685695)</f>
        <v>2685695</v>
      </c>
      <c r="D2724" s="3" t="s">
        <v>9209</v>
      </c>
      <c r="E2724" s="3" t="s">
        <v>9210</v>
      </c>
      <c r="F2724" s="3" t="s">
        <v>9211</v>
      </c>
      <c r="G2724" s="3" t="s">
        <v>57</v>
      </c>
      <c r="H2724" s="3" t="s">
        <v>4984</v>
      </c>
      <c r="I2724" s="3" t="s">
        <v>469</v>
      </c>
      <c r="J2724" s="3" t="s">
        <v>470</v>
      </c>
      <c r="K2724" s="3" t="s">
        <v>28</v>
      </c>
      <c r="L2724" s="3" t="s">
        <v>28</v>
      </c>
      <c r="M2724" s="3" t="s">
        <v>28</v>
      </c>
      <c r="N2724" s="3" t="s">
        <v>28</v>
      </c>
      <c r="O2724" s="3" t="s">
        <v>27</v>
      </c>
      <c r="P2724" s="3" t="s">
        <v>28</v>
      </c>
      <c r="Q2724" s="3" t="s">
        <v>28</v>
      </c>
      <c r="R2724" s="3" t="s">
        <v>28</v>
      </c>
      <c r="S2724" s="3" t="s">
        <v>28</v>
      </c>
      <c r="T2724" s="3" t="s">
        <v>28</v>
      </c>
    </row>
    <row r="2725" spans="1:20" ht="336">
      <c r="A2725" s="3">
        <v>2685685</v>
      </c>
      <c r="B2725" s="3">
        <f>HYPERLINK("https://platform.v2.vetology.net/cases/2685685/screening-report/6?type=pdf&amp;v=v6&amp;scorecard=1&amp;secret_key=BX%25IJ%24%2F65ieZ%29f6", 2685685)</f>
        <v>2685685</v>
      </c>
      <c r="C2725" s="3">
        <f>HYPERLINK("https://platform.v2.vetology.net/report/v/final/"&amp;2685685, 2685685)</f>
        <v>2685685</v>
      </c>
      <c r="D2725" s="3" t="s">
        <v>9212</v>
      </c>
      <c r="E2725" s="3" t="s">
        <v>9213</v>
      </c>
      <c r="F2725" s="3" t="s">
        <v>2708</v>
      </c>
      <c r="G2725" s="3" t="s">
        <v>372</v>
      </c>
      <c r="H2725" s="3" t="s">
        <v>9214</v>
      </c>
      <c r="I2725" s="3" t="s">
        <v>66</v>
      </c>
      <c r="J2725" s="3" t="s">
        <v>67</v>
      </c>
      <c r="K2725" s="3" t="s">
        <v>28</v>
      </c>
      <c r="L2725" s="3" t="s">
        <v>28</v>
      </c>
      <c r="M2725" s="3" t="s">
        <v>28</v>
      </c>
      <c r="N2725" s="3" t="s">
        <v>28</v>
      </c>
      <c r="O2725" s="3" t="s">
        <v>27</v>
      </c>
      <c r="P2725" s="3" t="s">
        <v>28</v>
      </c>
      <c r="Q2725" s="3" t="s">
        <v>28</v>
      </c>
      <c r="R2725" s="3" t="s">
        <v>28</v>
      </c>
      <c r="S2725" s="3" t="s">
        <v>28</v>
      </c>
      <c r="T2725" s="3" t="s">
        <v>28</v>
      </c>
    </row>
    <row r="2726" spans="1:20" ht="381.75">
      <c r="A2726" s="3">
        <v>2685681</v>
      </c>
      <c r="B2726" s="3">
        <f>HYPERLINK("https://platform.v2.vetology.net/cases/2685681/screening-report/6?type=pdf&amp;v=v6&amp;scorecard=1&amp;secret_key=BX%25IJ%24%2F65ieZ%29f6", 2685681)</f>
        <v>2685681</v>
      </c>
      <c r="C2726" s="3">
        <f>HYPERLINK("https://platform.v2.vetology.net/report/v/final/"&amp;2685681, 2685681)</f>
        <v>2685681</v>
      </c>
      <c r="D2726" s="3" t="s">
        <v>9215</v>
      </c>
      <c r="E2726" s="3" t="s">
        <v>9216</v>
      </c>
      <c r="F2726" s="3" t="s">
        <v>9217</v>
      </c>
      <c r="G2726" s="3" t="s">
        <v>57</v>
      </c>
      <c r="H2726" s="3" t="s">
        <v>1905</v>
      </c>
      <c r="I2726" s="3" t="s">
        <v>37</v>
      </c>
      <c r="J2726" s="3" t="s">
        <v>38</v>
      </c>
      <c r="K2726" s="3" t="s">
        <v>28</v>
      </c>
      <c r="L2726" s="3" t="s">
        <v>28</v>
      </c>
      <c r="M2726" s="3" t="s">
        <v>28</v>
      </c>
      <c r="N2726" s="3" t="s">
        <v>28</v>
      </c>
      <c r="O2726" s="3" t="s">
        <v>27</v>
      </c>
      <c r="P2726" s="3" t="s">
        <v>28</v>
      </c>
      <c r="Q2726" s="3" t="s">
        <v>28</v>
      </c>
      <c r="R2726" s="3" t="s">
        <v>28</v>
      </c>
      <c r="S2726" s="3" t="s">
        <v>28</v>
      </c>
      <c r="T2726" s="3" t="s">
        <v>28</v>
      </c>
    </row>
    <row r="2727" spans="1:20" ht="409.6">
      <c r="A2727" s="3">
        <v>2685671</v>
      </c>
      <c r="B2727" s="3">
        <f>HYPERLINK("https://platform.v2.vetology.net/cases/2685671/screening-report/6?type=pdf&amp;v=v6&amp;scorecard=1&amp;secret_key=BX%25IJ%24%2F65ieZ%29f6", 2685671)</f>
        <v>2685671</v>
      </c>
      <c r="C2727" s="3">
        <f>HYPERLINK("https://platform.v2.vetology.net/report/v/final/"&amp;2685671, 2685671)</f>
        <v>2685671</v>
      </c>
      <c r="D2727" s="3" t="s">
        <v>9218</v>
      </c>
      <c r="E2727" s="3" t="s">
        <v>9219</v>
      </c>
      <c r="F2727" s="3" t="s">
        <v>9220</v>
      </c>
      <c r="G2727" s="3" t="s">
        <v>57</v>
      </c>
      <c r="H2727" s="3" t="s">
        <v>9221</v>
      </c>
      <c r="I2727" s="3" t="s">
        <v>1020</v>
      </c>
      <c r="J2727" s="3" t="s">
        <v>1021</v>
      </c>
      <c r="K2727" s="3" t="s">
        <v>27</v>
      </c>
      <c r="L2727" s="3" t="s">
        <v>28</v>
      </c>
      <c r="M2727" s="3" t="s">
        <v>27</v>
      </c>
      <c r="N2727" s="3" t="s">
        <v>28</v>
      </c>
      <c r="O2727" s="3" t="s">
        <v>27</v>
      </c>
      <c r="P2727" s="3" t="s">
        <v>28</v>
      </c>
      <c r="Q2727" s="3" t="s">
        <v>28</v>
      </c>
      <c r="R2727" s="3" t="s">
        <v>28</v>
      </c>
      <c r="S2727" s="3" t="s">
        <v>28</v>
      </c>
      <c r="T2727" s="3" t="s">
        <v>28</v>
      </c>
    </row>
    <row r="2728" spans="1:20" ht="351">
      <c r="A2728" s="3">
        <v>2685647</v>
      </c>
      <c r="B2728" s="3">
        <f>HYPERLINK("https://platform.v2.vetology.net/cases/2685647/screening-report/6?type=pdf&amp;v=v6&amp;scorecard=1&amp;secret_key=BX%25IJ%24%2F65ieZ%29f6", 2685647)</f>
        <v>2685647</v>
      </c>
      <c r="C2728" s="3">
        <f>HYPERLINK("https://platform.v2.vetology.net/report/v/final/"&amp;2685647, 2685647)</f>
        <v>2685647</v>
      </c>
      <c r="D2728" s="3" t="s">
        <v>9222</v>
      </c>
      <c r="E2728" s="3" t="s">
        <v>9223</v>
      </c>
      <c r="F2728" s="3" t="s">
        <v>9224</v>
      </c>
      <c r="G2728" s="3" t="s">
        <v>186</v>
      </c>
      <c r="H2728" s="3" t="s">
        <v>4632</v>
      </c>
      <c r="I2728" s="3" t="s">
        <v>273</v>
      </c>
      <c r="J2728" s="3" t="s">
        <v>274</v>
      </c>
      <c r="K2728" s="3" t="s">
        <v>28</v>
      </c>
      <c r="L2728" s="3" t="s">
        <v>28</v>
      </c>
      <c r="M2728" s="3" t="s">
        <v>28</v>
      </c>
      <c r="N2728" s="3" t="s">
        <v>28</v>
      </c>
      <c r="O2728" s="3" t="s">
        <v>27</v>
      </c>
      <c r="P2728" s="3" t="s">
        <v>28</v>
      </c>
      <c r="Q2728" s="3" t="s">
        <v>28</v>
      </c>
      <c r="R2728" s="3" t="s">
        <v>27</v>
      </c>
      <c r="S2728" s="3" t="s">
        <v>27</v>
      </c>
      <c r="T2728" s="3" t="s">
        <v>27</v>
      </c>
    </row>
    <row r="2729" spans="1:20" ht="381.75">
      <c r="A2729" s="3">
        <v>2685634</v>
      </c>
      <c r="B2729" s="3">
        <f>HYPERLINK("https://platform.v2.vetology.net/cases/2685634/screening-report/6?type=pdf&amp;v=v6&amp;scorecard=1&amp;secret_key=BX%25IJ%24%2F65ieZ%29f6", 2685634)</f>
        <v>2685634</v>
      </c>
      <c r="C2729" s="3">
        <f>HYPERLINK("https://platform.v2.vetology.net/report/v/final/"&amp;2685634, 2685634)</f>
        <v>2685634</v>
      </c>
      <c r="D2729" s="3" t="s">
        <v>9225</v>
      </c>
      <c r="E2729" s="3" t="s">
        <v>9226</v>
      </c>
      <c r="F2729" s="3" t="s">
        <v>9227</v>
      </c>
      <c r="G2729" s="3" t="s">
        <v>57</v>
      </c>
      <c r="H2729" s="3" t="s">
        <v>2709</v>
      </c>
      <c r="I2729" s="3" t="s">
        <v>1082</v>
      </c>
      <c r="J2729" s="3" t="s">
        <v>1083</v>
      </c>
      <c r="K2729" s="3" t="s">
        <v>27</v>
      </c>
      <c r="L2729" s="3" t="s">
        <v>28</v>
      </c>
      <c r="M2729" s="3" t="s">
        <v>28</v>
      </c>
      <c r="N2729" s="3" t="s">
        <v>28</v>
      </c>
      <c r="O2729" s="3" t="s">
        <v>27</v>
      </c>
      <c r="P2729" s="3" t="s">
        <v>28</v>
      </c>
      <c r="Q2729" s="3" t="s">
        <v>28</v>
      </c>
      <c r="R2729" s="3" t="s">
        <v>28</v>
      </c>
      <c r="S2729" s="3" t="s">
        <v>28</v>
      </c>
      <c r="T2729" s="3" t="s">
        <v>27</v>
      </c>
    </row>
    <row r="2730" spans="1:20" ht="409.6">
      <c r="A2730" s="3">
        <v>2685626</v>
      </c>
      <c r="B2730" s="3">
        <f>HYPERLINK("https://platform.v2.vetology.net/cases/2685626/screening-report/6?type=pdf&amp;v=v6&amp;scorecard=1&amp;secret_key=BX%25IJ%24%2F65ieZ%29f6", 2685626)</f>
        <v>2685626</v>
      </c>
      <c r="C2730" s="3">
        <f>HYPERLINK("https://platform.v2.vetology.net/report/v/final/"&amp;2685626, 2685626)</f>
        <v>2685626</v>
      </c>
      <c r="D2730" s="3" t="s">
        <v>9228</v>
      </c>
      <c r="E2730" s="3" t="s">
        <v>7087</v>
      </c>
      <c r="F2730" s="3" t="s">
        <v>7839</v>
      </c>
      <c r="G2730" s="3" t="s">
        <v>100</v>
      </c>
      <c r="H2730" s="3" t="s">
        <v>965</v>
      </c>
      <c r="I2730" s="3" t="s">
        <v>966</v>
      </c>
      <c r="J2730" s="3" t="s">
        <v>967</v>
      </c>
      <c r="K2730" s="3" t="s">
        <v>28</v>
      </c>
      <c r="L2730" s="3" t="s">
        <v>27</v>
      </c>
      <c r="M2730" s="3" t="s">
        <v>27</v>
      </c>
      <c r="N2730" s="3" t="s">
        <v>27</v>
      </c>
      <c r="O2730" s="3" t="s">
        <v>27</v>
      </c>
      <c r="P2730" s="3" t="s">
        <v>28</v>
      </c>
      <c r="Q2730" s="3" t="s">
        <v>28</v>
      </c>
      <c r="R2730" s="3" t="s">
        <v>27</v>
      </c>
      <c r="S2730" s="3" t="s">
        <v>27</v>
      </c>
      <c r="T2730" s="3" t="s">
        <v>27</v>
      </c>
    </row>
    <row r="2731" spans="1:20" ht="396.75">
      <c r="A2731" s="3">
        <v>2685583</v>
      </c>
      <c r="B2731" s="3">
        <f>HYPERLINK("https://platform.v2.vetology.net/cases/2685583/screening-report/6?type=pdf&amp;v=v6&amp;scorecard=1&amp;secret_key=BX%25IJ%24%2F65ieZ%29f6", 2685583)</f>
        <v>2685583</v>
      </c>
      <c r="C2731" s="3">
        <f>HYPERLINK("https://platform.v2.vetology.net/report/v/final/"&amp;2685583, 2685583)</f>
        <v>2685583</v>
      </c>
      <c r="D2731" s="3" t="s">
        <v>9229</v>
      </c>
      <c r="E2731" s="3" t="s">
        <v>9230</v>
      </c>
      <c r="F2731" s="3" t="s">
        <v>22</v>
      </c>
      <c r="G2731" s="3" t="s">
        <v>372</v>
      </c>
      <c r="H2731" s="3" t="s">
        <v>158</v>
      </c>
      <c r="I2731" s="3" t="s">
        <v>32</v>
      </c>
      <c r="J2731" s="3" t="s">
        <v>33</v>
      </c>
      <c r="K2731" s="3" t="s">
        <v>28</v>
      </c>
      <c r="L2731" s="3" t="s">
        <v>28</v>
      </c>
      <c r="M2731" s="3" t="s">
        <v>28</v>
      </c>
      <c r="N2731" s="3" t="s">
        <v>28</v>
      </c>
      <c r="O2731" s="3" t="s">
        <v>28</v>
      </c>
      <c r="P2731" s="3" t="s">
        <v>28</v>
      </c>
      <c r="Q2731" s="3" t="s">
        <v>28</v>
      </c>
      <c r="R2731" s="3" t="s">
        <v>28</v>
      </c>
      <c r="S2731" s="3" t="s">
        <v>28</v>
      </c>
      <c r="T2731" s="3" t="s">
        <v>28</v>
      </c>
    </row>
    <row r="2732" spans="1:20" ht="409.6">
      <c r="A2732" s="3">
        <v>2685561</v>
      </c>
      <c r="B2732" s="3">
        <f>HYPERLINK("https://platform.v2.vetology.net/cases/2685561/screening-report/6?type=pdf&amp;v=v6&amp;scorecard=1&amp;secret_key=BX%25IJ%24%2F65ieZ%29f6", 2685561)</f>
        <v>2685561</v>
      </c>
      <c r="C2732" s="3">
        <f>HYPERLINK("https://platform.v2.vetology.net/report/v/final/"&amp;2685561, 2685561)</f>
        <v>2685561</v>
      </c>
      <c r="D2732" s="3" t="s">
        <v>9231</v>
      </c>
      <c r="E2732" s="3" t="s">
        <v>9232</v>
      </c>
      <c r="F2732" s="3" t="s">
        <v>9233</v>
      </c>
      <c r="G2732" s="3" t="s">
        <v>566</v>
      </c>
      <c r="H2732" s="3" t="s">
        <v>9234</v>
      </c>
      <c r="I2732" s="3" t="s">
        <v>2963</v>
      </c>
      <c r="J2732" s="3" t="s">
        <v>2964</v>
      </c>
      <c r="K2732" s="3" t="s">
        <v>27</v>
      </c>
      <c r="L2732" s="3" t="s">
        <v>28</v>
      </c>
      <c r="M2732" s="3" t="s">
        <v>27</v>
      </c>
      <c r="N2732" s="3" t="s">
        <v>28</v>
      </c>
      <c r="O2732" s="3" t="s">
        <v>27</v>
      </c>
      <c r="P2732" s="3" t="s">
        <v>28</v>
      </c>
      <c r="Q2732" s="3" t="s">
        <v>27</v>
      </c>
      <c r="R2732" s="3" t="s">
        <v>28</v>
      </c>
      <c r="S2732" s="3" t="s">
        <v>28</v>
      </c>
      <c r="T2732" s="3" t="s">
        <v>28</v>
      </c>
    </row>
    <row r="2733" spans="1:20" ht="336">
      <c r="A2733" s="3">
        <v>2685554</v>
      </c>
      <c r="B2733" s="3">
        <f>HYPERLINK("https://platform.v2.vetology.net/cases/2685554/screening-report/6?type=pdf&amp;v=v6&amp;scorecard=1&amp;secret_key=BX%25IJ%24%2F65ieZ%29f6", 2685554)</f>
        <v>2685554</v>
      </c>
      <c r="C2733" s="3">
        <f>HYPERLINK("https://platform.v2.vetology.net/report/v/final/"&amp;2685554, 2685554)</f>
        <v>2685554</v>
      </c>
      <c r="D2733" s="3" t="s">
        <v>9235</v>
      </c>
      <c r="E2733" s="3" t="s">
        <v>9236</v>
      </c>
      <c r="F2733" s="3"/>
      <c r="G2733" s="3" t="s">
        <v>100</v>
      </c>
      <c r="H2733" s="3" t="s">
        <v>9237</v>
      </c>
      <c r="I2733" s="3" t="s">
        <v>763</v>
      </c>
      <c r="J2733" s="3" t="s">
        <v>764</v>
      </c>
      <c r="K2733" s="3" t="s">
        <v>27</v>
      </c>
      <c r="L2733" s="3" t="s">
        <v>28</v>
      </c>
      <c r="M2733" s="3" t="s">
        <v>27</v>
      </c>
      <c r="N2733" s="3" t="s">
        <v>28</v>
      </c>
      <c r="O2733" s="3" t="s">
        <v>27</v>
      </c>
      <c r="P2733" s="3" t="s">
        <v>28</v>
      </c>
      <c r="Q2733" s="3" t="s">
        <v>27</v>
      </c>
      <c r="R2733" s="3" t="s">
        <v>28</v>
      </c>
      <c r="S2733" s="3" t="s">
        <v>28</v>
      </c>
      <c r="T2733" s="3" t="s">
        <v>28</v>
      </c>
    </row>
    <row r="2734" spans="1:20" ht="381.75">
      <c r="A2734" s="3">
        <v>2685550</v>
      </c>
      <c r="B2734" s="3">
        <f>HYPERLINK("https://platform.v2.vetology.net/cases/2685550/screening-report/6?type=pdf&amp;v=v6&amp;scorecard=1&amp;secret_key=BX%25IJ%24%2F65ieZ%29f6", 2685550)</f>
        <v>2685550</v>
      </c>
      <c r="C2734" s="3">
        <f>HYPERLINK("https://platform.v2.vetology.net/report/v/final/"&amp;2685550, 2685550)</f>
        <v>2685550</v>
      </c>
      <c r="D2734" s="3" t="s">
        <v>9238</v>
      </c>
      <c r="E2734" s="3" t="s">
        <v>9239</v>
      </c>
      <c r="F2734" s="3" t="s">
        <v>9240</v>
      </c>
      <c r="G2734" s="3" t="s">
        <v>57</v>
      </c>
      <c r="H2734" s="3" t="s">
        <v>2808</v>
      </c>
      <c r="I2734" s="3" t="s">
        <v>136</v>
      </c>
      <c r="J2734" s="3" t="s">
        <v>424</v>
      </c>
      <c r="K2734" s="3" t="s">
        <v>27</v>
      </c>
      <c r="L2734" s="3" t="s">
        <v>28</v>
      </c>
      <c r="M2734" s="3" t="s">
        <v>28</v>
      </c>
      <c r="N2734" s="3" t="s">
        <v>27</v>
      </c>
      <c r="O2734" s="3" t="s">
        <v>28</v>
      </c>
      <c r="P2734" s="3" t="s">
        <v>28</v>
      </c>
      <c r="Q2734" s="3" t="s">
        <v>27</v>
      </c>
      <c r="R2734" s="3" t="s">
        <v>28</v>
      </c>
      <c r="S2734" s="3" t="s">
        <v>28</v>
      </c>
      <c r="T2734" s="3" t="s">
        <v>27</v>
      </c>
    </row>
    <row r="2735" spans="1:20" ht="305.25">
      <c r="A2735" s="3">
        <v>2685498</v>
      </c>
      <c r="B2735" s="3">
        <f>HYPERLINK("https://platform.v2.vetology.net/cases/2685498/screening-report/6?type=pdf&amp;v=v6&amp;scorecard=1&amp;secret_key=BX%25IJ%24%2F65ieZ%29f6", 2685498)</f>
        <v>2685498</v>
      </c>
      <c r="C2735" s="3">
        <f>HYPERLINK("https://platform.v2.vetology.net/report/v/final/"&amp;2685498, 2685498)</f>
        <v>2685498</v>
      </c>
      <c r="D2735" s="3" t="s">
        <v>9241</v>
      </c>
      <c r="E2735" s="3" t="s">
        <v>9242</v>
      </c>
      <c r="F2735" s="3" t="s">
        <v>1377</v>
      </c>
      <c r="G2735" s="3" t="s">
        <v>186</v>
      </c>
      <c r="H2735" s="3" t="s">
        <v>4184</v>
      </c>
      <c r="I2735" s="3" t="s">
        <v>136</v>
      </c>
      <c r="J2735" s="3" t="s">
        <v>137</v>
      </c>
      <c r="K2735" s="3" t="s">
        <v>28</v>
      </c>
      <c r="L2735" s="3" t="s">
        <v>28</v>
      </c>
      <c r="M2735" s="3" t="s">
        <v>28</v>
      </c>
      <c r="N2735" s="3" t="s">
        <v>27</v>
      </c>
      <c r="O2735" s="3" t="s">
        <v>27</v>
      </c>
      <c r="P2735" s="3" t="s">
        <v>28</v>
      </c>
      <c r="Q2735" s="3" t="s">
        <v>28</v>
      </c>
      <c r="R2735" s="3" t="s">
        <v>27</v>
      </c>
      <c r="S2735" s="3" t="s">
        <v>28</v>
      </c>
      <c r="T2735" s="3" t="s">
        <v>27</v>
      </c>
    </row>
    <row r="2736" spans="1:20" ht="381.75">
      <c r="A2736" s="3">
        <v>2685466</v>
      </c>
      <c r="B2736" s="3">
        <f>HYPERLINK("https://platform.v2.vetology.net/cases/2685466/screening-report/6?type=pdf&amp;v=v6&amp;scorecard=1&amp;secret_key=BX%25IJ%24%2F65ieZ%29f6", 2685466)</f>
        <v>2685466</v>
      </c>
      <c r="C2736" s="3">
        <f>HYPERLINK("https://platform.v2.vetology.net/report/v/final/"&amp;2685466, 2685466)</f>
        <v>2685466</v>
      </c>
      <c r="D2736" s="3" t="s">
        <v>9243</v>
      </c>
      <c r="E2736" s="3" t="s">
        <v>9244</v>
      </c>
      <c r="F2736" s="3" t="s">
        <v>9245</v>
      </c>
      <c r="G2736" s="3" t="s">
        <v>100</v>
      </c>
      <c r="H2736" s="3" t="s">
        <v>171</v>
      </c>
      <c r="I2736" s="3" t="s">
        <v>172</v>
      </c>
      <c r="J2736" s="3" t="s">
        <v>109</v>
      </c>
      <c r="K2736" s="3" t="s">
        <v>27</v>
      </c>
      <c r="L2736" s="3" t="s">
        <v>27</v>
      </c>
      <c r="M2736" s="3" t="s">
        <v>28</v>
      </c>
      <c r="N2736" s="3" t="s">
        <v>27</v>
      </c>
      <c r="O2736" s="3" t="s">
        <v>27</v>
      </c>
      <c r="P2736" s="3" t="s">
        <v>28</v>
      </c>
      <c r="Q2736" s="3" t="s">
        <v>28</v>
      </c>
      <c r="R2736" s="3" t="s">
        <v>27</v>
      </c>
      <c r="S2736" s="3" t="s">
        <v>27</v>
      </c>
      <c r="T2736" s="3" t="s">
        <v>27</v>
      </c>
    </row>
    <row r="2737" spans="1:20" ht="409.6">
      <c r="A2737" s="3">
        <v>2685462</v>
      </c>
      <c r="B2737" s="3">
        <f>HYPERLINK("https://platform.v2.vetology.net/cases/2685462/screening-report/6?type=pdf&amp;v=v6&amp;scorecard=1&amp;secret_key=BX%25IJ%24%2F65ieZ%29f6", 2685462)</f>
        <v>2685462</v>
      </c>
      <c r="C2737" s="3">
        <f>HYPERLINK("https://platform.v2.vetology.net/report/v/final/"&amp;2685462, 2685462)</f>
        <v>2685462</v>
      </c>
      <c r="D2737" s="3" t="s">
        <v>9246</v>
      </c>
      <c r="E2737" s="3" t="s">
        <v>9247</v>
      </c>
      <c r="F2737" s="3" t="s">
        <v>9248</v>
      </c>
      <c r="G2737" s="3" t="s">
        <v>186</v>
      </c>
      <c r="H2737" s="3" t="s">
        <v>362</v>
      </c>
      <c r="I2737" s="3" t="s">
        <v>72</v>
      </c>
      <c r="J2737" s="3" t="s">
        <v>363</v>
      </c>
      <c r="K2737" s="3" t="s">
        <v>28</v>
      </c>
      <c r="L2737" s="3" t="s">
        <v>28</v>
      </c>
      <c r="M2737" s="3" t="s">
        <v>28</v>
      </c>
      <c r="N2737" s="3" t="s">
        <v>28</v>
      </c>
      <c r="O2737" s="3" t="s">
        <v>27</v>
      </c>
      <c r="P2737" s="3" t="s">
        <v>27</v>
      </c>
      <c r="Q2737" s="3" t="s">
        <v>28</v>
      </c>
      <c r="R2737" s="3" t="s">
        <v>28</v>
      </c>
      <c r="S2737" s="3" t="s">
        <v>28</v>
      </c>
      <c r="T2737" s="3" t="s">
        <v>27</v>
      </c>
    </row>
    <row r="2738" spans="1:20" ht="409.6">
      <c r="A2738" s="3">
        <v>2685369</v>
      </c>
      <c r="B2738" s="3">
        <f>HYPERLINK("https://platform.v2.vetology.net/cases/2685369/screening-report/6?type=pdf&amp;v=v6&amp;scorecard=1&amp;secret_key=BX%25IJ%24%2F65ieZ%29f6", 2685369)</f>
        <v>2685369</v>
      </c>
      <c r="C2738" s="3">
        <f>HYPERLINK("https://platform.v2.vetology.net/report/v/final/"&amp;2685369, 2685369)</f>
        <v>2685369</v>
      </c>
      <c r="D2738" s="3" t="s">
        <v>9249</v>
      </c>
      <c r="E2738" s="3" t="s">
        <v>9250</v>
      </c>
      <c r="F2738" s="3" t="s">
        <v>9251</v>
      </c>
      <c r="G2738" s="3" t="s">
        <v>566</v>
      </c>
      <c r="H2738" s="3" t="s">
        <v>590</v>
      </c>
      <c r="I2738" s="3" t="s">
        <v>291</v>
      </c>
      <c r="J2738" s="3" t="s">
        <v>225</v>
      </c>
      <c r="K2738" s="3" t="s">
        <v>28</v>
      </c>
      <c r="L2738" s="3" t="s">
        <v>28</v>
      </c>
      <c r="M2738" s="3" t="s">
        <v>28</v>
      </c>
      <c r="N2738" s="3" t="s">
        <v>27</v>
      </c>
      <c r="O2738" s="3" t="s">
        <v>27</v>
      </c>
      <c r="P2738" s="3" t="s">
        <v>28</v>
      </c>
      <c r="Q2738" s="3" t="s">
        <v>28</v>
      </c>
      <c r="R2738" s="3" t="s">
        <v>27</v>
      </c>
      <c r="S2738" s="3" t="s">
        <v>28</v>
      </c>
      <c r="T2738" s="3" t="s">
        <v>27</v>
      </c>
    </row>
    <row r="2739" spans="1:20" ht="409.6">
      <c r="A2739" s="3">
        <v>2685365</v>
      </c>
      <c r="B2739" s="3">
        <f>HYPERLINK("https://platform.v2.vetology.net/cases/2685365/screening-report/6?type=pdf&amp;v=v6&amp;scorecard=1&amp;secret_key=BX%25IJ%24%2F65ieZ%29f6", 2685365)</f>
        <v>2685365</v>
      </c>
      <c r="C2739" s="3">
        <f>HYPERLINK("https://platform.v2.vetology.net/report/v/final/"&amp;2685365, 2685365)</f>
        <v>2685365</v>
      </c>
      <c r="D2739" s="3" t="s">
        <v>9252</v>
      </c>
      <c r="E2739" s="3" t="s">
        <v>9253</v>
      </c>
      <c r="F2739" s="3" t="s">
        <v>9254</v>
      </c>
      <c r="G2739" s="3" t="s">
        <v>1772</v>
      </c>
      <c r="H2739" s="3" t="s">
        <v>1259</v>
      </c>
      <c r="I2739" s="3"/>
      <c r="J2739" s="3" t="s">
        <v>207</v>
      </c>
      <c r="K2739" s="3" t="s">
        <v>28</v>
      </c>
      <c r="L2739" s="3" t="s">
        <v>28</v>
      </c>
      <c r="M2739" s="3" t="s">
        <v>28</v>
      </c>
      <c r="N2739" s="3" t="s">
        <v>28</v>
      </c>
      <c r="O2739" s="3" t="s">
        <v>27</v>
      </c>
      <c r="P2739" s="3" t="s">
        <v>28</v>
      </c>
      <c r="Q2739" s="3" t="s">
        <v>28</v>
      </c>
      <c r="R2739" s="3" t="s">
        <v>28</v>
      </c>
      <c r="S2739" s="3" t="s">
        <v>28</v>
      </c>
      <c r="T2739" s="3" t="s">
        <v>28</v>
      </c>
    </row>
    <row r="2740" spans="1:20" ht="290.25">
      <c r="A2740" s="3">
        <v>2685342</v>
      </c>
      <c r="B2740" s="3">
        <f>HYPERLINK("https://platform.v2.vetology.net/cases/2685342/screening-report/6?type=pdf&amp;v=v6&amp;scorecard=1&amp;secret_key=BX%25IJ%24%2F65ieZ%29f6", 2685342)</f>
        <v>2685342</v>
      </c>
      <c r="C2740" s="3">
        <f>HYPERLINK("https://platform.v2.vetology.net/report/v/final/"&amp;2685342, 2685342)</f>
        <v>2685342</v>
      </c>
      <c r="D2740" s="3" t="s">
        <v>9255</v>
      </c>
      <c r="E2740" s="3" t="s">
        <v>9256</v>
      </c>
      <c r="F2740" s="3" t="s">
        <v>22</v>
      </c>
      <c r="G2740" s="3" t="s">
        <v>372</v>
      </c>
      <c r="H2740" s="3" t="s">
        <v>9257</v>
      </c>
      <c r="I2740" s="3" t="s">
        <v>6546</v>
      </c>
      <c r="J2740" s="3" t="s">
        <v>6547</v>
      </c>
      <c r="K2740" s="3" t="s">
        <v>28</v>
      </c>
      <c r="L2740" s="3" t="s">
        <v>28</v>
      </c>
      <c r="M2740" s="3" t="s">
        <v>27</v>
      </c>
      <c r="N2740" s="3" t="s">
        <v>28</v>
      </c>
      <c r="O2740" s="3" t="s">
        <v>27</v>
      </c>
      <c r="P2740" s="3" t="s">
        <v>28</v>
      </c>
      <c r="Q2740" s="3" t="s">
        <v>27</v>
      </c>
      <c r="R2740" s="3" t="s">
        <v>28</v>
      </c>
      <c r="S2740" s="3" t="s">
        <v>28</v>
      </c>
      <c r="T2740" s="3" t="s">
        <v>28</v>
      </c>
    </row>
    <row r="2741" spans="1:20" ht="409.6">
      <c r="A2741" s="3">
        <v>2685328</v>
      </c>
      <c r="B2741" s="3">
        <f>HYPERLINK("https://platform.v2.vetology.net/cases/2685328/screening-report/6?type=pdf&amp;v=v6&amp;scorecard=1&amp;secret_key=BX%25IJ%24%2F65ieZ%29f6", 2685328)</f>
        <v>2685328</v>
      </c>
      <c r="C2741" s="3">
        <f>HYPERLINK("https://platform.v2.vetology.net/report/v/final/"&amp;2685328, 2685328)</f>
        <v>2685328</v>
      </c>
      <c r="D2741" s="3" t="s">
        <v>9258</v>
      </c>
      <c r="E2741" s="3" t="s">
        <v>9259</v>
      </c>
      <c r="F2741" s="3" t="s">
        <v>2572</v>
      </c>
      <c r="G2741" s="3" t="s">
        <v>496</v>
      </c>
      <c r="H2741" s="3" t="s">
        <v>2475</v>
      </c>
      <c r="I2741" s="3" t="s">
        <v>1497</v>
      </c>
      <c r="J2741" s="3" t="s">
        <v>1340</v>
      </c>
      <c r="K2741" s="3" t="s">
        <v>28</v>
      </c>
      <c r="L2741" s="3" t="s">
        <v>28</v>
      </c>
      <c r="M2741" s="3" t="s">
        <v>28</v>
      </c>
      <c r="N2741" s="3" t="s">
        <v>28</v>
      </c>
      <c r="O2741" s="3" t="s">
        <v>27</v>
      </c>
      <c r="P2741" s="3" t="s">
        <v>28</v>
      </c>
      <c r="Q2741" s="3" t="s">
        <v>28</v>
      </c>
      <c r="R2741" s="3" t="s">
        <v>28</v>
      </c>
      <c r="S2741" s="3" t="s">
        <v>28</v>
      </c>
      <c r="T2741" s="3" t="s">
        <v>28</v>
      </c>
    </row>
    <row r="2742" spans="1:20" ht="409.6">
      <c r="A2742" s="3">
        <v>2685291</v>
      </c>
      <c r="B2742" s="3">
        <f>HYPERLINK("https://platform.v2.vetology.net/cases/2685291/screening-report/6?type=pdf&amp;v=v6&amp;scorecard=1&amp;secret_key=BX%25IJ%24%2F65ieZ%29f6", 2685291)</f>
        <v>2685291</v>
      </c>
      <c r="C2742" s="3">
        <f>HYPERLINK("https://platform.v2.vetology.net/report/v/final/"&amp;2685291, 2685291)</f>
        <v>2685291</v>
      </c>
      <c r="D2742" s="3" t="s">
        <v>9260</v>
      </c>
      <c r="E2742" s="3" t="s">
        <v>9261</v>
      </c>
      <c r="F2742" s="3" t="s">
        <v>9262</v>
      </c>
      <c r="G2742" s="3" t="s">
        <v>179</v>
      </c>
      <c r="H2742" s="3" t="s">
        <v>9263</v>
      </c>
      <c r="I2742" s="3" t="s">
        <v>1497</v>
      </c>
      <c r="J2742" s="3" t="s">
        <v>399</v>
      </c>
      <c r="K2742" s="3" t="s">
        <v>28</v>
      </c>
      <c r="L2742" s="3" t="s">
        <v>28</v>
      </c>
      <c r="M2742" s="3" t="s">
        <v>28</v>
      </c>
      <c r="N2742" s="3" t="s">
        <v>27</v>
      </c>
      <c r="O2742" s="3" t="s">
        <v>27</v>
      </c>
      <c r="P2742" s="3" t="s">
        <v>27</v>
      </c>
      <c r="Q2742" s="3" t="s">
        <v>27</v>
      </c>
      <c r="R2742" s="3" t="s">
        <v>27</v>
      </c>
      <c r="S2742" s="3" t="s">
        <v>27</v>
      </c>
      <c r="T2742" s="3" t="s">
        <v>27</v>
      </c>
    </row>
    <row r="2743" spans="1:20" ht="409.6">
      <c r="A2743" s="3">
        <v>2685289</v>
      </c>
      <c r="B2743" s="3">
        <f>HYPERLINK("https://platform.v2.vetology.net/cases/2685289/screening-report/6?type=pdf&amp;v=v6&amp;scorecard=1&amp;secret_key=BX%25IJ%24%2F65ieZ%29f6", 2685289)</f>
        <v>2685289</v>
      </c>
      <c r="C2743" s="3">
        <f>HYPERLINK("https://platform.v2.vetology.net/report/v/final/"&amp;2685289, 2685289)</f>
        <v>2685289</v>
      </c>
      <c r="D2743" s="3" t="s">
        <v>9264</v>
      </c>
      <c r="E2743" s="3" t="s">
        <v>9265</v>
      </c>
      <c r="F2743" s="3" t="s">
        <v>22</v>
      </c>
      <c r="G2743" s="3" t="s">
        <v>372</v>
      </c>
      <c r="H2743" s="3" t="s">
        <v>9266</v>
      </c>
      <c r="I2743" s="3" t="s">
        <v>59</v>
      </c>
      <c r="J2743" s="3" t="s">
        <v>60</v>
      </c>
      <c r="K2743" s="3" t="s">
        <v>28</v>
      </c>
      <c r="L2743" s="3" t="s">
        <v>28</v>
      </c>
      <c r="M2743" s="3" t="s">
        <v>28</v>
      </c>
      <c r="N2743" s="3" t="s">
        <v>28</v>
      </c>
      <c r="O2743" s="3" t="s">
        <v>27</v>
      </c>
      <c r="P2743" s="3" t="s">
        <v>28</v>
      </c>
      <c r="Q2743" s="3" t="s">
        <v>28</v>
      </c>
      <c r="R2743" s="3" t="s">
        <v>28</v>
      </c>
      <c r="S2743" s="3" t="s">
        <v>28</v>
      </c>
      <c r="T2743" s="3" t="s">
        <v>28</v>
      </c>
    </row>
    <row r="2744" spans="1:20" ht="290.25">
      <c r="A2744" s="3">
        <v>2685262</v>
      </c>
      <c r="B2744" s="3">
        <f>HYPERLINK("https://platform.v2.vetology.net/cases/2685262/screening-report/6?type=pdf&amp;v=v6&amp;scorecard=1&amp;secret_key=BX%25IJ%24%2F65ieZ%29f6", 2685262)</f>
        <v>2685262</v>
      </c>
      <c r="C2744" s="3">
        <f>HYPERLINK("https://platform.v2.vetology.net/report/v/final/"&amp;2685262, 2685262)</f>
        <v>2685262</v>
      </c>
      <c r="D2744" s="3" t="s">
        <v>9267</v>
      </c>
      <c r="E2744" s="3" t="s">
        <v>9268</v>
      </c>
      <c r="F2744" s="3" t="s">
        <v>9269</v>
      </c>
      <c r="G2744" s="3" t="s">
        <v>179</v>
      </c>
      <c r="H2744" s="3" t="s">
        <v>31</v>
      </c>
      <c r="I2744" s="3" t="s">
        <v>32</v>
      </c>
      <c r="J2744" s="3" t="s">
        <v>119</v>
      </c>
      <c r="K2744" s="3" t="s">
        <v>28</v>
      </c>
      <c r="L2744" s="3" t="s">
        <v>28</v>
      </c>
      <c r="M2744" s="3" t="s">
        <v>28</v>
      </c>
      <c r="N2744" s="3" t="s">
        <v>28</v>
      </c>
      <c r="O2744" s="3" t="s">
        <v>27</v>
      </c>
      <c r="P2744" s="3" t="s">
        <v>28</v>
      </c>
      <c r="Q2744" s="3" t="s">
        <v>28</v>
      </c>
      <c r="R2744" s="3" t="s">
        <v>28</v>
      </c>
      <c r="S2744" s="3" t="s">
        <v>28</v>
      </c>
      <c r="T2744" s="3" t="s">
        <v>28</v>
      </c>
    </row>
    <row r="2745" spans="1:20" ht="396.75">
      <c r="A2745" s="3">
        <v>2685233</v>
      </c>
      <c r="B2745" s="3">
        <f>HYPERLINK("https://platform.v2.vetology.net/cases/2685233/screening-report/6?type=pdf&amp;v=v6&amp;scorecard=1&amp;secret_key=BX%25IJ%24%2F65ieZ%29f6", 2685233)</f>
        <v>2685233</v>
      </c>
      <c r="C2745" s="3">
        <f>HYPERLINK("https://platform.v2.vetology.net/report/v/final/"&amp;2685233, 2685233)</f>
        <v>2685233</v>
      </c>
      <c r="D2745" s="3" t="s">
        <v>9270</v>
      </c>
      <c r="E2745" s="3" t="s">
        <v>9271</v>
      </c>
      <c r="F2745" s="3" t="s">
        <v>9272</v>
      </c>
      <c r="G2745" s="3" t="s">
        <v>179</v>
      </c>
      <c r="H2745" s="3" t="s">
        <v>1326</v>
      </c>
      <c r="I2745" s="3" t="s">
        <v>351</v>
      </c>
      <c r="J2745" s="3" t="s">
        <v>352</v>
      </c>
      <c r="K2745" s="3" t="s">
        <v>28</v>
      </c>
      <c r="L2745" s="3" t="s">
        <v>28</v>
      </c>
      <c r="M2745" s="3" t="s">
        <v>28</v>
      </c>
      <c r="N2745" s="3" t="s">
        <v>28</v>
      </c>
      <c r="O2745" s="3" t="s">
        <v>28</v>
      </c>
      <c r="P2745" s="3" t="s">
        <v>28</v>
      </c>
      <c r="Q2745" s="3" t="s">
        <v>27</v>
      </c>
      <c r="R2745" s="3" t="s">
        <v>28</v>
      </c>
      <c r="S2745" s="3" t="s">
        <v>28</v>
      </c>
      <c r="T2745" s="3" t="s">
        <v>27</v>
      </c>
    </row>
    <row r="2746" spans="1:20" ht="409.6">
      <c r="A2746" s="3">
        <v>2685219</v>
      </c>
      <c r="B2746" s="3">
        <f>HYPERLINK("https://platform.v2.vetology.net/cases/2685219/screening-report/6?type=pdf&amp;v=v6&amp;scorecard=1&amp;secret_key=BX%25IJ%24%2F65ieZ%29f6", 2685219)</f>
        <v>2685219</v>
      </c>
      <c r="C2746" s="3">
        <f>HYPERLINK("https://platform.v2.vetology.net/report/v/final/"&amp;2685219, 2685219)</f>
        <v>2685219</v>
      </c>
      <c r="D2746" s="3" t="s">
        <v>9273</v>
      </c>
      <c r="E2746" s="3" t="s">
        <v>9274</v>
      </c>
      <c r="F2746" s="3" t="s">
        <v>9275</v>
      </c>
      <c r="G2746" s="3" t="s">
        <v>566</v>
      </c>
      <c r="H2746" s="3" t="s">
        <v>9276</v>
      </c>
      <c r="I2746" s="3" t="s">
        <v>9277</v>
      </c>
      <c r="J2746" s="3" t="s">
        <v>1021</v>
      </c>
      <c r="K2746" s="3" t="s">
        <v>27</v>
      </c>
      <c r="L2746" s="3" t="s">
        <v>28</v>
      </c>
      <c r="M2746" s="3" t="s">
        <v>28</v>
      </c>
      <c r="N2746" s="3" t="s">
        <v>28</v>
      </c>
      <c r="O2746" s="3" t="s">
        <v>27</v>
      </c>
      <c r="P2746" s="3" t="s">
        <v>28</v>
      </c>
      <c r="Q2746" s="3" t="s">
        <v>27</v>
      </c>
      <c r="R2746" s="3" t="s">
        <v>28</v>
      </c>
      <c r="S2746" s="3" t="s">
        <v>28</v>
      </c>
      <c r="T2746" s="3" t="s">
        <v>27</v>
      </c>
    </row>
    <row r="2747" spans="1:20" ht="409.6">
      <c r="A2747" s="3">
        <v>2685208</v>
      </c>
      <c r="B2747" s="3">
        <f>HYPERLINK("https://platform.v2.vetology.net/cases/2685208/screening-report/6?type=pdf&amp;v=v6&amp;scorecard=1&amp;secret_key=BX%25IJ%24%2F65ieZ%29f6", 2685208)</f>
        <v>2685208</v>
      </c>
      <c r="C2747" s="3">
        <f>HYPERLINK("https://platform.v2.vetology.net/report/v/final/"&amp;2685208, 2685208)</f>
        <v>2685208</v>
      </c>
      <c r="D2747" s="3" t="s">
        <v>9278</v>
      </c>
      <c r="E2747" s="3" t="s">
        <v>9279</v>
      </c>
      <c r="F2747" s="3" t="s">
        <v>9280</v>
      </c>
      <c r="G2747" s="3" t="s">
        <v>1772</v>
      </c>
      <c r="H2747" s="3" t="s">
        <v>9281</v>
      </c>
      <c r="I2747" s="3" t="s">
        <v>520</v>
      </c>
      <c r="J2747" s="3" t="s">
        <v>335</v>
      </c>
      <c r="K2747" s="3" t="s">
        <v>27</v>
      </c>
      <c r="L2747" s="3" t="s">
        <v>28</v>
      </c>
      <c r="M2747" s="3" t="s">
        <v>27</v>
      </c>
      <c r="N2747" s="3" t="s">
        <v>28</v>
      </c>
      <c r="O2747" s="3" t="s">
        <v>28</v>
      </c>
      <c r="P2747" s="3" t="s">
        <v>28</v>
      </c>
      <c r="Q2747" s="3" t="s">
        <v>28</v>
      </c>
      <c r="R2747" s="3" t="s">
        <v>28</v>
      </c>
      <c r="S2747" s="3" t="s">
        <v>28</v>
      </c>
      <c r="T2747" s="3" t="s">
        <v>28</v>
      </c>
    </row>
    <row r="2748" spans="1:20" ht="305.25">
      <c r="A2748" s="3">
        <v>2685143</v>
      </c>
      <c r="B2748" s="3">
        <f>HYPERLINK("https://platform.v2.vetology.net/cases/2685143/screening-report/6?type=pdf&amp;v=v6&amp;scorecard=1&amp;secret_key=BX%25IJ%24%2F65ieZ%29f6", 2685143)</f>
        <v>2685143</v>
      </c>
      <c r="C2748" s="3">
        <f>HYPERLINK("https://platform.v2.vetology.net/report/v/final/"&amp;2685143, 2685143)</f>
        <v>2685143</v>
      </c>
      <c r="D2748" s="3" t="s">
        <v>9282</v>
      </c>
      <c r="E2748" s="3" t="s">
        <v>9283</v>
      </c>
      <c r="F2748" s="3" t="s">
        <v>22</v>
      </c>
      <c r="G2748" s="3" t="s">
        <v>372</v>
      </c>
      <c r="H2748" s="3" t="s">
        <v>31</v>
      </c>
      <c r="I2748" s="3" t="s">
        <v>32</v>
      </c>
      <c r="J2748" s="3" t="s">
        <v>119</v>
      </c>
      <c r="K2748" s="3" t="s">
        <v>28</v>
      </c>
      <c r="L2748" s="3" t="s">
        <v>28</v>
      </c>
      <c r="M2748" s="3" t="s">
        <v>28</v>
      </c>
      <c r="N2748" s="3" t="s">
        <v>28</v>
      </c>
      <c r="O2748" s="3" t="s">
        <v>28</v>
      </c>
      <c r="P2748" s="3" t="s">
        <v>28</v>
      </c>
      <c r="Q2748" s="3" t="s">
        <v>28</v>
      </c>
      <c r="R2748" s="3" t="s">
        <v>28</v>
      </c>
      <c r="S2748" s="3" t="s">
        <v>28</v>
      </c>
      <c r="T2748" s="3" t="s">
        <v>28</v>
      </c>
    </row>
    <row r="2749" spans="1:20" ht="409.6">
      <c r="A2749" s="3">
        <v>2685078</v>
      </c>
      <c r="B2749" s="3">
        <f>HYPERLINK("https://platform.v2.vetology.net/cases/2685078/screening-report/6?type=pdf&amp;v=v6&amp;scorecard=1&amp;secret_key=BX%25IJ%24%2F65ieZ%29f6", 2685078)</f>
        <v>2685078</v>
      </c>
      <c r="C2749" s="3">
        <f>HYPERLINK("https://platform.v2.vetology.net/report/v/final/"&amp;2685078, 2685078)</f>
        <v>2685078</v>
      </c>
      <c r="D2749" s="3" t="s">
        <v>9284</v>
      </c>
      <c r="E2749" s="3" t="s">
        <v>9285</v>
      </c>
      <c r="F2749" s="3" t="s">
        <v>9286</v>
      </c>
      <c r="G2749" s="3" t="s">
        <v>566</v>
      </c>
      <c r="H2749" s="3" t="s">
        <v>9287</v>
      </c>
      <c r="I2749" s="3" t="s">
        <v>89</v>
      </c>
      <c r="J2749" s="3" t="s">
        <v>90</v>
      </c>
      <c r="K2749" s="3" t="s">
        <v>28</v>
      </c>
      <c r="L2749" s="3" t="s">
        <v>28</v>
      </c>
      <c r="M2749" s="3" t="s">
        <v>28</v>
      </c>
      <c r="N2749" s="3" t="s">
        <v>28</v>
      </c>
      <c r="O2749" s="3" t="s">
        <v>27</v>
      </c>
      <c r="P2749" s="3" t="s">
        <v>28</v>
      </c>
      <c r="Q2749" s="3" t="s">
        <v>28</v>
      </c>
      <c r="R2749" s="3" t="s">
        <v>28</v>
      </c>
      <c r="S2749" s="3" t="s">
        <v>28</v>
      </c>
      <c r="T2749" s="3" t="s">
        <v>28</v>
      </c>
    </row>
    <row r="2750" spans="1:20" ht="409.6">
      <c r="A2750" s="3">
        <v>2685052</v>
      </c>
      <c r="B2750" s="3">
        <f>HYPERLINK("https://platform.v2.vetology.net/cases/2685052/screening-report/6?type=pdf&amp;v=v6&amp;scorecard=1&amp;secret_key=BX%25IJ%24%2F65ieZ%29f6", 2685052)</f>
        <v>2685052</v>
      </c>
      <c r="C2750" s="3">
        <f>HYPERLINK("https://platform.v2.vetology.net/report/v/final/"&amp;2685052, 2685052)</f>
        <v>2685052</v>
      </c>
      <c r="D2750" s="3" t="s">
        <v>9288</v>
      </c>
      <c r="E2750" s="3" t="s">
        <v>9289</v>
      </c>
      <c r="F2750" s="3" t="s">
        <v>22</v>
      </c>
      <c r="G2750" s="3" t="s">
        <v>372</v>
      </c>
      <c r="H2750" s="3" t="s">
        <v>135</v>
      </c>
      <c r="I2750" s="3" t="s">
        <v>136</v>
      </c>
      <c r="J2750" s="3" t="s">
        <v>424</v>
      </c>
      <c r="K2750" s="3" t="s">
        <v>28</v>
      </c>
      <c r="L2750" s="3" t="s">
        <v>28</v>
      </c>
      <c r="M2750" s="3" t="s">
        <v>28</v>
      </c>
      <c r="N2750" s="3" t="s">
        <v>28</v>
      </c>
      <c r="O2750" s="3" t="s">
        <v>27</v>
      </c>
      <c r="P2750" s="3" t="s">
        <v>28</v>
      </c>
      <c r="Q2750" s="3" t="s">
        <v>28</v>
      </c>
      <c r="R2750" s="3" t="s">
        <v>28</v>
      </c>
      <c r="S2750" s="3" t="s">
        <v>28</v>
      </c>
      <c r="T2750" s="3" t="s">
        <v>27</v>
      </c>
    </row>
    <row r="2751" spans="1:20" ht="336">
      <c r="A2751" s="3">
        <v>2685033</v>
      </c>
      <c r="B2751" s="3">
        <f>HYPERLINK("https://platform.v2.vetology.net/cases/2685033/screening-report/6?type=pdf&amp;v=v6&amp;scorecard=1&amp;secret_key=BX%25IJ%24%2F65ieZ%29f6", 2685033)</f>
        <v>2685033</v>
      </c>
      <c r="C2751" s="3">
        <f>HYPERLINK("https://platform.v2.vetology.net/report/v/final/"&amp;2685033, 2685033)</f>
        <v>2685033</v>
      </c>
      <c r="D2751" s="3" t="s">
        <v>9290</v>
      </c>
      <c r="E2751" s="3" t="s">
        <v>9291</v>
      </c>
      <c r="F2751" s="3" t="s">
        <v>9292</v>
      </c>
      <c r="G2751" s="3" t="s">
        <v>1772</v>
      </c>
      <c r="H2751" s="3" t="s">
        <v>9061</v>
      </c>
      <c r="I2751" s="3" t="s">
        <v>1611</v>
      </c>
      <c r="J2751" s="3" t="s">
        <v>1612</v>
      </c>
      <c r="K2751" s="3" t="s">
        <v>28</v>
      </c>
      <c r="L2751" s="3" t="s">
        <v>28</v>
      </c>
      <c r="M2751" s="3" t="s">
        <v>28</v>
      </c>
      <c r="N2751" s="3" t="s">
        <v>28</v>
      </c>
      <c r="O2751" s="3" t="s">
        <v>28</v>
      </c>
      <c r="P2751" s="3" t="s">
        <v>28</v>
      </c>
      <c r="Q2751" s="3" t="s">
        <v>28</v>
      </c>
      <c r="R2751" s="3" t="s">
        <v>27</v>
      </c>
      <c r="S2751" s="3" t="s">
        <v>27</v>
      </c>
      <c r="T2751" s="3" t="s">
        <v>28</v>
      </c>
    </row>
    <row r="2752" spans="1:20" ht="366">
      <c r="A2752" s="3">
        <v>2685025</v>
      </c>
      <c r="B2752" s="3">
        <f>HYPERLINK("https://platform.v2.vetology.net/cases/2685025/screening-report/6?type=pdf&amp;v=v6&amp;scorecard=1&amp;secret_key=BX%25IJ%24%2F65ieZ%29f6", 2685025)</f>
        <v>2685025</v>
      </c>
      <c r="C2752" s="3">
        <f>HYPERLINK("https://platform.v2.vetology.net/report/v/final/"&amp;2685025, 2685025)</f>
        <v>2685025</v>
      </c>
      <c r="D2752" s="3" t="s">
        <v>9293</v>
      </c>
      <c r="E2752" s="3" t="s">
        <v>9294</v>
      </c>
      <c r="F2752" s="3" t="s">
        <v>9295</v>
      </c>
      <c r="G2752" s="3" t="s">
        <v>179</v>
      </c>
      <c r="H2752" s="3" t="s">
        <v>1271</v>
      </c>
      <c r="I2752" s="3" t="s">
        <v>883</v>
      </c>
      <c r="J2752" s="3" t="s">
        <v>884</v>
      </c>
      <c r="K2752" s="3" t="s">
        <v>28</v>
      </c>
      <c r="L2752" s="3" t="s">
        <v>28</v>
      </c>
      <c r="M2752" s="3" t="s">
        <v>28</v>
      </c>
      <c r="N2752" s="3" t="s">
        <v>28</v>
      </c>
      <c r="O2752" s="3" t="s">
        <v>28</v>
      </c>
      <c r="P2752" s="3" t="s">
        <v>28</v>
      </c>
      <c r="Q2752" s="3" t="s">
        <v>28</v>
      </c>
      <c r="R2752" s="3" t="s">
        <v>28</v>
      </c>
      <c r="S2752" s="3" t="s">
        <v>28</v>
      </c>
      <c r="T2752" s="3" t="s">
        <v>28</v>
      </c>
    </row>
    <row r="2753" spans="1:20" ht="409.6">
      <c r="A2753" s="3">
        <v>2685010</v>
      </c>
      <c r="B2753" s="3">
        <f>HYPERLINK("https://platform.v2.vetology.net/cases/2685010/screening-report/6?type=pdf&amp;v=v6&amp;scorecard=1&amp;secret_key=BX%25IJ%24%2F65ieZ%29f6", 2685010)</f>
        <v>2685010</v>
      </c>
      <c r="C2753" s="3">
        <f>HYPERLINK("https://platform.v2.vetology.net/report/v/final/"&amp;2685010, 2685010)</f>
        <v>2685010</v>
      </c>
      <c r="D2753" s="3" t="s">
        <v>9296</v>
      </c>
      <c r="E2753" s="3" t="s">
        <v>9297</v>
      </c>
      <c r="F2753" s="3" t="s">
        <v>9298</v>
      </c>
      <c r="G2753" s="3" t="s">
        <v>64</v>
      </c>
      <c r="H2753" s="3" t="s">
        <v>1222</v>
      </c>
      <c r="I2753" s="3" t="s">
        <v>632</v>
      </c>
      <c r="J2753" s="3" t="s">
        <v>1223</v>
      </c>
      <c r="K2753" s="3" t="s">
        <v>28</v>
      </c>
      <c r="L2753" s="3" t="s">
        <v>28</v>
      </c>
      <c r="M2753" s="3" t="s">
        <v>28</v>
      </c>
      <c r="N2753" s="3" t="s">
        <v>27</v>
      </c>
      <c r="O2753" s="3" t="s">
        <v>28</v>
      </c>
      <c r="P2753" s="3" t="s">
        <v>28</v>
      </c>
      <c r="Q2753" s="3" t="s">
        <v>28</v>
      </c>
      <c r="R2753" s="3" t="s">
        <v>27</v>
      </c>
      <c r="S2753" s="3" t="s">
        <v>27</v>
      </c>
      <c r="T2753" s="3" t="s">
        <v>28</v>
      </c>
    </row>
    <row r="2754" spans="1:20" ht="321">
      <c r="A2754" s="3">
        <v>2685001</v>
      </c>
      <c r="B2754" s="3">
        <f>HYPERLINK("https://platform.v2.vetology.net/cases/2685001/screening-report/6?type=pdf&amp;v=v6&amp;scorecard=1&amp;secret_key=BX%25IJ%24%2F65ieZ%29f6", 2685001)</f>
        <v>2685001</v>
      </c>
      <c r="C2754" s="3">
        <f>HYPERLINK("https://platform.v2.vetology.net/report/v/final/"&amp;2685001, 2685001)</f>
        <v>2685001</v>
      </c>
      <c r="D2754" s="3" t="s">
        <v>9299</v>
      </c>
      <c r="E2754" s="3" t="s">
        <v>9300</v>
      </c>
      <c r="F2754" s="3" t="s">
        <v>9301</v>
      </c>
      <c r="G2754" s="3" t="s">
        <v>186</v>
      </c>
      <c r="H2754" s="3" t="s">
        <v>9302</v>
      </c>
      <c r="I2754" s="3" t="s">
        <v>9303</v>
      </c>
      <c r="J2754" s="3" t="s">
        <v>9304</v>
      </c>
      <c r="K2754" s="3" t="s">
        <v>28</v>
      </c>
      <c r="L2754" s="3" t="s">
        <v>28</v>
      </c>
      <c r="M2754" s="3" t="s">
        <v>27</v>
      </c>
      <c r="N2754" s="3" t="s">
        <v>28</v>
      </c>
      <c r="O2754" s="3" t="s">
        <v>28</v>
      </c>
      <c r="P2754" s="3" t="s">
        <v>28</v>
      </c>
      <c r="Q2754" s="3" t="s">
        <v>28</v>
      </c>
      <c r="R2754" s="3" t="s">
        <v>28</v>
      </c>
      <c r="S2754" s="3" t="s">
        <v>28</v>
      </c>
      <c r="T2754" s="3" t="s">
        <v>27</v>
      </c>
    </row>
    <row r="2755" spans="1:20" ht="409.6">
      <c r="A2755" s="3">
        <v>2684988</v>
      </c>
      <c r="B2755" s="3">
        <f>HYPERLINK("https://platform.v2.vetology.net/cases/2684988/screening-report/6?type=pdf&amp;v=v6&amp;scorecard=1&amp;secret_key=BX%25IJ%24%2F65ieZ%29f6", 2684988)</f>
        <v>2684988</v>
      </c>
      <c r="C2755" s="3">
        <f>HYPERLINK("https://platform.v2.vetology.net/report/v/final/"&amp;2684988, 2684988)</f>
        <v>2684988</v>
      </c>
      <c r="D2755" s="3" t="s">
        <v>9305</v>
      </c>
      <c r="E2755" s="3" t="s">
        <v>9306</v>
      </c>
      <c r="F2755" s="3" t="s">
        <v>9307</v>
      </c>
      <c r="G2755" s="3" t="s">
        <v>1772</v>
      </c>
      <c r="H2755" s="3" t="s">
        <v>31</v>
      </c>
      <c r="I2755" s="3" t="s">
        <v>129</v>
      </c>
      <c r="J2755" s="3" t="s">
        <v>119</v>
      </c>
      <c r="K2755" s="3" t="s">
        <v>28</v>
      </c>
      <c r="L2755" s="3" t="s">
        <v>28</v>
      </c>
      <c r="M2755" s="3" t="s">
        <v>28</v>
      </c>
      <c r="N2755" s="3" t="s">
        <v>28</v>
      </c>
      <c r="O2755" s="3" t="s">
        <v>28</v>
      </c>
      <c r="P2755" s="3" t="s">
        <v>28</v>
      </c>
      <c r="Q2755" s="3" t="s">
        <v>28</v>
      </c>
      <c r="R2755" s="3" t="s">
        <v>28</v>
      </c>
      <c r="S2755" s="3" t="s">
        <v>28</v>
      </c>
      <c r="T2755" s="3" t="s">
        <v>28</v>
      </c>
    </row>
    <row r="2756" spans="1:20" ht="366">
      <c r="A2756" s="3">
        <v>2684953</v>
      </c>
      <c r="B2756" s="3">
        <f>HYPERLINK("https://platform.v2.vetology.net/cases/2684953/screening-report/6?type=pdf&amp;v=v6&amp;scorecard=1&amp;secret_key=BX%25IJ%24%2F65ieZ%29f6", 2684953)</f>
        <v>2684953</v>
      </c>
      <c r="C2756" s="3">
        <f>HYPERLINK("https://platform.v2.vetology.net/report/v/final/"&amp;2684953, 2684953)</f>
        <v>2684953</v>
      </c>
      <c r="D2756" s="3" t="s">
        <v>9308</v>
      </c>
      <c r="E2756" s="3" t="s">
        <v>9309</v>
      </c>
      <c r="F2756" s="3" t="s">
        <v>9310</v>
      </c>
      <c r="G2756" s="3" t="s">
        <v>186</v>
      </c>
      <c r="H2756" s="3" t="s">
        <v>9311</v>
      </c>
      <c r="I2756" s="3" t="s">
        <v>1611</v>
      </c>
      <c r="J2756" s="3" t="s">
        <v>1612</v>
      </c>
      <c r="K2756" s="3" t="s">
        <v>28</v>
      </c>
      <c r="L2756" s="3" t="s">
        <v>28</v>
      </c>
      <c r="M2756" s="3" t="s">
        <v>28</v>
      </c>
      <c r="N2756" s="3" t="s">
        <v>28</v>
      </c>
      <c r="O2756" s="3" t="s">
        <v>28</v>
      </c>
      <c r="P2756" s="3" t="s">
        <v>28</v>
      </c>
      <c r="Q2756" s="3" t="s">
        <v>28</v>
      </c>
      <c r="R2756" s="3" t="s">
        <v>28</v>
      </c>
      <c r="S2756" s="3" t="s">
        <v>27</v>
      </c>
      <c r="T2756" s="3" t="s">
        <v>28</v>
      </c>
    </row>
    <row r="2757" spans="1:20" ht="409.6">
      <c r="A2757" s="3">
        <v>2684917</v>
      </c>
      <c r="B2757" s="3">
        <f>HYPERLINK("https://platform.v2.vetology.net/cases/2684917/screening-report/6?type=pdf&amp;v=v6&amp;scorecard=1&amp;secret_key=BX%25IJ%24%2F65ieZ%29f6", 2684917)</f>
        <v>2684917</v>
      </c>
      <c r="C2757" s="3">
        <f>HYPERLINK("https://platform.v2.vetology.net/report/v/final/"&amp;2684917, 2684917)</f>
        <v>2684917</v>
      </c>
      <c r="D2757" s="3" t="s">
        <v>9312</v>
      </c>
      <c r="E2757" s="3" t="s">
        <v>9313</v>
      </c>
      <c r="F2757" s="3" t="s">
        <v>9314</v>
      </c>
      <c r="G2757" s="3" t="s">
        <v>1772</v>
      </c>
      <c r="H2757" s="3" t="s">
        <v>3737</v>
      </c>
      <c r="I2757" s="3" t="s">
        <v>1897</v>
      </c>
      <c r="J2757" s="3" t="s">
        <v>325</v>
      </c>
      <c r="K2757" s="3" t="s">
        <v>27</v>
      </c>
      <c r="L2757" s="3" t="s">
        <v>27</v>
      </c>
      <c r="M2757" s="3" t="s">
        <v>27</v>
      </c>
      <c r="N2757" s="3" t="s">
        <v>28</v>
      </c>
      <c r="O2757" s="3" t="s">
        <v>27</v>
      </c>
      <c r="P2757" s="3" t="s">
        <v>27</v>
      </c>
      <c r="Q2757" s="3" t="s">
        <v>27</v>
      </c>
      <c r="R2757" s="3" t="s">
        <v>28</v>
      </c>
      <c r="S2757" s="3" t="s">
        <v>28</v>
      </c>
      <c r="T2757" s="3" t="s">
        <v>28</v>
      </c>
    </row>
    <row r="2758" spans="1:20" ht="305.25">
      <c r="A2758" s="3">
        <v>2684866</v>
      </c>
      <c r="B2758" s="3">
        <f>HYPERLINK("https://platform.v2.vetology.net/cases/2684866/screening-report/6?type=pdf&amp;v=v6&amp;scorecard=1&amp;secret_key=BX%25IJ%24%2F65ieZ%29f6", 2684866)</f>
        <v>2684866</v>
      </c>
      <c r="C2758" s="3">
        <f>HYPERLINK("https://platform.v2.vetology.net/report/v/final/"&amp;2684866, 2684866)</f>
        <v>2684866</v>
      </c>
      <c r="D2758" s="3" t="s">
        <v>9315</v>
      </c>
      <c r="E2758" s="3" t="s">
        <v>9316</v>
      </c>
      <c r="F2758" s="3" t="s">
        <v>9317</v>
      </c>
      <c r="G2758" s="3" t="s">
        <v>186</v>
      </c>
      <c r="H2758" s="3" t="s">
        <v>31</v>
      </c>
      <c r="I2758" s="3" t="s">
        <v>32</v>
      </c>
      <c r="J2758" s="3" t="s">
        <v>33</v>
      </c>
      <c r="K2758" s="3" t="s">
        <v>28</v>
      </c>
      <c r="L2758" s="3" t="s">
        <v>28</v>
      </c>
      <c r="M2758" s="3" t="s">
        <v>28</v>
      </c>
      <c r="N2758" s="3" t="s">
        <v>28</v>
      </c>
      <c r="O2758" s="3" t="s">
        <v>28</v>
      </c>
      <c r="P2758" s="3" t="s">
        <v>28</v>
      </c>
      <c r="Q2758" s="3" t="s">
        <v>28</v>
      </c>
      <c r="R2758" s="3" t="s">
        <v>28</v>
      </c>
      <c r="S2758" s="3" t="s">
        <v>28</v>
      </c>
      <c r="T2758" s="3" t="s">
        <v>28</v>
      </c>
    </row>
    <row r="2759" spans="1:20" ht="381.75">
      <c r="A2759" s="3">
        <v>2683795</v>
      </c>
      <c r="B2759" s="3">
        <f>HYPERLINK("https://platform.v2.vetology.net/cases/2683795/screening-report/6?type=pdf&amp;v=v6&amp;scorecard=1&amp;secret_key=BX%25IJ%24%2F65ieZ%29f6", 2683795)</f>
        <v>2683795</v>
      </c>
      <c r="C2759" s="3">
        <f>HYPERLINK("https://platform.v2.vetology.net/report/v/final/"&amp;2683795, 2683795)</f>
        <v>2683795</v>
      </c>
      <c r="D2759" s="3" t="s">
        <v>9318</v>
      </c>
      <c r="E2759" s="3" t="s">
        <v>9319</v>
      </c>
      <c r="F2759" s="3" t="s">
        <v>9320</v>
      </c>
      <c r="G2759" s="3" t="s">
        <v>57</v>
      </c>
      <c r="H2759" s="3" t="s">
        <v>31</v>
      </c>
      <c r="I2759" s="3" t="s">
        <v>32</v>
      </c>
      <c r="J2759" s="3" t="s">
        <v>33</v>
      </c>
      <c r="K2759" s="3" t="s">
        <v>28</v>
      </c>
      <c r="L2759" s="3" t="s">
        <v>28</v>
      </c>
      <c r="M2759" s="3" t="s">
        <v>28</v>
      </c>
      <c r="N2759" s="3" t="s">
        <v>28</v>
      </c>
      <c r="O2759" s="3" t="s">
        <v>28</v>
      </c>
      <c r="P2759" s="3" t="s">
        <v>28</v>
      </c>
      <c r="Q2759" s="3" t="s">
        <v>28</v>
      </c>
      <c r="R2759" s="3" t="s">
        <v>28</v>
      </c>
      <c r="S2759" s="3" t="s">
        <v>28</v>
      </c>
      <c r="T2759" s="3" t="s">
        <v>28</v>
      </c>
    </row>
    <row r="2760" spans="1:20" ht="409.6">
      <c r="A2760" s="3">
        <v>2683781</v>
      </c>
      <c r="B2760" s="3">
        <f>HYPERLINK("https://platform.v2.vetology.net/cases/2683781/screening-report/6?type=pdf&amp;v=v6&amp;scorecard=1&amp;secret_key=BX%25IJ%24%2F65ieZ%29f6", 2683781)</f>
        <v>2683781</v>
      </c>
      <c r="C2760" s="3">
        <f>HYPERLINK("https://platform.v2.vetology.net/report/v/final/"&amp;2683781, 2683781)</f>
        <v>2683781</v>
      </c>
      <c r="D2760" s="3" t="s">
        <v>9321</v>
      </c>
      <c r="E2760" s="3" t="s">
        <v>9322</v>
      </c>
      <c r="F2760" s="3" t="s">
        <v>22</v>
      </c>
      <c r="G2760" s="3" t="s">
        <v>23</v>
      </c>
      <c r="H2760" s="3" t="s">
        <v>1714</v>
      </c>
      <c r="I2760" s="3" t="s">
        <v>392</v>
      </c>
      <c r="J2760" s="3" t="s">
        <v>393</v>
      </c>
      <c r="K2760" s="3" t="s">
        <v>28</v>
      </c>
      <c r="L2760" s="3" t="s">
        <v>28</v>
      </c>
      <c r="M2760" s="3" t="s">
        <v>28</v>
      </c>
      <c r="N2760" s="3" t="s">
        <v>28</v>
      </c>
      <c r="O2760" s="3" t="s">
        <v>28</v>
      </c>
      <c r="P2760" s="3" t="s">
        <v>28</v>
      </c>
      <c r="Q2760" s="3" t="s">
        <v>28</v>
      </c>
      <c r="R2760" s="3" t="s">
        <v>28</v>
      </c>
      <c r="S2760" s="3" t="s">
        <v>28</v>
      </c>
      <c r="T2760" s="3" t="s">
        <v>28</v>
      </c>
    </row>
    <row r="2761" spans="1:20" ht="409.6">
      <c r="A2761" s="3">
        <v>2683774</v>
      </c>
      <c r="B2761" s="3">
        <f>HYPERLINK("https://platform.v2.vetology.net/cases/2683774/screening-report/6?type=pdf&amp;v=v6&amp;scorecard=1&amp;secret_key=BX%25IJ%24%2F65ieZ%29f6", 2683774)</f>
        <v>2683774</v>
      </c>
      <c r="C2761" s="3">
        <f>HYPERLINK("https://platform.v2.vetology.net/report/v/final/"&amp;2683774, 2683774)</f>
        <v>2683774</v>
      </c>
      <c r="D2761" s="3" t="s">
        <v>9323</v>
      </c>
      <c r="E2761" s="3" t="s">
        <v>9324</v>
      </c>
      <c r="F2761" s="3" t="s">
        <v>9325</v>
      </c>
      <c r="G2761" s="3" t="s">
        <v>566</v>
      </c>
      <c r="H2761" s="3" t="s">
        <v>118</v>
      </c>
      <c r="I2761" s="3" t="s">
        <v>32</v>
      </c>
      <c r="J2761" s="3" t="s">
        <v>33</v>
      </c>
      <c r="K2761" s="3" t="s">
        <v>28</v>
      </c>
      <c r="L2761" s="3" t="s">
        <v>28</v>
      </c>
      <c r="M2761" s="3" t="s">
        <v>28</v>
      </c>
      <c r="N2761" s="3" t="s">
        <v>28</v>
      </c>
      <c r="O2761" s="3" t="s">
        <v>28</v>
      </c>
      <c r="P2761" s="3" t="s">
        <v>28</v>
      </c>
      <c r="Q2761" s="3" t="s">
        <v>28</v>
      </c>
      <c r="R2761" s="3" t="s">
        <v>28</v>
      </c>
      <c r="S2761" s="3" t="s">
        <v>28</v>
      </c>
      <c r="T2761" s="3" t="s">
        <v>28</v>
      </c>
    </row>
    <row r="2762" spans="1:20" ht="366">
      <c r="A2762" s="3">
        <v>2683762</v>
      </c>
      <c r="B2762" s="3">
        <f>HYPERLINK("https://platform.v2.vetology.net/cases/2683762/screening-report/6?type=pdf&amp;v=v6&amp;scorecard=1&amp;secret_key=BX%25IJ%24%2F65ieZ%29f6", 2683762)</f>
        <v>2683762</v>
      </c>
      <c r="C2762" s="3">
        <f>HYPERLINK("https://platform.v2.vetology.net/report/v/final/"&amp;2683762, 2683762)</f>
        <v>2683762</v>
      </c>
      <c r="D2762" s="3" t="s">
        <v>9326</v>
      </c>
      <c r="E2762" s="3" t="s">
        <v>9327</v>
      </c>
      <c r="F2762" s="3"/>
      <c r="G2762" s="3" t="s">
        <v>122</v>
      </c>
      <c r="H2762" s="3" t="s">
        <v>9328</v>
      </c>
      <c r="I2762" s="3" t="s">
        <v>1483</v>
      </c>
      <c r="J2762" s="3" t="s">
        <v>5778</v>
      </c>
      <c r="K2762" s="3" t="s">
        <v>28</v>
      </c>
      <c r="L2762" s="3" t="s">
        <v>28</v>
      </c>
      <c r="M2762" s="3" t="s">
        <v>28</v>
      </c>
      <c r="N2762" s="3" t="s">
        <v>28</v>
      </c>
      <c r="O2762" s="3" t="s">
        <v>27</v>
      </c>
      <c r="P2762" s="3" t="s">
        <v>28</v>
      </c>
      <c r="Q2762" s="3" t="s">
        <v>28</v>
      </c>
      <c r="R2762" s="3" t="s">
        <v>28</v>
      </c>
      <c r="S2762" s="3" t="s">
        <v>28</v>
      </c>
      <c r="T2762" s="3" t="s">
        <v>27</v>
      </c>
    </row>
    <row r="2763" spans="1:20" ht="409.6">
      <c r="A2763" s="3">
        <v>2683754</v>
      </c>
      <c r="B2763" s="3">
        <f>HYPERLINK("https://platform.v2.vetology.net/cases/2683754/screening-report/6?type=pdf&amp;v=v6&amp;scorecard=1&amp;secret_key=BX%25IJ%24%2F65ieZ%29f6", 2683754)</f>
        <v>2683754</v>
      </c>
      <c r="C2763" s="3">
        <f>HYPERLINK("https://platform.v2.vetology.net/report/v/final/"&amp;2683754, 2683754)</f>
        <v>2683754</v>
      </c>
      <c r="D2763" s="3" t="s">
        <v>9329</v>
      </c>
      <c r="E2763" s="3" t="s">
        <v>9330</v>
      </c>
      <c r="F2763" s="3" t="s">
        <v>9331</v>
      </c>
      <c r="G2763" s="3" t="s">
        <v>57</v>
      </c>
      <c r="H2763" s="3" t="s">
        <v>9332</v>
      </c>
      <c r="I2763" s="3" t="s">
        <v>273</v>
      </c>
      <c r="J2763" s="3" t="s">
        <v>274</v>
      </c>
      <c r="K2763" s="3" t="s">
        <v>28</v>
      </c>
      <c r="L2763" s="3" t="s">
        <v>28</v>
      </c>
      <c r="M2763" s="3" t="s">
        <v>28</v>
      </c>
      <c r="N2763" s="3" t="s">
        <v>28</v>
      </c>
      <c r="O2763" s="3" t="s">
        <v>27</v>
      </c>
      <c r="P2763" s="3" t="s">
        <v>28</v>
      </c>
      <c r="Q2763" s="3" t="s">
        <v>28</v>
      </c>
      <c r="R2763" s="3" t="s">
        <v>28</v>
      </c>
      <c r="S2763" s="3" t="s">
        <v>28</v>
      </c>
      <c r="T2763" s="3" t="s">
        <v>27</v>
      </c>
    </row>
    <row r="2764" spans="1:20" ht="409.6">
      <c r="A2764" s="3">
        <v>2683722</v>
      </c>
      <c r="B2764" s="3">
        <f>HYPERLINK("https://platform.v2.vetology.net/cases/2683722/screening-report/6?type=pdf&amp;v=v6&amp;scorecard=1&amp;secret_key=BX%25IJ%24%2F65ieZ%29f6", 2683722)</f>
        <v>2683722</v>
      </c>
      <c r="C2764" s="3">
        <f>HYPERLINK("https://platform.v2.vetology.net/report/v/final/"&amp;2683722, 2683722)</f>
        <v>2683722</v>
      </c>
      <c r="D2764" s="3" t="s">
        <v>9333</v>
      </c>
      <c r="E2764" s="3" t="s">
        <v>9334</v>
      </c>
      <c r="F2764" s="3" t="s">
        <v>9335</v>
      </c>
      <c r="G2764" s="3" t="s">
        <v>1772</v>
      </c>
      <c r="H2764" s="3" t="s">
        <v>9336</v>
      </c>
      <c r="I2764" s="3" t="s">
        <v>7307</v>
      </c>
      <c r="J2764" s="3" t="s">
        <v>7308</v>
      </c>
      <c r="K2764" s="3" t="s">
        <v>28</v>
      </c>
      <c r="L2764" s="3" t="s">
        <v>28</v>
      </c>
      <c r="M2764" s="3" t="s">
        <v>28</v>
      </c>
      <c r="N2764" s="3" t="s">
        <v>28</v>
      </c>
      <c r="O2764" s="3" t="s">
        <v>27</v>
      </c>
      <c r="P2764" s="3" t="s">
        <v>28</v>
      </c>
      <c r="Q2764" s="3" t="s">
        <v>27</v>
      </c>
      <c r="R2764" s="3" t="s">
        <v>28</v>
      </c>
      <c r="S2764" s="3" t="s">
        <v>28</v>
      </c>
      <c r="T2764" s="3" t="s">
        <v>27</v>
      </c>
    </row>
    <row r="2765" spans="1:20" ht="381.75">
      <c r="A2765" s="3">
        <v>2683708</v>
      </c>
      <c r="B2765" s="3">
        <f>HYPERLINK("https://platform.v2.vetology.net/cases/2683708/screening-report/6?type=pdf&amp;v=v6&amp;scorecard=1&amp;secret_key=BX%25IJ%24%2F65ieZ%29f6", 2683708)</f>
        <v>2683708</v>
      </c>
      <c r="C2765" s="3">
        <f>HYPERLINK("https://platform.v2.vetology.net/report/v/final/"&amp;2683708, 2683708)</f>
        <v>2683708</v>
      </c>
      <c r="D2765" s="3" t="s">
        <v>9337</v>
      </c>
      <c r="E2765" s="3" t="s">
        <v>3632</v>
      </c>
      <c r="F2765" s="3" t="s">
        <v>1762</v>
      </c>
      <c r="G2765" s="3" t="s">
        <v>100</v>
      </c>
      <c r="H2765" s="3" t="s">
        <v>8846</v>
      </c>
      <c r="I2765" s="3" t="s">
        <v>37</v>
      </c>
      <c r="J2765" s="3" t="s">
        <v>38</v>
      </c>
      <c r="K2765" s="3" t="s">
        <v>28</v>
      </c>
      <c r="L2765" s="3" t="s">
        <v>28</v>
      </c>
      <c r="M2765" s="3" t="s">
        <v>27</v>
      </c>
      <c r="N2765" s="3" t="s">
        <v>28</v>
      </c>
      <c r="O2765" s="3" t="s">
        <v>27</v>
      </c>
      <c r="P2765" s="3" t="s">
        <v>28</v>
      </c>
      <c r="Q2765" s="3" t="s">
        <v>28</v>
      </c>
      <c r="R2765" s="3" t="s">
        <v>28</v>
      </c>
      <c r="S2765" s="3" t="s">
        <v>28</v>
      </c>
      <c r="T2765" s="3" t="s">
        <v>28</v>
      </c>
    </row>
    <row r="2766" spans="1:20" ht="396.75">
      <c r="A2766" s="3">
        <v>2683702</v>
      </c>
      <c r="B2766" s="3">
        <f>HYPERLINK("https://platform.v2.vetology.net/cases/2683702/screening-report/6?type=pdf&amp;v=v6&amp;scorecard=1&amp;secret_key=BX%25IJ%24%2F65ieZ%29f6", 2683702)</f>
        <v>2683702</v>
      </c>
      <c r="C2766" s="3">
        <f>HYPERLINK("https://platform.v2.vetology.net/report/v/final/"&amp;2683702, 2683702)</f>
        <v>2683702</v>
      </c>
      <c r="D2766" s="3" t="s">
        <v>9338</v>
      </c>
      <c r="E2766" s="3" t="s">
        <v>9339</v>
      </c>
      <c r="F2766" s="3" t="s">
        <v>9340</v>
      </c>
      <c r="G2766" s="3" t="s">
        <v>100</v>
      </c>
      <c r="H2766" s="3" t="s">
        <v>350</v>
      </c>
      <c r="I2766" s="3" t="s">
        <v>351</v>
      </c>
      <c r="J2766" s="3" t="s">
        <v>352</v>
      </c>
      <c r="K2766" s="3" t="s">
        <v>28</v>
      </c>
      <c r="L2766" s="3" t="s">
        <v>28</v>
      </c>
      <c r="M2766" s="3" t="s">
        <v>28</v>
      </c>
      <c r="N2766" s="3" t="s">
        <v>28</v>
      </c>
      <c r="O2766" s="3" t="s">
        <v>28</v>
      </c>
      <c r="P2766" s="3" t="s">
        <v>28</v>
      </c>
      <c r="Q2766" s="3" t="s">
        <v>28</v>
      </c>
      <c r="R2766" s="3" t="s">
        <v>28</v>
      </c>
      <c r="S2766" s="3" t="s">
        <v>28</v>
      </c>
      <c r="T2766" s="3" t="s">
        <v>27</v>
      </c>
    </row>
    <row r="2767" spans="1:20" ht="409.6">
      <c r="A2767" s="3">
        <v>2683700</v>
      </c>
      <c r="B2767" s="3">
        <f>HYPERLINK("https://platform.v2.vetology.net/cases/2683700/screening-report/6?type=pdf&amp;v=v6&amp;scorecard=1&amp;secret_key=BX%25IJ%24%2F65ieZ%29f6", 2683700)</f>
        <v>2683700</v>
      </c>
      <c r="C2767" s="3">
        <f>HYPERLINK("https://platform.v2.vetology.net/report/v/final/"&amp;2683700, 2683700)</f>
        <v>2683700</v>
      </c>
      <c r="D2767" s="3" t="s">
        <v>9341</v>
      </c>
      <c r="E2767" s="3" t="s">
        <v>955</v>
      </c>
      <c r="F2767" s="3" t="s">
        <v>956</v>
      </c>
      <c r="G2767" s="3" t="s">
        <v>100</v>
      </c>
      <c r="H2767" s="3" t="s">
        <v>9342</v>
      </c>
      <c r="I2767" s="3" t="s">
        <v>9343</v>
      </c>
      <c r="J2767" s="3" t="s">
        <v>9344</v>
      </c>
      <c r="K2767" s="3" t="s">
        <v>27</v>
      </c>
      <c r="L2767" s="3" t="s">
        <v>28</v>
      </c>
      <c r="M2767" s="3" t="s">
        <v>28</v>
      </c>
      <c r="N2767" s="3" t="s">
        <v>28</v>
      </c>
      <c r="O2767" s="3" t="s">
        <v>28</v>
      </c>
      <c r="P2767" s="3" t="s">
        <v>28</v>
      </c>
      <c r="Q2767" s="3" t="s">
        <v>28</v>
      </c>
      <c r="R2767" s="3" t="s">
        <v>28</v>
      </c>
      <c r="S2767" s="3" t="s">
        <v>28</v>
      </c>
      <c r="T2767" s="3" t="s">
        <v>27</v>
      </c>
    </row>
    <row r="2768" spans="1:20" ht="229.5">
      <c r="A2768" s="3">
        <v>2683627</v>
      </c>
      <c r="B2768" s="3">
        <f>HYPERLINK("https://platform.v2.vetology.net/cases/2683627/screening-report/6?type=pdf&amp;v=v6&amp;scorecard=1&amp;secret_key=BX%25IJ%24%2F65ieZ%29f6", 2683627)</f>
        <v>2683627</v>
      </c>
      <c r="C2768" s="3">
        <f>HYPERLINK("https://platform.v2.vetology.net/report/v/final/"&amp;2683627, 2683627)</f>
        <v>2683627</v>
      </c>
      <c r="D2768" s="3" t="s">
        <v>9345</v>
      </c>
      <c r="E2768" s="3" t="s">
        <v>9346</v>
      </c>
      <c r="F2768" s="3" t="s">
        <v>4779</v>
      </c>
      <c r="G2768" s="3" t="s">
        <v>186</v>
      </c>
      <c r="H2768" s="3" t="s">
        <v>7992</v>
      </c>
      <c r="I2768" s="3" t="s">
        <v>136</v>
      </c>
      <c r="J2768" s="3" t="s">
        <v>137</v>
      </c>
      <c r="K2768" s="3" t="s">
        <v>28</v>
      </c>
      <c r="L2768" s="3" t="s">
        <v>28</v>
      </c>
      <c r="M2768" s="3" t="s">
        <v>28</v>
      </c>
      <c r="N2768" s="3" t="s">
        <v>28</v>
      </c>
      <c r="O2768" s="3" t="s">
        <v>27</v>
      </c>
      <c r="P2768" s="3" t="s">
        <v>28</v>
      </c>
      <c r="Q2768" s="3" t="s">
        <v>28</v>
      </c>
      <c r="R2768" s="3" t="s">
        <v>28</v>
      </c>
      <c r="S2768" s="3" t="s">
        <v>28</v>
      </c>
      <c r="T2768" s="3" t="s">
        <v>27</v>
      </c>
    </row>
    <row r="2769" spans="1:20" ht="381.75">
      <c r="A2769" s="3">
        <v>2683626</v>
      </c>
      <c r="B2769" s="3">
        <f>HYPERLINK("https://platform.v2.vetology.net/cases/2683626/screening-report/6?type=pdf&amp;v=v6&amp;scorecard=1&amp;secret_key=BX%25IJ%24%2F65ieZ%29f6", 2683626)</f>
        <v>2683626</v>
      </c>
      <c r="C2769" s="3">
        <f>HYPERLINK("https://platform.v2.vetology.net/report/v/final/"&amp;2683626, 2683626)</f>
        <v>2683626</v>
      </c>
      <c r="D2769" s="3" t="s">
        <v>9347</v>
      </c>
      <c r="E2769" s="3" t="s">
        <v>9348</v>
      </c>
      <c r="F2769" s="3" t="s">
        <v>9349</v>
      </c>
      <c r="G2769" s="3" t="s">
        <v>57</v>
      </c>
      <c r="H2769" s="3" t="s">
        <v>9350</v>
      </c>
      <c r="I2769" s="3" t="s">
        <v>9351</v>
      </c>
      <c r="J2769" s="3" t="s">
        <v>207</v>
      </c>
      <c r="K2769" s="3" t="s">
        <v>28</v>
      </c>
      <c r="L2769" s="3" t="s">
        <v>27</v>
      </c>
      <c r="M2769" s="3" t="s">
        <v>28</v>
      </c>
      <c r="N2769" s="3" t="s">
        <v>27</v>
      </c>
      <c r="O2769" s="3" t="s">
        <v>28</v>
      </c>
      <c r="P2769" s="3" t="s">
        <v>28</v>
      </c>
      <c r="Q2769" s="3" t="s">
        <v>28</v>
      </c>
      <c r="R2769" s="3" t="s">
        <v>27</v>
      </c>
      <c r="S2769" s="3" t="s">
        <v>28</v>
      </c>
      <c r="T2769" s="3" t="s">
        <v>27</v>
      </c>
    </row>
    <row r="2770" spans="1:20" ht="381.75">
      <c r="A2770" s="3">
        <v>2683598</v>
      </c>
      <c r="B2770" s="3">
        <f>HYPERLINK("https://platform.v2.vetology.net/cases/2683598/screening-report/6?type=pdf&amp;v=v6&amp;scorecard=1&amp;secret_key=BX%25IJ%24%2F65ieZ%29f6", 2683598)</f>
        <v>2683598</v>
      </c>
      <c r="C2770" s="3">
        <f>HYPERLINK("https://platform.v2.vetology.net/report/v/final/"&amp;2683598, 2683598)</f>
        <v>2683598</v>
      </c>
      <c r="D2770" s="3" t="s">
        <v>9352</v>
      </c>
      <c r="E2770" s="3" t="s">
        <v>9353</v>
      </c>
      <c r="F2770" s="3" t="s">
        <v>9354</v>
      </c>
      <c r="G2770" s="3" t="s">
        <v>57</v>
      </c>
      <c r="H2770" s="3" t="s">
        <v>855</v>
      </c>
      <c r="I2770" s="3" t="s">
        <v>856</v>
      </c>
      <c r="J2770" s="3" t="s">
        <v>857</v>
      </c>
      <c r="K2770" s="3" t="s">
        <v>28</v>
      </c>
      <c r="L2770" s="3" t="s">
        <v>28</v>
      </c>
      <c r="M2770" s="3" t="s">
        <v>28</v>
      </c>
      <c r="N2770" s="3" t="s">
        <v>28</v>
      </c>
      <c r="O2770" s="3" t="s">
        <v>27</v>
      </c>
      <c r="P2770" s="3" t="s">
        <v>28</v>
      </c>
      <c r="Q2770" s="3" t="s">
        <v>28</v>
      </c>
      <c r="R2770" s="3" t="s">
        <v>28</v>
      </c>
      <c r="S2770" s="3" t="s">
        <v>28</v>
      </c>
      <c r="T2770" s="3" t="s">
        <v>28</v>
      </c>
    </row>
    <row r="2771" spans="1:20" ht="336">
      <c r="A2771" s="3">
        <v>2683588</v>
      </c>
      <c r="B2771" s="3">
        <f>HYPERLINK("https://platform.v2.vetology.net/cases/2683588/screening-report/6?type=pdf&amp;v=v6&amp;scorecard=1&amp;secret_key=BX%25IJ%24%2F65ieZ%29f6", 2683588)</f>
        <v>2683588</v>
      </c>
      <c r="C2771" s="3">
        <f>HYPERLINK("https://platform.v2.vetology.net/report/v/final/"&amp;2683588, 2683588)</f>
        <v>2683588</v>
      </c>
      <c r="D2771" s="3" t="s">
        <v>9355</v>
      </c>
      <c r="E2771" s="3" t="s">
        <v>9356</v>
      </c>
      <c r="F2771" s="3" t="s">
        <v>9357</v>
      </c>
      <c r="G2771" s="3" t="s">
        <v>496</v>
      </c>
      <c r="H2771" s="3" t="s">
        <v>123</v>
      </c>
      <c r="I2771" s="3" t="s">
        <v>124</v>
      </c>
      <c r="J2771" s="3" t="s">
        <v>125</v>
      </c>
      <c r="K2771" s="3" t="s">
        <v>27</v>
      </c>
      <c r="L2771" s="3" t="s">
        <v>28</v>
      </c>
      <c r="M2771" s="3" t="s">
        <v>27</v>
      </c>
      <c r="N2771" s="3" t="s">
        <v>28</v>
      </c>
      <c r="O2771" s="3" t="s">
        <v>27</v>
      </c>
      <c r="P2771" s="3" t="s">
        <v>28</v>
      </c>
      <c r="Q2771" s="3" t="s">
        <v>27</v>
      </c>
      <c r="R2771" s="3" t="s">
        <v>28</v>
      </c>
      <c r="S2771" s="3" t="s">
        <v>28</v>
      </c>
      <c r="T2771" s="3" t="s">
        <v>28</v>
      </c>
    </row>
    <row r="2772" spans="1:20" ht="351">
      <c r="A2772" s="3">
        <v>2683572</v>
      </c>
      <c r="B2772" s="3">
        <f>HYPERLINK("https://platform.v2.vetology.net/cases/2683572/screening-report/6?type=pdf&amp;v=v6&amp;scorecard=1&amp;secret_key=BX%25IJ%24%2F65ieZ%29f6", 2683572)</f>
        <v>2683572</v>
      </c>
      <c r="C2772" s="3">
        <f>HYPERLINK("https://platform.v2.vetology.net/report/v/final/"&amp;2683572, 2683572)</f>
        <v>2683572</v>
      </c>
      <c r="D2772" s="3" t="s">
        <v>9358</v>
      </c>
      <c r="E2772" s="3" t="s">
        <v>9359</v>
      </c>
      <c r="F2772" s="3" t="s">
        <v>9360</v>
      </c>
      <c r="G2772" s="3" t="s">
        <v>57</v>
      </c>
      <c r="H2772" s="3" t="s">
        <v>158</v>
      </c>
      <c r="I2772" s="3" t="s">
        <v>32</v>
      </c>
      <c r="J2772" s="3" t="s">
        <v>33</v>
      </c>
      <c r="K2772" s="3" t="s">
        <v>28</v>
      </c>
      <c r="L2772" s="3" t="s">
        <v>28</v>
      </c>
      <c r="M2772" s="3" t="s">
        <v>28</v>
      </c>
      <c r="N2772" s="3" t="s">
        <v>28</v>
      </c>
      <c r="O2772" s="3" t="s">
        <v>28</v>
      </c>
      <c r="P2772" s="3" t="s">
        <v>28</v>
      </c>
      <c r="Q2772" s="3" t="s">
        <v>28</v>
      </c>
      <c r="R2772" s="3" t="s">
        <v>28</v>
      </c>
      <c r="S2772" s="3" t="s">
        <v>28</v>
      </c>
      <c r="T2772" s="3" t="s">
        <v>28</v>
      </c>
    </row>
    <row r="2773" spans="1:20" ht="409.6">
      <c r="A2773" s="3">
        <v>2683533</v>
      </c>
      <c r="B2773" s="3">
        <f>HYPERLINK("https://platform.v2.vetology.net/cases/2683533/screening-report/6?type=pdf&amp;v=v6&amp;scorecard=1&amp;secret_key=BX%25IJ%24%2F65ieZ%29f6", 2683533)</f>
        <v>2683533</v>
      </c>
      <c r="C2773" s="3">
        <f>HYPERLINK("https://platform.v2.vetology.net/report/v/final/"&amp;2683533, 2683533)</f>
        <v>2683533</v>
      </c>
      <c r="D2773" s="3" t="s">
        <v>9361</v>
      </c>
      <c r="E2773" s="3" t="s">
        <v>9362</v>
      </c>
      <c r="F2773" s="3" t="s">
        <v>9363</v>
      </c>
      <c r="G2773" s="3" t="s">
        <v>566</v>
      </c>
      <c r="H2773" s="3" t="s">
        <v>9364</v>
      </c>
      <c r="I2773" s="3" t="s">
        <v>2165</v>
      </c>
      <c r="J2773" s="3" t="s">
        <v>207</v>
      </c>
      <c r="K2773" s="3" t="s">
        <v>28</v>
      </c>
      <c r="L2773" s="3" t="s">
        <v>28</v>
      </c>
      <c r="M2773" s="3" t="s">
        <v>28</v>
      </c>
      <c r="N2773" s="3" t="s">
        <v>28</v>
      </c>
      <c r="O2773" s="3" t="s">
        <v>27</v>
      </c>
      <c r="P2773" s="3" t="s">
        <v>28</v>
      </c>
      <c r="Q2773" s="3" t="s">
        <v>28</v>
      </c>
      <c r="R2773" s="3" t="s">
        <v>28</v>
      </c>
      <c r="S2773" s="3" t="s">
        <v>28</v>
      </c>
      <c r="T2773" s="3" t="s">
        <v>28</v>
      </c>
    </row>
    <row r="2774" spans="1:20" ht="409.6">
      <c r="A2774" s="3">
        <v>2683490</v>
      </c>
      <c r="B2774" s="3">
        <f>HYPERLINK("https://platform.v2.vetology.net/cases/2683490/screening-report/6?type=pdf&amp;v=v6&amp;scorecard=1&amp;secret_key=BX%25IJ%24%2F65ieZ%29f6", 2683490)</f>
        <v>2683490</v>
      </c>
      <c r="C2774" s="3">
        <f>HYPERLINK("https://platform.v2.vetology.net/report/v/final/"&amp;2683490, 2683490)</f>
        <v>2683490</v>
      </c>
      <c r="D2774" s="3" t="s">
        <v>9365</v>
      </c>
      <c r="E2774" s="3" t="s">
        <v>9366</v>
      </c>
      <c r="F2774" s="3" t="s">
        <v>9367</v>
      </c>
      <c r="G2774" s="3" t="s">
        <v>566</v>
      </c>
      <c r="H2774" s="3" t="s">
        <v>9368</v>
      </c>
      <c r="I2774" s="3" t="s">
        <v>856</v>
      </c>
      <c r="J2774" s="3" t="s">
        <v>857</v>
      </c>
      <c r="K2774" s="3" t="s">
        <v>28</v>
      </c>
      <c r="L2774" s="3" t="s">
        <v>28</v>
      </c>
      <c r="M2774" s="3" t="s">
        <v>28</v>
      </c>
      <c r="N2774" s="3" t="s">
        <v>28</v>
      </c>
      <c r="O2774" s="3" t="s">
        <v>27</v>
      </c>
      <c r="P2774" s="3" t="s">
        <v>28</v>
      </c>
      <c r="Q2774" s="3" t="s">
        <v>28</v>
      </c>
      <c r="R2774" s="3" t="s">
        <v>28</v>
      </c>
      <c r="S2774" s="3" t="s">
        <v>28</v>
      </c>
      <c r="T2774" s="3" t="s">
        <v>28</v>
      </c>
    </row>
    <row r="2775" spans="1:20" ht="409.6">
      <c r="A2775" s="3">
        <v>2683488</v>
      </c>
      <c r="B2775" s="3">
        <f>HYPERLINK("https://platform.v2.vetology.net/cases/2683488/screening-report/6?type=pdf&amp;v=v6&amp;scorecard=1&amp;secret_key=BX%25IJ%24%2F65ieZ%29f6", 2683488)</f>
        <v>2683488</v>
      </c>
      <c r="C2775" s="3">
        <f>HYPERLINK("https://platform.v2.vetology.net/report/v/final/"&amp;2683488, 2683488)</f>
        <v>2683488</v>
      </c>
      <c r="D2775" s="3" t="s">
        <v>9369</v>
      </c>
      <c r="E2775" s="3" t="s">
        <v>9370</v>
      </c>
      <c r="F2775" s="3" t="s">
        <v>9371</v>
      </c>
      <c r="G2775" s="3" t="s">
        <v>566</v>
      </c>
      <c r="H2775" s="3" t="s">
        <v>350</v>
      </c>
      <c r="I2775" s="3" t="s">
        <v>351</v>
      </c>
      <c r="J2775" s="3" t="s">
        <v>352</v>
      </c>
      <c r="K2775" s="3" t="s">
        <v>28</v>
      </c>
      <c r="L2775" s="3" t="s">
        <v>28</v>
      </c>
      <c r="M2775" s="3" t="s">
        <v>28</v>
      </c>
      <c r="N2775" s="3" t="s">
        <v>28</v>
      </c>
      <c r="O2775" s="3" t="s">
        <v>28</v>
      </c>
      <c r="P2775" s="3" t="s">
        <v>28</v>
      </c>
      <c r="Q2775" s="3" t="s">
        <v>28</v>
      </c>
      <c r="R2775" s="3" t="s">
        <v>28</v>
      </c>
      <c r="S2775" s="3" t="s">
        <v>28</v>
      </c>
      <c r="T2775" s="3" t="s">
        <v>27</v>
      </c>
    </row>
    <row r="2776" spans="1:20" ht="305.25">
      <c r="A2776" s="3">
        <v>2683432</v>
      </c>
      <c r="B2776" s="3">
        <f>HYPERLINK("https://platform.v2.vetology.net/cases/2683432/screening-report/6?type=pdf&amp;v=v6&amp;scorecard=1&amp;secret_key=BX%25IJ%24%2F65ieZ%29f6", 2683432)</f>
        <v>2683432</v>
      </c>
      <c r="C2776" s="3">
        <f>HYPERLINK("https://platform.v2.vetology.net/report/v/final/"&amp;2683432, 2683432)</f>
        <v>2683432</v>
      </c>
      <c r="D2776" s="3" t="s">
        <v>9372</v>
      </c>
      <c r="E2776" s="3" t="s">
        <v>9373</v>
      </c>
      <c r="F2776" s="3" t="s">
        <v>222</v>
      </c>
      <c r="G2776" s="3" t="s">
        <v>186</v>
      </c>
      <c r="H2776" s="3" t="s">
        <v>31</v>
      </c>
      <c r="I2776" s="3" t="s">
        <v>909</v>
      </c>
      <c r="J2776" s="3" t="s">
        <v>33</v>
      </c>
      <c r="K2776" s="3" t="s">
        <v>28</v>
      </c>
      <c r="L2776" s="3" t="s">
        <v>28</v>
      </c>
      <c r="M2776" s="3" t="s">
        <v>28</v>
      </c>
      <c r="N2776" s="3" t="s">
        <v>28</v>
      </c>
      <c r="O2776" s="3" t="s">
        <v>27</v>
      </c>
      <c r="P2776" s="3" t="s">
        <v>27</v>
      </c>
      <c r="Q2776" s="3" t="s">
        <v>28</v>
      </c>
      <c r="R2776" s="3" t="s">
        <v>28</v>
      </c>
      <c r="S2776" s="3" t="s">
        <v>28</v>
      </c>
      <c r="T2776" s="3" t="s">
        <v>27</v>
      </c>
    </row>
    <row r="2777" spans="1:20" ht="366">
      <c r="A2777" s="3">
        <v>2683409</v>
      </c>
      <c r="B2777" s="3">
        <f>HYPERLINK("https://platform.v2.vetology.net/cases/2683409/screening-report/6?type=pdf&amp;v=v6&amp;scorecard=1&amp;secret_key=BX%25IJ%24%2F65ieZ%29f6", 2683409)</f>
        <v>2683409</v>
      </c>
      <c r="C2777" s="3">
        <f>HYPERLINK("https://platform.v2.vetology.net/report/v/final/"&amp;2683409, 2683409)</f>
        <v>2683409</v>
      </c>
      <c r="D2777" s="3" t="s">
        <v>9374</v>
      </c>
      <c r="E2777" s="3" t="s">
        <v>9375</v>
      </c>
      <c r="F2777" s="3" t="s">
        <v>9376</v>
      </c>
      <c r="G2777" s="3" t="s">
        <v>186</v>
      </c>
      <c r="H2777" s="3" t="s">
        <v>3992</v>
      </c>
      <c r="I2777" s="3" t="s">
        <v>1034</v>
      </c>
      <c r="J2777" s="3" t="s">
        <v>1035</v>
      </c>
      <c r="K2777" s="3" t="s">
        <v>27</v>
      </c>
      <c r="L2777" s="3" t="s">
        <v>28</v>
      </c>
      <c r="M2777" s="3" t="s">
        <v>28</v>
      </c>
      <c r="N2777" s="3" t="s">
        <v>27</v>
      </c>
      <c r="O2777" s="3" t="s">
        <v>28</v>
      </c>
      <c r="P2777" s="3" t="s">
        <v>28</v>
      </c>
      <c r="Q2777" s="3" t="s">
        <v>28</v>
      </c>
      <c r="R2777" s="3" t="s">
        <v>28</v>
      </c>
      <c r="S2777" s="3" t="s">
        <v>28</v>
      </c>
      <c r="T2777" s="3" t="s">
        <v>27</v>
      </c>
    </row>
    <row r="2778" spans="1:20" ht="366">
      <c r="A2778" s="3">
        <v>2683394</v>
      </c>
      <c r="B2778" s="3">
        <f>HYPERLINK("https://platform.v2.vetology.net/cases/2683394/screening-report/6?type=pdf&amp;v=v6&amp;scorecard=1&amp;secret_key=BX%25IJ%24%2F65ieZ%29f6", 2683394)</f>
        <v>2683394</v>
      </c>
      <c r="C2778" s="3">
        <f>HYPERLINK("https://platform.v2.vetology.net/report/v/final/"&amp;2683394, 2683394)</f>
        <v>2683394</v>
      </c>
      <c r="D2778" s="3" t="s">
        <v>9377</v>
      </c>
      <c r="E2778" s="3" t="s">
        <v>9378</v>
      </c>
      <c r="F2778" s="3" t="s">
        <v>9379</v>
      </c>
      <c r="G2778" s="3" t="s">
        <v>179</v>
      </c>
      <c r="H2778" s="3" t="s">
        <v>135</v>
      </c>
      <c r="I2778" s="3" t="s">
        <v>136</v>
      </c>
      <c r="J2778" s="3" t="s">
        <v>424</v>
      </c>
      <c r="K2778" s="3" t="s">
        <v>28</v>
      </c>
      <c r="L2778" s="3" t="s">
        <v>28</v>
      </c>
      <c r="M2778" s="3" t="s">
        <v>28</v>
      </c>
      <c r="N2778" s="3" t="s">
        <v>27</v>
      </c>
      <c r="O2778" s="3" t="s">
        <v>27</v>
      </c>
      <c r="P2778" s="3" t="s">
        <v>28</v>
      </c>
      <c r="Q2778" s="3" t="s">
        <v>27</v>
      </c>
      <c r="R2778" s="3" t="s">
        <v>28</v>
      </c>
      <c r="S2778" s="3" t="s">
        <v>28</v>
      </c>
      <c r="T2778" s="3" t="s">
        <v>27</v>
      </c>
    </row>
    <row r="2779" spans="1:20" ht="305.25">
      <c r="A2779" s="3">
        <v>2683348</v>
      </c>
      <c r="B2779" s="3">
        <f>HYPERLINK("https://platform.v2.vetology.net/cases/2683348/screening-report/6?type=pdf&amp;v=v6&amp;scorecard=1&amp;secret_key=BX%25IJ%24%2F65ieZ%29f6", 2683348)</f>
        <v>2683348</v>
      </c>
      <c r="C2779" s="3">
        <f>HYPERLINK("https://platform.v2.vetology.net/report/v/final/"&amp;2683348, 2683348)</f>
        <v>2683348</v>
      </c>
      <c r="D2779" s="3" t="s">
        <v>9380</v>
      </c>
      <c r="E2779" s="3" t="s">
        <v>9381</v>
      </c>
      <c r="F2779" s="3" t="s">
        <v>9382</v>
      </c>
      <c r="G2779" s="3" t="s">
        <v>179</v>
      </c>
      <c r="H2779" s="3" t="s">
        <v>519</v>
      </c>
      <c r="I2779" s="3" t="s">
        <v>1344</v>
      </c>
      <c r="J2779" s="3" t="s">
        <v>33</v>
      </c>
      <c r="K2779" s="3" t="s">
        <v>28</v>
      </c>
      <c r="L2779" s="3" t="s">
        <v>28</v>
      </c>
      <c r="M2779" s="3" t="s">
        <v>28</v>
      </c>
      <c r="N2779" s="3" t="s">
        <v>28</v>
      </c>
      <c r="O2779" s="3" t="s">
        <v>27</v>
      </c>
      <c r="P2779" s="3" t="s">
        <v>28</v>
      </c>
      <c r="Q2779" s="3" t="s">
        <v>28</v>
      </c>
      <c r="R2779" s="3" t="s">
        <v>28</v>
      </c>
      <c r="S2779" s="3" t="s">
        <v>28</v>
      </c>
      <c r="T2779" s="3" t="s">
        <v>28</v>
      </c>
    </row>
    <row r="2780" spans="1:20" ht="409.6">
      <c r="A2780" s="3">
        <v>2683331</v>
      </c>
      <c r="B2780" s="3">
        <f>HYPERLINK("https://platform.v2.vetology.net/cases/2683331/screening-report/6?type=pdf&amp;v=v6&amp;scorecard=1&amp;secret_key=BX%25IJ%24%2F65ieZ%29f6", 2683331)</f>
        <v>2683331</v>
      </c>
      <c r="C2780" s="3">
        <f>HYPERLINK("https://platform.v2.vetology.net/report/v/final/"&amp;2683331, 2683331)</f>
        <v>2683331</v>
      </c>
      <c r="D2780" s="3" t="s">
        <v>9383</v>
      </c>
      <c r="E2780" s="3" t="s">
        <v>9384</v>
      </c>
      <c r="F2780" s="3" t="s">
        <v>9385</v>
      </c>
      <c r="G2780" s="3" t="s">
        <v>566</v>
      </c>
      <c r="H2780" s="3" t="s">
        <v>2847</v>
      </c>
      <c r="I2780" s="3" t="s">
        <v>291</v>
      </c>
      <c r="J2780" s="3" t="s">
        <v>225</v>
      </c>
      <c r="K2780" s="3" t="s">
        <v>27</v>
      </c>
      <c r="L2780" s="3" t="s">
        <v>28</v>
      </c>
      <c r="M2780" s="3" t="s">
        <v>28</v>
      </c>
      <c r="N2780" s="3" t="s">
        <v>27</v>
      </c>
      <c r="O2780" s="3" t="s">
        <v>27</v>
      </c>
      <c r="P2780" s="3" t="s">
        <v>28</v>
      </c>
      <c r="Q2780" s="3" t="s">
        <v>28</v>
      </c>
      <c r="R2780" s="3" t="s">
        <v>27</v>
      </c>
      <c r="S2780" s="3" t="s">
        <v>27</v>
      </c>
      <c r="T2780" s="3" t="s">
        <v>27</v>
      </c>
    </row>
    <row r="2781" spans="1:20" ht="409.6">
      <c r="A2781" s="3">
        <v>2683231</v>
      </c>
      <c r="B2781" s="3">
        <f>HYPERLINK("https://platform.v2.vetology.net/cases/2683231/screening-report/6?type=pdf&amp;v=v6&amp;scorecard=1&amp;secret_key=BX%25IJ%24%2F65ieZ%29f6", 2683231)</f>
        <v>2683231</v>
      </c>
      <c r="C2781" s="3">
        <f>HYPERLINK("https://platform.v2.vetology.net/report/v/final/"&amp;2683231, 2683231)</f>
        <v>2683231</v>
      </c>
      <c r="D2781" s="3" t="s">
        <v>9386</v>
      </c>
      <c r="E2781" s="3" t="s">
        <v>9387</v>
      </c>
      <c r="F2781" s="3" t="s">
        <v>9388</v>
      </c>
      <c r="G2781" s="3" t="s">
        <v>179</v>
      </c>
      <c r="H2781" s="3" t="s">
        <v>9389</v>
      </c>
      <c r="I2781" s="3" t="s">
        <v>89</v>
      </c>
      <c r="J2781" s="3" t="s">
        <v>90</v>
      </c>
      <c r="K2781" s="3" t="s">
        <v>27</v>
      </c>
      <c r="L2781" s="3" t="s">
        <v>28</v>
      </c>
      <c r="M2781" s="3" t="s">
        <v>28</v>
      </c>
      <c r="N2781" s="3" t="s">
        <v>28</v>
      </c>
      <c r="O2781" s="3" t="s">
        <v>27</v>
      </c>
      <c r="P2781" s="3" t="s">
        <v>28</v>
      </c>
      <c r="Q2781" s="3" t="s">
        <v>28</v>
      </c>
      <c r="R2781" s="3" t="s">
        <v>28</v>
      </c>
      <c r="S2781" s="3" t="s">
        <v>28</v>
      </c>
      <c r="T2781" s="3" t="s">
        <v>28</v>
      </c>
    </row>
    <row r="2782" spans="1:20" ht="409.6">
      <c r="A2782" s="3">
        <v>2683225</v>
      </c>
      <c r="B2782" s="3">
        <f>HYPERLINK("https://platform.v2.vetology.net/cases/2683225/screening-report/6?type=pdf&amp;v=v6&amp;scorecard=1&amp;secret_key=BX%25IJ%24%2F65ieZ%29f6", 2683225)</f>
        <v>2683225</v>
      </c>
      <c r="C2782" s="3">
        <f>HYPERLINK("https://platform.v2.vetology.net/report/v/final/"&amp;2683225, 2683225)</f>
        <v>2683225</v>
      </c>
      <c r="D2782" s="3" t="s">
        <v>9390</v>
      </c>
      <c r="E2782" s="3" t="s">
        <v>9391</v>
      </c>
      <c r="F2782" s="3" t="s">
        <v>9392</v>
      </c>
      <c r="G2782" s="3" t="s">
        <v>179</v>
      </c>
      <c r="H2782" s="3" t="s">
        <v>9393</v>
      </c>
      <c r="I2782" s="3" t="s">
        <v>7049</v>
      </c>
      <c r="J2782" s="3" t="s">
        <v>7050</v>
      </c>
      <c r="K2782" s="3" t="s">
        <v>28</v>
      </c>
      <c r="L2782" s="3" t="s">
        <v>28</v>
      </c>
      <c r="M2782" s="3" t="s">
        <v>28</v>
      </c>
      <c r="N2782" s="3" t="s">
        <v>27</v>
      </c>
      <c r="O2782" s="3" t="s">
        <v>27</v>
      </c>
      <c r="P2782" s="3" t="s">
        <v>28</v>
      </c>
      <c r="Q2782" s="3" t="s">
        <v>28</v>
      </c>
      <c r="R2782" s="3" t="s">
        <v>27</v>
      </c>
      <c r="S2782" s="3" t="s">
        <v>27</v>
      </c>
      <c r="T2782" s="3" t="s">
        <v>27</v>
      </c>
    </row>
    <row r="2783" spans="1:20" ht="305.25">
      <c r="A2783" s="3">
        <v>2683199</v>
      </c>
      <c r="B2783" s="3">
        <f>HYPERLINK("https://platform.v2.vetology.net/cases/2683199/screening-report/6?type=pdf&amp;v=v6&amp;scorecard=1&amp;secret_key=BX%25IJ%24%2F65ieZ%29f6", 2683199)</f>
        <v>2683199</v>
      </c>
      <c r="C2783" s="3">
        <f>HYPERLINK("https://platform.v2.vetology.net/report/v/final/"&amp;2683199, 2683199)</f>
        <v>2683199</v>
      </c>
      <c r="D2783" s="3" t="s">
        <v>9394</v>
      </c>
      <c r="E2783" s="3" t="s">
        <v>9395</v>
      </c>
      <c r="F2783" s="3" t="s">
        <v>9396</v>
      </c>
      <c r="G2783" s="3" t="s">
        <v>186</v>
      </c>
      <c r="H2783" s="3" t="s">
        <v>3956</v>
      </c>
      <c r="I2783" s="3" t="s">
        <v>793</v>
      </c>
      <c r="J2783" s="3" t="s">
        <v>794</v>
      </c>
      <c r="K2783" s="3" t="s">
        <v>28</v>
      </c>
      <c r="L2783" s="3" t="s">
        <v>28</v>
      </c>
      <c r="M2783" s="3" t="s">
        <v>28</v>
      </c>
      <c r="N2783" s="3" t="s">
        <v>28</v>
      </c>
      <c r="O2783" s="3" t="s">
        <v>28</v>
      </c>
      <c r="P2783" s="3" t="s">
        <v>28</v>
      </c>
      <c r="Q2783" s="3" t="s">
        <v>28</v>
      </c>
      <c r="R2783" s="3" t="s">
        <v>28</v>
      </c>
      <c r="S2783" s="3" t="s">
        <v>28</v>
      </c>
      <c r="T2783" s="3" t="s">
        <v>28</v>
      </c>
    </row>
    <row r="2784" spans="1:20" ht="305.25">
      <c r="A2784" s="3">
        <v>2683115</v>
      </c>
      <c r="B2784" s="3">
        <f>HYPERLINK("https://platform.v2.vetology.net/cases/2683115/screening-report/6?type=pdf&amp;v=v6&amp;scorecard=1&amp;secret_key=BX%25IJ%24%2F65ieZ%29f6", 2683115)</f>
        <v>2683115</v>
      </c>
      <c r="C2784" s="3">
        <f>HYPERLINK("https://platform.v2.vetology.net/report/v/final/"&amp;2683115, 2683115)</f>
        <v>2683115</v>
      </c>
      <c r="D2784" s="3" t="s">
        <v>9397</v>
      </c>
      <c r="E2784" s="3" t="s">
        <v>9398</v>
      </c>
      <c r="F2784" s="3" t="s">
        <v>9399</v>
      </c>
      <c r="G2784" s="3" t="s">
        <v>179</v>
      </c>
      <c r="H2784" s="3" t="s">
        <v>31</v>
      </c>
      <c r="I2784" s="3" t="s">
        <v>32</v>
      </c>
      <c r="J2784" s="3" t="s">
        <v>33</v>
      </c>
      <c r="K2784" s="3" t="s">
        <v>28</v>
      </c>
      <c r="L2784" s="3" t="s">
        <v>28</v>
      </c>
      <c r="M2784" s="3" t="s">
        <v>28</v>
      </c>
      <c r="N2784" s="3" t="s">
        <v>28</v>
      </c>
      <c r="O2784" s="3" t="s">
        <v>27</v>
      </c>
      <c r="P2784" s="3" t="s">
        <v>28</v>
      </c>
      <c r="Q2784" s="3" t="s">
        <v>28</v>
      </c>
      <c r="R2784" s="3" t="s">
        <v>28</v>
      </c>
      <c r="S2784" s="3" t="s">
        <v>28</v>
      </c>
      <c r="T2784" s="3" t="s">
        <v>28</v>
      </c>
    </row>
    <row r="2785" spans="1:20" ht="409.6">
      <c r="A2785" s="3">
        <v>2683101</v>
      </c>
      <c r="B2785" s="3">
        <f>HYPERLINK("https://platform.v2.vetology.net/cases/2683101/screening-report/6?type=pdf&amp;v=v6&amp;scorecard=1&amp;secret_key=BX%25IJ%24%2F65ieZ%29f6", 2683101)</f>
        <v>2683101</v>
      </c>
      <c r="C2785" s="3">
        <f>HYPERLINK("https://platform.v2.vetology.net/report/v/final/"&amp;2683101, 2683101)</f>
        <v>2683101</v>
      </c>
      <c r="D2785" s="3" t="s">
        <v>9400</v>
      </c>
      <c r="E2785" s="3" t="s">
        <v>9401</v>
      </c>
      <c r="F2785" s="3" t="s">
        <v>9402</v>
      </c>
      <c r="G2785" s="3" t="s">
        <v>736</v>
      </c>
      <c r="H2785" s="3" t="s">
        <v>328</v>
      </c>
      <c r="I2785" s="3"/>
      <c r="J2785" s="3" t="s">
        <v>207</v>
      </c>
      <c r="K2785" s="3" t="s">
        <v>28</v>
      </c>
      <c r="L2785" s="3" t="s">
        <v>28</v>
      </c>
      <c r="M2785" s="3" t="s">
        <v>28</v>
      </c>
      <c r="N2785" s="3" t="s">
        <v>28</v>
      </c>
      <c r="O2785" s="3" t="s">
        <v>27</v>
      </c>
      <c r="P2785" s="3" t="s">
        <v>28</v>
      </c>
      <c r="Q2785" s="3" t="s">
        <v>28</v>
      </c>
      <c r="R2785" s="3" t="s">
        <v>28</v>
      </c>
      <c r="S2785" s="3" t="s">
        <v>28</v>
      </c>
      <c r="T2785" s="3" t="s">
        <v>27</v>
      </c>
    </row>
    <row r="2786" spans="1:20" ht="366">
      <c r="A2786" s="3">
        <v>2683041</v>
      </c>
      <c r="B2786" s="3">
        <f>HYPERLINK("https://platform.v2.vetology.net/cases/2683041/screening-report/6?type=pdf&amp;v=v6&amp;scorecard=1&amp;secret_key=BX%25IJ%24%2F65ieZ%29f6", 2683041)</f>
        <v>2683041</v>
      </c>
      <c r="C2786" s="3">
        <f>HYPERLINK("https://platform.v2.vetology.net/report/v/final/"&amp;2683041, 2683041)</f>
        <v>2683041</v>
      </c>
      <c r="D2786" s="3" t="s">
        <v>9403</v>
      </c>
      <c r="E2786" s="3" t="s">
        <v>9404</v>
      </c>
      <c r="F2786" s="3" t="s">
        <v>9405</v>
      </c>
      <c r="G2786" s="3" t="s">
        <v>186</v>
      </c>
      <c r="H2786" s="3" t="s">
        <v>9406</v>
      </c>
      <c r="I2786" s="3" t="s">
        <v>213</v>
      </c>
      <c r="J2786" s="3" t="s">
        <v>214</v>
      </c>
      <c r="K2786" s="3" t="s">
        <v>28</v>
      </c>
      <c r="L2786" s="3" t="s">
        <v>28</v>
      </c>
      <c r="M2786" s="3" t="s">
        <v>28</v>
      </c>
      <c r="N2786" s="3" t="s">
        <v>28</v>
      </c>
      <c r="O2786" s="3" t="s">
        <v>27</v>
      </c>
      <c r="P2786" s="3" t="s">
        <v>28</v>
      </c>
      <c r="Q2786" s="3" t="s">
        <v>28</v>
      </c>
      <c r="R2786" s="3" t="s">
        <v>28</v>
      </c>
      <c r="S2786" s="3" t="s">
        <v>28</v>
      </c>
      <c r="T2786" s="3" t="s">
        <v>28</v>
      </c>
    </row>
    <row r="2787" spans="1:20" ht="259.5">
      <c r="A2787" s="3">
        <v>2683038</v>
      </c>
      <c r="B2787" s="3">
        <f>HYPERLINK("https://platform.v2.vetology.net/cases/2683038/screening-report/6?type=pdf&amp;v=v6&amp;scorecard=1&amp;secret_key=BX%25IJ%24%2F65ieZ%29f6", 2683038)</f>
        <v>2683038</v>
      </c>
      <c r="C2787" s="3">
        <f>HYPERLINK("https://platform.v2.vetology.net/report/v/final/"&amp;2683038, 2683038)</f>
        <v>2683038</v>
      </c>
      <c r="D2787" s="3" t="s">
        <v>9407</v>
      </c>
      <c r="E2787" s="3" t="s">
        <v>9408</v>
      </c>
      <c r="F2787" s="3" t="s">
        <v>1377</v>
      </c>
      <c r="G2787" s="3" t="s">
        <v>186</v>
      </c>
      <c r="H2787" s="3" t="s">
        <v>135</v>
      </c>
      <c r="I2787" s="3" t="s">
        <v>136</v>
      </c>
      <c r="J2787" s="3" t="s">
        <v>424</v>
      </c>
      <c r="K2787" s="3" t="s">
        <v>28</v>
      </c>
      <c r="L2787" s="3" t="s">
        <v>27</v>
      </c>
      <c r="M2787" s="3" t="s">
        <v>28</v>
      </c>
      <c r="N2787" s="3" t="s">
        <v>27</v>
      </c>
      <c r="O2787" s="3" t="s">
        <v>27</v>
      </c>
      <c r="P2787" s="3" t="s">
        <v>28</v>
      </c>
      <c r="Q2787" s="3" t="s">
        <v>28</v>
      </c>
      <c r="R2787" s="3" t="s">
        <v>27</v>
      </c>
      <c r="S2787" s="3" t="s">
        <v>28</v>
      </c>
      <c r="T2787" s="3" t="s">
        <v>27</v>
      </c>
    </row>
    <row r="2788" spans="1:20" ht="409.6">
      <c r="A2788" s="3">
        <v>2683015</v>
      </c>
      <c r="B2788" s="3">
        <f>HYPERLINK("https://platform.v2.vetology.net/cases/2683015/screening-report/6?type=pdf&amp;v=v6&amp;scorecard=1&amp;secret_key=BX%25IJ%24%2F65ieZ%29f6", 2683015)</f>
        <v>2683015</v>
      </c>
      <c r="C2788" s="3">
        <f>HYPERLINK("https://platform.v2.vetology.net/report/v/final/"&amp;2683015, 2683015)</f>
        <v>2683015</v>
      </c>
      <c r="D2788" s="3" t="s">
        <v>9409</v>
      </c>
      <c r="E2788" s="3" t="s">
        <v>9410</v>
      </c>
      <c r="F2788" s="3" t="s">
        <v>9411</v>
      </c>
      <c r="G2788" s="3" t="s">
        <v>1772</v>
      </c>
      <c r="H2788" s="3" t="s">
        <v>824</v>
      </c>
      <c r="I2788" s="3" t="s">
        <v>200</v>
      </c>
      <c r="J2788" s="3" t="s">
        <v>219</v>
      </c>
      <c r="K2788" s="3" t="s">
        <v>27</v>
      </c>
      <c r="L2788" s="3" t="s">
        <v>28</v>
      </c>
      <c r="M2788" s="3" t="s">
        <v>28</v>
      </c>
      <c r="N2788" s="3" t="s">
        <v>28</v>
      </c>
      <c r="O2788" s="3" t="s">
        <v>27</v>
      </c>
      <c r="P2788" s="3" t="s">
        <v>28</v>
      </c>
      <c r="Q2788" s="3" t="s">
        <v>28</v>
      </c>
      <c r="R2788" s="3" t="s">
        <v>28</v>
      </c>
      <c r="S2788" s="3" t="s">
        <v>28</v>
      </c>
      <c r="T2788" s="3" t="s">
        <v>28</v>
      </c>
    </row>
    <row r="2789" spans="1:20" ht="336">
      <c r="A2789" s="3">
        <v>2682983</v>
      </c>
      <c r="B2789" s="3">
        <f>HYPERLINK("https://platform.v2.vetology.net/cases/2682983/screening-report/6?type=pdf&amp;v=v6&amp;scorecard=1&amp;secret_key=BX%25IJ%24%2F65ieZ%29f6", 2682983)</f>
        <v>2682983</v>
      </c>
      <c r="C2789" s="3">
        <f>HYPERLINK("https://platform.v2.vetology.net/report/v/final/"&amp;2682983, 2682983)</f>
        <v>2682983</v>
      </c>
      <c r="D2789" s="3" t="s">
        <v>9412</v>
      </c>
      <c r="E2789" s="3" t="s">
        <v>9413</v>
      </c>
      <c r="F2789" s="3" t="s">
        <v>8472</v>
      </c>
      <c r="G2789" s="3" t="s">
        <v>186</v>
      </c>
      <c r="H2789" s="3" t="s">
        <v>9414</v>
      </c>
      <c r="I2789" s="3" t="s">
        <v>1916</v>
      </c>
      <c r="J2789" s="3" t="s">
        <v>1917</v>
      </c>
      <c r="K2789" s="3" t="s">
        <v>28</v>
      </c>
      <c r="L2789" s="3" t="s">
        <v>28</v>
      </c>
      <c r="M2789" s="3" t="s">
        <v>28</v>
      </c>
      <c r="N2789" s="3" t="s">
        <v>28</v>
      </c>
      <c r="O2789" s="3" t="s">
        <v>27</v>
      </c>
      <c r="P2789" s="3" t="s">
        <v>28</v>
      </c>
      <c r="Q2789" s="3" t="s">
        <v>28</v>
      </c>
      <c r="R2789" s="3" t="s">
        <v>28</v>
      </c>
      <c r="S2789" s="3" t="s">
        <v>28</v>
      </c>
      <c r="T2789" s="3" t="s">
        <v>27</v>
      </c>
    </row>
    <row r="2790" spans="1:20" ht="366">
      <c r="A2790" s="3">
        <v>2682964</v>
      </c>
      <c r="B2790" s="3">
        <f>HYPERLINK("https://platform.v2.vetology.net/cases/2682964/screening-report/6?type=pdf&amp;v=v6&amp;scorecard=1&amp;secret_key=BX%25IJ%24%2F65ieZ%29f6", 2682964)</f>
        <v>2682964</v>
      </c>
      <c r="C2790" s="3">
        <f>HYPERLINK("https://platform.v2.vetology.net/report/v/final/"&amp;2682964, 2682964)</f>
        <v>2682964</v>
      </c>
      <c r="D2790" s="3" t="s">
        <v>9415</v>
      </c>
      <c r="E2790" s="3" t="s">
        <v>9416</v>
      </c>
      <c r="F2790" s="3" t="s">
        <v>9417</v>
      </c>
      <c r="G2790" s="3" t="s">
        <v>186</v>
      </c>
      <c r="H2790" s="3" t="s">
        <v>7426</v>
      </c>
      <c r="I2790" s="3" t="s">
        <v>2565</v>
      </c>
      <c r="J2790" s="3" t="s">
        <v>2566</v>
      </c>
      <c r="K2790" s="3" t="s">
        <v>27</v>
      </c>
      <c r="L2790" s="3" t="s">
        <v>27</v>
      </c>
      <c r="M2790" s="3" t="s">
        <v>28</v>
      </c>
      <c r="N2790" s="3" t="s">
        <v>27</v>
      </c>
      <c r="O2790" s="3" t="s">
        <v>27</v>
      </c>
      <c r="P2790" s="3" t="s">
        <v>28</v>
      </c>
      <c r="Q2790" s="3" t="s">
        <v>27</v>
      </c>
      <c r="R2790" s="3" t="s">
        <v>27</v>
      </c>
      <c r="S2790" s="3" t="s">
        <v>27</v>
      </c>
      <c r="T2790" s="3" t="s">
        <v>27</v>
      </c>
    </row>
    <row r="2791" spans="1:20" ht="409.6">
      <c r="A2791" s="3">
        <v>2682958</v>
      </c>
      <c r="B2791" s="3">
        <f>HYPERLINK("https://platform.v2.vetology.net/cases/2682958/screening-report/6?type=pdf&amp;v=v6&amp;scorecard=1&amp;secret_key=BX%25IJ%24%2F65ieZ%29f6", 2682958)</f>
        <v>2682958</v>
      </c>
      <c r="C2791" s="3">
        <f>HYPERLINK("https://platform.v2.vetology.net/report/v/final/"&amp;2682958, 2682958)</f>
        <v>2682958</v>
      </c>
      <c r="D2791" s="3" t="s">
        <v>9418</v>
      </c>
      <c r="E2791" s="3" t="s">
        <v>9419</v>
      </c>
      <c r="F2791" s="3" t="s">
        <v>9420</v>
      </c>
      <c r="G2791" s="3" t="s">
        <v>179</v>
      </c>
      <c r="H2791" s="3" t="s">
        <v>1338</v>
      </c>
      <c r="I2791" s="3" t="s">
        <v>1339</v>
      </c>
      <c r="J2791" s="3" t="s">
        <v>1340</v>
      </c>
      <c r="K2791" s="3" t="s">
        <v>28</v>
      </c>
      <c r="L2791" s="3" t="s">
        <v>28</v>
      </c>
      <c r="M2791" s="3" t="s">
        <v>27</v>
      </c>
      <c r="N2791" s="3" t="s">
        <v>28</v>
      </c>
      <c r="O2791" s="3" t="s">
        <v>27</v>
      </c>
      <c r="P2791" s="3" t="s">
        <v>28</v>
      </c>
      <c r="Q2791" s="3" t="s">
        <v>27</v>
      </c>
      <c r="R2791" s="3" t="s">
        <v>28</v>
      </c>
      <c r="S2791" s="3" t="s">
        <v>27</v>
      </c>
      <c r="T2791" s="3" t="s">
        <v>28</v>
      </c>
    </row>
    <row r="2792" spans="1:20" ht="305.25">
      <c r="A2792" s="3">
        <v>2682944</v>
      </c>
      <c r="B2792" s="3">
        <f>HYPERLINK("https://platform.v2.vetology.net/cases/2682944/screening-report/6?type=pdf&amp;v=v6&amp;scorecard=1&amp;secret_key=BX%25IJ%24%2F65ieZ%29f6", 2682944)</f>
        <v>2682944</v>
      </c>
      <c r="C2792" s="3">
        <f>HYPERLINK("https://platform.v2.vetology.net/report/v/final/"&amp;2682944, 2682944)</f>
        <v>2682944</v>
      </c>
      <c r="D2792" s="3" t="s">
        <v>9421</v>
      </c>
      <c r="E2792" s="3" t="s">
        <v>9422</v>
      </c>
      <c r="F2792" s="3" t="s">
        <v>1090</v>
      </c>
      <c r="G2792" s="3" t="s">
        <v>100</v>
      </c>
      <c r="H2792" s="3" t="s">
        <v>9423</v>
      </c>
      <c r="I2792" s="3" t="s">
        <v>464</v>
      </c>
      <c r="J2792" s="3" t="s">
        <v>688</v>
      </c>
      <c r="K2792" s="3" t="s">
        <v>28</v>
      </c>
      <c r="L2792" s="3" t="s">
        <v>28</v>
      </c>
      <c r="M2792" s="3" t="s">
        <v>28</v>
      </c>
      <c r="N2792" s="3" t="s">
        <v>28</v>
      </c>
      <c r="O2792" s="3" t="s">
        <v>27</v>
      </c>
      <c r="P2792" s="3" t="s">
        <v>28</v>
      </c>
      <c r="Q2792" s="3" t="s">
        <v>28</v>
      </c>
      <c r="R2792" s="3" t="s">
        <v>28</v>
      </c>
      <c r="S2792" s="3" t="s">
        <v>28</v>
      </c>
      <c r="T2792" s="3" t="s">
        <v>28</v>
      </c>
    </row>
    <row r="2793" spans="1:20" ht="409.6">
      <c r="A2793" s="3">
        <v>2682840</v>
      </c>
      <c r="B2793" s="3">
        <f>HYPERLINK("https://platform.v2.vetology.net/cases/2682840/screening-report/6?type=pdf&amp;v=v6&amp;scorecard=1&amp;secret_key=BX%25IJ%24%2F65ieZ%29f6", 2682840)</f>
        <v>2682840</v>
      </c>
      <c r="C2793" s="3">
        <f>HYPERLINK("https://platform.v2.vetology.net/report/v/final/"&amp;2682840, 2682840)</f>
        <v>2682840</v>
      </c>
      <c r="D2793" s="3" t="s">
        <v>9424</v>
      </c>
      <c r="E2793" s="3" t="s">
        <v>9425</v>
      </c>
      <c r="F2793" s="3" t="s">
        <v>9426</v>
      </c>
      <c r="G2793" s="3" t="s">
        <v>64</v>
      </c>
      <c r="H2793" s="3" t="s">
        <v>9427</v>
      </c>
      <c r="I2793" s="3" t="s">
        <v>8393</v>
      </c>
      <c r="J2793" s="3" t="s">
        <v>8394</v>
      </c>
      <c r="K2793" s="3" t="s">
        <v>28</v>
      </c>
      <c r="L2793" s="3" t="s">
        <v>28</v>
      </c>
      <c r="M2793" s="3" t="s">
        <v>28</v>
      </c>
      <c r="N2793" s="3" t="s">
        <v>28</v>
      </c>
      <c r="O2793" s="3" t="s">
        <v>27</v>
      </c>
      <c r="P2793" s="3" t="s">
        <v>28</v>
      </c>
      <c r="Q2793" s="3" t="s">
        <v>28</v>
      </c>
      <c r="R2793" s="3" t="s">
        <v>28</v>
      </c>
      <c r="S2793" s="3" t="s">
        <v>28</v>
      </c>
      <c r="T2793" s="3" t="s">
        <v>27</v>
      </c>
    </row>
    <row r="2794" spans="1:20" ht="290.25">
      <c r="A2794" s="3">
        <v>2682829</v>
      </c>
      <c r="B2794" s="3">
        <f>HYPERLINK("https://platform.v2.vetology.net/cases/2682829/screening-report/6?type=pdf&amp;v=v6&amp;scorecard=1&amp;secret_key=BX%25IJ%24%2F65ieZ%29f6", 2682829)</f>
        <v>2682829</v>
      </c>
      <c r="C2794" s="3">
        <f>HYPERLINK("https://platform.v2.vetology.net/report/v/final/"&amp;2682829, 2682829)</f>
        <v>2682829</v>
      </c>
      <c r="D2794" s="3" t="s">
        <v>1088</v>
      </c>
      <c r="E2794" s="3" t="s">
        <v>1089</v>
      </c>
      <c r="F2794" s="3" t="s">
        <v>9428</v>
      </c>
      <c r="G2794" s="3" t="s">
        <v>100</v>
      </c>
      <c r="H2794" s="3" t="s">
        <v>9429</v>
      </c>
      <c r="I2794" s="3" t="s">
        <v>142</v>
      </c>
      <c r="J2794" s="3" t="s">
        <v>143</v>
      </c>
      <c r="K2794" s="3" t="s">
        <v>28</v>
      </c>
      <c r="L2794" s="3" t="s">
        <v>28</v>
      </c>
      <c r="M2794" s="3" t="s">
        <v>27</v>
      </c>
      <c r="N2794" s="3" t="s">
        <v>28</v>
      </c>
      <c r="O2794" s="3" t="s">
        <v>27</v>
      </c>
      <c r="P2794" s="3" t="s">
        <v>28</v>
      </c>
      <c r="Q2794" s="3" t="s">
        <v>28</v>
      </c>
      <c r="R2794" s="3" t="s">
        <v>28</v>
      </c>
      <c r="S2794" s="3" t="s">
        <v>28</v>
      </c>
      <c r="T2794" s="3" t="s">
        <v>27</v>
      </c>
    </row>
    <row r="2795" spans="1:20" ht="259.5">
      <c r="A2795" s="3">
        <v>2682812</v>
      </c>
      <c r="B2795" s="3">
        <f>HYPERLINK("https://platform.v2.vetology.net/cases/2682812/screening-report/6?type=pdf&amp;v=v6&amp;scorecard=1&amp;secret_key=BX%25IJ%24%2F65ieZ%29f6", 2682812)</f>
        <v>2682812</v>
      </c>
      <c r="C2795" s="3">
        <f>HYPERLINK("https://platform.v2.vetology.net/report/v/final/"&amp;2682812, 2682812)</f>
        <v>2682812</v>
      </c>
      <c r="D2795" s="3" t="s">
        <v>9430</v>
      </c>
      <c r="E2795" s="3" t="s">
        <v>9431</v>
      </c>
      <c r="F2795" s="3" t="s">
        <v>22</v>
      </c>
      <c r="G2795" s="3" t="s">
        <v>23</v>
      </c>
      <c r="H2795" s="3" t="s">
        <v>135</v>
      </c>
      <c r="I2795" s="3" t="s">
        <v>136</v>
      </c>
      <c r="J2795" s="3" t="s">
        <v>424</v>
      </c>
      <c r="K2795" s="3" t="s">
        <v>28</v>
      </c>
      <c r="L2795" s="3" t="s">
        <v>28</v>
      </c>
      <c r="M2795" s="3" t="s">
        <v>28</v>
      </c>
      <c r="N2795" s="3" t="s">
        <v>28</v>
      </c>
      <c r="O2795" s="3" t="s">
        <v>27</v>
      </c>
      <c r="P2795" s="3" t="s">
        <v>28</v>
      </c>
      <c r="Q2795" s="3" t="s">
        <v>28</v>
      </c>
      <c r="R2795" s="3" t="s">
        <v>28</v>
      </c>
      <c r="S2795" s="3" t="s">
        <v>28</v>
      </c>
      <c r="T2795" s="3" t="s">
        <v>27</v>
      </c>
    </row>
    <row r="2796" spans="1:20" ht="409.6">
      <c r="A2796" s="3">
        <v>2682810</v>
      </c>
      <c r="B2796" s="3">
        <f>HYPERLINK("https://platform.v2.vetology.net/cases/2682810/screening-report/6?type=pdf&amp;v=v6&amp;scorecard=1&amp;secret_key=BX%25IJ%24%2F65ieZ%29f6", 2682810)</f>
        <v>2682810</v>
      </c>
      <c r="C2796" s="3">
        <f>HYPERLINK("https://platform.v2.vetology.net/report/v/final/"&amp;2682810, 2682810)</f>
        <v>2682810</v>
      </c>
      <c r="D2796" s="3" t="s">
        <v>9432</v>
      </c>
      <c r="E2796" s="3" t="s">
        <v>9433</v>
      </c>
      <c r="F2796" s="3" t="s">
        <v>9434</v>
      </c>
      <c r="G2796" s="3" t="s">
        <v>1772</v>
      </c>
      <c r="H2796" s="3" t="s">
        <v>6800</v>
      </c>
      <c r="I2796" s="3" t="s">
        <v>6801</v>
      </c>
      <c r="J2796" s="3" t="s">
        <v>6802</v>
      </c>
      <c r="K2796" s="3" t="s">
        <v>28</v>
      </c>
      <c r="L2796" s="3" t="s">
        <v>28</v>
      </c>
      <c r="M2796" s="3" t="s">
        <v>27</v>
      </c>
      <c r="N2796" s="3" t="s">
        <v>28</v>
      </c>
      <c r="O2796" s="3" t="s">
        <v>27</v>
      </c>
      <c r="P2796" s="3" t="s">
        <v>27</v>
      </c>
      <c r="Q2796" s="3" t="s">
        <v>28</v>
      </c>
      <c r="R2796" s="3" t="s">
        <v>28</v>
      </c>
      <c r="S2796" s="3" t="s">
        <v>28</v>
      </c>
      <c r="T2796" s="3" t="s">
        <v>28</v>
      </c>
    </row>
    <row r="2797" spans="1:20" ht="409.6">
      <c r="A2797" s="3">
        <v>2682796</v>
      </c>
      <c r="B2797" s="3">
        <f>HYPERLINK("https://platform.v2.vetology.net/cases/2682796/screening-report/6?type=pdf&amp;v=v6&amp;scorecard=1&amp;secret_key=BX%25IJ%24%2F65ieZ%29f6", 2682796)</f>
        <v>2682796</v>
      </c>
      <c r="C2797" s="3">
        <f>HYPERLINK("https://platform.v2.vetology.net/report/v/final/"&amp;2682796, 2682796)</f>
        <v>2682796</v>
      </c>
      <c r="D2797" s="3" t="s">
        <v>9435</v>
      </c>
      <c r="E2797" s="3" t="s">
        <v>9436</v>
      </c>
      <c r="F2797" s="3" t="s">
        <v>22</v>
      </c>
      <c r="G2797" s="3" t="s">
        <v>100</v>
      </c>
      <c r="H2797" s="3" t="s">
        <v>6995</v>
      </c>
      <c r="I2797" s="3" t="s">
        <v>1623</v>
      </c>
      <c r="J2797" s="3" t="s">
        <v>1624</v>
      </c>
      <c r="K2797" s="3" t="s">
        <v>27</v>
      </c>
      <c r="L2797" s="3" t="s">
        <v>28</v>
      </c>
      <c r="M2797" s="3" t="s">
        <v>28</v>
      </c>
      <c r="N2797" s="3" t="s">
        <v>28</v>
      </c>
      <c r="O2797" s="3" t="s">
        <v>27</v>
      </c>
      <c r="P2797" s="3" t="s">
        <v>27</v>
      </c>
      <c r="Q2797" s="3" t="s">
        <v>27</v>
      </c>
      <c r="R2797" s="3" t="s">
        <v>28</v>
      </c>
      <c r="S2797" s="3" t="s">
        <v>27</v>
      </c>
      <c r="T2797" s="3" t="s">
        <v>28</v>
      </c>
    </row>
    <row r="2798" spans="1:20" ht="213">
      <c r="A2798" s="3">
        <v>2682793</v>
      </c>
      <c r="B2798" s="3">
        <f>HYPERLINK("https://platform.v2.vetology.net/cases/2682793/screening-report/6?type=pdf&amp;v=v6&amp;scorecard=1&amp;secret_key=BX%25IJ%24%2F65ieZ%29f6", 2682793)</f>
        <v>2682793</v>
      </c>
      <c r="C2798" s="3">
        <f>HYPERLINK("https://platform.v2.vetology.net/report/v/final/"&amp;2682793, 2682793)</f>
        <v>2682793</v>
      </c>
      <c r="D2798" s="3" t="s">
        <v>9437</v>
      </c>
      <c r="E2798" s="3" t="s">
        <v>9438</v>
      </c>
      <c r="F2798" s="3" t="s">
        <v>1762</v>
      </c>
      <c r="G2798" s="3" t="s">
        <v>100</v>
      </c>
      <c r="H2798" s="3" t="s">
        <v>223</v>
      </c>
      <c r="I2798" s="3" t="s">
        <v>1330</v>
      </c>
      <c r="J2798" s="3" t="s">
        <v>1331</v>
      </c>
      <c r="K2798" s="3" t="s">
        <v>28</v>
      </c>
      <c r="L2798" s="3" t="s">
        <v>28</v>
      </c>
      <c r="M2798" s="3" t="s">
        <v>28</v>
      </c>
      <c r="N2798" s="3" t="s">
        <v>28</v>
      </c>
      <c r="O2798" s="3" t="s">
        <v>28</v>
      </c>
      <c r="P2798" s="3" t="s">
        <v>28</v>
      </c>
      <c r="Q2798" s="3" t="s">
        <v>28</v>
      </c>
      <c r="R2798" s="3" t="s">
        <v>27</v>
      </c>
      <c r="S2798" s="3" t="s">
        <v>27</v>
      </c>
      <c r="T2798" s="3" t="s">
        <v>27</v>
      </c>
    </row>
    <row r="2799" spans="1:20" ht="336">
      <c r="A2799" s="3">
        <v>2682788</v>
      </c>
      <c r="B2799" s="3">
        <f>HYPERLINK("https://platform.v2.vetology.net/cases/2682788/screening-report/6?type=pdf&amp;v=v6&amp;scorecard=1&amp;secret_key=BX%25IJ%24%2F65ieZ%29f6", 2682788)</f>
        <v>2682788</v>
      </c>
      <c r="C2799" s="3">
        <f>HYPERLINK("https://platform.v2.vetology.net/report/v/final/"&amp;2682788, 2682788)</f>
        <v>2682788</v>
      </c>
      <c r="D2799" s="3" t="s">
        <v>9439</v>
      </c>
      <c r="E2799" s="3" t="s">
        <v>9440</v>
      </c>
      <c r="F2799" s="3" t="s">
        <v>22</v>
      </c>
      <c r="G2799" s="3" t="s">
        <v>372</v>
      </c>
      <c r="H2799" s="3" t="s">
        <v>3625</v>
      </c>
      <c r="I2799" s="3" t="s">
        <v>1373</v>
      </c>
      <c r="J2799" s="3" t="s">
        <v>33</v>
      </c>
      <c r="K2799" s="3" t="s">
        <v>28</v>
      </c>
      <c r="L2799" s="3" t="s">
        <v>28</v>
      </c>
      <c r="M2799" s="3" t="s">
        <v>28</v>
      </c>
      <c r="N2799" s="3" t="s">
        <v>28</v>
      </c>
      <c r="O2799" s="3" t="s">
        <v>27</v>
      </c>
      <c r="P2799" s="3" t="s">
        <v>28</v>
      </c>
      <c r="Q2799" s="3" t="s">
        <v>27</v>
      </c>
      <c r="R2799" s="3" t="s">
        <v>28</v>
      </c>
      <c r="S2799" s="3" t="s">
        <v>27</v>
      </c>
      <c r="T2799" s="3" t="s">
        <v>27</v>
      </c>
    </row>
    <row r="2800" spans="1:20" ht="366">
      <c r="A2800" s="3">
        <v>2682782</v>
      </c>
      <c r="B2800" s="3">
        <f>HYPERLINK("https://platform.v2.vetology.net/cases/2682782/screening-report/6?type=pdf&amp;v=v6&amp;scorecard=1&amp;secret_key=BX%25IJ%24%2F65ieZ%29f6", 2682782)</f>
        <v>2682782</v>
      </c>
      <c r="C2800" s="3">
        <f>HYPERLINK("https://platform.v2.vetology.net/report/v/final/"&amp;2682782, 2682782)</f>
        <v>2682782</v>
      </c>
      <c r="D2800" s="3" t="s">
        <v>3124</v>
      </c>
      <c r="E2800" s="3" t="s">
        <v>8755</v>
      </c>
      <c r="F2800" s="3" t="s">
        <v>9441</v>
      </c>
      <c r="G2800" s="3" t="s">
        <v>100</v>
      </c>
      <c r="H2800" s="3" t="s">
        <v>9442</v>
      </c>
      <c r="I2800" s="3" t="s">
        <v>1809</v>
      </c>
      <c r="J2800" s="3" t="s">
        <v>1810</v>
      </c>
      <c r="K2800" s="3" t="s">
        <v>28</v>
      </c>
      <c r="L2800" s="3" t="s">
        <v>28</v>
      </c>
      <c r="M2800" s="3" t="s">
        <v>28</v>
      </c>
      <c r="N2800" s="3" t="s">
        <v>28</v>
      </c>
      <c r="O2800" s="3" t="s">
        <v>27</v>
      </c>
      <c r="P2800" s="3" t="s">
        <v>28</v>
      </c>
      <c r="Q2800" s="3" t="s">
        <v>27</v>
      </c>
      <c r="R2800" s="3" t="s">
        <v>28</v>
      </c>
      <c r="S2800" s="3" t="s">
        <v>28</v>
      </c>
      <c r="T2800" s="3" t="s">
        <v>28</v>
      </c>
    </row>
    <row r="2801" spans="1:20" ht="409.6">
      <c r="A2801" s="3">
        <v>2682772</v>
      </c>
      <c r="B2801" s="3">
        <f>HYPERLINK("https://platform.v2.vetology.net/cases/2682772/screening-report/6?type=pdf&amp;v=v6&amp;scorecard=1&amp;secret_key=BX%25IJ%24%2F65ieZ%29f6", 2682772)</f>
        <v>2682772</v>
      </c>
      <c r="C2801" s="3">
        <f>HYPERLINK("https://platform.v2.vetology.net/report/v/final/"&amp;2682772, 2682772)</f>
        <v>2682772</v>
      </c>
      <c r="D2801" s="3" t="s">
        <v>9443</v>
      </c>
      <c r="E2801" s="3" t="s">
        <v>9444</v>
      </c>
      <c r="F2801" s="3" t="s">
        <v>9445</v>
      </c>
      <c r="G2801" s="3" t="s">
        <v>186</v>
      </c>
      <c r="H2801" s="3" t="s">
        <v>9446</v>
      </c>
      <c r="I2801" s="3" t="s">
        <v>147</v>
      </c>
      <c r="J2801" s="3" t="s">
        <v>148</v>
      </c>
      <c r="K2801" s="3" t="s">
        <v>28</v>
      </c>
      <c r="L2801" s="3" t="s">
        <v>28</v>
      </c>
      <c r="M2801" s="3" t="s">
        <v>28</v>
      </c>
      <c r="N2801" s="3" t="s">
        <v>28</v>
      </c>
      <c r="O2801" s="3" t="s">
        <v>27</v>
      </c>
      <c r="P2801" s="3" t="s">
        <v>28</v>
      </c>
      <c r="Q2801" s="3" t="s">
        <v>28</v>
      </c>
      <c r="R2801" s="3" t="s">
        <v>28</v>
      </c>
      <c r="S2801" s="3" t="s">
        <v>27</v>
      </c>
      <c r="T2801" s="3" t="s">
        <v>28</v>
      </c>
    </row>
    <row r="2802" spans="1:20" ht="409.6">
      <c r="A2802" s="3">
        <v>2682770</v>
      </c>
      <c r="B2802" s="3">
        <f>HYPERLINK("https://platform.v2.vetology.net/cases/2682770/screening-report/6?type=pdf&amp;v=v6&amp;scorecard=1&amp;secret_key=BX%25IJ%24%2F65ieZ%29f6", 2682770)</f>
        <v>2682770</v>
      </c>
      <c r="C2802" s="3">
        <f>HYPERLINK("https://platform.v2.vetology.net/report/v/final/"&amp;2682770, 2682770)</f>
        <v>2682770</v>
      </c>
      <c r="D2802" s="3" t="s">
        <v>9447</v>
      </c>
      <c r="E2802" s="3" t="s">
        <v>9448</v>
      </c>
      <c r="F2802" s="3" t="s">
        <v>9449</v>
      </c>
      <c r="G2802" s="3" t="s">
        <v>566</v>
      </c>
      <c r="H2802" s="3" t="s">
        <v>9450</v>
      </c>
      <c r="I2802" s="3" t="s">
        <v>291</v>
      </c>
      <c r="J2802" s="3" t="s">
        <v>292</v>
      </c>
      <c r="K2802" s="3" t="s">
        <v>28</v>
      </c>
      <c r="L2802" s="3" t="s">
        <v>28</v>
      </c>
      <c r="M2802" s="3" t="s">
        <v>28</v>
      </c>
      <c r="N2802" s="3" t="s">
        <v>28</v>
      </c>
      <c r="O2802" s="3" t="s">
        <v>27</v>
      </c>
      <c r="P2802" s="3" t="s">
        <v>28</v>
      </c>
      <c r="Q2802" s="3" t="s">
        <v>28</v>
      </c>
      <c r="R2802" s="3" t="s">
        <v>28</v>
      </c>
      <c r="S2802" s="3" t="s">
        <v>28</v>
      </c>
      <c r="T2802" s="3" t="s">
        <v>27</v>
      </c>
    </row>
    <row r="2803" spans="1:20" ht="290.25">
      <c r="A2803" s="3">
        <v>2682748</v>
      </c>
      <c r="B2803" s="3">
        <f>HYPERLINK("https://platform.v2.vetology.net/cases/2682748/screening-report/6?type=pdf&amp;v=v6&amp;scorecard=1&amp;secret_key=BX%25IJ%24%2F65ieZ%29f6", 2682748)</f>
        <v>2682748</v>
      </c>
      <c r="C2803" s="3">
        <f>HYPERLINK("https://platform.v2.vetology.net/report/v/final/"&amp;2682748, 2682748)</f>
        <v>2682748</v>
      </c>
      <c r="D2803" s="3" t="s">
        <v>9451</v>
      </c>
      <c r="E2803" s="3" t="s">
        <v>9452</v>
      </c>
      <c r="F2803" s="3"/>
      <c r="G2803" s="3" t="s">
        <v>372</v>
      </c>
      <c r="H2803" s="3" t="s">
        <v>2331</v>
      </c>
      <c r="I2803" s="3" t="s">
        <v>305</v>
      </c>
      <c r="J2803" s="3" t="s">
        <v>799</v>
      </c>
      <c r="K2803" s="3" t="s">
        <v>28</v>
      </c>
      <c r="L2803" s="3" t="s">
        <v>28</v>
      </c>
      <c r="M2803" s="3" t="s">
        <v>28</v>
      </c>
      <c r="N2803" s="3" t="s">
        <v>28</v>
      </c>
      <c r="O2803" s="3" t="s">
        <v>28</v>
      </c>
      <c r="P2803" s="3" t="s">
        <v>28</v>
      </c>
      <c r="Q2803" s="3" t="s">
        <v>28</v>
      </c>
      <c r="R2803" s="3" t="s">
        <v>28</v>
      </c>
      <c r="S2803" s="3" t="s">
        <v>28</v>
      </c>
      <c r="T2803" s="3" t="s">
        <v>28</v>
      </c>
    </row>
    <row r="2804" spans="1:20" ht="409.6">
      <c r="A2804" s="3">
        <v>2682700</v>
      </c>
      <c r="B2804" s="3">
        <f>HYPERLINK("https://platform.v2.vetology.net/cases/2682700/screening-report/6?type=pdf&amp;v=v6&amp;scorecard=1&amp;secret_key=BX%25IJ%24%2F65ieZ%29f6", 2682700)</f>
        <v>2682700</v>
      </c>
      <c r="C2804" s="3">
        <f>HYPERLINK("https://platform.v2.vetology.net/report/v/final/"&amp;2682700, 2682700)</f>
        <v>2682700</v>
      </c>
      <c r="D2804" s="3" t="s">
        <v>9453</v>
      </c>
      <c r="E2804" s="3" t="s">
        <v>9454</v>
      </c>
      <c r="F2804" s="3" t="s">
        <v>22</v>
      </c>
      <c r="G2804" s="3" t="s">
        <v>23</v>
      </c>
      <c r="H2804" s="3" t="s">
        <v>1372</v>
      </c>
      <c r="I2804" s="3" t="s">
        <v>1373</v>
      </c>
      <c r="J2804" s="3" t="s">
        <v>1374</v>
      </c>
      <c r="K2804" s="3" t="s">
        <v>27</v>
      </c>
      <c r="L2804" s="3" t="s">
        <v>27</v>
      </c>
      <c r="M2804" s="3" t="s">
        <v>27</v>
      </c>
      <c r="N2804" s="3" t="s">
        <v>28</v>
      </c>
      <c r="O2804" s="3" t="s">
        <v>27</v>
      </c>
      <c r="P2804" s="3" t="s">
        <v>28</v>
      </c>
      <c r="Q2804" s="3" t="s">
        <v>28</v>
      </c>
      <c r="R2804" s="3" t="s">
        <v>28</v>
      </c>
      <c r="S2804" s="3" t="s">
        <v>28</v>
      </c>
      <c r="T2804" s="3" t="s">
        <v>28</v>
      </c>
    </row>
    <row r="2805" spans="1:20" ht="396.75">
      <c r="A2805" s="3">
        <v>2682687</v>
      </c>
      <c r="B2805" s="3">
        <f>HYPERLINK("https://platform.v2.vetology.net/cases/2682687/screening-report/6?type=pdf&amp;v=v6&amp;scorecard=1&amp;secret_key=BX%25IJ%24%2F65ieZ%29f6", 2682687)</f>
        <v>2682687</v>
      </c>
      <c r="C2805" s="3">
        <f>HYPERLINK("https://platform.v2.vetology.net/report/v/final/"&amp;2682687, 2682687)</f>
        <v>2682687</v>
      </c>
      <c r="D2805" s="3" t="s">
        <v>9455</v>
      </c>
      <c r="E2805" s="3" t="s">
        <v>9456</v>
      </c>
      <c r="F2805" s="3" t="s">
        <v>9457</v>
      </c>
      <c r="G2805" s="3" t="s">
        <v>179</v>
      </c>
      <c r="H2805" s="3" t="s">
        <v>5495</v>
      </c>
      <c r="I2805" s="3" t="s">
        <v>351</v>
      </c>
      <c r="J2805" s="3" t="s">
        <v>352</v>
      </c>
      <c r="K2805" s="3" t="s">
        <v>28</v>
      </c>
      <c r="L2805" s="3" t="s">
        <v>28</v>
      </c>
      <c r="M2805" s="3" t="s">
        <v>28</v>
      </c>
      <c r="N2805" s="3" t="s">
        <v>28</v>
      </c>
      <c r="O2805" s="3" t="s">
        <v>28</v>
      </c>
      <c r="P2805" s="3" t="s">
        <v>28</v>
      </c>
      <c r="Q2805" s="3" t="s">
        <v>28</v>
      </c>
      <c r="R2805" s="3" t="s">
        <v>28</v>
      </c>
      <c r="S2805" s="3" t="s">
        <v>28</v>
      </c>
      <c r="T2805" s="3" t="s">
        <v>27</v>
      </c>
    </row>
    <row r="2806" spans="1:20" ht="409.6">
      <c r="A2806" s="3">
        <v>2682685</v>
      </c>
      <c r="B2806" s="3">
        <f>HYPERLINK("https://platform.v2.vetology.net/cases/2682685/screening-report/6?type=pdf&amp;v=v6&amp;scorecard=1&amp;secret_key=BX%25IJ%24%2F65ieZ%29f6", 2682685)</f>
        <v>2682685</v>
      </c>
      <c r="C2806" s="3">
        <f>HYPERLINK("https://platform.v2.vetology.net/report/v/final/"&amp;2682685, 2682685)</f>
        <v>2682685</v>
      </c>
      <c r="D2806" s="3" t="s">
        <v>9458</v>
      </c>
      <c r="E2806" s="3" t="s">
        <v>9459</v>
      </c>
      <c r="F2806" s="3" t="s">
        <v>9460</v>
      </c>
      <c r="G2806" s="3" t="s">
        <v>566</v>
      </c>
      <c r="H2806" s="3" t="s">
        <v>31</v>
      </c>
      <c r="I2806" s="3" t="s">
        <v>9461</v>
      </c>
      <c r="J2806" s="3" t="s">
        <v>1110</v>
      </c>
      <c r="K2806" s="3" t="s">
        <v>28</v>
      </c>
      <c r="L2806" s="3" t="s">
        <v>28</v>
      </c>
      <c r="M2806" s="3" t="s">
        <v>28</v>
      </c>
      <c r="N2806" s="3" t="s">
        <v>28</v>
      </c>
      <c r="O2806" s="3" t="s">
        <v>27</v>
      </c>
      <c r="P2806" s="3" t="s">
        <v>27</v>
      </c>
      <c r="Q2806" s="3" t="s">
        <v>28</v>
      </c>
      <c r="R2806" s="3" t="s">
        <v>28</v>
      </c>
      <c r="S2806" s="3" t="s">
        <v>28</v>
      </c>
      <c r="T2806" s="3" t="s">
        <v>28</v>
      </c>
    </row>
    <row r="2807" spans="1:20" ht="409.6">
      <c r="A2807" s="3">
        <v>2682680</v>
      </c>
      <c r="B2807" s="3">
        <f>HYPERLINK("https://platform.v2.vetology.net/cases/2682680/screening-report/6?type=pdf&amp;v=v6&amp;scorecard=1&amp;secret_key=BX%25IJ%24%2F65ieZ%29f6", 2682680)</f>
        <v>2682680</v>
      </c>
      <c r="C2807" s="3">
        <f>HYPERLINK("https://platform.v2.vetology.net/report/v/final/"&amp;2682680, 2682680)</f>
        <v>2682680</v>
      </c>
      <c r="D2807" s="3" t="s">
        <v>9462</v>
      </c>
      <c r="E2807" s="3" t="s">
        <v>9463</v>
      </c>
      <c r="F2807" s="3" t="s">
        <v>9464</v>
      </c>
      <c r="G2807" s="3" t="s">
        <v>1772</v>
      </c>
      <c r="H2807" s="3" t="s">
        <v>9465</v>
      </c>
      <c r="I2807" s="3" t="s">
        <v>2397</v>
      </c>
      <c r="J2807" s="3" t="s">
        <v>2398</v>
      </c>
      <c r="K2807" s="3" t="s">
        <v>28</v>
      </c>
      <c r="L2807" s="3" t="s">
        <v>27</v>
      </c>
      <c r="M2807" s="3" t="s">
        <v>27</v>
      </c>
      <c r="N2807" s="3" t="s">
        <v>27</v>
      </c>
      <c r="O2807" s="3" t="s">
        <v>27</v>
      </c>
      <c r="P2807" s="3" t="s">
        <v>28</v>
      </c>
      <c r="Q2807" s="3" t="s">
        <v>27</v>
      </c>
      <c r="R2807" s="3" t="s">
        <v>28</v>
      </c>
      <c r="S2807" s="3" t="s">
        <v>27</v>
      </c>
      <c r="T2807" s="3" t="s">
        <v>27</v>
      </c>
    </row>
    <row r="2808" spans="1:20" ht="351">
      <c r="A2808" s="3">
        <v>2682628</v>
      </c>
      <c r="B2808" s="3">
        <f>HYPERLINK("https://platform.v2.vetology.net/cases/2682628/screening-report/6?type=pdf&amp;v=v6&amp;scorecard=1&amp;secret_key=BX%25IJ%24%2F65ieZ%29f6", 2682628)</f>
        <v>2682628</v>
      </c>
      <c r="C2808" s="3">
        <f>HYPERLINK("https://platform.v2.vetology.net/report/v/final/"&amp;2682628, 2682628)</f>
        <v>2682628</v>
      </c>
      <c r="D2808" s="3" t="s">
        <v>9466</v>
      </c>
      <c r="E2808" s="3" t="s">
        <v>9467</v>
      </c>
      <c r="F2808" s="3" t="s">
        <v>9468</v>
      </c>
      <c r="G2808" s="3" t="s">
        <v>57</v>
      </c>
      <c r="H2808" s="3" t="s">
        <v>1615</v>
      </c>
      <c r="I2808" s="3" t="s">
        <v>305</v>
      </c>
      <c r="J2808" s="3" t="s">
        <v>119</v>
      </c>
      <c r="K2808" s="3" t="s">
        <v>28</v>
      </c>
      <c r="L2808" s="3" t="s">
        <v>28</v>
      </c>
      <c r="M2808" s="3" t="s">
        <v>28</v>
      </c>
      <c r="N2808" s="3" t="s">
        <v>28</v>
      </c>
      <c r="O2808" s="3" t="s">
        <v>28</v>
      </c>
      <c r="P2808" s="3" t="s">
        <v>28</v>
      </c>
      <c r="Q2808" s="3" t="s">
        <v>28</v>
      </c>
      <c r="R2808" s="3" t="s">
        <v>28</v>
      </c>
      <c r="S2808" s="3" t="s">
        <v>28</v>
      </c>
      <c r="T2808" s="3" t="s">
        <v>28</v>
      </c>
    </row>
    <row r="2809" spans="1:20" ht="366">
      <c r="A2809" s="3">
        <v>2682589</v>
      </c>
      <c r="B2809" s="3">
        <f>HYPERLINK("https://platform.v2.vetology.net/cases/2682589/screening-report/6?type=pdf&amp;v=v6&amp;scorecard=1&amp;secret_key=BX%25IJ%24%2F65ieZ%29f6", 2682589)</f>
        <v>2682589</v>
      </c>
      <c r="C2809" s="3">
        <f>HYPERLINK("https://platform.v2.vetology.net/report/v/final/"&amp;2682589, 2682589)</f>
        <v>2682589</v>
      </c>
      <c r="D2809" s="3" t="s">
        <v>9469</v>
      </c>
      <c r="E2809" s="3" t="s">
        <v>9470</v>
      </c>
      <c r="F2809" s="3" t="s">
        <v>9471</v>
      </c>
      <c r="G2809" s="3" t="s">
        <v>100</v>
      </c>
      <c r="H2809" s="3" t="s">
        <v>9472</v>
      </c>
      <c r="I2809" s="3" t="s">
        <v>3373</v>
      </c>
      <c r="J2809" s="3" t="s">
        <v>3374</v>
      </c>
      <c r="K2809" s="3" t="s">
        <v>27</v>
      </c>
      <c r="L2809" s="3" t="s">
        <v>28</v>
      </c>
      <c r="M2809" s="3" t="s">
        <v>28</v>
      </c>
      <c r="N2809" s="3" t="s">
        <v>28</v>
      </c>
      <c r="O2809" s="3" t="s">
        <v>27</v>
      </c>
      <c r="P2809" s="3" t="s">
        <v>28</v>
      </c>
      <c r="Q2809" s="3" t="s">
        <v>28</v>
      </c>
      <c r="R2809" s="3" t="s">
        <v>27</v>
      </c>
      <c r="S2809" s="3" t="s">
        <v>27</v>
      </c>
      <c r="T2809" s="3" t="s">
        <v>27</v>
      </c>
    </row>
    <row r="2810" spans="1:20" ht="305.25">
      <c r="A2810" s="3">
        <v>2682572</v>
      </c>
      <c r="B2810" s="3">
        <f>HYPERLINK("https://platform.v2.vetology.net/cases/2682572/screening-report/6?type=pdf&amp;v=v6&amp;scorecard=1&amp;secret_key=BX%25IJ%24%2F65ieZ%29f6", 2682572)</f>
        <v>2682572</v>
      </c>
      <c r="C2810" s="3">
        <f>HYPERLINK("https://platform.v2.vetology.net/report/v/final/"&amp;2682572, 2682572)</f>
        <v>2682572</v>
      </c>
      <c r="D2810" s="3" t="s">
        <v>9473</v>
      </c>
      <c r="E2810" s="3" t="s">
        <v>9474</v>
      </c>
      <c r="F2810" s="3" t="s">
        <v>22</v>
      </c>
      <c r="G2810" s="3" t="s">
        <v>372</v>
      </c>
      <c r="H2810" s="3" t="s">
        <v>9475</v>
      </c>
      <c r="I2810" s="3" t="s">
        <v>746</v>
      </c>
      <c r="J2810" s="3" t="s">
        <v>207</v>
      </c>
      <c r="K2810" s="3" t="s">
        <v>28</v>
      </c>
      <c r="L2810" s="3" t="s">
        <v>28</v>
      </c>
      <c r="M2810" s="3" t="s">
        <v>28</v>
      </c>
      <c r="N2810" s="3" t="s">
        <v>28</v>
      </c>
      <c r="O2810" s="3" t="s">
        <v>27</v>
      </c>
      <c r="P2810" s="3" t="s">
        <v>28</v>
      </c>
      <c r="Q2810" s="3" t="s">
        <v>28</v>
      </c>
      <c r="R2810" s="3" t="s">
        <v>28</v>
      </c>
      <c r="S2810" s="3" t="s">
        <v>27</v>
      </c>
      <c r="T2810" s="3" t="s">
        <v>28</v>
      </c>
    </row>
    <row r="2811" spans="1:20" ht="305.25">
      <c r="A2811" s="3">
        <v>2682496</v>
      </c>
      <c r="B2811" s="3">
        <f>HYPERLINK("https://platform.v2.vetology.net/cases/2682496/screening-report/6?type=pdf&amp;v=v6&amp;scorecard=1&amp;secret_key=BX%25IJ%24%2F65ieZ%29f6", 2682496)</f>
        <v>2682496</v>
      </c>
      <c r="C2811" s="3">
        <f>HYPERLINK("https://platform.v2.vetology.net/report/v/final/"&amp;2682496, 2682496)</f>
        <v>2682496</v>
      </c>
      <c r="D2811" s="3" t="s">
        <v>9476</v>
      </c>
      <c r="E2811" s="3" t="s">
        <v>9477</v>
      </c>
      <c r="F2811" s="3" t="s">
        <v>9478</v>
      </c>
      <c r="G2811" s="3" t="s">
        <v>186</v>
      </c>
      <c r="H2811" s="3" t="s">
        <v>403</v>
      </c>
      <c r="I2811" s="3" t="s">
        <v>404</v>
      </c>
      <c r="J2811" s="3" t="s">
        <v>405</v>
      </c>
      <c r="K2811" s="3" t="s">
        <v>28</v>
      </c>
      <c r="L2811" s="3" t="s">
        <v>28</v>
      </c>
      <c r="M2811" s="3" t="s">
        <v>28</v>
      </c>
      <c r="N2811" s="3" t="s">
        <v>28</v>
      </c>
      <c r="O2811" s="3" t="s">
        <v>27</v>
      </c>
      <c r="P2811" s="3" t="s">
        <v>28</v>
      </c>
      <c r="Q2811" s="3" t="s">
        <v>28</v>
      </c>
      <c r="R2811" s="3" t="s">
        <v>28</v>
      </c>
      <c r="S2811" s="3" t="s">
        <v>28</v>
      </c>
      <c r="T2811" s="3" t="s">
        <v>27</v>
      </c>
    </row>
    <row r="2812" spans="1:20" ht="336">
      <c r="A2812" s="3">
        <v>2682483</v>
      </c>
      <c r="B2812" s="3">
        <f>HYPERLINK("https://platform.v2.vetology.net/cases/2682483/screening-report/6?type=pdf&amp;v=v6&amp;scorecard=1&amp;secret_key=BX%25IJ%24%2F65ieZ%29f6", 2682483)</f>
        <v>2682483</v>
      </c>
      <c r="C2812" s="3">
        <f>HYPERLINK("https://platform.v2.vetology.net/report/v/final/"&amp;2682483, 2682483)</f>
        <v>2682483</v>
      </c>
      <c r="D2812" s="3" t="s">
        <v>9479</v>
      </c>
      <c r="E2812" s="3" t="s">
        <v>9480</v>
      </c>
      <c r="F2812" s="3" t="s">
        <v>9481</v>
      </c>
      <c r="G2812" s="3" t="s">
        <v>1772</v>
      </c>
      <c r="H2812" s="3" t="s">
        <v>864</v>
      </c>
      <c r="I2812" s="3" t="s">
        <v>865</v>
      </c>
      <c r="J2812" s="3" t="s">
        <v>866</v>
      </c>
      <c r="K2812" s="3" t="s">
        <v>28</v>
      </c>
      <c r="L2812" s="3" t="s">
        <v>28</v>
      </c>
      <c r="M2812" s="3" t="s">
        <v>28</v>
      </c>
      <c r="N2812" s="3" t="s">
        <v>28</v>
      </c>
      <c r="O2812" s="3" t="s">
        <v>27</v>
      </c>
      <c r="P2812" s="3" t="s">
        <v>28</v>
      </c>
      <c r="Q2812" s="3" t="s">
        <v>28</v>
      </c>
      <c r="R2812" s="3" t="s">
        <v>28</v>
      </c>
      <c r="S2812" s="3" t="s">
        <v>28</v>
      </c>
      <c r="T2812" s="3" t="s">
        <v>28</v>
      </c>
    </row>
    <row r="2813" spans="1:20" ht="409.6">
      <c r="A2813" s="3">
        <v>2682467</v>
      </c>
      <c r="B2813" s="3">
        <f>HYPERLINK("https://platform.v2.vetology.net/cases/2682467/screening-report/6?type=pdf&amp;v=v6&amp;scorecard=1&amp;secret_key=BX%25IJ%24%2F65ieZ%29f6", 2682467)</f>
        <v>2682467</v>
      </c>
      <c r="C2813" s="3">
        <f>HYPERLINK("https://platform.v2.vetology.net/report/v/final/"&amp;2682467, 2682467)</f>
        <v>2682467</v>
      </c>
      <c r="D2813" s="3" t="s">
        <v>9482</v>
      </c>
      <c r="E2813" s="3" t="s">
        <v>9483</v>
      </c>
      <c r="F2813" s="3" t="s">
        <v>9484</v>
      </c>
      <c r="G2813" s="3" t="s">
        <v>566</v>
      </c>
      <c r="H2813" s="3" t="s">
        <v>9485</v>
      </c>
      <c r="I2813" s="3" t="s">
        <v>9486</v>
      </c>
      <c r="J2813" s="3" t="s">
        <v>9487</v>
      </c>
      <c r="K2813" s="3" t="s">
        <v>28</v>
      </c>
      <c r="L2813" s="3" t="s">
        <v>28</v>
      </c>
      <c r="M2813" s="3" t="s">
        <v>27</v>
      </c>
      <c r="N2813" s="3" t="s">
        <v>28</v>
      </c>
      <c r="O2813" s="3" t="s">
        <v>27</v>
      </c>
      <c r="P2813" s="3" t="s">
        <v>28</v>
      </c>
      <c r="Q2813" s="3" t="s">
        <v>28</v>
      </c>
      <c r="R2813" s="3" t="s">
        <v>28</v>
      </c>
      <c r="S2813" s="3" t="s">
        <v>28</v>
      </c>
      <c r="T2813" s="3" t="s">
        <v>28</v>
      </c>
    </row>
    <row r="2814" spans="1:20" ht="275.25">
      <c r="A2814" s="3">
        <v>2682446</v>
      </c>
      <c r="B2814" s="3">
        <f>HYPERLINK("https://platform.v2.vetology.net/cases/2682446/screening-report/6?type=pdf&amp;v=v6&amp;scorecard=1&amp;secret_key=BX%25IJ%24%2F65ieZ%29f6", 2682446)</f>
        <v>2682446</v>
      </c>
      <c r="C2814" s="3">
        <f>HYPERLINK("https://platform.v2.vetology.net/report/v/final/"&amp;2682446, 2682446)</f>
        <v>2682446</v>
      </c>
      <c r="D2814" s="3" t="s">
        <v>1229</v>
      </c>
      <c r="E2814" s="3" t="s">
        <v>1230</v>
      </c>
      <c r="F2814" s="3" t="s">
        <v>1049</v>
      </c>
      <c r="G2814" s="3" t="s">
        <v>100</v>
      </c>
      <c r="H2814" s="3" t="s">
        <v>9488</v>
      </c>
      <c r="I2814" s="3" t="s">
        <v>464</v>
      </c>
      <c r="J2814" s="3" t="s">
        <v>297</v>
      </c>
      <c r="K2814" s="3" t="s">
        <v>28</v>
      </c>
      <c r="L2814" s="3" t="s">
        <v>27</v>
      </c>
      <c r="M2814" s="3" t="s">
        <v>28</v>
      </c>
      <c r="N2814" s="3" t="s">
        <v>28</v>
      </c>
      <c r="O2814" s="3" t="s">
        <v>27</v>
      </c>
      <c r="P2814" s="3" t="s">
        <v>28</v>
      </c>
      <c r="Q2814" s="3" t="s">
        <v>27</v>
      </c>
      <c r="R2814" s="3" t="s">
        <v>28</v>
      </c>
      <c r="S2814" s="3" t="s">
        <v>28</v>
      </c>
      <c r="T2814" s="3" t="s">
        <v>28</v>
      </c>
    </row>
    <row r="2815" spans="1:20" ht="409.6">
      <c r="A2815" s="3">
        <v>2682437</v>
      </c>
      <c r="B2815" s="3">
        <f>HYPERLINK("https://platform.v2.vetology.net/cases/2682437/screening-report/6?type=pdf&amp;v=v6&amp;scorecard=1&amp;secret_key=BX%25IJ%24%2F65ieZ%29f6", 2682437)</f>
        <v>2682437</v>
      </c>
      <c r="C2815" s="3">
        <f>HYPERLINK("https://platform.v2.vetology.net/report/v/final/"&amp;2682437, 2682437)</f>
        <v>2682437</v>
      </c>
      <c r="D2815" s="3" t="s">
        <v>9489</v>
      </c>
      <c r="E2815" s="3" t="s">
        <v>9490</v>
      </c>
      <c r="F2815" s="3" t="s">
        <v>222</v>
      </c>
      <c r="G2815" s="3" t="s">
        <v>186</v>
      </c>
      <c r="H2815" s="3" t="s">
        <v>9491</v>
      </c>
      <c r="I2815" s="3" t="s">
        <v>678</v>
      </c>
      <c r="J2815" s="3" t="s">
        <v>9492</v>
      </c>
      <c r="K2815" s="3" t="s">
        <v>28</v>
      </c>
      <c r="L2815" s="3" t="s">
        <v>27</v>
      </c>
      <c r="M2815" s="3" t="s">
        <v>28</v>
      </c>
      <c r="N2815" s="3" t="s">
        <v>27</v>
      </c>
      <c r="O2815" s="3" t="s">
        <v>27</v>
      </c>
      <c r="P2815" s="3" t="s">
        <v>28</v>
      </c>
      <c r="Q2815" s="3" t="s">
        <v>28</v>
      </c>
      <c r="R2815" s="3" t="s">
        <v>27</v>
      </c>
      <c r="S2815" s="3" t="s">
        <v>27</v>
      </c>
      <c r="T2815" s="3" t="s">
        <v>27</v>
      </c>
    </row>
    <row r="2816" spans="1:20" ht="275.25">
      <c r="A2816" s="3">
        <v>2682436</v>
      </c>
      <c r="B2816" s="3">
        <f>HYPERLINK("https://platform.v2.vetology.net/cases/2682436/screening-report/6?type=pdf&amp;v=v6&amp;scorecard=1&amp;secret_key=BX%25IJ%24%2F65ieZ%29f6", 2682436)</f>
        <v>2682436</v>
      </c>
      <c r="C2816" s="3">
        <f>HYPERLINK("https://platform.v2.vetology.net/report/v/final/"&amp;2682436, 2682436)</f>
        <v>2682436</v>
      </c>
      <c r="D2816" s="3" t="s">
        <v>9493</v>
      </c>
      <c r="E2816" s="3" t="s">
        <v>9494</v>
      </c>
      <c r="F2816" s="3" t="s">
        <v>9495</v>
      </c>
      <c r="G2816" s="3" t="s">
        <v>179</v>
      </c>
      <c r="H2816" s="3" t="s">
        <v>212</v>
      </c>
      <c r="I2816" s="3" t="s">
        <v>261</v>
      </c>
      <c r="J2816" s="3" t="s">
        <v>262</v>
      </c>
      <c r="K2816" s="3" t="s">
        <v>27</v>
      </c>
      <c r="L2816" s="3" t="s">
        <v>28</v>
      </c>
      <c r="M2816" s="3" t="s">
        <v>27</v>
      </c>
      <c r="N2816" s="3" t="s">
        <v>28</v>
      </c>
      <c r="O2816" s="3" t="s">
        <v>27</v>
      </c>
      <c r="P2816" s="3" t="s">
        <v>28</v>
      </c>
      <c r="Q2816" s="3" t="s">
        <v>28</v>
      </c>
      <c r="R2816" s="3" t="s">
        <v>28</v>
      </c>
      <c r="S2816" s="3" t="s">
        <v>28</v>
      </c>
      <c r="T2816" s="3" t="s">
        <v>28</v>
      </c>
    </row>
    <row r="2817" spans="1:20" ht="409.6">
      <c r="A2817" s="3">
        <v>2682420</v>
      </c>
      <c r="B2817" s="3">
        <f>HYPERLINK("https://platform.v2.vetology.net/cases/2682420/screening-report/6?type=pdf&amp;v=v6&amp;scorecard=1&amp;secret_key=BX%25IJ%24%2F65ieZ%29f6", 2682420)</f>
        <v>2682420</v>
      </c>
      <c r="C2817" s="3">
        <f>HYPERLINK("https://platform.v2.vetology.net/report/v/final/"&amp;2682420, 2682420)</f>
        <v>2682420</v>
      </c>
      <c r="D2817" s="3" t="s">
        <v>9496</v>
      </c>
      <c r="E2817" s="3" t="s">
        <v>9497</v>
      </c>
      <c r="F2817" s="3" t="s">
        <v>9498</v>
      </c>
      <c r="G2817" s="3" t="s">
        <v>566</v>
      </c>
      <c r="H2817" s="3" t="s">
        <v>9499</v>
      </c>
      <c r="I2817" s="3" t="s">
        <v>136</v>
      </c>
      <c r="J2817" s="3" t="s">
        <v>137</v>
      </c>
      <c r="K2817" s="3" t="s">
        <v>28</v>
      </c>
      <c r="L2817" s="3" t="s">
        <v>27</v>
      </c>
      <c r="M2817" s="3" t="s">
        <v>28</v>
      </c>
      <c r="N2817" s="3" t="s">
        <v>28</v>
      </c>
      <c r="O2817" s="3" t="s">
        <v>27</v>
      </c>
      <c r="P2817" s="3" t="s">
        <v>28</v>
      </c>
      <c r="Q2817" s="3" t="s">
        <v>28</v>
      </c>
      <c r="R2817" s="3" t="s">
        <v>28</v>
      </c>
      <c r="S2817" s="3" t="s">
        <v>27</v>
      </c>
      <c r="T2817" s="3" t="s">
        <v>27</v>
      </c>
    </row>
    <row r="2818" spans="1:20" ht="366">
      <c r="A2818" s="3">
        <v>2682361</v>
      </c>
      <c r="B2818" s="3">
        <f>HYPERLINK("https://platform.v2.vetology.net/cases/2682361/screening-report/6?type=pdf&amp;v=v6&amp;scorecard=1&amp;secret_key=BX%25IJ%24%2F65ieZ%29f6", 2682361)</f>
        <v>2682361</v>
      </c>
      <c r="C2818" s="3">
        <f>HYPERLINK("https://platform.v2.vetology.net/report/v/final/"&amp;2682361, 2682361)</f>
        <v>2682361</v>
      </c>
      <c r="D2818" s="3" t="s">
        <v>9500</v>
      </c>
      <c r="E2818" s="3" t="s">
        <v>9501</v>
      </c>
      <c r="F2818" s="3" t="s">
        <v>22</v>
      </c>
      <c r="G2818" s="3" t="s">
        <v>372</v>
      </c>
      <c r="H2818" s="3" t="s">
        <v>9502</v>
      </c>
      <c r="I2818" s="3" t="s">
        <v>883</v>
      </c>
      <c r="J2818" s="3" t="s">
        <v>884</v>
      </c>
      <c r="K2818" s="3" t="s">
        <v>28</v>
      </c>
      <c r="L2818" s="3" t="s">
        <v>28</v>
      </c>
      <c r="M2818" s="3" t="s">
        <v>28</v>
      </c>
      <c r="N2818" s="3" t="s">
        <v>28</v>
      </c>
      <c r="O2818" s="3" t="s">
        <v>28</v>
      </c>
      <c r="P2818" s="3" t="s">
        <v>28</v>
      </c>
      <c r="Q2818" s="3" t="s">
        <v>28</v>
      </c>
      <c r="R2818" s="3" t="s">
        <v>28</v>
      </c>
      <c r="S2818" s="3" t="s">
        <v>28</v>
      </c>
      <c r="T2818" s="3" t="s">
        <v>28</v>
      </c>
    </row>
    <row r="2819" spans="1:20" ht="275.25">
      <c r="A2819" s="3">
        <v>2682347</v>
      </c>
      <c r="B2819" s="3">
        <f>HYPERLINK("https://platform.v2.vetology.net/cases/2682347/screening-report/6?type=pdf&amp;v=v6&amp;scorecard=1&amp;secret_key=BX%25IJ%24%2F65ieZ%29f6", 2682347)</f>
        <v>2682347</v>
      </c>
      <c r="C2819" s="3">
        <f>HYPERLINK("https://platform.v2.vetology.net/report/v/final/"&amp;2682347, 2682347)</f>
        <v>2682347</v>
      </c>
      <c r="D2819" s="3" t="s">
        <v>9503</v>
      </c>
      <c r="E2819" s="3" t="s">
        <v>9504</v>
      </c>
      <c r="F2819" s="3"/>
      <c r="G2819" s="3" t="s">
        <v>100</v>
      </c>
      <c r="H2819" s="3" t="s">
        <v>9505</v>
      </c>
      <c r="I2819" s="3" t="s">
        <v>1004</v>
      </c>
      <c r="J2819" s="3" t="s">
        <v>297</v>
      </c>
      <c r="K2819" s="3" t="s">
        <v>28</v>
      </c>
      <c r="L2819" s="3" t="s">
        <v>28</v>
      </c>
      <c r="M2819" s="3" t="s">
        <v>28</v>
      </c>
      <c r="N2819" s="3" t="s">
        <v>28</v>
      </c>
      <c r="O2819" s="3" t="s">
        <v>28</v>
      </c>
      <c r="P2819" s="3" t="s">
        <v>28</v>
      </c>
      <c r="Q2819" s="3" t="s">
        <v>28</v>
      </c>
      <c r="R2819" s="3" t="s">
        <v>28</v>
      </c>
      <c r="S2819" s="3" t="s">
        <v>28</v>
      </c>
      <c r="T2819" s="3" t="s">
        <v>28</v>
      </c>
    </row>
    <row r="2820" spans="1:20" ht="409.6">
      <c r="A2820" s="3">
        <v>2682323</v>
      </c>
      <c r="B2820" s="3">
        <f>HYPERLINK("https://platform.v2.vetology.net/cases/2682323/screening-report/6?type=pdf&amp;v=v6&amp;scorecard=1&amp;secret_key=BX%25IJ%24%2F65ieZ%29f6", 2682323)</f>
        <v>2682323</v>
      </c>
      <c r="C2820" s="3">
        <f>HYPERLINK("https://platform.v2.vetology.net/report/v/final/"&amp;2682323, 2682323)</f>
        <v>2682323</v>
      </c>
      <c r="D2820" s="3" t="s">
        <v>9506</v>
      </c>
      <c r="E2820" s="3" t="s">
        <v>9507</v>
      </c>
      <c r="F2820" s="3" t="s">
        <v>9508</v>
      </c>
      <c r="G2820" s="3" t="s">
        <v>64</v>
      </c>
      <c r="H2820" s="3" t="s">
        <v>9509</v>
      </c>
      <c r="I2820" s="3" t="s">
        <v>9510</v>
      </c>
      <c r="J2820" s="3" t="s">
        <v>9511</v>
      </c>
      <c r="K2820" s="3" t="s">
        <v>28</v>
      </c>
      <c r="L2820" s="3" t="s">
        <v>28</v>
      </c>
      <c r="M2820" s="3" t="s">
        <v>28</v>
      </c>
      <c r="N2820" s="3" t="s">
        <v>28</v>
      </c>
      <c r="O2820" s="3" t="s">
        <v>28</v>
      </c>
      <c r="P2820" s="3" t="s">
        <v>28</v>
      </c>
      <c r="Q2820" s="3" t="s">
        <v>28</v>
      </c>
      <c r="R2820" s="3" t="s">
        <v>28</v>
      </c>
      <c r="S2820" s="3" t="s">
        <v>28</v>
      </c>
      <c r="T2820" s="3" t="s">
        <v>27</v>
      </c>
    </row>
    <row r="2821" spans="1:20" ht="305.25">
      <c r="A2821" s="3">
        <v>2682318</v>
      </c>
      <c r="B2821" s="3">
        <f>HYPERLINK("https://platform.v2.vetology.net/cases/2682318/screening-report/6?type=pdf&amp;v=v6&amp;scorecard=1&amp;secret_key=BX%25IJ%24%2F65ieZ%29f6", 2682318)</f>
        <v>2682318</v>
      </c>
      <c r="C2821" s="3">
        <f>HYPERLINK("https://platform.v2.vetology.net/report/v/final/"&amp;2682318, 2682318)</f>
        <v>2682318</v>
      </c>
      <c r="D2821" s="3" t="s">
        <v>9512</v>
      </c>
      <c r="E2821" s="3" t="s">
        <v>9513</v>
      </c>
      <c r="F2821" s="3"/>
      <c r="G2821" s="3" t="s">
        <v>100</v>
      </c>
      <c r="H2821" s="3" t="s">
        <v>158</v>
      </c>
      <c r="I2821" s="3" t="s">
        <v>32</v>
      </c>
      <c r="J2821" s="3" t="s">
        <v>33</v>
      </c>
      <c r="K2821" s="3" t="s">
        <v>28</v>
      </c>
      <c r="L2821" s="3" t="s">
        <v>28</v>
      </c>
      <c r="M2821" s="3" t="s">
        <v>28</v>
      </c>
      <c r="N2821" s="3" t="s">
        <v>28</v>
      </c>
      <c r="O2821" s="3" t="s">
        <v>28</v>
      </c>
      <c r="P2821" s="3" t="s">
        <v>28</v>
      </c>
      <c r="Q2821" s="3" t="s">
        <v>28</v>
      </c>
      <c r="R2821" s="3" t="s">
        <v>28</v>
      </c>
      <c r="S2821" s="3" t="s">
        <v>28</v>
      </c>
      <c r="T2821" s="3" t="s">
        <v>27</v>
      </c>
    </row>
    <row r="2822" spans="1:20" ht="381.75">
      <c r="A2822" s="3">
        <v>2682311</v>
      </c>
      <c r="B2822" s="3">
        <f>HYPERLINK("https://platform.v2.vetology.net/cases/2682311/screening-report/6?type=pdf&amp;v=v6&amp;scorecard=1&amp;secret_key=BX%25IJ%24%2F65ieZ%29f6", 2682311)</f>
        <v>2682311</v>
      </c>
      <c r="C2822" s="3">
        <f>HYPERLINK("https://platform.v2.vetology.net/report/v/final/"&amp;2682311, 2682311)</f>
        <v>2682311</v>
      </c>
      <c r="D2822" s="3" t="s">
        <v>9514</v>
      </c>
      <c r="E2822" s="3" t="s">
        <v>9515</v>
      </c>
      <c r="F2822" s="3" t="s">
        <v>9516</v>
      </c>
      <c r="G2822" s="3" t="s">
        <v>64</v>
      </c>
      <c r="H2822" s="3" t="s">
        <v>9517</v>
      </c>
      <c r="I2822" s="3" t="s">
        <v>1248</v>
      </c>
      <c r="J2822" s="3" t="s">
        <v>325</v>
      </c>
      <c r="K2822" s="3" t="s">
        <v>28</v>
      </c>
      <c r="L2822" s="3" t="s">
        <v>28</v>
      </c>
      <c r="M2822" s="3" t="s">
        <v>27</v>
      </c>
      <c r="N2822" s="3" t="s">
        <v>28</v>
      </c>
      <c r="O2822" s="3" t="s">
        <v>28</v>
      </c>
      <c r="P2822" s="3" t="s">
        <v>28</v>
      </c>
      <c r="Q2822" s="3" t="s">
        <v>27</v>
      </c>
      <c r="R2822" s="3" t="s">
        <v>28</v>
      </c>
      <c r="S2822" s="3" t="s">
        <v>28</v>
      </c>
      <c r="T2822" s="3" t="s">
        <v>28</v>
      </c>
    </row>
    <row r="2823" spans="1:20" ht="275.25">
      <c r="A2823" s="3">
        <v>2682298</v>
      </c>
      <c r="B2823" s="3">
        <f>HYPERLINK("https://platform.v2.vetology.net/cases/2682298/screening-report/6?type=pdf&amp;v=v6&amp;scorecard=1&amp;secret_key=BX%25IJ%24%2F65ieZ%29f6", 2682298)</f>
        <v>2682298</v>
      </c>
      <c r="C2823" s="3">
        <f>HYPERLINK("https://platform.v2.vetology.net/report/v/final/"&amp;2682298, 2682298)</f>
        <v>2682298</v>
      </c>
      <c r="D2823" s="3" t="s">
        <v>9518</v>
      </c>
      <c r="E2823" s="3" t="s">
        <v>9519</v>
      </c>
      <c r="F2823" s="3" t="s">
        <v>9520</v>
      </c>
      <c r="G2823" s="3" t="s">
        <v>179</v>
      </c>
      <c r="H2823" s="3" t="s">
        <v>9521</v>
      </c>
      <c r="I2823" s="3" t="s">
        <v>305</v>
      </c>
      <c r="J2823" s="3" t="s">
        <v>119</v>
      </c>
      <c r="K2823" s="3" t="s">
        <v>28</v>
      </c>
      <c r="L2823" s="3" t="s">
        <v>28</v>
      </c>
      <c r="M2823" s="3" t="s">
        <v>28</v>
      </c>
      <c r="N2823" s="3" t="s">
        <v>28</v>
      </c>
      <c r="O2823" s="3" t="s">
        <v>28</v>
      </c>
      <c r="P2823" s="3" t="s">
        <v>28</v>
      </c>
      <c r="Q2823" s="3" t="s">
        <v>28</v>
      </c>
      <c r="R2823" s="3" t="s">
        <v>28</v>
      </c>
      <c r="S2823" s="3" t="s">
        <v>28</v>
      </c>
      <c r="T2823" s="3" t="s">
        <v>28</v>
      </c>
    </row>
    <row r="2824" spans="1:20" ht="409.6">
      <c r="A2824" s="3">
        <v>2682296</v>
      </c>
      <c r="B2824" s="3">
        <f>HYPERLINK("https://platform.v2.vetology.net/cases/2682296/screening-report/6?type=pdf&amp;v=v6&amp;scorecard=1&amp;secret_key=BX%25IJ%24%2F65ieZ%29f6", 2682296)</f>
        <v>2682296</v>
      </c>
      <c r="C2824" s="3">
        <f>HYPERLINK("https://platform.v2.vetology.net/report/v/final/"&amp;2682296, 2682296)</f>
        <v>2682296</v>
      </c>
      <c r="D2824" s="3" t="s">
        <v>9522</v>
      </c>
      <c r="E2824" s="3" t="s">
        <v>9523</v>
      </c>
      <c r="F2824" s="3" t="s">
        <v>9524</v>
      </c>
      <c r="G2824" s="3" t="s">
        <v>57</v>
      </c>
      <c r="H2824" s="3" t="s">
        <v>454</v>
      </c>
      <c r="I2824" s="3" t="s">
        <v>124</v>
      </c>
      <c r="J2824" s="3" t="s">
        <v>125</v>
      </c>
      <c r="K2824" s="3" t="s">
        <v>28</v>
      </c>
      <c r="L2824" s="3" t="s">
        <v>28</v>
      </c>
      <c r="M2824" s="3" t="s">
        <v>27</v>
      </c>
      <c r="N2824" s="3" t="s">
        <v>28</v>
      </c>
      <c r="O2824" s="3" t="s">
        <v>27</v>
      </c>
      <c r="P2824" s="3" t="s">
        <v>28</v>
      </c>
      <c r="Q2824" s="3" t="s">
        <v>27</v>
      </c>
      <c r="R2824" s="3" t="s">
        <v>28</v>
      </c>
      <c r="S2824" s="3" t="s">
        <v>28</v>
      </c>
      <c r="T2824" s="3" t="s">
        <v>28</v>
      </c>
    </row>
    <row r="2825" spans="1:20" ht="409.6">
      <c r="A2825" s="3">
        <v>2682266</v>
      </c>
      <c r="B2825" s="3">
        <f>HYPERLINK("https://platform.v2.vetology.net/cases/2682266/screening-report/6?type=pdf&amp;v=v6&amp;scorecard=1&amp;secret_key=BX%25IJ%24%2F65ieZ%29f6", 2682266)</f>
        <v>2682266</v>
      </c>
      <c r="C2825" s="3">
        <f>HYPERLINK("https://platform.v2.vetology.net/report/v/final/"&amp;2682266, 2682266)</f>
        <v>2682266</v>
      </c>
      <c r="D2825" s="3" t="s">
        <v>9525</v>
      </c>
      <c r="E2825" s="3" t="s">
        <v>9526</v>
      </c>
      <c r="F2825" s="3" t="s">
        <v>9527</v>
      </c>
      <c r="G2825" s="3" t="s">
        <v>64</v>
      </c>
      <c r="H2825" s="3" t="s">
        <v>9528</v>
      </c>
      <c r="I2825" s="3" t="s">
        <v>89</v>
      </c>
      <c r="J2825" s="3" t="s">
        <v>90</v>
      </c>
      <c r="K2825" s="3" t="s">
        <v>27</v>
      </c>
      <c r="L2825" s="3" t="s">
        <v>28</v>
      </c>
      <c r="M2825" s="3" t="s">
        <v>28</v>
      </c>
      <c r="N2825" s="3" t="s">
        <v>28</v>
      </c>
      <c r="O2825" s="3" t="s">
        <v>27</v>
      </c>
      <c r="P2825" s="3" t="s">
        <v>28</v>
      </c>
      <c r="Q2825" s="3" t="s">
        <v>28</v>
      </c>
      <c r="R2825" s="3" t="s">
        <v>28</v>
      </c>
      <c r="S2825" s="3" t="s">
        <v>28</v>
      </c>
      <c r="T2825" s="3" t="s">
        <v>28</v>
      </c>
    </row>
    <row r="2826" spans="1:20" ht="381.75">
      <c r="A2826" s="3">
        <v>2682181</v>
      </c>
      <c r="B2826" s="3">
        <f>HYPERLINK("https://platform.v2.vetology.net/cases/2682181/screening-report/6?type=pdf&amp;v=v6&amp;scorecard=1&amp;secret_key=BX%25IJ%24%2F65ieZ%29f6", 2682181)</f>
        <v>2682181</v>
      </c>
      <c r="C2826" s="3">
        <f>HYPERLINK("https://platform.v2.vetology.net/report/v/final/"&amp;2682181, 2682181)</f>
        <v>2682181</v>
      </c>
      <c r="D2826" s="3" t="s">
        <v>9529</v>
      </c>
      <c r="E2826" s="3" t="s">
        <v>9530</v>
      </c>
      <c r="F2826" s="3"/>
      <c r="G2826" s="3" t="s">
        <v>100</v>
      </c>
      <c r="H2826" s="3" t="s">
        <v>31</v>
      </c>
      <c r="I2826" s="3" t="s">
        <v>32</v>
      </c>
      <c r="J2826" s="3" t="s">
        <v>33</v>
      </c>
      <c r="K2826" s="3" t="s">
        <v>28</v>
      </c>
      <c r="L2826" s="3" t="s">
        <v>28</v>
      </c>
      <c r="M2826" s="3" t="s">
        <v>28</v>
      </c>
      <c r="N2826" s="3" t="s">
        <v>28</v>
      </c>
      <c r="O2826" s="3" t="s">
        <v>28</v>
      </c>
      <c r="P2826" s="3" t="s">
        <v>28</v>
      </c>
      <c r="Q2826" s="3" t="s">
        <v>28</v>
      </c>
      <c r="R2826" s="3" t="s">
        <v>28</v>
      </c>
      <c r="S2826" s="3" t="s">
        <v>28</v>
      </c>
      <c r="T2826" s="3" t="s">
        <v>28</v>
      </c>
    </row>
    <row r="2827" spans="1:20" ht="381.75">
      <c r="A2827" s="3">
        <v>2682148</v>
      </c>
      <c r="B2827" s="3">
        <f>HYPERLINK("https://platform.v2.vetology.net/cases/2682148/screening-report/6?type=pdf&amp;v=v6&amp;scorecard=1&amp;secret_key=BX%25IJ%24%2F65ieZ%29f6", 2682148)</f>
        <v>2682148</v>
      </c>
      <c r="C2827" s="3">
        <f>HYPERLINK("https://platform.v2.vetology.net/report/v/final/"&amp;2682148, 2682148)</f>
        <v>2682148</v>
      </c>
      <c r="D2827" s="3" t="s">
        <v>9531</v>
      </c>
      <c r="E2827" s="3" t="s">
        <v>9532</v>
      </c>
      <c r="F2827" s="3" t="s">
        <v>9533</v>
      </c>
      <c r="G2827" s="3" t="s">
        <v>186</v>
      </c>
      <c r="H2827" s="3" t="s">
        <v>5435</v>
      </c>
      <c r="I2827" s="3" t="s">
        <v>37</v>
      </c>
      <c r="J2827" s="3" t="s">
        <v>38</v>
      </c>
      <c r="K2827" s="3" t="s">
        <v>28</v>
      </c>
      <c r="L2827" s="3" t="s">
        <v>28</v>
      </c>
      <c r="M2827" s="3" t="s">
        <v>28</v>
      </c>
      <c r="N2827" s="3" t="s">
        <v>28</v>
      </c>
      <c r="O2827" s="3" t="s">
        <v>27</v>
      </c>
      <c r="P2827" s="3" t="s">
        <v>28</v>
      </c>
      <c r="Q2827" s="3" t="s">
        <v>28</v>
      </c>
      <c r="R2827" s="3" t="s">
        <v>28</v>
      </c>
      <c r="S2827" s="3" t="s">
        <v>28</v>
      </c>
      <c r="T2827" s="3" t="s">
        <v>28</v>
      </c>
    </row>
    <row r="2828" spans="1:20" ht="409.6">
      <c r="A2828" s="3">
        <v>2682124</v>
      </c>
      <c r="B2828" s="3">
        <f>HYPERLINK("https://platform.v2.vetology.net/cases/2682124/screening-report/6?type=pdf&amp;v=v6&amp;scorecard=1&amp;secret_key=BX%25IJ%24%2F65ieZ%29f6", 2682124)</f>
        <v>2682124</v>
      </c>
      <c r="C2828" s="3">
        <f>HYPERLINK("https://platform.v2.vetology.net/report/v/final/"&amp;2682124, 2682124)</f>
        <v>2682124</v>
      </c>
      <c r="D2828" s="3" t="s">
        <v>9534</v>
      </c>
      <c r="E2828" s="3" t="s">
        <v>9535</v>
      </c>
      <c r="F2828" s="3" t="s">
        <v>9536</v>
      </c>
      <c r="G2828" s="3" t="s">
        <v>186</v>
      </c>
      <c r="H2828" s="3" t="s">
        <v>4865</v>
      </c>
      <c r="I2828" s="3" t="s">
        <v>1339</v>
      </c>
      <c r="J2828" s="3" t="s">
        <v>1340</v>
      </c>
      <c r="K2828" s="3" t="s">
        <v>27</v>
      </c>
      <c r="L2828" s="3" t="s">
        <v>27</v>
      </c>
      <c r="M2828" s="3" t="s">
        <v>27</v>
      </c>
      <c r="N2828" s="3" t="s">
        <v>28</v>
      </c>
      <c r="O2828" s="3" t="s">
        <v>27</v>
      </c>
      <c r="P2828" s="3" t="s">
        <v>28</v>
      </c>
      <c r="Q2828" s="3" t="s">
        <v>27</v>
      </c>
      <c r="R2828" s="3" t="s">
        <v>28</v>
      </c>
      <c r="S2828" s="3" t="s">
        <v>27</v>
      </c>
      <c r="T2828" s="3" t="s">
        <v>28</v>
      </c>
    </row>
    <row r="2829" spans="1:20" ht="409.6">
      <c r="A2829" s="3">
        <v>2682120</v>
      </c>
      <c r="B2829" s="3">
        <f>HYPERLINK("https://platform.v2.vetology.net/cases/2682120/screening-report/6?type=pdf&amp;v=v6&amp;scorecard=1&amp;secret_key=BX%25IJ%24%2F65ieZ%29f6", 2682120)</f>
        <v>2682120</v>
      </c>
      <c r="C2829" s="3">
        <f>HYPERLINK("https://platform.v2.vetology.net/report/v/final/"&amp;2682120, 2682120)</f>
        <v>2682120</v>
      </c>
      <c r="D2829" s="3" t="s">
        <v>9537</v>
      </c>
      <c r="E2829" s="3" t="s">
        <v>9538</v>
      </c>
      <c r="F2829" s="3" t="s">
        <v>22</v>
      </c>
      <c r="G2829" s="3" t="s">
        <v>23</v>
      </c>
      <c r="H2829" s="3" t="s">
        <v>9539</v>
      </c>
      <c r="I2829" s="3" t="s">
        <v>9540</v>
      </c>
      <c r="J2829" s="3" t="s">
        <v>9541</v>
      </c>
      <c r="K2829" s="3" t="s">
        <v>27</v>
      </c>
      <c r="L2829" s="3" t="s">
        <v>27</v>
      </c>
      <c r="M2829" s="3" t="s">
        <v>27</v>
      </c>
      <c r="N2829" s="3" t="s">
        <v>28</v>
      </c>
      <c r="O2829" s="3" t="s">
        <v>27</v>
      </c>
      <c r="P2829" s="3" t="s">
        <v>28</v>
      </c>
      <c r="Q2829" s="3" t="s">
        <v>27</v>
      </c>
      <c r="R2829" s="3" t="s">
        <v>27</v>
      </c>
      <c r="S2829" s="3" t="s">
        <v>27</v>
      </c>
      <c r="T2829" s="3" t="s">
        <v>27</v>
      </c>
    </row>
    <row r="2830" spans="1:20" ht="305.25">
      <c r="A2830" s="3">
        <v>2682086</v>
      </c>
      <c r="B2830" s="3">
        <f>HYPERLINK("https://platform.v2.vetology.net/cases/2682086/screening-report/6?type=pdf&amp;v=v6&amp;scorecard=1&amp;secret_key=BX%25IJ%24%2F65ieZ%29f6", 2682086)</f>
        <v>2682086</v>
      </c>
      <c r="C2830" s="3">
        <f>HYPERLINK("https://platform.v2.vetology.net/report/v/final/"&amp;2682086, 2682086)</f>
        <v>2682086</v>
      </c>
      <c r="D2830" s="3" t="s">
        <v>9542</v>
      </c>
      <c r="E2830" s="3" t="s">
        <v>9543</v>
      </c>
      <c r="F2830" s="3" t="s">
        <v>9544</v>
      </c>
      <c r="G2830" s="3" t="s">
        <v>186</v>
      </c>
      <c r="H2830" s="3" t="s">
        <v>31</v>
      </c>
      <c r="I2830" s="3" t="s">
        <v>32</v>
      </c>
      <c r="J2830" s="3" t="s">
        <v>33</v>
      </c>
      <c r="K2830" s="3" t="s">
        <v>28</v>
      </c>
      <c r="L2830" s="3" t="s">
        <v>28</v>
      </c>
      <c r="M2830" s="3" t="s">
        <v>28</v>
      </c>
      <c r="N2830" s="3" t="s">
        <v>28</v>
      </c>
      <c r="O2830" s="3" t="s">
        <v>27</v>
      </c>
      <c r="P2830" s="3" t="s">
        <v>28</v>
      </c>
      <c r="Q2830" s="3" t="s">
        <v>28</v>
      </c>
      <c r="R2830" s="3" t="s">
        <v>28</v>
      </c>
      <c r="S2830" s="3" t="s">
        <v>28</v>
      </c>
      <c r="T2830" s="3" t="s">
        <v>28</v>
      </c>
    </row>
    <row r="2831" spans="1:20" ht="305.25">
      <c r="A2831" s="3">
        <v>2682084</v>
      </c>
      <c r="B2831" s="3">
        <f>HYPERLINK("https://platform.v2.vetology.net/cases/2682084/screening-report/6?type=pdf&amp;v=v6&amp;scorecard=1&amp;secret_key=BX%25IJ%24%2F65ieZ%29f6", 2682084)</f>
        <v>2682084</v>
      </c>
      <c r="C2831" s="3">
        <f>HYPERLINK("https://platform.v2.vetology.net/report/v/final/"&amp;2682084, 2682084)</f>
        <v>2682084</v>
      </c>
      <c r="D2831" s="3" t="s">
        <v>9545</v>
      </c>
      <c r="E2831" s="3" t="s">
        <v>9546</v>
      </c>
      <c r="F2831" s="3" t="s">
        <v>22</v>
      </c>
      <c r="G2831" s="3" t="s">
        <v>23</v>
      </c>
      <c r="H2831" s="3" t="s">
        <v>1158</v>
      </c>
      <c r="I2831" s="3" t="s">
        <v>32</v>
      </c>
      <c r="J2831" s="3" t="s">
        <v>33</v>
      </c>
      <c r="K2831" s="3" t="s">
        <v>28</v>
      </c>
      <c r="L2831" s="3" t="s">
        <v>28</v>
      </c>
      <c r="M2831" s="3" t="s">
        <v>28</v>
      </c>
      <c r="N2831" s="3" t="s">
        <v>28</v>
      </c>
      <c r="O2831" s="3" t="s">
        <v>27</v>
      </c>
      <c r="P2831" s="3" t="s">
        <v>28</v>
      </c>
      <c r="Q2831" s="3" t="s">
        <v>28</v>
      </c>
      <c r="R2831" s="3" t="s">
        <v>28</v>
      </c>
      <c r="S2831" s="3" t="s">
        <v>28</v>
      </c>
      <c r="T2831" s="3" t="s">
        <v>28</v>
      </c>
    </row>
    <row r="2832" spans="1:20" ht="321">
      <c r="A2832" s="3">
        <v>2682056</v>
      </c>
      <c r="B2832" s="3">
        <f>HYPERLINK("https://platform.v2.vetology.net/cases/2682056/screening-report/6?type=pdf&amp;v=v6&amp;scorecard=1&amp;secret_key=BX%25IJ%24%2F65ieZ%29f6", 2682056)</f>
        <v>2682056</v>
      </c>
      <c r="C2832" s="3">
        <f>HYPERLINK("https://platform.v2.vetology.net/report/v/final/"&amp;2682056, 2682056)</f>
        <v>2682056</v>
      </c>
      <c r="D2832" s="3" t="s">
        <v>9547</v>
      </c>
      <c r="E2832" s="3" t="s">
        <v>9548</v>
      </c>
      <c r="F2832" s="3" t="s">
        <v>9549</v>
      </c>
      <c r="G2832" s="3" t="s">
        <v>57</v>
      </c>
      <c r="H2832" s="3" t="s">
        <v>5314</v>
      </c>
      <c r="I2832" s="3" t="s">
        <v>72</v>
      </c>
      <c r="J2832" s="3" t="s">
        <v>5315</v>
      </c>
      <c r="K2832" s="3" t="s">
        <v>28</v>
      </c>
      <c r="L2832" s="3" t="s">
        <v>28</v>
      </c>
      <c r="M2832" s="3" t="s">
        <v>28</v>
      </c>
      <c r="N2832" s="3" t="s">
        <v>28</v>
      </c>
      <c r="O2832" s="3" t="s">
        <v>28</v>
      </c>
      <c r="P2832" s="3" t="s">
        <v>28</v>
      </c>
      <c r="Q2832" s="3" t="s">
        <v>28</v>
      </c>
      <c r="R2832" s="3" t="s">
        <v>28</v>
      </c>
      <c r="S2832" s="3" t="s">
        <v>28</v>
      </c>
      <c r="T2832" s="3" t="s">
        <v>27</v>
      </c>
    </row>
    <row r="2833" spans="1:20" ht="396.75">
      <c r="A2833" s="3">
        <v>2682010</v>
      </c>
      <c r="B2833" s="3">
        <f>HYPERLINK("https://platform.v2.vetology.net/cases/2682010/screening-report/6?type=pdf&amp;v=v6&amp;scorecard=1&amp;secret_key=BX%25IJ%24%2F65ieZ%29f6", 2682010)</f>
        <v>2682010</v>
      </c>
      <c r="C2833" s="3">
        <f>HYPERLINK("https://platform.v2.vetology.net/report/v/final/"&amp;2682010, 2682010)</f>
        <v>2682010</v>
      </c>
      <c r="D2833" s="3" t="s">
        <v>9550</v>
      </c>
      <c r="E2833" s="3" t="s">
        <v>9551</v>
      </c>
      <c r="F2833" s="3" t="s">
        <v>9552</v>
      </c>
      <c r="G2833" s="3" t="s">
        <v>57</v>
      </c>
      <c r="H2833" s="3" t="s">
        <v>5059</v>
      </c>
      <c r="I2833" s="3" t="s">
        <v>305</v>
      </c>
      <c r="J2833" s="3" t="s">
        <v>847</v>
      </c>
      <c r="K2833" s="3" t="s">
        <v>28</v>
      </c>
      <c r="L2833" s="3" t="s">
        <v>28</v>
      </c>
      <c r="M2833" s="3" t="s">
        <v>28</v>
      </c>
      <c r="N2833" s="3" t="s">
        <v>28</v>
      </c>
      <c r="O2833" s="3" t="s">
        <v>28</v>
      </c>
      <c r="P2833" s="3" t="s">
        <v>28</v>
      </c>
      <c r="Q2833" s="3" t="s">
        <v>28</v>
      </c>
      <c r="R2833" s="3" t="s">
        <v>28</v>
      </c>
      <c r="S2833" s="3" t="s">
        <v>28</v>
      </c>
      <c r="T2833" s="3" t="s">
        <v>27</v>
      </c>
    </row>
    <row r="2834" spans="1:20" ht="409.6">
      <c r="A2834" s="3">
        <v>2681987</v>
      </c>
      <c r="B2834" s="3">
        <f>HYPERLINK("https://platform.v2.vetology.net/cases/2681987/screening-report/6?type=pdf&amp;v=v6&amp;scorecard=1&amp;secret_key=BX%25IJ%24%2F65ieZ%29f6", 2681987)</f>
        <v>2681987</v>
      </c>
      <c r="C2834" s="3">
        <f>HYPERLINK("https://platform.v2.vetology.net/report/v/final/"&amp;2681987, 2681987)</f>
        <v>2681987</v>
      </c>
      <c r="D2834" s="3" t="s">
        <v>9553</v>
      </c>
      <c r="E2834" s="3" t="s">
        <v>9554</v>
      </c>
      <c r="F2834" s="3" t="s">
        <v>9555</v>
      </c>
      <c r="G2834" s="3" t="s">
        <v>186</v>
      </c>
      <c r="H2834" s="3" t="s">
        <v>9393</v>
      </c>
      <c r="I2834" s="3" t="s">
        <v>7049</v>
      </c>
      <c r="J2834" s="3" t="s">
        <v>7050</v>
      </c>
      <c r="K2834" s="3" t="s">
        <v>28</v>
      </c>
      <c r="L2834" s="3" t="s">
        <v>28</v>
      </c>
      <c r="M2834" s="3" t="s">
        <v>28</v>
      </c>
      <c r="N2834" s="3" t="s">
        <v>28</v>
      </c>
      <c r="O2834" s="3" t="s">
        <v>27</v>
      </c>
      <c r="P2834" s="3" t="s">
        <v>28</v>
      </c>
      <c r="Q2834" s="3" t="s">
        <v>28</v>
      </c>
      <c r="R2834" s="3" t="s">
        <v>27</v>
      </c>
      <c r="S2834" s="3" t="s">
        <v>27</v>
      </c>
      <c r="T2834" s="3" t="s">
        <v>27</v>
      </c>
    </row>
    <row r="2835" spans="1:20" ht="321">
      <c r="A2835" s="3">
        <v>2681986</v>
      </c>
      <c r="B2835" s="3">
        <f>HYPERLINK("https://platform.v2.vetology.net/cases/2681986/screening-report/6?type=pdf&amp;v=v6&amp;scorecard=1&amp;secret_key=BX%25IJ%24%2F65ieZ%29f6", 2681986)</f>
        <v>2681986</v>
      </c>
      <c r="C2835" s="3">
        <f>HYPERLINK("https://platform.v2.vetology.net/report/v/final/"&amp;2681986, 2681986)</f>
        <v>2681986</v>
      </c>
      <c r="D2835" s="3" t="s">
        <v>9556</v>
      </c>
      <c r="E2835" s="3" t="s">
        <v>9557</v>
      </c>
      <c r="F2835" s="3" t="s">
        <v>9558</v>
      </c>
      <c r="G2835" s="3" t="s">
        <v>1772</v>
      </c>
      <c r="H2835" s="3" t="s">
        <v>4211</v>
      </c>
      <c r="I2835" s="3" t="s">
        <v>3369</v>
      </c>
      <c r="J2835" s="3" t="s">
        <v>207</v>
      </c>
      <c r="K2835" s="3" t="s">
        <v>28</v>
      </c>
      <c r="L2835" s="3" t="s">
        <v>28</v>
      </c>
      <c r="M2835" s="3" t="s">
        <v>28</v>
      </c>
      <c r="N2835" s="3" t="s">
        <v>28</v>
      </c>
      <c r="O2835" s="3" t="s">
        <v>28</v>
      </c>
      <c r="P2835" s="3" t="s">
        <v>28</v>
      </c>
      <c r="Q2835" s="3" t="s">
        <v>28</v>
      </c>
      <c r="R2835" s="3" t="s">
        <v>28</v>
      </c>
      <c r="S2835" s="3" t="s">
        <v>28</v>
      </c>
      <c r="T2835" s="3" t="s">
        <v>27</v>
      </c>
    </row>
    <row r="2836" spans="1:20" ht="366">
      <c r="A2836" s="3">
        <v>2681981</v>
      </c>
      <c r="B2836" s="3">
        <f>HYPERLINK("https://platform.v2.vetology.net/cases/2681981/screening-report/6?type=pdf&amp;v=v6&amp;scorecard=1&amp;secret_key=BX%25IJ%24%2F65ieZ%29f6", 2681981)</f>
        <v>2681981</v>
      </c>
      <c r="C2836" s="3">
        <f>HYPERLINK("https://platform.v2.vetology.net/report/v/final/"&amp;2681981, 2681981)</f>
        <v>2681981</v>
      </c>
      <c r="D2836" s="3" t="s">
        <v>9559</v>
      </c>
      <c r="E2836" s="3" t="s">
        <v>9560</v>
      </c>
      <c r="F2836" s="3" t="s">
        <v>22</v>
      </c>
      <c r="G2836" s="3" t="s">
        <v>23</v>
      </c>
      <c r="H2836" s="3" t="s">
        <v>9561</v>
      </c>
      <c r="I2836" s="3" t="s">
        <v>6673</v>
      </c>
      <c r="J2836" s="3" t="s">
        <v>6674</v>
      </c>
      <c r="K2836" s="3" t="s">
        <v>28</v>
      </c>
      <c r="L2836" s="3" t="s">
        <v>28</v>
      </c>
      <c r="M2836" s="3" t="s">
        <v>28</v>
      </c>
      <c r="N2836" s="3" t="s">
        <v>28</v>
      </c>
      <c r="O2836" s="3" t="s">
        <v>28</v>
      </c>
      <c r="P2836" s="3" t="s">
        <v>28</v>
      </c>
      <c r="Q2836" s="3" t="s">
        <v>28</v>
      </c>
      <c r="R2836" s="3" t="s">
        <v>28</v>
      </c>
      <c r="S2836" s="3" t="s">
        <v>28</v>
      </c>
      <c r="T2836" s="3" t="s">
        <v>27</v>
      </c>
    </row>
    <row r="2837" spans="1:20" ht="321">
      <c r="A2837" s="3">
        <v>2681931</v>
      </c>
      <c r="B2837" s="3">
        <f>HYPERLINK("https://platform.v2.vetology.net/cases/2681931/screening-report/6?type=pdf&amp;v=v6&amp;scorecard=1&amp;secret_key=BX%25IJ%24%2F65ieZ%29f6", 2681931)</f>
        <v>2681931</v>
      </c>
      <c r="C2837" s="3">
        <f>HYPERLINK("https://platform.v2.vetology.net/report/v/final/"&amp;2681931, 2681931)</f>
        <v>2681931</v>
      </c>
      <c r="D2837" s="3" t="s">
        <v>9562</v>
      </c>
      <c r="E2837" s="3" t="s">
        <v>9563</v>
      </c>
      <c r="F2837" s="3" t="s">
        <v>99</v>
      </c>
      <c r="G2837" s="3" t="s">
        <v>100</v>
      </c>
      <c r="H2837" s="3" t="s">
        <v>31</v>
      </c>
      <c r="I2837" s="3" t="s">
        <v>32</v>
      </c>
      <c r="J2837" s="3" t="s">
        <v>1566</v>
      </c>
      <c r="K2837" s="3" t="s">
        <v>27</v>
      </c>
      <c r="L2837" s="3" t="s">
        <v>28</v>
      </c>
      <c r="M2837" s="3" t="s">
        <v>28</v>
      </c>
      <c r="N2837" s="3" t="s">
        <v>28</v>
      </c>
      <c r="O2837" s="3" t="s">
        <v>28</v>
      </c>
      <c r="P2837" s="3" t="s">
        <v>28</v>
      </c>
      <c r="Q2837" s="3" t="s">
        <v>28</v>
      </c>
      <c r="R2837" s="3" t="s">
        <v>28</v>
      </c>
      <c r="S2837" s="3" t="s">
        <v>27</v>
      </c>
      <c r="T2837" s="3" t="s">
        <v>28</v>
      </c>
    </row>
    <row r="2838" spans="1:20" ht="336">
      <c r="A2838" s="3">
        <v>2681910</v>
      </c>
      <c r="B2838" s="3">
        <f>HYPERLINK("https://platform.v2.vetology.net/cases/2681910/screening-report/6?type=pdf&amp;v=v6&amp;scorecard=1&amp;secret_key=BX%25IJ%24%2F65ieZ%29f6", 2681910)</f>
        <v>2681910</v>
      </c>
      <c r="C2838" s="3">
        <f>HYPERLINK("https://platform.v2.vetology.net/report/v/final/"&amp;2681910, 2681910)</f>
        <v>2681910</v>
      </c>
      <c r="D2838" s="3" t="s">
        <v>9564</v>
      </c>
      <c r="E2838" s="3" t="s">
        <v>9565</v>
      </c>
      <c r="F2838" s="3" t="s">
        <v>9566</v>
      </c>
      <c r="G2838" s="3" t="s">
        <v>57</v>
      </c>
      <c r="H2838" s="3" t="s">
        <v>7259</v>
      </c>
      <c r="I2838" s="3" t="s">
        <v>66</v>
      </c>
      <c r="J2838" s="3" t="s">
        <v>67</v>
      </c>
      <c r="K2838" s="3" t="s">
        <v>27</v>
      </c>
      <c r="L2838" s="3" t="s">
        <v>28</v>
      </c>
      <c r="M2838" s="3" t="s">
        <v>28</v>
      </c>
      <c r="N2838" s="3" t="s">
        <v>28</v>
      </c>
      <c r="O2838" s="3" t="s">
        <v>27</v>
      </c>
      <c r="P2838" s="3" t="s">
        <v>28</v>
      </c>
      <c r="Q2838" s="3" t="s">
        <v>28</v>
      </c>
      <c r="R2838" s="3" t="s">
        <v>28</v>
      </c>
      <c r="S2838" s="3" t="s">
        <v>28</v>
      </c>
      <c r="T2838" s="3" t="s">
        <v>28</v>
      </c>
    </row>
    <row r="2839" spans="1:20" ht="366">
      <c r="A2839" s="3">
        <v>2681839</v>
      </c>
      <c r="B2839" s="3">
        <f>HYPERLINK("https://platform.v2.vetology.net/cases/2681839/screening-report/6?type=pdf&amp;v=v6&amp;scorecard=1&amp;secret_key=BX%25IJ%24%2F65ieZ%29f6", 2681839)</f>
        <v>2681839</v>
      </c>
      <c r="C2839" s="3">
        <f>HYPERLINK("https://platform.v2.vetology.net/report/v/final/"&amp;2681839, 2681839)</f>
        <v>2681839</v>
      </c>
      <c r="D2839" s="3" t="s">
        <v>9567</v>
      </c>
      <c r="E2839" s="3" t="s">
        <v>9568</v>
      </c>
      <c r="F2839" s="3" t="s">
        <v>9569</v>
      </c>
      <c r="G2839" s="3" t="s">
        <v>23</v>
      </c>
      <c r="H2839" s="3" t="s">
        <v>3343</v>
      </c>
      <c r="I2839" s="3" t="s">
        <v>136</v>
      </c>
      <c r="J2839" s="3" t="s">
        <v>137</v>
      </c>
      <c r="K2839" s="3" t="s">
        <v>27</v>
      </c>
      <c r="L2839" s="3" t="s">
        <v>27</v>
      </c>
      <c r="M2839" s="3" t="s">
        <v>28</v>
      </c>
      <c r="N2839" s="3" t="s">
        <v>28</v>
      </c>
      <c r="O2839" s="3" t="s">
        <v>27</v>
      </c>
      <c r="P2839" s="3" t="s">
        <v>28</v>
      </c>
      <c r="Q2839" s="3" t="s">
        <v>28</v>
      </c>
      <c r="R2839" s="3" t="s">
        <v>27</v>
      </c>
      <c r="S2839" s="3" t="s">
        <v>28</v>
      </c>
      <c r="T2839" s="3" t="s">
        <v>27</v>
      </c>
    </row>
    <row r="2840" spans="1:20" ht="366">
      <c r="A2840" s="3">
        <v>2681811</v>
      </c>
      <c r="B2840" s="3">
        <f>HYPERLINK("https://platform.v2.vetology.net/cases/2681811/screening-report/6?type=pdf&amp;v=v6&amp;scorecard=1&amp;secret_key=BX%25IJ%24%2F65ieZ%29f6", 2681811)</f>
        <v>2681811</v>
      </c>
      <c r="C2840" s="3">
        <f>HYPERLINK("https://platform.v2.vetology.net/report/v/final/"&amp;2681811, 2681811)</f>
        <v>2681811</v>
      </c>
      <c r="D2840" s="3" t="s">
        <v>9570</v>
      </c>
      <c r="E2840" s="3" t="s">
        <v>9571</v>
      </c>
      <c r="F2840" s="3" t="s">
        <v>9572</v>
      </c>
      <c r="G2840" s="3" t="s">
        <v>23</v>
      </c>
      <c r="H2840" s="3" t="s">
        <v>4795</v>
      </c>
      <c r="I2840" s="3" t="s">
        <v>4796</v>
      </c>
      <c r="J2840" s="3" t="s">
        <v>148</v>
      </c>
      <c r="K2840" s="3" t="s">
        <v>27</v>
      </c>
      <c r="L2840" s="3" t="s">
        <v>28</v>
      </c>
      <c r="M2840" s="3" t="s">
        <v>27</v>
      </c>
      <c r="N2840" s="3" t="s">
        <v>28</v>
      </c>
      <c r="O2840" s="3" t="s">
        <v>27</v>
      </c>
      <c r="P2840" s="3" t="s">
        <v>28</v>
      </c>
      <c r="Q2840" s="3" t="s">
        <v>27</v>
      </c>
      <c r="R2840" s="3" t="s">
        <v>28</v>
      </c>
      <c r="S2840" s="3" t="s">
        <v>28</v>
      </c>
      <c r="T2840" s="3" t="s">
        <v>28</v>
      </c>
    </row>
    <row r="2841" spans="1:20" ht="396.75">
      <c r="A2841" s="3">
        <v>2681805</v>
      </c>
      <c r="B2841" s="3">
        <f>HYPERLINK("https://platform.v2.vetology.net/cases/2681805/screening-report/6?type=pdf&amp;v=v6&amp;scorecard=1&amp;secret_key=BX%25IJ%24%2F65ieZ%29f6", 2681805)</f>
        <v>2681805</v>
      </c>
      <c r="C2841" s="3">
        <f>HYPERLINK("https://platform.v2.vetology.net/report/v/final/"&amp;2681805, 2681805)</f>
        <v>2681805</v>
      </c>
      <c r="D2841" s="3" t="s">
        <v>9573</v>
      </c>
      <c r="E2841" s="3" t="s">
        <v>9574</v>
      </c>
      <c r="F2841" s="3" t="s">
        <v>9575</v>
      </c>
      <c r="G2841" s="3" t="s">
        <v>57</v>
      </c>
      <c r="H2841" s="3" t="s">
        <v>1097</v>
      </c>
      <c r="I2841" s="3" t="s">
        <v>469</v>
      </c>
      <c r="J2841" s="3" t="s">
        <v>470</v>
      </c>
      <c r="K2841" s="3" t="s">
        <v>28</v>
      </c>
      <c r="L2841" s="3" t="s">
        <v>28</v>
      </c>
      <c r="M2841" s="3" t="s">
        <v>28</v>
      </c>
      <c r="N2841" s="3" t="s">
        <v>28</v>
      </c>
      <c r="O2841" s="3" t="s">
        <v>28</v>
      </c>
      <c r="P2841" s="3" t="s">
        <v>27</v>
      </c>
      <c r="Q2841" s="3" t="s">
        <v>28</v>
      </c>
      <c r="R2841" s="3" t="s">
        <v>28</v>
      </c>
      <c r="S2841" s="3" t="s">
        <v>28</v>
      </c>
      <c r="T2841" s="3" t="s">
        <v>28</v>
      </c>
    </row>
    <row r="2842" spans="1:20" ht="259.5">
      <c r="A2842" s="3">
        <v>2681787</v>
      </c>
      <c r="B2842" s="3">
        <f>HYPERLINK("https://platform.v2.vetology.net/cases/2681787/screening-report/6?type=pdf&amp;v=v6&amp;scorecard=1&amp;secret_key=BX%25IJ%24%2F65ieZ%29f6", 2681787)</f>
        <v>2681787</v>
      </c>
      <c r="C2842" s="3">
        <f>HYPERLINK("https://platform.v2.vetology.net/report/v/final/"&amp;2681787, 2681787)</f>
        <v>2681787</v>
      </c>
      <c r="D2842" s="3" t="s">
        <v>9576</v>
      </c>
      <c r="E2842" s="3" t="s">
        <v>294</v>
      </c>
      <c r="F2842" s="3" t="s">
        <v>22</v>
      </c>
      <c r="G2842" s="3" t="s">
        <v>23</v>
      </c>
      <c r="H2842" s="3" t="s">
        <v>2784</v>
      </c>
      <c r="I2842" s="3" t="s">
        <v>206</v>
      </c>
      <c r="J2842" s="3" t="s">
        <v>207</v>
      </c>
      <c r="K2842" s="3" t="s">
        <v>27</v>
      </c>
      <c r="L2842" s="3" t="s">
        <v>28</v>
      </c>
      <c r="M2842" s="3" t="s">
        <v>28</v>
      </c>
      <c r="N2842" s="3" t="s">
        <v>28</v>
      </c>
      <c r="O2842" s="3" t="s">
        <v>27</v>
      </c>
      <c r="P2842" s="3" t="s">
        <v>27</v>
      </c>
      <c r="Q2842" s="3" t="s">
        <v>28</v>
      </c>
      <c r="R2842" s="3" t="s">
        <v>28</v>
      </c>
      <c r="S2842" s="3" t="s">
        <v>28</v>
      </c>
      <c r="T2842" s="3" t="s">
        <v>28</v>
      </c>
    </row>
    <row r="2843" spans="1:20" ht="259.5">
      <c r="A2843" s="3">
        <v>2681750</v>
      </c>
      <c r="B2843" s="3">
        <f>HYPERLINK("https://platform.v2.vetology.net/cases/2681750/screening-report/6?type=pdf&amp;v=v6&amp;scorecard=1&amp;secret_key=BX%25IJ%24%2F65ieZ%29f6", 2681750)</f>
        <v>2681750</v>
      </c>
      <c r="C2843" s="3">
        <f>HYPERLINK("https://platform.v2.vetology.net/report/v/final/"&amp;2681750, 2681750)</f>
        <v>2681750</v>
      </c>
      <c r="D2843" s="3" t="s">
        <v>9577</v>
      </c>
      <c r="E2843" s="3" t="s">
        <v>9578</v>
      </c>
      <c r="F2843" s="3" t="s">
        <v>22</v>
      </c>
      <c r="G2843" s="3" t="s">
        <v>23</v>
      </c>
      <c r="H2843" s="3" t="s">
        <v>2983</v>
      </c>
      <c r="I2843" s="3" t="s">
        <v>305</v>
      </c>
      <c r="J2843" s="3" t="s">
        <v>119</v>
      </c>
      <c r="K2843" s="3" t="s">
        <v>28</v>
      </c>
      <c r="L2843" s="3" t="s">
        <v>28</v>
      </c>
      <c r="M2843" s="3" t="s">
        <v>28</v>
      </c>
      <c r="N2843" s="3" t="s">
        <v>28</v>
      </c>
      <c r="O2843" s="3" t="s">
        <v>28</v>
      </c>
      <c r="P2843" s="3" t="s">
        <v>28</v>
      </c>
      <c r="Q2843" s="3" t="s">
        <v>28</v>
      </c>
      <c r="R2843" s="3" t="s">
        <v>28</v>
      </c>
      <c r="S2843" s="3" t="s">
        <v>28</v>
      </c>
      <c r="T2843" s="3" t="s">
        <v>28</v>
      </c>
    </row>
    <row r="2844" spans="1:20" ht="409.6">
      <c r="A2844" s="3">
        <v>2681684</v>
      </c>
      <c r="B2844" s="3">
        <f>HYPERLINK("https://platform.v2.vetology.net/cases/2681684/screening-report/6?type=pdf&amp;v=v6&amp;scorecard=1&amp;secret_key=BX%25IJ%24%2F65ieZ%29f6", 2681684)</f>
        <v>2681684</v>
      </c>
      <c r="C2844" s="3">
        <f>HYPERLINK("https://platform.v2.vetology.net/report/v/final/"&amp;2681684, 2681684)</f>
        <v>2681684</v>
      </c>
      <c r="D2844" s="3" t="s">
        <v>9579</v>
      </c>
      <c r="E2844" s="3" t="s">
        <v>9580</v>
      </c>
      <c r="F2844" s="3" t="s">
        <v>9581</v>
      </c>
      <c r="G2844" s="3" t="s">
        <v>834</v>
      </c>
      <c r="H2844" s="3" t="s">
        <v>8129</v>
      </c>
      <c r="I2844" s="3" t="s">
        <v>5511</v>
      </c>
      <c r="J2844" s="3" t="s">
        <v>5512</v>
      </c>
      <c r="K2844" s="3" t="s">
        <v>28</v>
      </c>
      <c r="L2844" s="3" t="s">
        <v>27</v>
      </c>
      <c r="M2844" s="3" t="s">
        <v>28</v>
      </c>
      <c r="N2844" s="3" t="s">
        <v>27</v>
      </c>
      <c r="O2844" s="3" t="s">
        <v>27</v>
      </c>
      <c r="P2844" s="3" t="s">
        <v>28</v>
      </c>
      <c r="Q2844" s="3" t="s">
        <v>28</v>
      </c>
      <c r="R2844" s="3" t="s">
        <v>27</v>
      </c>
      <c r="S2844" s="3" t="s">
        <v>27</v>
      </c>
      <c r="T2844" s="3" t="s">
        <v>27</v>
      </c>
    </row>
    <row r="2845" spans="1:20" ht="336">
      <c r="A2845" s="3">
        <v>2681682</v>
      </c>
      <c r="B2845" s="3">
        <f>HYPERLINK("https://platform.v2.vetology.net/cases/2681682/screening-report/6?type=pdf&amp;v=v6&amp;scorecard=1&amp;secret_key=BX%25IJ%24%2F65ieZ%29f6", 2681682)</f>
        <v>2681682</v>
      </c>
      <c r="C2845" s="3">
        <f>HYPERLINK("https://platform.v2.vetology.net/report/v/final/"&amp;2681682, 2681682)</f>
        <v>2681682</v>
      </c>
      <c r="D2845" s="3" t="s">
        <v>9582</v>
      </c>
      <c r="E2845" s="3" t="s">
        <v>9583</v>
      </c>
      <c r="F2845" s="3" t="s">
        <v>22</v>
      </c>
      <c r="G2845" s="3" t="s">
        <v>23</v>
      </c>
      <c r="H2845" s="3" t="s">
        <v>9584</v>
      </c>
      <c r="I2845" s="3" t="s">
        <v>763</v>
      </c>
      <c r="J2845" s="3" t="s">
        <v>764</v>
      </c>
      <c r="K2845" s="3" t="s">
        <v>27</v>
      </c>
      <c r="L2845" s="3" t="s">
        <v>27</v>
      </c>
      <c r="M2845" s="3" t="s">
        <v>27</v>
      </c>
      <c r="N2845" s="3" t="s">
        <v>28</v>
      </c>
      <c r="O2845" s="3" t="s">
        <v>27</v>
      </c>
      <c r="P2845" s="3" t="s">
        <v>28</v>
      </c>
      <c r="Q2845" s="3" t="s">
        <v>27</v>
      </c>
      <c r="R2845" s="3" t="s">
        <v>28</v>
      </c>
      <c r="S2845" s="3" t="s">
        <v>28</v>
      </c>
      <c r="T2845" s="3" t="s">
        <v>28</v>
      </c>
    </row>
    <row r="2846" spans="1:20" ht="305.25">
      <c r="A2846" s="3">
        <v>2681661</v>
      </c>
      <c r="B2846" s="3">
        <f>HYPERLINK("https://platform.v2.vetology.net/cases/2681661/screening-report/6?type=pdf&amp;v=v6&amp;scorecard=1&amp;secret_key=BX%25IJ%24%2F65ieZ%29f6", 2681661)</f>
        <v>2681661</v>
      </c>
      <c r="C2846" s="3">
        <f>HYPERLINK("https://platform.v2.vetology.net/report/v/final/"&amp;2681661, 2681661)</f>
        <v>2681661</v>
      </c>
      <c r="D2846" s="3" t="s">
        <v>9585</v>
      </c>
      <c r="E2846" s="3" t="s">
        <v>9586</v>
      </c>
      <c r="F2846" s="3" t="s">
        <v>22</v>
      </c>
      <c r="G2846" s="3" t="s">
        <v>23</v>
      </c>
      <c r="H2846" s="3" t="s">
        <v>851</v>
      </c>
      <c r="I2846" s="3" t="s">
        <v>32</v>
      </c>
      <c r="J2846" s="3" t="s">
        <v>33</v>
      </c>
      <c r="K2846" s="3" t="s">
        <v>27</v>
      </c>
      <c r="L2846" s="3" t="s">
        <v>28</v>
      </c>
      <c r="M2846" s="3" t="s">
        <v>28</v>
      </c>
      <c r="N2846" s="3" t="s">
        <v>28</v>
      </c>
      <c r="O2846" s="3" t="s">
        <v>27</v>
      </c>
      <c r="P2846" s="3" t="s">
        <v>28</v>
      </c>
      <c r="Q2846" s="3" t="s">
        <v>28</v>
      </c>
      <c r="R2846" s="3" t="s">
        <v>28</v>
      </c>
      <c r="S2846" s="3" t="s">
        <v>28</v>
      </c>
      <c r="T2846" s="3" t="s">
        <v>27</v>
      </c>
    </row>
    <row r="2847" spans="1:20" ht="321">
      <c r="A2847" s="3">
        <v>2681573</v>
      </c>
      <c r="B2847" s="3">
        <f>HYPERLINK("https://platform.v2.vetology.net/cases/2681573/screening-report/6?type=pdf&amp;v=v6&amp;scorecard=1&amp;secret_key=BX%25IJ%24%2F65ieZ%29f6", 2681573)</f>
        <v>2681573</v>
      </c>
      <c r="C2847" s="3">
        <f>HYPERLINK("https://platform.v2.vetology.net/report/v/final/"&amp;2681573, 2681573)</f>
        <v>2681573</v>
      </c>
      <c r="D2847" s="3" t="s">
        <v>9587</v>
      </c>
      <c r="E2847" s="3" t="s">
        <v>9588</v>
      </c>
      <c r="F2847" s="3" t="s">
        <v>9589</v>
      </c>
      <c r="G2847" s="3" t="s">
        <v>23</v>
      </c>
      <c r="H2847" s="3" t="s">
        <v>158</v>
      </c>
      <c r="I2847" s="3" t="s">
        <v>32</v>
      </c>
      <c r="J2847" s="3" t="s">
        <v>33</v>
      </c>
      <c r="K2847" s="3" t="s">
        <v>28</v>
      </c>
      <c r="L2847" s="3" t="s">
        <v>28</v>
      </c>
      <c r="M2847" s="3" t="s">
        <v>28</v>
      </c>
      <c r="N2847" s="3" t="s">
        <v>28</v>
      </c>
      <c r="O2847" s="3" t="s">
        <v>27</v>
      </c>
      <c r="P2847" s="3" t="s">
        <v>28</v>
      </c>
      <c r="Q2847" s="3" t="s">
        <v>28</v>
      </c>
      <c r="R2847" s="3" t="s">
        <v>28</v>
      </c>
      <c r="S2847" s="3" t="s">
        <v>28</v>
      </c>
      <c r="T2847" s="3" t="s">
        <v>28</v>
      </c>
    </row>
    <row r="2848" spans="1:20" ht="244.5">
      <c r="A2848" s="3">
        <v>2681496</v>
      </c>
      <c r="B2848" s="3">
        <f>HYPERLINK("https://platform.v2.vetology.net/cases/2681496/screening-report/6?type=pdf&amp;v=v6&amp;scorecard=1&amp;secret_key=BX%25IJ%24%2F65ieZ%29f6", 2681496)</f>
        <v>2681496</v>
      </c>
      <c r="C2848" s="3">
        <f>HYPERLINK("https://platform.v2.vetology.net/report/v/final/"&amp;2681496, 2681496)</f>
        <v>2681496</v>
      </c>
      <c r="D2848" s="3" t="s">
        <v>9590</v>
      </c>
      <c r="E2848" s="3" t="s">
        <v>9591</v>
      </c>
      <c r="F2848" s="3" t="s">
        <v>9592</v>
      </c>
      <c r="G2848" s="3" t="s">
        <v>186</v>
      </c>
      <c r="H2848" s="3" t="s">
        <v>9593</v>
      </c>
      <c r="I2848" s="3" t="s">
        <v>206</v>
      </c>
      <c r="J2848" s="3" t="s">
        <v>207</v>
      </c>
      <c r="K2848" s="3" t="s">
        <v>27</v>
      </c>
      <c r="L2848" s="3" t="s">
        <v>28</v>
      </c>
      <c r="M2848" s="3" t="s">
        <v>28</v>
      </c>
      <c r="N2848" s="3" t="s">
        <v>28</v>
      </c>
      <c r="O2848" s="3" t="s">
        <v>27</v>
      </c>
      <c r="P2848" s="3" t="s">
        <v>28</v>
      </c>
      <c r="Q2848" s="3" t="s">
        <v>28</v>
      </c>
      <c r="R2848" s="3" t="s">
        <v>28</v>
      </c>
      <c r="S2848" s="3" t="s">
        <v>28</v>
      </c>
      <c r="T2848" s="3" t="s">
        <v>28</v>
      </c>
    </row>
    <row r="2849" spans="1:20" ht="409.6">
      <c r="A2849" s="3">
        <v>2681461</v>
      </c>
      <c r="B2849" s="3">
        <f>HYPERLINK("https://platform.v2.vetology.net/cases/2681461/screening-report/6?type=pdf&amp;v=v6&amp;scorecard=1&amp;secret_key=BX%25IJ%24%2F65ieZ%29f6", 2681461)</f>
        <v>2681461</v>
      </c>
      <c r="C2849" s="3">
        <f>HYPERLINK("https://platform.v2.vetology.net/report/v/final/"&amp;2681461, 2681461)</f>
        <v>2681461</v>
      </c>
      <c r="D2849" s="3" t="s">
        <v>9594</v>
      </c>
      <c r="E2849" s="3" t="s">
        <v>9595</v>
      </c>
      <c r="F2849" s="3" t="s">
        <v>22</v>
      </c>
      <c r="G2849" s="3" t="s">
        <v>372</v>
      </c>
      <c r="H2849" s="3" t="s">
        <v>2478</v>
      </c>
      <c r="I2849" s="3" t="s">
        <v>793</v>
      </c>
      <c r="J2849" s="3" t="s">
        <v>794</v>
      </c>
      <c r="K2849" s="3" t="s">
        <v>28</v>
      </c>
      <c r="L2849" s="3" t="s">
        <v>28</v>
      </c>
      <c r="M2849" s="3" t="s">
        <v>28</v>
      </c>
      <c r="N2849" s="3" t="s">
        <v>28</v>
      </c>
      <c r="O2849" s="3" t="s">
        <v>27</v>
      </c>
      <c r="P2849" s="3" t="s">
        <v>28</v>
      </c>
      <c r="Q2849" s="3" t="s">
        <v>28</v>
      </c>
      <c r="R2849" s="3" t="s">
        <v>28</v>
      </c>
      <c r="S2849" s="3" t="s">
        <v>28</v>
      </c>
      <c r="T2849" s="3" t="s">
        <v>28</v>
      </c>
    </row>
    <row r="2850" spans="1:20" ht="290.25">
      <c r="A2850" s="3">
        <v>2681452</v>
      </c>
      <c r="B2850" s="3">
        <f>HYPERLINK("https://platform.v2.vetology.net/cases/2681452/screening-report/6?type=pdf&amp;v=v6&amp;scorecard=1&amp;secret_key=BX%25IJ%24%2F65ieZ%29f6", 2681452)</f>
        <v>2681452</v>
      </c>
      <c r="C2850" s="3">
        <f>HYPERLINK("https://platform.v2.vetology.net/report/v/final/"&amp;2681452, 2681452)</f>
        <v>2681452</v>
      </c>
      <c r="D2850" s="3" t="s">
        <v>9596</v>
      </c>
      <c r="E2850" s="3" t="s">
        <v>9597</v>
      </c>
      <c r="F2850" s="3" t="s">
        <v>9598</v>
      </c>
      <c r="G2850" s="3" t="s">
        <v>23</v>
      </c>
      <c r="H2850" s="3" t="s">
        <v>419</v>
      </c>
      <c r="I2850" s="3" t="s">
        <v>316</v>
      </c>
      <c r="J2850" s="3" t="s">
        <v>317</v>
      </c>
      <c r="K2850" s="3" t="s">
        <v>28</v>
      </c>
      <c r="L2850" s="3" t="s">
        <v>28</v>
      </c>
      <c r="M2850" s="3" t="s">
        <v>28</v>
      </c>
      <c r="N2850" s="3" t="s">
        <v>28</v>
      </c>
      <c r="O2850" s="3" t="s">
        <v>27</v>
      </c>
      <c r="P2850" s="3" t="s">
        <v>28</v>
      </c>
      <c r="Q2850" s="3" t="s">
        <v>28</v>
      </c>
      <c r="R2850" s="3" t="s">
        <v>28</v>
      </c>
      <c r="S2850" s="3" t="s">
        <v>28</v>
      </c>
      <c r="T2850" s="3" t="s">
        <v>28</v>
      </c>
    </row>
    <row r="2851" spans="1:20" ht="381.75">
      <c r="A2851" s="3">
        <v>2681436</v>
      </c>
      <c r="B2851" s="3">
        <f>HYPERLINK("https://platform.v2.vetology.net/cases/2681436/screening-report/6?type=pdf&amp;v=v6&amp;scorecard=1&amp;secret_key=BX%25IJ%24%2F65ieZ%29f6", 2681436)</f>
        <v>2681436</v>
      </c>
      <c r="C2851" s="3">
        <f>HYPERLINK("https://platform.v2.vetology.net/report/v/final/"&amp;2681436, 2681436)</f>
        <v>2681436</v>
      </c>
      <c r="D2851" s="3" t="s">
        <v>9599</v>
      </c>
      <c r="E2851" s="3" t="s">
        <v>9600</v>
      </c>
      <c r="F2851" s="3" t="s">
        <v>56</v>
      </c>
      <c r="G2851" s="3" t="s">
        <v>57</v>
      </c>
      <c r="H2851" s="3" t="s">
        <v>9601</v>
      </c>
      <c r="I2851" s="3" t="s">
        <v>1185</v>
      </c>
      <c r="J2851" s="3" t="s">
        <v>1186</v>
      </c>
      <c r="K2851" s="3" t="s">
        <v>27</v>
      </c>
      <c r="L2851" s="3" t="s">
        <v>28</v>
      </c>
      <c r="M2851" s="3" t="s">
        <v>27</v>
      </c>
      <c r="N2851" s="3" t="s">
        <v>28</v>
      </c>
      <c r="O2851" s="3" t="s">
        <v>27</v>
      </c>
      <c r="P2851" s="3" t="s">
        <v>28</v>
      </c>
      <c r="Q2851" s="3" t="s">
        <v>27</v>
      </c>
      <c r="R2851" s="3" t="s">
        <v>28</v>
      </c>
      <c r="S2851" s="3" t="s">
        <v>28</v>
      </c>
      <c r="T2851" s="3" t="s">
        <v>28</v>
      </c>
    </row>
    <row r="2852" spans="1:20" ht="351">
      <c r="A2852" s="3">
        <v>2681416</v>
      </c>
      <c r="B2852" s="3">
        <f>HYPERLINK("https://platform.v2.vetology.net/cases/2681416/screening-report/6?type=pdf&amp;v=v6&amp;scorecard=1&amp;secret_key=BX%25IJ%24%2F65ieZ%29f6", 2681416)</f>
        <v>2681416</v>
      </c>
      <c r="C2852" s="3">
        <f>HYPERLINK("https://platform.v2.vetology.net/report/v/final/"&amp;2681416, 2681416)</f>
        <v>2681416</v>
      </c>
      <c r="D2852" s="3" t="s">
        <v>9602</v>
      </c>
      <c r="E2852" s="3" t="s">
        <v>9603</v>
      </c>
      <c r="F2852" s="3" t="s">
        <v>22</v>
      </c>
      <c r="G2852" s="3" t="s">
        <v>372</v>
      </c>
      <c r="H2852" s="3" t="s">
        <v>9604</v>
      </c>
      <c r="I2852" s="3" t="s">
        <v>9121</v>
      </c>
      <c r="J2852" s="3" t="s">
        <v>2589</v>
      </c>
      <c r="K2852" s="3" t="s">
        <v>28</v>
      </c>
      <c r="L2852" s="3" t="s">
        <v>28</v>
      </c>
      <c r="M2852" s="3" t="s">
        <v>27</v>
      </c>
      <c r="N2852" s="3" t="s">
        <v>28</v>
      </c>
      <c r="O2852" s="3" t="s">
        <v>27</v>
      </c>
      <c r="P2852" s="3" t="s">
        <v>27</v>
      </c>
      <c r="Q2852" s="3" t="s">
        <v>28</v>
      </c>
      <c r="R2852" s="3" t="s">
        <v>28</v>
      </c>
      <c r="S2852" s="3" t="s">
        <v>28</v>
      </c>
      <c r="T2852" s="3" t="s">
        <v>27</v>
      </c>
    </row>
    <row r="2853" spans="1:20" ht="409.6">
      <c r="A2853" s="3">
        <v>2681411</v>
      </c>
      <c r="B2853" s="3">
        <f>HYPERLINK("https://platform.v2.vetology.net/cases/2681411/screening-report/6?type=pdf&amp;v=v6&amp;scorecard=1&amp;secret_key=BX%25IJ%24%2F65ieZ%29f6", 2681411)</f>
        <v>2681411</v>
      </c>
      <c r="C2853" s="3">
        <f>HYPERLINK("https://platform.v2.vetology.net/report/v/final/"&amp;2681411, 2681411)</f>
        <v>2681411</v>
      </c>
      <c r="D2853" s="3" t="s">
        <v>9605</v>
      </c>
      <c r="E2853" s="3" t="s">
        <v>9606</v>
      </c>
      <c r="F2853" s="3" t="s">
        <v>22</v>
      </c>
      <c r="G2853" s="3" t="s">
        <v>372</v>
      </c>
      <c r="H2853" s="3" t="s">
        <v>9607</v>
      </c>
      <c r="I2853" s="3" t="s">
        <v>273</v>
      </c>
      <c r="J2853" s="3" t="s">
        <v>274</v>
      </c>
      <c r="K2853" s="3" t="s">
        <v>28</v>
      </c>
      <c r="L2853" s="3" t="s">
        <v>28</v>
      </c>
      <c r="M2853" s="3" t="s">
        <v>28</v>
      </c>
      <c r="N2853" s="3" t="s">
        <v>27</v>
      </c>
      <c r="O2853" s="3" t="s">
        <v>27</v>
      </c>
      <c r="P2853" s="3" t="s">
        <v>28</v>
      </c>
      <c r="Q2853" s="3" t="s">
        <v>28</v>
      </c>
      <c r="R2853" s="3" t="s">
        <v>27</v>
      </c>
      <c r="S2853" s="3" t="s">
        <v>27</v>
      </c>
      <c r="T2853" s="3" t="s">
        <v>27</v>
      </c>
    </row>
    <row r="2854" spans="1:20" ht="351">
      <c r="A2854" s="3">
        <v>2681403</v>
      </c>
      <c r="B2854" s="3">
        <f>HYPERLINK("https://platform.v2.vetology.net/cases/2681403/screening-report/6?type=pdf&amp;v=v6&amp;scorecard=1&amp;secret_key=BX%25IJ%24%2F65ieZ%29f6", 2681403)</f>
        <v>2681403</v>
      </c>
      <c r="C2854" s="3">
        <f>HYPERLINK("https://platform.v2.vetology.net/report/v/final/"&amp;2681403, 2681403)</f>
        <v>2681403</v>
      </c>
      <c r="D2854" s="3" t="s">
        <v>9608</v>
      </c>
      <c r="E2854" s="3" t="s">
        <v>9609</v>
      </c>
      <c r="F2854" s="3" t="s">
        <v>22</v>
      </c>
      <c r="G2854" s="3" t="s">
        <v>372</v>
      </c>
      <c r="H2854" s="3" t="s">
        <v>4442</v>
      </c>
      <c r="I2854" s="3" t="s">
        <v>380</v>
      </c>
      <c r="J2854" s="3" t="s">
        <v>297</v>
      </c>
      <c r="K2854" s="3" t="s">
        <v>28</v>
      </c>
      <c r="L2854" s="3" t="s">
        <v>28</v>
      </c>
      <c r="M2854" s="3" t="s">
        <v>28</v>
      </c>
      <c r="N2854" s="3" t="s">
        <v>28</v>
      </c>
      <c r="O2854" s="3" t="s">
        <v>28</v>
      </c>
      <c r="P2854" s="3" t="s">
        <v>28</v>
      </c>
      <c r="Q2854" s="3" t="s">
        <v>28</v>
      </c>
      <c r="R2854" s="3" t="s">
        <v>28</v>
      </c>
      <c r="S2854" s="3" t="s">
        <v>28</v>
      </c>
      <c r="T2854" s="3" t="s">
        <v>28</v>
      </c>
    </row>
    <row r="2855" spans="1:20" ht="366">
      <c r="A2855" s="3">
        <v>2681384</v>
      </c>
      <c r="B2855" s="3">
        <f>HYPERLINK("https://platform.v2.vetology.net/cases/2681384/screening-report/6?type=pdf&amp;v=v6&amp;scorecard=1&amp;secret_key=BX%25IJ%24%2F65ieZ%29f6", 2681384)</f>
        <v>2681384</v>
      </c>
      <c r="C2855" s="3">
        <f>HYPERLINK("https://platform.v2.vetology.net/report/v/final/"&amp;2681384, 2681384)</f>
        <v>2681384</v>
      </c>
      <c r="D2855" s="3" t="s">
        <v>9610</v>
      </c>
      <c r="E2855" s="3" t="s">
        <v>9611</v>
      </c>
      <c r="F2855" s="3" t="s">
        <v>6688</v>
      </c>
      <c r="G2855" s="3" t="s">
        <v>186</v>
      </c>
      <c r="H2855" s="3" t="s">
        <v>9612</v>
      </c>
      <c r="I2855" s="3" t="s">
        <v>188</v>
      </c>
      <c r="J2855" s="3" t="s">
        <v>189</v>
      </c>
      <c r="K2855" s="3" t="s">
        <v>28</v>
      </c>
      <c r="L2855" s="3" t="s">
        <v>28</v>
      </c>
      <c r="M2855" s="3" t="s">
        <v>28</v>
      </c>
      <c r="N2855" s="3" t="s">
        <v>28</v>
      </c>
      <c r="O2855" s="3" t="s">
        <v>27</v>
      </c>
      <c r="P2855" s="3" t="s">
        <v>28</v>
      </c>
      <c r="Q2855" s="3" t="s">
        <v>28</v>
      </c>
      <c r="R2855" s="3" t="s">
        <v>28</v>
      </c>
      <c r="S2855" s="3" t="s">
        <v>28</v>
      </c>
      <c r="T2855" s="3" t="s">
        <v>28</v>
      </c>
    </row>
    <row r="2856" spans="1:20" ht="396.75">
      <c r="A2856" s="3">
        <v>2681351</v>
      </c>
      <c r="B2856" s="3">
        <f>HYPERLINK("https://platform.v2.vetology.net/cases/2681351/screening-report/6?type=pdf&amp;v=v6&amp;scorecard=1&amp;secret_key=BX%25IJ%24%2F65ieZ%29f6", 2681351)</f>
        <v>2681351</v>
      </c>
      <c r="C2856" s="3">
        <f>HYPERLINK("https://platform.v2.vetology.net/report/v/final/"&amp;2681351, 2681351)</f>
        <v>2681351</v>
      </c>
      <c r="D2856" s="3" t="s">
        <v>9613</v>
      </c>
      <c r="E2856" s="3" t="s">
        <v>9614</v>
      </c>
      <c r="F2856" s="3" t="s">
        <v>9615</v>
      </c>
      <c r="G2856" s="3" t="s">
        <v>100</v>
      </c>
      <c r="H2856" s="3" t="s">
        <v>5495</v>
      </c>
      <c r="I2856" s="3" t="s">
        <v>351</v>
      </c>
      <c r="J2856" s="3" t="s">
        <v>352</v>
      </c>
      <c r="K2856" s="3" t="s">
        <v>28</v>
      </c>
      <c r="L2856" s="3" t="s">
        <v>28</v>
      </c>
      <c r="M2856" s="3" t="s">
        <v>28</v>
      </c>
      <c r="N2856" s="3" t="s">
        <v>28</v>
      </c>
      <c r="O2856" s="3" t="s">
        <v>27</v>
      </c>
      <c r="P2856" s="3" t="s">
        <v>28</v>
      </c>
      <c r="Q2856" s="3" t="s">
        <v>28</v>
      </c>
      <c r="R2856" s="3" t="s">
        <v>28</v>
      </c>
      <c r="S2856" s="3" t="s">
        <v>28</v>
      </c>
      <c r="T2856" s="3" t="s">
        <v>27</v>
      </c>
    </row>
    <row r="2857" spans="1:20" ht="409.6">
      <c r="A2857" s="3">
        <v>2681347</v>
      </c>
      <c r="B2857" s="3">
        <f>HYPERLINK("https://platform.v2.vetology.net/cases/2681347/screening-report/6?type=pdf&amp;v=v6&amp;scorecard=1&amp;secret_key=BX%25IJ%24%2F65ieZ%29f6", 2681347)</f>
        <v>2681347</v>
      </c>
      <c r="C2857" s="3">
        <f>HYPERLINK("https://platform.v2.vetology.net/report/v/final/"&amp;2681347, 2681347)</f>
        <v>2681347</v>
      </c>
      <c r="D2857" s="3" t="s">
        <v>9616</v>
      </c>
      <c r="E2857" s="3" t="s">
        <v>9617</v>
      </c>
      <c r="F2857" s="3" t="s">
        <v>9618</v>
      </c>
      <c r="G2857" s="3" t="s">
        <v>57</v>
      </c>
      <c r="H2857" s="3" t="s">
        <v>31</v>
      </c>
      <c r="I2857" s="3" t="s">
        <v>32</v>
      </c>
      <c r="J2857" s="3" t="s">
        <v>33</v>
      </c>
      <c r="K2857" s="3" t="s">
        <v>28</v>
      </c>
      <c r="L2857" s="3" t="s">
        <v>28</v>
      </c>
      <c r="M2857" s="3" t="s">
        <v>28</v>
      </c>
      <c r="N2857" s="3" t="s">
        <v>28</v>
      </c>
      <c r="O2857" s="3" t="s">
        <v>28</v>
      </c>
      <c r="P2857" s="3" t="s">
        <v>28</v>
      </c>
      <c r="Q2857" s="3" t="s">
        <v>28</v>
      </c>
      <c r="R2857" s="3" t="s">
        <v>28</v>
      </c>
      <c r="S2857" s="3" t="s">
        <v>28</v>
      </c>
      <c r="T2857" s="3" t="s">
        <v>28</v>
      </c>
    </row>
    <row r="2858" spans="1:20" ht="229.5">
      <c r="A2858" s="3">
        <v>2681325</v>
      </c>
      <c r="B2858" s="3">
        <f>HYPERLINK("https://platform.v2.vetology.net/cases/2681325/screening-report/6?type=pdf&amp;v=v6&amp;scorecard=1&amp;secret_key=BX%25IJ%24%2F65ieZ%29f6", 2681325)</f>
        <v>2681325</v>
      </c>
      <c r="C2858" s="3">
        <f>HYPERLINK("https://platform.v2.vetology.net/report/v/final/"&amp;2681325, 2681325)</f>
        <v>2681325</v>
      </c>
      <c r="D2858" s="3" t="s">
        <v>9619</v>
      </c>
      <c r="E2858" s="3" t="s">
        <v>2036</v>
      </c>
      <c r="F2858" s="3" t="s">
        <v>2317</v>
      </c>
      <c r="G2858" s="3" t="s">
        <v>186</v>
      </c>
      <c r="H2858" s="3" t="s">
        <v>1755</v>
      </c>
      <c r="I2858" s="3" t="s">
        <v>1497</v>
      </c>
      <c r="J2858" s="3" t="s">
        <v>847</v>
      </c>
      <c r="K2858" s="3" t="s">
        <v>28</v>
      </c>
      <c r="L2858" s="3" t="s">
        <v>28</v>
      </c>
      <c r="M2858" s="3" t="s">
        <v>28</v>
      </c>
      <c r="N2858" s="3" t="s">
        <v>28</v>
      </c>
      <c r="O2858" s="3" t="s">
        <v>28</v>
      </c>
      <c r="P2858" s="3" t="s">
        <v>28</v>
      </c>
      <c r="Q2858" s="3" t="s">
        <v>28</v>
      </c>
      <c r="R2858" s="3" t="s">
        <v>28</v>
      </c>
      <c r="S2858" s="3" t="s">
        <v>28</v>
      </c>
      <c r="T2858" s="3" t="s">
        <v>28</v>
      </c>
    </row>
    <row r="2859" spans="1:20" ht="409.6">
      <c r="A2859" s="3">
        <v>2681316</v>
      </c>
      <c r="B2859" s="3">
        <f>HYPERLINK("https://platform.v2.vetology.net/cases/2681316/screening-report/6?type=pdf&amp;v=v6&amp;scorecard=1&amp;secret_key=BX%25IJ%24%2F65ieZ%29f6", 2681316)</f>
        <v>2681316</v>
      </c>
      <c r="C2859" s="3">
        <f>HYPERLINK("https://platform.v2.vetology.net/report/v/final/"&amp;2681316, 2681316)</f>
        <v>2681316</v>
      </c>
      <c r="D2859" s="3" t="s">
        <v>9620</v>
      </c>
      <c r="E2859" s="3" t="s">
        <v>9621</v>
      </c>
      <c r="F2859" s="3" t="s">
        <v>9622</v>
      </c>
      <c r="G2859" s="3" t="s">
        <v>1772</v>
      </c>
      <c r="H2859" s="3" t="s">
        <v>9623</v>
      </c>
      <c r="I2859" s="3" t="s">
        <v>345</v>
      </c>
      <c r="J2859" s="3" t="s">
        <v>346</v>
      </c>
      <c r="K2859" s="3" t="s">
        <v>28</v>
      </c>
      <c r="L2859" s="3" t="s">
        <v>28</v>
      </c>
      <c r="M2859" s="3" t="s">
        <v>28</v>
      </c>
      <c r="N2859" s="3" t="s">
        <v>27</v>
      </c>
      <c r="O2859" s="3" t="s">
        <v>28</v>
      </c>
      <c r="P2859" s="3" t="s">
        <v>28</v>
      </c>
      <c r="Q2859" s="3" t="s">
        <v>28</v>
      </c>
      <c r="R2859" s="3" t="s">
        <v>27</v>
      </c>
      <c r="S2859" s="3" t="s">
        <v>28</v>
      </c>
      <c r="T2859" s="3" t="s">
        <v>27</v>
      </c>
    </row>
    <row r="2860" spans="1:20" ht="396.75">
      <c r="A2860" s="3">
        <v>2681301</v>
      </c>
      <c r="B2860" s="3">
        <f>HYPERLINK("https://platform.v2.vetology.net/cases/2681301/screening-report/6?type=pdf&amp;v=v6&amp;scorecard=1&amp;secret_key=BX%25IJ%24%2F65ieZ%29f6", 2681301)</f>
        <v>2681301</v>
      </c>
      <c r="C2860" s="3">
        <f>HYPERLINK("https://platform.v2.vetology.net/report/v/final/"&amp;2681301, 2681301)</f>
        <v>2681301</v>
      </c>
      <c r="D2860" s="3" t="s">
        <v>9624</v>
      </c>
      <c r="E2860" s="3" t="s">
        <v>9625</v>
      </c>
      <c r="F2860" s="3" t="s">
        <v>22</v>
      </c>
      <c r="G2860" s="3" t="s">
        <v>23</v>
      </c>
      <c r="H2860" s="3" t="s">
        <v>9626</v>
      </c>
      <c r="I2860" s="3" t="s">
        <v>5078</v>
      </c>
      <c r="J2860" s="3" t="s">
        <v>9627</v>
      </c>
      <c r="K2860" s="3" t="s">
        <v>28</v>
      </c>
      <c r="L2860" s="3" t="s">
        <v>27</v>
      </c>
      <c r="M2860" s="3" t="s">
        <v>28</v>
      </c>
      <c r="N2860" s="3" t="s">
        <v>28</v>
      </c>
      <c r="O2860" s="3" t="s">
        <v>27</v>
      </c>
      <c r="P2860" s="3" t="s">
        <v>27</v>
      </c>
      <c r="Q2860" s="3" t="s">
        <v>28</v>
      </c>
      <c r="R2860" s="3" t="s">
        <v>28</v>
      </c>
      <c r="S2860" s="3" t="s">
        <v>28</v>
      </c>
      <c r="T2860" s="3" t="s">
        <v>28</v>
      </c>
    </row>
    <row r="2861" spans="1:20" ht="409.6">
      <c r="A2861" s="3">
        <v>2681254</v>
      </c>
      <c r="B2861" s="3">
        <f>HYPERLINK("https://platform.v2.vetology.net/cases/2681254/screening-report/6?type=pdf&amp;v=v6&amp;scorecard=1&amp;secret_key=BX%25IJ%24%2F65ieZ%29f6", 2681254)</f>
        <v>2681254</v>
      </c>
      <c r="C2861" s="3">
        <f>HYPERLINK("https://platform.v2.vetology.net/report/v/final/"&amp;2681254, 2681254)</f>
        <v>2681254</v>
      </c>
      <c r="D2861" s="3" t="s">
        <v>9628</v>
      </c>
      <c r="E2861" s="3" t="s">
        <v>9629</v>
      </c>
      <c r="F2861" s="3" t="s">
        <v>9630</v>
      </c>
      <c r="G2861" s="3" t="s">
        <v>372</v>
      </c>
      <c r="H2861" s="3" t="s">
        <v>8334</v>
      </c>
      <c r="I2861" s="3" t="s">
        <v>351</v>
      </c>
      <c r="J2861" s="3" t="s">
        <v>352</v>
      </c>
      <c r="K2861" s="3" t="s">
        <v>28</v>
      </c>
      <c r="L2861" s="3" t="s">
        <v>28</v>
      </c>
      <c r="M2861" s="3" t="s">
        <v>28</v>
      </c>
      <c r="N2861" s="3" t="s">
        <v>28</v>
      </c>
      <c r="O2861" s="3" t="s">
        <v>27</v>
      </c>
      <c r="P2861" s="3" t="s">
        <v>28</v>
      </c>
      <c r="Q2861" s="3" t="s">
        <v>28</v>
      </c>
      <c r="R2861" s="3" t="s">
        <v>28</v>
      </c>
      <c r="S2861" s="3" t="s">
        <v>28</v>
      </c>
      <c r="T2861" s="3" t="s">
        <v>27</v>
      </c>
    </row>
    <row r="2862" spans="1:20" ht="409.6">
      <c r="A2862" s="3">
        <v>2681238</v>
      </c>
      <c r="B2862" s="3">
        <f>HYPERLINK("https://platform.v2.vetology.net/cases/2681238/screening-report/6?type=pdf&amp;v=v6&amp;scorecard=1&amp;secret_key=BX%25IJ%24%2F65ieZ%29f6", 2681238)</f>
        <v>2681238</v>
      </c>
      <c r="C2862" s="3">
        <f>HYPERLINK("https://platform.v2.vetology.net/report/v/final/"&amp;2681238, 2681238)</f>
        <v>2681238</v>
      </c>
      <c r="D2862" s="3" t="s">
        <v>9631</v>
      </c>
      <c r="E2862" s="3" t="s">
        <v>9632</v>
      </c>
      <c r="F2862" s="3" t="s">
        <v>9633</v>
      </c>
      <c r="G2862" s="3" t="s">
        <v>186</v>
      </c>
      <c r="H2862" s="3" t="s">
        <v>1997</v>
      </c>
      <c r="I2862" s="3" t="s">
        <v>1688</v>
      </c>
      <c r="J2862" s="3" t="s">
        <v>207</v>
      </c>
      <c r="K2862" s="3" t="s">
        <v>27</v>
      </c>
      <c r="L2862" s="3" t="s">
        <v>28</v>
      </c>
      <c r="M2862" s="3" t="s">
        <v>27</v>
      </c>
      <c r="N2862" s="3" t="s">
        <v>28</v>
      </c>
      <c r="O2862" s="3" t="s">
        <v>27</v>
      </c>
      <c r="P2862" s="3" t="s">
        <v>28</v>
      </c>
      <c r="Q2862" s="3" t="s">
        <v>27</v>
      </c>
      <c r="R2862" s="3" t="s">
        <v>28</v>
      </c>
      <c r="S2862" s="3" t="s">
        <v>28</v>
      </c>
      <c r="T2862" s="3" t="s">
        <v>27</v>
      </c>
    </row>
    <row r="2863" spans="1:20" ht="336">
      <c r="A2863" s="3">
        <v>2681131</v>
      </c>
      <c r="B2863" s="3">
        <f>HYPERLINK("https://platform.v2.vetology.net/cases/2681131/screening-report/6?type=pdf&amp;v=v6&amp;scorecard=1&amp;secret_key=BX%25IJ%24%2F65ieZ%29f6", 2681131)</f>
        <v>2681131</v>
      </c>
      <c r="C2863" s="3">
        <f>HYPERLINK("https://platform.v2.vetology.net/report/v/final/"&amp;2681131, 2681131)</f>
        <v>2681131</v>
      </c>
      <c r="D2863" s="3" t="s">
        <v>9634</v>
      </c>
      <c r="E2863" s="3" t="s">
        <v>9635</v>
      </c>
      <c r="F2863" s="3"/>
      <c r="G2863" s="3" t="s">
        <v>122</v>
      </c>
      <c r="H2863" s="3" t="s">
        <v>9636</v>
      </c>
      <c r="I2863" s="3" t="s">
        <v>9637</v>
      </c>
      <c r="J2863" s="3" t="s">
        <v>9638</v>
      </c>
      <c r="K2863" s="3" t="s">
        <v>28</v>
      </c>
      <c r="L2863" s="3" t="s">
        <v>27</v>
      </c>
      <c r="M2863" s="3" t="s">
        <v>28</v>
      </c>
      <c r="N2863" s="3" t="s">
        <v>27</v>
      </c>
      <c r="O2863" s="3" t="s">
        <v>28</v>
      </c>
      <c r="P2863" s="3" t="s">
        <v>27</v>
      </c>
      <c r="Q2863" s="3" t="s">
        <v>28</v>
      </c>
      <c r="R2863" s="3" t="s">
        <v>27</v>
      </c>
      <c r="S2863" s="3" t="s">
        <v>27</v>
      </c>
      <c r="T2863" s="3" t="s">
        <v>27</v>
      </c>
    </row>
    <row r="2864" spans="1:20" ht="396.75">
      <c r="A2864" s="3">
        <v>2681091</v>
      </c>
      <c r="B2864" s="3">
        <f>HYPERLINK("https://platform.v2.vetology.net/cases/2681091/screening-report/6?type=pdf&amp;v=v6&amp;scorecard=1&amp;secret_key=BX%25IJ%24%2F65ieZ%29f6", 2681091)</f>
        <v>2681091</v>
      </c>
      <c r="C2864" s="3">
        <f>HYPERLINK("https://platform.v2.vetology.net/report/v/final/"&amp;2681091, 2681091)</f>
        <v>2681091</v>
      </c>
      <c r="D2864" s="3" t="s">
        <v>9639</v>
      </c>
      <c r="E2864" s="3" t="s">
        <v>9640</v>
      </c>
      <c r="F2864" s="3" t="s">
        <v>9641</v>
      </c>
      <c r="G2864" s="3" t="s">
        <v>57</v>
      </c>
      <c r="H2864" s="3" t="s">
        <v>2983</v>
      </c>
      <c r="I2864" s="3" t="s">
        <v>305</v>
      </c>
      <c r="J2864" s="3" t="s">
        <v>119</v>
      </c>
      <c r="K2864" s="3" t="s">
        <v>28</v>
      </c>
      <c r="L2864" s="3" t="s">
        <v>28</v>
      </c>
      <c r="M2864" s="3" t="s">
        <v>28</v>
      </c>
      <c r="N2864" s="3" t="s">
        <v>28</v>
      </c>
      <c r="O2864" s="3" t="s">
        <v>28</v>
      </c>
      <c r="P2864" s="3" t="s">
        <v>28</v>
      </c>
      <c r="Q2864" s="3" t="s">
        <v>28</v>
      </c>
      <c r="R2864" s="3" t="s">
        <v>28</v>
      </c>
      <c r="S2864" s="3" t="s">
        <v>28</v>
      </c>
      <c r="T2864" s="3" t="s">
        <v>28</v>
      </c>
    </row>
    <row r="2865" spans="1:20" ht="409.6">
      <c r="A2865" s="3">
        <v>2681054</v>
      </c>
      <c r="B2865" s="3">
        <f>HYPERLINK("https://platform.v2.vetology.net/cases/2681054/screening-report/6?type=pdf&amp;v=v6&amp;scorecard=1&amp;secret_key=BX%25IJ%24%2F65ieZ%29f6", 2681054)</f>
        <v>2681054</v>
      </c>
      <c r="C2865" s="3">
        <f>HYPERLINK("https://platform.v2.vetology.net/report/v/final/"&amp;2681054, 2681054)</f>
        <v>2681054</v>
      </c>
      <c r="D2865" s="3" t="s">
        <v>9642</v>
      </c>
      <c r="E2865" s="3" t="s">
        <v>9643</v>
      </c>
      <c r="F2865" s="3" t="s">
        <v>3245</v>
      </c>
      <c r="G2865" s="3" t="s">
        <v>57</v>
      </c>
      <c r="H2865" s="3" t="s">
        <v>9644</v>
      </c>
      <c r="I2865" s="3" t="s">
        <v>9645</v>
      </c>
      <c r="J2865" s="3" t="s">
        <v>9646</v>
      </c>
      <c r="K2865" s="3" t="s">
        <v>28</v>
      </c>
      <c r="L2865" s="3" t="s">
        <v>27</v>
      </c>
      <c r="M2865" s="3" t="s">
        <v>28</v>
      </c>
      <c r="N2865" s="3" t="s">
        <v>27</v>
      </c>
      <c r="O2865" s="3" t="s">
        <v>27</v>
      </c>
      <c r="P2865" s="3" t="s">
        <v>28</v>
      </c>
      <c r="Q2865" s="3" t="s">
        <v>28</v>
      </c>
      <c r="R2865" s="3" t="s">
        <v>27</v>
      </c>
      <c r="S2865" s="3" t="s">
        <v>27</v>
      </c>
      <c r="T2865" s="3" t="s">
        <v>27</v>
      </c>
    </row>
    <row r="2866" spans="1:20" ht="244.5">
      <c r="A2866" s="3">
        <v>2681044</v>
      </c>
      <c r="B2866" s="3">
        <f>HYPERLINK("https://platform.v2.vetology.net/cases/2681044/screening-report/6?type=pdf&amp;v=v6&amp;scorecard=1&amp;secret_key=BX%25IJ%24%2F65ieZ%29f6", 2681044)</f>
        <v>2681044</v>
      </c>
      <c r="C2866" s="3">
        <f>HYPERLINK("https://platform.v2.vetology.net/report/v/final/"&amp;2681044, 2681044)</f>
        <v>2681044</v>
      </c>
      <c r="D2866" s="3" t="s">
        <v>9647</v>
      </c>
      <c r="E2866" s="3" t="s">
        <v>9648</v>
      </c>
      <c r="F2866" s="3" t="s">
        <v>9649</v>
      </c>
      <c r="G2866" s="3" t="s">
        <v>186</v>
      </c>
      <c r="H2866" s="3" t="s">
        <v>205</v>
      </c>
      <c r="I2866" s="3" t="s">
        <v>206</v>
      </c>
      <c r="J2866" s="3" t="s">
        <v>207</v>
      </c>
      <c r="K2866" s="3" t="s">
        <v>28</v>
      </c>
      <c r="L2866" s="3" t="s">
        <v>28</v>
      </c>
      <c r="M2866" s="3" t="s">
        <v>28</v>
      </c>
      <c r="N2866" s="3" t="s">
        <v>28</v>
      </c>
      <c r="O2866" s="3" t="s">
        <v>27</v>
      </c>
      <c r="P2866" s="3" t="s">
        <v>27</v>
      </c>
      <c r="Q2866" s="3" t="s">
        <v>27</v>
      </c>
      <c r="R2866" s="3" t="s">
        <v>28</v>
      </c>
      <c r="S2866" s="3" t="s">
        <v>28</v>
      </c>
      <c r="T2866" s="3" t="s">
        <v>28</v>
      </c>
    </row>
    <row r="2867" spans="1:20" ht="336">
      <c r="A2867" s="3">
        <v>2681040</v>
      </c>
      <c r="B2867" s="3">
        <f>HYPERLINK("https://platform.v2.vetology.net/cases/2681040/screening-report/6?type=pdf&amp;v=v6&amp;scorecard=1&amp;secret_key=BX%25IJ%24%2F65ieZ%29f6", 2681040)</f>
        <v>2681040</v>
      </c>
      <c r="C2867" s="3">
        <f>HYPERLINK("https://platform.v2.vetology.net/report/v/final/"&amp;2681040, 2681040)</f>
        <v>2681040</v>
      </c>
      <c r="D2867" s="3" t="s">
        <v>9650</v>
      </c>
      <c r="E2867" s="3" t="s">
        <v>9651</v>
      </c>
      <c r="F2867" s="3" t="s">
        <v>22</v>
      </c>
      <c r="G2867" s="3" t="s">
        <v>23</v>
      </c>
      <c r="H2867" s="3" t="s">
        <v>9652</v>
      </c>
      <c r="I2867" s="3" t="s">
        <v>643</v>
      </c>
      <c r="J2867" s="3" t="s">
        <v>6139</v>
      </c>
      <c r="K2867" s="3" t="s">
        <v>28</v>
      </c>
      <c r="L2867" s="3" t="s">
        <v>28</v>
      </c>
      <c r="M2867" s="3" t="s">
        <v>28</v>
      </c>
      <c r="N2867" s="3" t="s">
        <v>27</v>
      </c>
      <c r="O2867" s="3" t="s">
        <v>27</v>
      </c>
      <c r="P2867" s="3" t="s">
        <v>28</v>
      </c>
      <c r="Q2867" s="3" t="s">
        <v>28</v>
      </c>
      <c r="R2867" s="3" t="s">
        <v>27</v>
      </c>
      <c r="S2867" s="3" t="s">
        <v>28</v>
      </c>
      <c r="T2867" s="3" t="s">
        <v>27</v>
      </c>
    </row>
    <row r="2868" spans="1:20" ht="409.6">
      <c r="A2868" s="3">
        <v>2681019</v>
      </c>
      <c r="B2868" s="3">
        <f>HYPERLINK("https://platform.v2.vetology.net/cases/2681019/screening-report/6?type=pdf&amp;v=v6&amp;scorecard=1&amp;secret_key=BX%25IJ%24%2F65ieZ%29f6", 2681019)</f>
        <v>2681019</v>
      </c>
      <c r="C2868" s="3">
        <f>HYPERLINK("https://platform.v2.vetology.net/report/v/final/"&amp;2681019, 2681019)</f>
        <v>2681019</v>
      </c>
      <c r="D2868" s="3" t="s">
        <v>9653</v>
      </c>
      <c r="E2868" s="3" t="s">
        <v>9654</v>
      </c>
      <c r="F2868" s="3" t="s">
        <v>9655</v>
      </c>
      <c r="G2868" s="3" t="s">
        <v>186</v>
      </c>
      <c r="H2868" s="3" t="s">
        <v>6800</v>
      </c>
      <c r="I2868" s="3" t="s">
        <v>6801</v>
      </c>
      <c r="J2868" s="3" t="s">
        <v>6802</v>
      </c>
      <c r="K2868" s="3" t="s">
        <v>28</v>
      </c>
      <c r="L2868" s="3" t="s">
        <v>28</v>
      </c>
      <c r="M2868" s="3" t="s">
        <v>27</v>
      </c>
      <c r="N2868" s="3" t="s">
        <v>28</v>
      </c>
      <c r="O2868" s="3" t="s">
        <v>27</v>
      </c>
      <c r="P2868" s="3" t="s">
        <v>27</v>
      </c>
      <c r="Q2868" s="3" t="s">
        <v>28</v>
      </c>
      <c r="R2868" s="3" t="s">
        <v>28</v>
      </c>
      <c r="S2868" s="3" t="s">
        <v>28</v>
      </c>
      <c r="T2868" s="3" t="s">
        <v>27</v>
      </c>
    </row>
    <row r="2869" spans="1:20" ht="396.75">
      <c r="A2869" s="3">
        <v>2680952</v>
      </c>
      <c r="B2869" s="3">
        <f>HYPERLINK("https://platform.v2.vetology.net/cases/2680952/screening-report/6?type=pdf&amp;v=v6&amp;scorecard=1&amp;secret_key=BX%25IJ%24%2F65ieZ%29f6", 2680952)</f>
        <v>2680952</v>
      </c>
      <c r="C2869" s="3">
        <f>HYPERLINK("https://platform.v2.vetology.net/report/v/final/"&amp;2680952, 2680952)</f>
        <v>2680952</v>
      </c>
      <c r="D2869" s="3" t="s">
        <v>9656</v>
      </c>
      <c r="E2869" s="3" t="s">
        <v>9657</v>
      </c>
      <c r="F2869" s="3" t="s">
        <v>1061</v>
      </c>
      <c r="G2869" s="3" t="s">
        <v>100</v>
      </c>
      <c r="H2869" s="3" t="s">
        <v>9658</v>
      </c>
      <c r="I2869" s="3" t="s">
        <v>596</v>
      </c>
      <c r="J2869" s="3" t="s">
        <v>597</v>
      </c>
      <c r="K2869" s="3" t="s">
        <v>28</v>
      </c>
      <c r="L2869" s="3" t="s">
        <v>27</v>
      </c>
      <c r="M2869" s="3" t="s">
        <v>28</v>
      </c>
      <c r="N2869" s="3" t="s">
        <v>27</v>
      </c>
      <c r="O2869" s="3" t="s">
        <v>28</v>
      </c>
      <c r="P2869" s="3" t="s">
        <v>28</v>
      </c>
      <c r="Q2869" s="3" t="s">
        <v>28</v>
      </c>
      <c r="R2869" s="3" t="s">
        <v>27</v>
      </c>
      <c r="S2869" s="3" t="s">
        <v>28</v>
      </c>
      <c r="T2869" s="3" t="s">
        <v>27</v>
      </c>
    </row>
    <row r="2870" spans="1:20" ht="229.5">
      <c r="A2870" s="3">
        <v>2680926</v>
      </c>
      <c r="B2870" s="3">
        <f>HYPERLINK("https://platform.v2.vetology.net/cases/2680926/screening-report/6?type=pdf&amp;v=v6&amp;scorecard=1&amp;secret_key=BX%25IJ%24%2F65ieZ%29f6", 2680926)</f>
        <v>2680926</v>
      </c>
      <c r="C2870" s="3">
        <f>HYPERLINK("https://platform.v2.vetology.net/report/v/final/"&amp;2680926, 2680926)</f>
        <v>2680926</v>
      </c>
      <c r="D2870" s="3" t="s">
        <v>9659</v>
      </c>
      <c r="E2870" s="3" t="s">
        <v>9660</v>
      </c>
      <c r="F2870" s="3" t="s">
        <v>22</v>
      </c>
      <c r="G2870" s="3" t="s">
        <v>100</v>
      </c>
      <c r="H2870" s="3" t="s">
        <v>2213</v>
      </c>
      <c r="I2870" s="3" t="s">
        <v>32</v>
      </c>
      <c r="J2870" s="3" t="s">
        <v>119</v>
      </c>
      <c r="K2870" s="3" t="s">
        <v>28</v>
      </c>
      <c r="L2870" s="3" t="s">
        <v>28</v>
      </c>
      <c r="M2870" s="3" t="s">
        <v>28</v>
      </c>
      <c r="N2870" s="3" t="s">
        <v>28</v>
      </c>
      <c r="O2870" s="3" t="s">
        <v>28</v>
      </c>
      <c r="P2870" s="3" t="s">
        <v>28</v>
      </c>
      <c r="Q2870" s="3" t="s">
        <v>28</v>
      </c>
      <c r="R2870" s="3" t="s">
        <v>28</v>
      </c>
      <c r="S2870" s="3" t="s">
        <v>28</v>
      </c>
      <c r="T2870" s="3" t="s">
        <v>28</v>
      </c>
    </row>
    <row r="2871" spans="1:20" ht="396.75">
      <c r="A2871" s="3">
        <v>2680922</v>
      </c>
      <c r="B2871" s="3">
        <f>HYPERLINK("https://platform.v2.vetology.net/cases/2680922/screening-report/6?type=pdf&amp;v=v6&amp;scorecard=1&amp;secret_key=BX%25IJ%24%2F65ieZ%29f6", 2680922)</f>
        <v>2680922</v>
      </c>
      <c r="C2871" s="3">
        <f>HYPERLINK("https://platform.v2.vetology.net/report/v/final/"&amp;2680922, 2680922)</f>
        <v>2680922</v>
      </c>
      <c r="D2871" s="3" t="s">
        <v>9661</v>
      </c>
      <c r="E2871" s="3" t="s">
        <v>9662</v>
      </c>
      <c r="F2871" s="3" t="s">
        <v>9663</v>
      </c>
      <c r="G2871" s="3" t="s">
        <v>186</v>
      </c>
      <c r="H2871" s="3" t="s">
        <v>9664</v>
      </c>
      <c r="I2871" s="3" t="s">
        <v>614</v>
      </c>
      <c r="J2871" s="3" t="s">
        <v>615</v>
      </c>
      <c r="K2871" s="3" t="s">
        <v>28</v>
      </c>
      <c r="L2871" s="3" t="s">
        <v>28</v>
      </c>
      <c r="M2871" s="3" t="s">
        <v>28</v>
      </c>
      <c r="N2871" s="3" t="s">
        <v>27</v>
      </c>
      <c r="O2871" s="3" t="s">
        <v>27</v>
      </c>
      <c r="P2871" s="3" t="s">
        <v>28</v>
      </c>
      <c r="Q2871" s="3" t="s">
        <v>27</v>
      </c>
      <c r="R2871" s="3" t="s">
        <v>27</v>
      </c>
      <c r="S2871" s="3" t="s">
        <v>28</v>
      </c>
      <c r="T2871" s="3" t="s">
        <v>27</v>
      </c>
    </row>
    <row r="2872" spans="1:20" ht="366">
      <c r="A2872" s="3">
        <v>2680919</v>
      </c>
      <c r="B2872" s="3">
        <f>HYPERLINK("https://platform.v2.vetology.net/cases/2680919/screening-report/6?type=pdf&amp;v=v6&amp;scorecard=1&amp;secret_key=BX%25IJ%24%2F65ieZ%29f6", 2680919)</f>
        <v>2680919</v>
      </c>
      <c r="C2872" s="3">
        <f>HYPERLINK("https://platform.v2.vetology.net/report/v/final/"&amp;2680919, 2680919)</f>
        <v>2680919</v>
      </c>
      <c r="D2872" s="3" t="s">
        <v>9665</v>
      </c>
      <c r="E2872" s="3" t="s">
        <v>9666</v>
      </c>
      <c r="F2872" s="3" t="s">
        <v>9667</v>
      </c>
      <c r="G2872" s="3" t="s">
        <v>57</v>
      </c>
      <c r="H2872" s="3" t="s">
        <v>9668</v>
      </c>
      <c r="I2872" s="3" t="s">
        <v>316</v>
      </c>
      <c r="J2872" s="3" t="s">
        <v>317</v>
      </c>
      <c r="K2872" s="3" t="s">
        <v>28</v>
      </c>
      <c r="L2872" s="3" t="s">
        <v>28</v>
      </c>
      <c r="M2872" s="3" t="s">
        <v>28</v>
      </c>
      <c r="N2872" s="3" t="s">
        <v>28</v>
      </c>
      <c r="O2872" s="3" t="s">
        <v>27</v>
      </c>
      <c r="P2872" s="3" t="s">
        <v>28</v>
      </c>
      <c r="Q2872" s="3" t="s">
        <v>28</v>
      </c>
      <c r="R2872" s="3" t="s">
        <v>28</v>
      </c>
      <c r="S2872" s="3" t="s">
        <v>27</v>
      </c>
      <c r="T2872" s="3" t="s">
        <v>28</v>
      </c>
    </row>
    <row r="2873" spans="1:20" ht="409.6">
      <c r="A2873" s="3">
        <v>2680913</v>
      </c>
      <c r="B2873" s="3">
        <f>HYPERLINK("https://platform.v2.vetology.net/cases/2680913/screening-report/6?type=pdf&amp;v=v6&amp;scorecard=1&amp;secret_key=BX%25IJ%24%2F65ieZ%29f6", 2680913)</f>
        <v>2680913</v>
      </c>
      <c r="C2873" s="3">
        <f>HYPERLINK("https://platform.v2.vetology.net/report/v/final/"&amp;2680913, 2680913)</f>
        <v>2680913</v>
      </c>
      <c r="D2873" s="3" t="s">
        <v>9669</v>
      </c>
      <c r="E2873" s="3" t="s">
        <v>9670</v>
      </c>
      <c r="F2873" s="3" t="s">
        <v>9671</v>
      </c>
      <c r="G2873" s="3" t="s">
        <v>57</v>
      </c>
      <c r="H2873" s="3" t="s">
        <v>158</v>
      </c>
      <c r="I2873" s="3" t="s">
        <v>32</v>
      </c>
      <c r="J2873" s="3" t="s">
        <v>33</v>
      </c>
      <c r="K2873" s="3" t="s">
        <v>28</v>
      </c>
      <c r="L2873" s="3" t="s">
        <v>28</v>
      </c>
      <c r="M2873" s="3" t="s">
        <v>28</v>
      </c>
      <c r="N2873" s="3" t="s">
        <v>28</v>
      </c>
      <c r="O2873" s="3" t="s">
        <v>28</v>
      </c>
      <c r="P2873" s="3" t="s">
        <v>28</v>
      </c>
      <c r="Q2873" s="3" t="s">
        <v>28</v>
      </c>
      <c r="R2873" s="3" t="s">
        <v>28</v>
      </c>
      <c r="S2873" s="3" t="s">
        <v>28</v>
      </c>
      <c r="T2873" s="3" t="s">
        <v>28</v>
      </c>
    </row>
    <row r="2874" spans="1:20" ht="409.6">
      <c r="A2874" s="3">
        <v>2680899</v>
      </c>
      <c r="B2874" s="3">
        <f>HYPERLINK("https://platform.v2.vetology.net/cases/2680899/screening-report/6?type=pdf&amp;v=v6&amp;scorecard=1&amp;secret_key=BX%25IJ%24%2F65ieZ%29f6", 2680899)</f>
        <v>2680899</v>
      </c>
      <c r="C2874" s="3">
        <f>HYPERLINK("https://platform.v2.vetology.net/report/v/final/"&amp;2680899, 2680899)</f>
        <v>2680899</v>
      </c>
      <c r="D2874" s="3" t="s">
        <v>9672</v>
      </c>
      <c r="E2874" s="3" t="s">
        <v>9673</v>
      </c>
      <c r="F2874" s="3" t="s">
        <v>9674</v>
      </c>
      <c r="G2874" s="3" t="s">
        <v>57</v>
      </c>
      <c r="H2874" s="3" t="s">
        <v>9675</v>
      </c>
      <c r="I2874" s="3" t="s">
        <v>1051</v>
      </c>
      <c r="J2874" s="3" t="s">
        <v>1052</v>
      </c>
      <c r="K2874" s="3" t="s">
        <v>27</v>
      </c>
      <c r="L2874" s="3" t="s">
        <v>27</v>
      </c>
      <c r="M2874" s="3" t="s">
        <v>27</v>
      </c>
      <c r="N2874" s="3" t="s">
        <v>27</v>
      </c>
      <c r="O2874" s="3" t="s">
        <v>27</v>
      </c>
      <c r="P2874" s="3" t="s">
        <v>28</v>
      </c>
      <c r="Q2874" s="3" t="s">
        <v>27</v>
      </c>
      <c r="R2874" s="3" t="s">
        <v>27</v>
      </c>
      <c r="S2874" s="3" t="s">
        <v>27</v>
      </c>
      <c r="T2874" s="3" t="s">
        <v>28</v>
      </c>
    </row>
    <row r="2875" spans="1:20" ht="290.25">
      <c r="A2875" s="3">
        <v>2680885</v>
      </c>
      <c r="B2875" s="3">
        <f>HYPERLINK("https://platform.v2.vetology.net/cases/2680885/screening-report/6?type=pdf&amp;v=v6&amp;scorecard=1&amp;secret_key=BX%25IJ%24%2F65ieZ%29f6", 2680885)</f>
        <v>2680885</v>
      </c>
      <c r="C2875" s="3">
        <f>HYPERLINK("https://platform.v2.vetology.net/report/v/final/"&amp;2680885, 2680885)</f>
        <v>2680885</v>
      </c>
      <c r="D2875" s="3" t="s">
        <v>9676</v>
      </c>
      <c r="E2875" s="3" t="s">
        <v>9677</v>
      </c>
      <c r="F2875" s="3" t="s">
        <v>9678</v>
      </c>
      <c r="G2875" s="3" t="s">
        <v>834</v>
      </c>
      <c r="H2875" s="3" t="s">
        <v>2034</v>
      </c>
      <c r="I2875" s="3" t="s">
        <v>1497</v>
      </c>
      <c r="J2875" s="3" t="s">
        <v>847</v>
      </c>
      <c r="K2875" s="3" t="s">
        <v>28</v>
      </c>
      <c r="L2875" s="3" t="s">
        <v>28</v>
      </c>
      <c r="M2875" s="3" t="s">
        <v>28</v>
      </c>
      <c r="N2875" s="3" t="s">
        <v>28</v>
      </c>
      <c r="O2875" s="3" t="s">
        <v>27</v>
      </c>
      <c r="P2875" s="3" t="s">
        <v>27</v>
      </c>
      <c r="Q2875" s="3" t="s">
        <v>28</v>
      </c>
      <c r="R2875" s="3" t="s">
        <v>28</v>
      </c>
      <c r="S2875" s="3" t="s">
        <v>28</v>
      </c>
      <c r="T2875" s="3" t="s">
        <v>28</v>
      </c>
    </row>
    <row r="2876" spans="1:20" ht="409.6">
      <c r="A2876" s="3">
        <v>2680776</v>
      </c>
      <c r="B2876" s="3">
        <f>HYPERLINK("https://platform.v2.vetology.net/cases/2680776/screening-report/6?type=pdf&amp;v=v6&amp;scorecard=1&amp;secret_key=BX%25IJ%24%2F65ieZ%29f6", 2680776)</f>
        <v>2680776</v>
      </c>
      <c r="C2876" s="3">
        <f>HYPERLINK("https://platform.v2.vetology.net/report/v/final/"&amp;2680776, 2680776)</f>
        <v>2680776</v>
      </c>
      <c r="D2876" s="3" t="s">
        <v>9679</v>
      </c>
      <c r="E2876" s="3" t="s">
        <v>9680</v>
      </c>
      <c r="F2876" s="3" t="s">
        <v>3298</v>
      </c>
      <c r="G2876" s="3" t="s">
        <v>100</v>
      </c>
      <c r="H2876" s="3" t="s">
        <v>9681</v>
      </c>
      <c r="I2876" s="3" t="s">
        <v>7270</v>
      </c>
      <c r="J2876" s="3" t="s">
        <v>2046</v>
      </c>
      <c r="K2876" s="3" t="s">
        <v>27</v>
      </c>
      <c r="L2876" s="3" t="s">
        <v>27</v>
      </c>
      <c r="M2876" s="3" t="s">
        <v>27</v>
      </c>
      <c r="N2876" s="3" t="s">
        <v>28</v>
      </c>
      <c r="O2876" s="3" t="s">
        <v>27</v>
      </c>
      <c r="P2876" s="3" t="s">
        <v>27</v>
      </c>
      <c r="Q2876" s="3" t="s">
        <v>27</v>
      </c>
      <c r="R2876" s="3" t="s">
        <v>28</v>
      </c>
      <c r="S2876" s="3" t="s">
        <v>27</v>
      </c>
      <c r="T2876" s="3" t="s">
        <v>28</v>
      </c>
    </row>
    <row r="2877" spans="1:20" ht="275.25">
      <c r="A2877" s="3">
        <v>2680775</v>
      </c>
      <c r="B2877" s="3">
        <f>HYPERLINK("https://platform.v2.vetology.net/cases/2680775/screening-report/6?type=pdf&amp;v=v6&amp;scorecard=1&amp;secret_key=BX%25IJ%24%2F65ieZ%29f6", 2680775)</f>
        <v>2680775</v>
      </c>
      <c r="C2877" s="3">
        <f>HYPERLINK("https://platform.v2.vetology.net/report/v/final/"&amp;2680775, 2680775)</f>
        <v>2680775</v>
      </c>
      <c r="D2877" s="3" t="s">
        <v>9682</v>
      </c>
      <c r="E2877" s="3" t="s">
        <v>9683</v>
      </c>
      <c r="F2877" s="3" t="s">
        <v>9684</v>
      </c>
      <c r="G2877" s="3" t="s">
        <v>179</v>
      </c>
      <c r="H2877" s="3" t="s">
        <v>300</v>
      </c>
      <c r="I2877" s="3" t="s">
        <v>32</v>
      </c>
      <c r="J2877" s="3" t="s">
        <v>119</v>
      </c>
      <c r="K2877" s="3" t="s">
        <v>28</v>
      </c>
      <c r="L2877" s="3" t="s">
        <v>28</v>
      </c>
      <c r="M2877" s="3" t="s">
        <v>28</v>
      </c>
      <c r="N2877" s="3" t="s">
        <v>28</v>
      </c>
      <c r="O2877" s="3" t="s">
        <v>27</v>
      </c>
      <c r="P2877" s="3" t="s">
        <v>28</v>
      </c>
      <c r="Q2877" s="3" t="s">
        <v>28</v>
      </c>
      <c r="R2877" s="3" t="s">
        <v>28</v>
      </c>
      <c r="S2877" s="3" t="s">
        <v>28</v>
      </c>
      <c r="T2877" s="3" t="s">
        <v>28</v>
      </c>
    </row>
    <row r="2878" spans="1:20" ht="381.75">
      <c r="A2878" s="3">
        <v>2680768</v>
      </c>
      <c r="B2878" s="3">
        <f>HYPERLINK("https://platform.v2.vetology.net/cases/2680768/screening-report/6?type=pdf&amp;v=v6&amp;scorecard=1&amp;secret_key=BX%25IJ%24%2F65ieZ%29f6", 2680768)</f>
        <v>2680768</v>
      </c>
      <c r="C2878" s="3">
        <f>HYPERLINK("https://platform.v2.vetology.net/report/v/final/"&amp;2680768, 2680768)</f>
        <v>2680768</v>
      </c>
      <c r="D2878" s="3" t="s">
        <v>9685</v>
      </c>
      <c r="E2878" s="3" t="s">
        <v>9686</v>
      </c>
      <c r="F2878" s="3" t="s">
        <v>4203</v>
      </c>
      <c r="G2878" s="3" t="s">
        <v>57</v>
      </c>
      <c r="H2878" s="3" t="s">
        <v>3613</v>
      </c>
      <c r="I2878" s="3" t="s">
        <v>3614</v>
      </c>
      <c r="J2878" s="3" t="s">
        <v>3615</v>
      </c>
      <c r="K2878" s="3" t="s">
        <v>28</v>
      </c>
      <c r="L2878" s="3" t="s">
        <v>28</v>
      </c>
      <c r="M2878" s="3" t="s">
        <v>28</v>
      </c>
      <c r="N2878" s="3" t="s">
        <v>27</v>
      </c>
      <c r="O2878" s="3" t="s">
        <v>27</v>
      </c>
      <c r="P2878" s="3" t="s">
        <v>27</v>
      </c>
      <c r="Q2878" s="3" t="s">
        <v>27</v>
      </c>
      <c r="R2878" s="3" t="s">
        <v>28</v>
      </c>
      <c r="S2878" s="3" t="s">
        <v>28</v>
      </c>
      <c r="T2878" s="3" t="s">
        <v>27</v>
      </c>
    </row>
    <row r="2879" spans="1:20" ht="259.5">
      <c r="A2879" s="3">
        <v>2680734</v>
      </c>
      <c r="B2879" s="3">
        <f>HYPERLINK("https://platform.v2.vetology.net/cases/2680734/screening-report/6?type=pdf&amp;v=v6&amp;scorecard=1&amp;secret_key=BX%25IJ%24%2F65ieZ%29f6", 2680734)</f>
        <v>2680734</v>
      </c>
      <c r="C2879" s="3">
        <f>HYPERLINK("https://platform.v2.vetology.net/report/v/final/"&amp;2680734, 2680734)</f>
        <v>2680734</v>
      </c>
      <c r="D2879" s="3" t="s">
        <v>9687</v>
      </c>
      <c r="E2879" s="3" t="s">
        <v>9688</v>
      </c>
      <c r="F2879" s="3" t="s">
        <v>9689</v>
      </c>
      <c r="G2879" s="3" t="s">
        <v>179</v>
      </c>
      <c r="H2879" s="3" t="s">
        <v>3588</v>
      </c>
      <c r="I2879" s="3" t="s">
        <v>305</v>
      </c>
      <c r="J2879" s="3" t="s">
        <v>2419</v>
      </c>
      <c r="K2879" s="3" t="s">
        <v>27</v>
      </c>
      <c r="L2879" s="3" t="s">
        <v>27</v>
      </c>
      <c r="M2879" s="3" t="s">
        <v>27</v>
      </c>
      <c r="N2879" s="3" t="s">
        <v>27</v>
      </c>
      <c r="O2879" s="3" t="s">
        <v>27</v>
      </c>
      <c r="P2879" s="3" t="s">
        <v>28</v>
      </c>
      <c r="Q2879" s="3" t="s">
        <v>27</v>
      </c>
      <c r="R2879" s="3" t="s">
        <v>27</v>
      </c>
      <c r="S2879" s="3" t="s">
        <v>27</v>
      </c>
      <c r="T2879" s="3" t="s">
        <v>27</v>
      </c>
    </row>
    <row r="2880" spans="1:20" ht="321">
      <c r="A2880" s="3">
        <v>2680677</v>
      </c>
      <c r="B2880" s="3">
        <f>HYPERLINK("https://platform.v2.vetology.net/cases/2680677/screening-report/6?type=pdf&amp;v=v6&amp;scorecard=1&amp;secret_key=BX%25IJ%24%2F65ieZ%29f6", 2680677)</f>
        <v>2680677</v>
      </c>
      <c r="C2880" s="3">
        <f>HYPERLINK("https://platform.v2.vetology.net/report/v/final/"&amp;2680677, 2680677)</f>
        <v>2680677</v>
      </c>
      <c r="D2880" s="3" t="s">
        <v>9690</v>
      </c>
      <c r="E2880" s="3" t="s">
        <v>9691</v>
      </c>
      <c r="F2880" s="3" t="s">
        <v>5964</v>
      </c>
      <c r="G2880" s="3" t="s">
        <v>186</v>
      </c>
      <c r="H2880" s="3" t="s">
        <v>2497</v>
      </c>
      <c r="I2880" s="3" t="s">
        <v>2498</v>
      </c>
      <c r="J2880" s="3" t="s">
        <v>2499</v>
      </c>
      <c r="K2880" s="3" t="s">
        <v>28</v>
      </c>
      <c r="L2880" s="3" t="s">
        <v>28</v>
      </c>
      <c r="M2880" s="3" t="s">
        <v>28</v>
      </c>
      <c r="N2880" s="3" t="s">
        <v>28</v>
      </c>
      <c r="O2880" s="3" t="s">
        <v>28</v>
      </c>
      <c r="P2880" s="3" t="s">
        <v>28</v>
      </c>
      <c r="Q2880" s="3" t="s">
        <v>27</v>
      </c>
      <c r="R2880" s="3" t="s">
        <v>28</v>
      </c>
      <c r="S2880" s="3" t="s">
        <v>28</v>
      </c>
      <c r="T2880" s="3" t="s">
        <v>27</v>
      </c>
    </row>
    <row r="2881" spans="1:20" ht="336">
      <c r="A2881" s="3">
        <v>2680641</v>
      </c>
      <c r="B2881" s="3">
        <f>HYPERLINK("https://platform.v2.vetology.net/cases/2680641/screening-report/6?type=pdf&amp;v=v6&amp;scorecard=1&amp;secret_key=BX%25IJ%24%2F65ieZ%29f6", 2680641)</f>
        <v>2680641</v>
      </c>
      <c r="C2881" s="3">
        <f>HYPERLINK("https://platform.v2.vetology.net/report/v/final/"&amp;2680641, 2680641)</f>
        <v>2680641</v>
      </c>
      <c r="D2881" s="3" t="s">
        <v>9692</v>
      </c>
      <c r="E2881" s="3" t="s">
        <v>9693</v>
      </c>
      <c r="F2881" s="3" t="s">
        <v>9694</v>
      </c>
      <c r="G2881" s="3" t="s">
        <v>496</v>
      </c>
      <c r="H2881" s="3" t="s">
        <v>2611</v>
      </c>
      <c r="I2881" s="3" t="s">
        <v>66</v>
      </c>
      <c r="J2881" s="3" t="s">
        <v>67</v>
      </c>
      <c r="K2881" s="3" t="s">
        <v>28</v>
      </c>
      <c r="L2881" s="3" t="s">
        <v>28</v>
      </c>
      <c r="M2881" s="3" t="s">
        <v>28</v>
      </c>
      <c r="N2881" s="3" t="s">
        <v>28</v>
      </c>
      <c r="O2881" s="3" t="s">
        <v>27</v>
      </c>
      <c r="P2881" s="3" t="s">
        <v>28</v>
      </c>
      <c r="Q2881" s="3" t="s">
        <v>28</v>
      </c>
      <c r="R2881" s="3" t="s">
        <v>28</v>
      </c>
      <c r="S2881" s="3" t="s">
        <v>28</v>
      </c>
      <c r="T2881" s="3" t="s">
        <v>28</v>
      </c>
    </row>
    <row r="2882" spans="1:20" ht="244.5">
      <c r="A2882" s="3">
        <v>2680638</v>
      </c>
      <c r="B2882" s="3">
        <f>HYPERLINK("https://platform.v2.vetology.net/cases/2680638/screening-report/6?type=pdf&amp;v=v6&amp;scorecard=1&amp;secret_key=BX%25IJ%24%2F65ieZ%29f6", 2680638)</f>
        <v>2680638</v>
      </c>
      <c r="C2882" s="3">
        <f>HYPERLINK("https://platform.v2.vetology.net/report/v/final/"&amp;2680638, 2680638)</f>
        <v>2680638</v>
      </c>
      <c r="D2882" s="3" t="s">
        <v>9695</v>
      </c>
      <c r="E2882" s="3" t="s">
        <v>9696</v>
      </c>
      <c r="F2882" s="3" t="s">
        <v>9697</v>
      </c>
      <c r="G2882" s="3" t="s">
        <v>186</v>
      </c>
      <c r="H2882" s="3" t="s">
        <v>1968</v>
      </c>
      <c r="I2882" s="3" t="s">
        <v>305</v>
      </c>
      <c r="J2882" s="3" t="s">
        <v>847</v>
      </c>
      <c r="K2882" s="3" t="s">
        <v>28</v>
      </c>
      <c r="L2882" s="3" t="s">
        <v>28</v>
      </c>
      <c r="M2882" s="3" t="s">
        <v>28</v>
      </c>
      <c r="N2882" s="3" t="s">
        <v>28</v>
      </c>
      <c r="O2882" s="3" t="s">
        <v>28</v>
      </c>
      <c r="P2882" s="3" t="s">
        <v>28</v>
      </c>
      <c r="Q2882" s="3" t="s">
        <v>28</v>
      </c>
      <c r="R2882" s="3" t="s">
        <v>28</v>
      </c>
      <c r="S2882" s="3" t="s">
        <v>28</v>
      </c>
      <c r="T2882" s="3" t="s">
        <v>28</v>
      </c>
    </row>
    <row r="2883" spans="1:20" ht="321">
      <c r="A2883" s="3">
        <v>2680622</v>
      </c>
      <c r="B2883" s="3">
        <f>HYPERLINK("https://platform.v2.vetology.net/cases/2680622/screening-report/6?type=pdf&amp;v=v6&amp;scorecard=1&amp;secret_key=BX%25IJ%24%2F65ieZ%29f6", 2680622)</f>
        <v>2680622</v>
      </c>
      <c r="C2883" s="3">
        <f>HYPERLINK("https://platform.v2.vetology.net/report/v/final/"&amp;2680622, 2680622)</f>
        <v>2680622</v>
      </c>
      <c r="D2883" s="3" t="s">
        <v>9698</v>
      </c>
      <c r="E2883" s="3" t="s">
        <v>9699</v>
      </c>
      <c r="F2883" s="3" t="s">
        <v>9700</v>
      </c>
      <c r="G2883" s="3" t="s">
        <v>1772</v>
      </c>
      <c r="H2883" s="3" t="s">
        <v>908</v>
      </c>
      <c r="I2883" s="3" t="s">
        <v>32</v>
      </c>
      <c r="J2883" s="3" t="s">
        <v>119</v>
      </c>
      <c r="K2883" s="3" t="s">
        <v>28</v>
      </c>
      <c r="L2883" s="3" t="s">
        <v>28</v>
      </c>
      <c r="M2883" s="3" t="s">
        <v>28</v>
      </c>
      <c r="N2883" s="3" t="s">
        <v>28</v>
      </c>
      <c r="O2883" s="3" t="s">
        <v>27</v>
      </c>
      <c r="P2883" s="3" t="s">
        <v>28</v>
      </c>
      <c r="Q2883" s="3" t="s">
        <v>28</v>
      </c>
      <c r="R2883" s="3" t="s">
        <v>28</v>
      </c>
      <c r="S2883" s="3" t="s">
        <v>28</v>
      </c>
      <c r="T2883" s="3" t="s">
        <v>28</v>
      </c>
    </row>
    <row r="2884" spans="1:20" ht="381.75">
      <c r="A2884" s="3">
        <v>2680615</v>
      </c>
      <c r="B2884" s="3">
        <f>HYPERLINK("https://platform.v2.vetology.net/cases/2680615/screening-report/6?type=pdf&amp;v=v6&amp;scorecard=1&amp;secret_key=BX%25IJ%24%2F65ieZ%29f6", 2680615)</f>
        <v>2680615</v>
      </c>
      <c r="C2884" s="3">
        <f>HYPERLINK("https://platform.v2.vetology.net/report/v/final/"&amp;2680615, 2680615)</f>
        <v>2680615</v>
      </c>
      <c r="D2884" s="3" t="s">
        <v>9701</v>
      </c>
      <c r="E2884" s="3" t="s">
        <v>9702</v>
      </c>
      <c r="F2884" s="3" t="s">
        <v>9703</v>
      </c>
      <c r="G2884" s="3" t="s">
        <v>186</v>
      </c>
      <c r="H2884" s="3" t="s">
        <v>3744</v>
      </c>
      <c r="I2884" s="3" t="s">
        <v>981</v>
      </c>
      <c r="J2884" s="3" t="s">
        <v>982</v>
      </c>
      <c r="K2884" s="3" t="s">
        <v>28</v>
      </c>
      <c r="L2884" s="3" t="s">
        <v>28</v>
      </c>
      <c r="M2884" s="3" t="s">
        <v>28</v>
      </c>
      <c r="N2884" s="3" t="s">
        <v>28</v>
      </c>
      <c r="O2884" s="3" t="s">
        <v>27</v>
      </c>
      <c r="P2884" s="3" t="s">
        <v>28</v>
      </c>
      <c r="Q2884" s="3" t="s">
        <v>27</v>
      </c>
      <c r="R2884" s="3" t="s">
        <v>28</v>
      </c>
      <c r="S2884" s="3" t="s">
        <v>27</v>
      </c>
      <c r="T2884" s="3" t="s">
        <v>28</v>
      </c>
    </row>
    <row r="2885" spans="1:20" ht="409.6">
      <c r="A2885" s="3">
        <v>2680612</v>
      </c>
      <c r="B2885" s="3">
        <f>HYPERLINK("https://platform.v2.vetology.net/cases/2680612/screening-report/6?type=pdf&amp;v=v6&amp;scorecard=1&amp;secret_key=BX%25IJ%24%2F65ieZ%29f6", 2680612)</f>
        <v>2680612</v>
      </c>
      <c r="C2885" s="3">
        <f>HYPERLINK("https://platform.v2.vetology.net/report/v/final/"&amp;2680612, 2680612)</f>
        <v>2680612</v>
      </c>
      <c r="D2885" s="3" t="s">
        <v>9704</v>
      </c>
      <c r="E2885" s="3" t="s">
        <v>9705</v>
      </c>
      <c r="F2885" s="3" t="s">
        <v>9706</v>
      </c>
      <c r="G2885" s="3" t="s">
        <v>1772</v>
      </c>
      <c r="H2885" s="3" t="s">
        <v>9707</v>
      </c>
      <c r="I2885" s="3" t="s">
        <v>9510</v>
      </c>
      <c r="J2885" s="3" t="s">
        <v>9511</v>
      </c>
      <c r="K2885" s="3" t="s">
        <v>28</v>
      </c>
      <c r="L2885" s="3" t="s">
        <v>28</v>
      </c>
      <c r="M2885" s="3" t="s">
        <v>28</v>
      </c>
      <c r="N2885" s="3" t="s">
        <v>28</v>
      </c>
      <c r="O2885" s="3" t="s">
        <v>27</v>
      </c>
      <c r="P2885" s="3" t="s">
        <v>28</v>
      </c>
      <c r="Q2885" s="3" t="s">
        <v>28</v>
      </c>
      <c r="R2885" s="3" t="s">
        <v>28</v>
      </c>
      <c r="S2885" s="3" t="s">
        <v>28</v>
      </c>
      <c r="T2885" s="3" t="s">
        <v>27</v>
      </c>
    </row>
    <row r="2886" spans="1:20" ht="305.25">
      <c r="A2886" s="3">
        <v>2680536</v>
      </c>
      <c r="B2886" s="3">
        <f>HYPERLINK("https://platform.v2.vetology.net/cases/2680536/screening-report/6?type=pdf&amp;v=v6&amp;scorecard=1&amp;secret_key=BX%25IJ%24%2F65ieZ%29f6", 2680536)</f>
        <v>2680536</v>
      </c>
      <c r="C2886" s="3">
        <f>HYPERLINK("https://platform.v2.vetology.net/report/v/final/"&amp;2680536, 2680536)</f>
        <v>2680536</v>
      </c>
      <c r="D2886" s="3" t="s">
        <v>9708</v>
      </c>
      <c r="E2886" s="3" t="s">
        <v>9709</v>
      </c>
      <c r="F2886" s="3" t="s">
        <v>3298</v>
      </c>
      <c r="G2886" s="3" t="s">
        <v>100</v>
      </c>
      <c r="H2886" s="3" t="s">
        <v>9710</v>
      </c>
      <c r="I2886" s="3" t="s">
        <v>2068</v>
      </c>
      <c r="J2886" s="3" t="s">
        <v>2069</v>
      </c>
      <c r="K2886" s="3" t="s">
        <v>28</v>
      </c>
      <c r="L2886" s="3" t="s">
        <v>27</v>
      </c>
      <c r="M2886" s="3" t="s">
        <v>28</v>
      </c>
      <c r="N2886" s="3" t="s">
        <v>27</v>
      </c>
      <c r="O2886" s="3" t="s">
        <v>27</v>
      </c>
      <c r="P2886" s="3" t="s">
        <v>27</v>
      </c>
      <c r="Q2886" s="3" t="s">
        <v>27</v>
      </c>
      <c r="R2886" s="3" t="s">
        <v>27</v>
      </c>
      <c r="S2886" s="3" t="s">
        <v>27</v>
      </c>
      <c r="T2886" s="3" t="s">
        <v>27</v>
      </c>
    </row>
    <row r="2887" spans="1:20" ht="409.6">
      <c r="A2887" s="3">
        <v>2680510</v>
      </c>
      <c r="B2887" s="3">
        <f>HYPERLINK("https://platform.v2.vetology.net/cases/2680510/screening-report/6?type=pdf&amp;v=v6&amp;scorecard=1&amp;secret_key=BX%25IJ%24%2F65ieZ%29f6", 2680510)</f>
        <v>2680510</v>
      </c>
      <c r="C2887" s="3">
        <f>HYPERLINK("https://platform.v2.vetology.net/report/v/final/"&amp;2680510, 2680510)</f>
        <v>2680510</v>
      </c>
      <c r="D2887" s="3" t="s">
        <v>9711</v>
      </c>
      <c r="E2887" s="3" t="s">
        <v>9712</v>
      </c>
      <c r="F2887" s="3" t="s">
        <v>9713</v>
      </c>
      <c r="G2887" s="3" t="s">
        <v>1772</v>
      </c>
      <c r="H2887" s="3" t="s">
        <v>9714</v>
      </c>
      <c r="I2887" s="3" t="s">
        <v>32</v>
      </c>
      <c r="J2887" s="3" t="s">
        <v>578</v>
      </c>
      <c r="K2887" s="3" t="s">
        <v>27</v>
      </c>
      <c r="L2887" s="3" t="s">
        <v>28</v>
      </c>
      <c r="M2887" s="3" t="s">
        <v>28</v>
      </c>
      <c r="N2887" s="3" t="s">
        <v>28</v>
      </c>
      <c r="O2887" s="3" t="s">
        <v>27</v>
      </c>
      <c r="P2887" s="3" t="s">
        <v>28</v>
      </c>
      <c r="Q2887" s="3" t="s">
        <v>27</v>
      </c>
      <c r="R2887" s="3" t="s">
        <v>28</v>
      </c>
      <c r="S2887" s="3" t="s">
        <v>28</v>
      </c>
      <c r="T2887" s="3" t="s">
        <v>28</v>
      </c>
    </row>
    <row r="2888" spans="1:20" ht="409.6">
      <c r="A2888" s="3">
        <v>2680469</v>
      </c>
      <c r="B2888" s="3">
        <f>HYPERLINK("https://platform.v2.vetology.net/cases/2680469/screening-report/6?type=pdf&amp;v=v6&amp;scorecard=1&amp;secret_key=BX%25IJ%24%2F65ieZ%29f6", 2680469)</f>
        <v>2680469</v>
      </c>
      <c r="C2888" s="3">
        <f>HYPERLINK("https://platform.v2.vetology.net/report/v/final/"&amp;2680469, 2680469)</f>
        <v>2680469</v>
      </c>
      <c r="D2888" s="3" t="s">
        <v>9715</v>
      </c>
      <c r="E2888" s="3" t="s">
        <v>9716</v>
      </c>
      <c r="F2888" s="3" t="s">
        <v>9717</v>
      </c>
      <c r="G2888" s="3" t="s">
        <v>1772</v>
      </c>
      <c r="H2888" s="3" t="s">
        <v>158</v>
      </c>
      <c r="I2888" s="3" t="s">
        <v>32</v>
      </c>
      <c r="J2888" s="3" t="s">
        <v>387</v>
      </c>
      <c r="K2888" s="3" t="s">
        <v>28</v>
      </c>
      <c r="L2888" s="3" t="s">
        <v>28</v>
      </c>
      <c r="M2888" s="3" t="s">
        <v>28</v>
      </c>
      <c r="N2888" s="3" t="s">
        <v>28</v>
      </c>
      <c r="O2888" s="3" t="s">
        <v>27</v>
      </c>
      <c r="P2888" s="3" t="s">
        <v>27</v>
      </c>
      <c r="Q2888" s="3" t="s">
        <v>28</v>
      </c>
      <c r="R2888" s="3" t="s">
        <v>28</v>
      </c>
      <c r="S2888" s="3" t="s">
        <v>28</v>
      </c>
      <c r="T2888" s="3" t="s">
        <v>27</v>
      </c>
    </row>
    <row r="2889" spans="1:20" ht="366">
      <c r="A2889" s="3">
        <v>2680436</v>
      </c>
      <c r="B2889" s="3">
        <f>HYPERLINK("https://platform.v2.vetology.net/cases/2680436/screening-report/6?type=pdf&amp;v=v6&amp;scorecard=1&amp;secret_key=BX%25IJ%24%2F65ieZ%29f6", 2680436)</f>
        <v>2680436</v>
      </c>
      <c r="C2889" s="3">
        <f>HYPERLINK("https://platform.v2.vetology.net/report/v/final/"&amp;2680436, 2680436)</f>
        <v>2680436</v>
      </c>
      <c r="D2889" s="3" t="s">
        <v>9718</v>
      </c>
      <c r="E2889" s="3" t="s">
        <v>9719</v>
      </c>
      <c r="F2889" s="3" t="s">
        <v>1762</v>
      </c>
      <c r="G2889" s="3" t="s">
        <v>100</v>
      </c>
      <c r="H2889" s="3" t="s">
        <v>9720</v>
      </c>
      <c r="I2889" s="3" t="s">
        <v>768</v>
      </c>
      <c r="J2889" s="3" t="s">
        <v>769</v>
      </c>
      <c r="K2889" s="3" t="s">
        <v>27</v>
      </c>
      <c r="L2889" s="3" t="s">
        <v>28</v>
      </c>
      <c r="M2889" s="3" t="s">
        <v>28</v>
      </c>
      <c r="N2889" s="3" t="s">
        <v>28</v>
      </c>
      <c r="O2889" s="3" t="s">
        <v>27</v>
      </c>
      <c r="P2889" s="3" t="s">
        <v>27</v>
      </c>
      <c r="Q2889" s="3" t="s">
        <v>28</v>
      </c>
      <c r="R2889" s="3" t="s">
        <v>28</v>
      </c>
      <c r="S2889" s="3" t="s">
        <v>28</v>
      </c>
      <c r="T2889" s="3" t="s">
        <v>28</v>
      </c>
    </row>
    <row r="2890" spans="1:20" ht="336">
      <c r="A2890" s="3">
        <v>2680416</v>
      </c>
      <c r="B2890" s="3">
        <f>HYPERLINK("https://platform.v2.vetology.net/cases/2680416/screening-report/6?type=pdf&amp;v=v6&amp;scorecard=1&amp;secret_key=BX%25IJ%24%2F65ieZ%29f6", 2680416)</f>
        <v>2680416</v>
      </c>
      <c r="C2890" s="3">
        <f>HYPERLINK("https://platform.v2.vetology.net/report/v/final/"&amp;2680416, 2680416)</f>
        <v>2680416</v>
      </c>
      <c r="D2890" s="3" t="s">
        <v>9721</v>
      </c>
      <c r="E2890" s="3" t="s">
        <v>9722</v>
      </c>
      <c r="F2890" s="3" t="s">
        <v>9723</v>
      </c>
      <c r="G2890" s="3" t="s">
        <v>186</v>
      </c>
      <c r="H2890" s="3" t="s">
        <v>9724</v>
      </c>
      <c r="I2890" s="3" t="s">
        <v>66</v>
      </c>
      <c r="J2890" s="3" t="s">
        <v>67</v>
      </c>
      <c r="K2890" s="3" t="s">
        <v>27</v>
      </c>
      <c r="L2890" s="3" t="s">
        <v>28</v>
      </c>
      <c r="M2890" s="3" t="s">
        <v>28</v>
      </c>
      <c r="N2890" s="3" t="s">
        <v>28</v>
      </c>
      <c r="O2890" s="3" t="s">
        <v>27</v>
      </c>
      <c r="P2890" s="3" t="s">
        <v>28</v>
      </c>
      <c r="Q2890" s="3" t="s">
        <v>28</v>
      </c>
      <c r="R2890" s="3" t="s">
        <v>28</v>
      </c>
      <c r="S2890" s="3" t="s">
        <v>28</v>
      </c>
      <c r="T2890" s="3" t="s">
        <v>28</v>
      </c>
    </row>
    <row r="2891" spans="1:20" ht="409.6">
      <c r="A2891" s="3">
        <v>2680359</v>
      </c>
      <c r="B2891" s="3">
        <f>HYPERLINK("https://platform.v2.vetology.net/cases/2680359/screening-report/6?type=pdf&amp;v=v6&amp;scorecard=1&amp;secret_key=BX%25IJ%24%2F65ieZ%29f6", 2680359)</f>
        <v>2680359</v>
      </c>
      <c r="C2891" s="3">
        <f>HYPERLINK("https://platform.v2.vetology.net/report/v/final/"&amp;2680359, 2680359)</f>
        <v>2680359</v>
      </c>
      <c r="D2891" s="3" t="s">
        <v>9725</v>
      </c>
      <c r="E2891" s="3" t="s">
        <v>2036</v>
      </c>
      <c r="F2891" s="3" t="s">
        <v>9726</v>
      </c>
      <c r="G2891" s="3" t="s">
        <v>186</v>
      </c>
      <c r="H2891" s="3" t="s">
        <v>6386</v>
      </c>
      <c r="I2891" s="3" t="s">
        <v>3840</v>
      </c>
      <c r="J2891" s="3" t="s">
        <v>286</v>
      </c>
      <c r="K2891" s="3" t="s">
        <v>27</v>
      </c>
      <c r="L2891" s="3" t="s">
        <v>28</v>
      </c>
      <c r="M2891" s="3" t="s">
        <v>28</v>
      </c>
      <c r="N2891" s="3" t="s">
        <v>28</v>
      </c>
      <c r="O2891" s="3" t="s">
        <v>27</v>
      </c>
      <c r="P2891" s="3" t="s">
        <v>28</v>
      </c>
      <c r="Q2891" s="3" t="s">
        <v>28</v>
      </c>
      <c r="R2891" s="3" t="s">
        <v>28</v>
      </c>
      <c r="S2891" s="3" t="s">
        <v>28</v>
      </c>
      <c r="T2891" s="3" t="s">
        <v>28</v>
      </c>
    </row>
    <row r="2892" spans="1:20" ht="381.75">
      <c r="A2892" s="3">
        <v>2680315</v>
      </c>
      <c r="B2892" s="3">
        <f>HYPERLINK("https://platform.v2.vetology.net/cases/2680315/screening-report/6?type=pdf&amp;v=v6&amp;scorecard=1&amp;secret_key=BX%25IJ%24%2F65ieZ%29f6", 2680315)</f>
        <v>2680315</v>
      </c>
      <c r="C2892" s="3">
        <f>HYPERLINK("https://platform.v2.vetology.net/report/v/final/"&amp;2680315, 2680315)</f>
        <v>2680315</v>
      </c>
      <c r="D2892" s="3" t="s">
        <v>9727</v>
      </c>
      <c r="E2892" s="3" t="s">
        <v>9728</v>
      </c>
      <c r="F2892" s="3" t="s">
        <v>22</v>
      </c>
      <c r="G2892" s="3" t="s">
        <v>100</v>
      </c>
      <c r="H2892" s="3" t="s">
        <v>9729</v>
      </c>
      <c r="I2892" s="3" t="s">
        <v>279</v>
      </c>
      <c r="J2892" s="3" t="s">
        <v>280</v>
      </c>
      <c r="K2892" s="3" t="s">
        <v>28</v>
      </c>
      <c r="L2892" s="3" t="s">
        <v>28</v>
      </c>
      <c r="M2892" s="3" t="s">
        <v>28</v>
      </c>
      <c r="N2892" s="3" t="s">
        <v>28</v>
      </c>
      <c r="O2892" s="3" t="s">
        <v>28</v>
      </c>
      <c r="P2892" s="3" t="s">
        <v>28</v>
      </c>
      <c r="Q2892" s="3" t="s">
        <v>28</v>
      </c>
      <c r="R2892" s="3" t="s">
        <v>28</v>
      </c>
      <c r="S2892" s="3" t="s">
        <v>28</v>
      </c>
      <c r="T2892" s="3" t="s">
        <v>27</v>
      </c>
    </row>
    <row r="2893" spans="1:20" ht="409.6">
      <c r="A2893" s="3">
        <v>2680307</v>
      </c>
      <c r="B2893" s="3">
        <f>HYPERLINK("https://platform.v2.vetology.net/cases/2680307/screening-report/6?type=pdf&amp;v=v6&amp;scorecard=1&amp;secret_key=BX%25IJ%24%2F65ieZ%29f6", 2680307)</f>
        <v>2680307</v>
      </c>
      <c r="C2893" s="3">
        <f>HYPERLINK("https://platform.v2.vetology.net/report/v/final/"&amp;2680307, 2680307)</f>
        <v>2680307</v>
      </c>
      <c r="D2893" s="3" t="s">
        <v>9730</v>
      </c>
      <c r="E2893" s="3" t="s">
        <v>9731</v>
      </c>
      <c r="F2893" s="3" t="s">
        <v>9732</v>
      </c>
      <c r="G2893" s="3" t="s">
        <v>186</v>
      </c>
      <c r="H2893" s="3" t="s">
        <v>9733</v>
      </c>
      <c r="I2893" s="3" t="s">
        <v>108</v>
      </c>
      <c r="J2893" s="3" t="s">
        <v>109</v>
      </c>
      <c r="K2893" s="3" t="s">
        <v>28</v>
      </c>
      <c r="L2893" s="3" t="s">
        <v>27</v>
      </c>
      <c r="M2893" s="3" t="s">
        <v>28</v>
      </c>
      <c r="N2893" s="3" t="s">
        <v>27</v>
      </c>
      <c r="O2893" s="3" t="s">
        <v>27</v>
      </c>
      <c r="P2893" s="3" t="s">
        <v>28</v>
      </c>
      <c r="Q2893" s="3" t="s">
        <v>28</v>
      </c>
      <c r="R2893" s="3" t="s">
        <v>27</v>
      </c>
      <c r="S2893" s="3" t="s">
        <v>27</v>
      </c>
      <c r="T2893" s="3" t="s">
        <v>27</v>
      </c>
    </row>
    <row r="2894" spans="1:20" ht="229.5">
      <c r="A2894" s="3">
        <v>2680305</v>
      </c>
      <c r="B2894" s="3">
        <f>HYPERLINK("https://platform.v2.vetology.net/cases/2680305/screening-report/6?type=pdf&amp;v=v6&amp;scorecard=1&amp;secret_key=BX%25IJ%24%2F65ieZ%29f6", 2680305)</f>
        <v>2680305</v>
      </c>
      <c r="C2894" s="3">
        <f>HYPERLINK("https://platform.v2.vetology.net/report/v/final/"&amp;2680305, 2680305)</f>
        <v>2680305</v>
      </c>
      <c r="D2894" s="3" t="s">
        <v>9734</v>
      </c>
      <c r="E2894" s="3" t="s">
        <v>9735</v>
      </c>
      <c r="F2894" s="3" t="s">
        <v>9736</v>
      </c>
      <c r="G2894" s="3" t="s">
        <v>186</v>
      </c>
      <c r="H2894" s="3" t="s">
        <v>300</v>
      </c>
      <c r="I2894" s="3" t="s">
        <v>32</v>
      </c>
      <c r="J2894" s="3" t="s">
        <v>1566</v>
      </c>
      <c r="K2894" s="3" t="s">
        <v>28</v>
      </c>
      <c r="L2894" s="3" t="s">
        <v>28</v>
      </c>
      <c r="M2894" s="3" t="s">
        <v>27</v>
      </c>
      <c r="N2894" s="3" t="s">
        <v>28</v>
      </c>
      <c r="O2894" s="3" t="s">
        <v>27</v>
      </c>
      <c r="P2894" s="3" t="s">
        <v>28</v>
      </c>
      <c r="Q2894" s="3" t="s">
        <v>28</v>
      </c>
      <c r="R2894" s="3" t="s">
        <v>28</v>
      </c>
      <c r="S2894" s="3" t="s">
        <v>28</v>
      </c>
      <c r="T2894" s="3" t="s">
        <v>28</v>
      </c>
    </row>
    <row r="2895" spans="1:20" ht="381.75">
      <c r="A2895" s="3">
        <v>2680224</v>
      </c>
      <c r="B2895" s="3">
        <f>HYPERLINK("https://platform.v2.vetology.net/cases/2680224/screening-report/6?type=pdf&amp;v=v6&amp;scorecard=1&amp;secret_key=BX%25IJ%24%2F65ieZ%29f6", 2680224)</f>
        <v>2680224</v>
      </c>
      <c r="C2895" s="3">
        <f>HYPERLINK("https://platform.v2.vetology.net/report/v/final/"&amp;2680224, 2680224)</f>
        <v>2680224</v>
      </c>
      <c r="D2895" s="3" t="s">
        <v>9737</v>
      </c>
      <c r="E2895" s="3" t="s">
        <v>9738</v>
      </c>
      <c r="F2895" s="3" t="s">
        <v>22</v>
      </c>
      <c r="G2895" s="3" t="s">
        <v>372</v>
      </c>
      <c r="H2895" s="3" t="s">
        <v>9739</v>
      </c>
      <c r="I2895" s="3" t="s">
        <v>279</v>
      </c>
      <c r="J2895" s="3" t="s">
        <v>280</v>
      </c>
      <c r="K2895" s="3" t="s">
        <v>28</v>
      </c>
      <c r="L2895" s="3" t="s">
        <v>28</v>
      </c>
      <c r="M2895" s="3" t="s">
        <v>28</v>
      </c>
      <c r="N2895" s="3" t="s">
        <v>28</v>
      </c>
      <c r="O2895" s="3" t="s">
        <v>28</v>
      </c>
      <c r="P2895" s="3" t="s">
        <v>28</v>
      </c>
      <c r="Q2895" s="3" t="s">
        <v>28</v>
      </c>
      <c r="R2895" s="3" t="s">
        <v>28</v>
      </c>
      <c r="S2895" s="3" t="s">
        <v>28</v>
      </c>
      <c r="T2895" s="3" t="s">
        <v>27</v>
      </c>
    </row>
    <row r="2896" spans="1:20" ht="381.75">
      <c r="A2896" s="3">
        <v>2680216</v>
      </c>
      <c r="B2896" s="3">
        <f>HYPERLINK("https://platform.v2.vetology.net/cases/2680216/screening-report/6?type=pdf&amp;v=v6&amp;scorecard=1&amp;secret_key=BX%25IJ%24%2F65ieZ%29f6", 2680216)</f>
        <v>2680216</v>
      </c>
      <c r="C2896" s="3">
        <f>HYPERLINK("https://platform.v2.vetology.net/report/v/final/"&amp;2680216, 2680216)</f>
        <v>2680216</v>
      </c>
      <c r="D2896" s="3" t="s">
        <v>9740</v>
      </c>
      <c r="E2896" s="3" t="s">
        <v>9741</v>
      </c>
      <c r="F2896" s="3" t="s">
        <v>22</v>
      </c>
      <c r="G2896" s="3" t="s">
        <v>372</v>
      </c>
      <c r="H2896" s="3" t="s">
        <v>9742</v>
      </c>
      <c r="I2896" s="3" t="s">
        <v>1227</v>
      </c>
      <c r="J2896" s="3" t="s">
        <v>1228</v>
      </c>
      <c r="K2896" s="3" t="s">
        <v>28</v>
      </c>
      <c r="L2896" s="3" t="s">
        <v>28</v>
      </c>
      <c r="M2896" s="3" t="s">
        <v>28</v>
      </c>
      <c r="N2896" s="3" t="s">
        <v>27</v>
      </c>
      <c r="O2896" s="3" t="s">
        <v>27</v>
      </c>
      <c r="P2896" s="3" t="s">
        <v>28</v>
      </c>
      <c r="Q2896" s="3" t="s">
        <v>28</v>
      </c>
      <c r="R2896" s="3" t="s">
        <v>28</v>
      </c>
      <c r="S2896" s="3" t="s">
        <v>27</v>
      </c>
      <c r="T2896" s="3" t="s">
        <v>27</v>
      </c>
    </row>
    <row r="2897" spans="1:20" ht="409.6">
      <c r="A2897" s="3">
        <v>2680183</v>
      </c>
      <c r="B2897" s="3">
        <f>HYPERLINK("https://platform.v2.vetology.net/cases/2680183/screening-report/6?type=pdf&amp;v=v6&amp;scorecard=1&amp;secret_key=BX%25IJ%24%2F65ieZ%29f6", 2680183)</f>
        <v>2680183</v>
      </c>
      <c r="C2897" s="3">
        <f>HYPERLINK("https://platform.v2.vetology.net/report/v/final/"&amp;2680183, 2680183)</f>
        <v>2680183</v>
      </c>
      <c r="D2897" s="3" t="s">
        <v>9743</v>
      </c>
      <c r="E2897" s="3" t="s">
        <v>9744</v>
      </c>
      <c r="F2897" s="3" t="s">
        <v>9745</v>
      </c>
      <c r="G2897" s="3" t="s">
        <v>736</v>
      </c>
      <c r="H2897" s="3" t="s">
        <v>9746</v>
      </c>
      <c r="I2897" s="3" t="s">
        <v>3840</v>
      </c>
      <c r="J2897" s="3" t="s">
        <v>286</v>
      </c>
      <c r="K2897" s="3" t="s">
        <v>27</v>
      </c>
      <c r="L2897" s="3" t="s">
        <v>28</v>
      </c>
      <c r="M2897" s="3" t="s">
        <v>28</v>
      </c>
      <c r="N2897" s="3" t="s">
        <v>28</v>
      </c>
      <c r="O2897" s="3" t="s">
        <v>27</v>
      </c>
      <c r="P2897" s="3" t="s">
        <v>28</v>
      </c>
      <c r="Q2897" s="3" t="s">
        <v>27</v>
      </c>
      <c r="R2897" s="3" t="s">
        <v>28</v>
      </c>
      <c r="S2897" s="3" t="s">
        <v>28</v>
      </c>
      <c r="T2897" s="3" t="s">
        <v>28</v>
      </c>
    </row>
    <row r="2898" spans="1:20" ht="396.75">
      <c r="A2898" s="3">
        <v>2680175</v>
      </c>
      <c r="B2898" s="3">
        <f>HYPERLINK("https://platform.v2.vetology.net/cases/2680175/screening-report/6?type=pdf&amp;v=v6&amp;scorecard=1&amp;secret_key=BX%25IJ%24%2F65ieZ%29f6", 2680175)</f>
        <v>2680175</v>
      </c>
      <c r="C2898" s="3">
        <f>HYPERLINK("https://platform.v2.vetology.net/report/v/final/"&amp;2680175, 2680175)</f>
        <v>2680175</v>
      </c>
      <c r="D2898" s="3" t="s">
        <v>9747</v>
      </c>
      <c r="E2898" s="3" t="s">
        <v>9748</v>
      </c>
      <c r="F2898" s="3" t="s">
        <v>9749</v>
      </c>
      <c r="G2898" s="3" t="s">
        <v>64</v>
      </c>
      <c r="H2898" s="3" t="s">
        <v>350</v>
      </c>
      <c r="I2898" s="3" t="s">
        <v>351</v>
      </c>
      <c r="J2898" s="3" t="s">
        <v>352</v>
      </c>
      <c r="K2898" s="3" t="s">
        <v>28</v>
      </c>
      <c r="L2898" s="3" t="s">
        <v>28</v>
      </c>
      <c r="M2898" s="3" t="s">
        <v>28</v>
      </c>
      <c r="N2898" s="3" t="s">
        <v>28</v>
      </c>
      <c r="O2898" s="3" t="s">
        <v>28</v>
      </c>
      <c r="P2898" s="3" t="s">
        <v>28</v>
      </c>
      <c r="Q2898" s="3" t="s">
        <v>28</v>
      </c>
      <c r="R2898" s="3" t="s">
        <v>28</v>
      </c>
      <c r="S2898" s="3" t="s">
        <v>28</v>
      </c>
      <c r="T2898" s="3" t="s">
        <v>27</v>
      </c>
    </row>
    <row r="2899" spans="1:20" ht="366">
      <c r="A2899" s="3">
        <v>2680166</v>
      </c>
      <c r="B2899" s="3">
        <f>HYPERLINK("https://platform.v2.vetology.net/cases/2680166/screening-report/6?type=pdf&amp;v=v6&amp;scorecard=1&amp;secret_key=BX%25IJ%24%2F65ieZ%29f6", 2680166)</f>
        <v>2680166</v>
      </c>
      <c r="C2899" s="3">
        <f>HYPERLINK("https://platform.v2.vetology.net/report/v/final/"&amp;2680166, 2680166)</f>
        <v>2680166</v>
      </c>
      <c r="D2899" s="3" t="s">
        <v>9750</v>
      </c>
      <c r="E2899" s="3" t="s">
        <v>9751</v>
      </c>
      <c r="F2899" s="3" t="s">
        <v>9752</v>
      </c>
      <c r="G2899" s="3" t="s">
        <v>179</v>
      </c>
      <c r="H2899" s="3" t="s">
        <v>9753</v>
      </c>
      <c r="I2899" s="3" t="s">
        <v>142</v>
      </c>
      <c r="J2899" s="3" t="s">
        <v>143</v>
      </c>
      <c r="K2899" s="3" t="s">
        <v>28</v>
      </c>
      <c r="L2899" s="3" t="s">
        <v>28</v>
      </c>
      <c r="M2899" s="3" t="s">
        <v>27</v>
      </c>
      <c r="N2899" s="3" t="s">
        <v>28</v>
      </c>
      <c r="O2899" s="3" t="s">
        <v>27</v>
      </c>
      <c r="P2899" s="3" t="s">
        <v>28</v>
      </c>
      <c r="Q2899" s="3" t="s">
        <v>28</v>
      </c>
      <c r="R2899" s="3" t="s">
        <v>28</v>
      </c>
      <c r="S2899" s="3" t="s">
        <v>28</v>
      </c>
      <c r="T2899" s="3" t="s">
        <v>27</v>
      </c>
    </row>
    <row r="2900" spans="1:20" ht="229.5">
      <c r="A2900" s="3">
        <v>2680130</v>
      </c>
      <c r="B2900" s="3">
        <f>HYPERLINK("https://platform.v2.vetology.net/cases/2680130/screening-report/6?type=pdf&amp;v=v6&amp;scorecard=1&amp;secret_key=BX%25IJ%24%2F65ieZ%29f6", 2680130)</f>
        <v>2680130</v>
      </c>
      <c r="C2900" s="3">
        <f>HYPERLINK("https://platform.v2.vetology.net/report/v/final/"&amp;2680130, 2680130)</f>
        <v>2680130</v>
      </c>
      <c r="D2900" s="3" t="s">
        <v>9754</v>
      </c>
      <c r="E2900" s="3" t="s">
        <v>9755</v>
      </c>
      <c r="F2900" s="3" t="s">
        <v>9756</v>
      </c>
      <c r="G2900" s="3" t="s">
        <v>179</v>
      </c>
      <c r="H2900" s="3" t="s">
        <v>4184</v>
      </c>
      <c r="I2900" s="3" t="s">
        <v>136</v>
      </c>
      <c r="J2900" s="3" t="s">
        <v>137</v>
      </c>
      <c r="K2900" s="3" t="s">
        <v>28</v>
      </c>
      <c r="L2900" s="3" t="s">
        <v>28</v>
      </c>
      <c r="M2900" s="3" t="s">
        <v>28</v>
      </c>
      <c r="N2900" s="3" t="s">
        <v>28</v>
      </c>
      <c r="O2900" s="3" t="s">
        <v>27</v>
      </c>
      <c r="P2900" s="3" t="s">
        <v>28</v>
      </c>
      <c r="Q2900" s="3" t="s">
        <v>28</v>
      </c>
      <c r="R2900" s="3" t="s">
        <v>28</v>
      </c>
      <c r="S2900" s="3" t="s">
        <v>28</v>
      </c>
      <c r="T2900" s="3" t="s">
        <v>27</v>
      </c>
    </row>
    <row r="2901" spans="1:20" ht="409.6">
      <c r="A2901" s="3">
        <v>2680122</v>
      </c>
      <c r="B2901" s="3">
        <f>HYPERLINK("https://platform.v2.vetology.net/cases/2680122/screening-report/6?type=pdf&amp;v=v6&amp;scorecard=1&amp;secret_key=BX%25IJ%24%2F65ieZ%29f6", 2680122)</f>
        <v>2680122</v>
      </c>
      <c r="C2901" s="3">
        <f>HYPERLINK("https://platform.v2.vetology.net/report/v/final/"&amp;2680122, 2680122)</f>
        <v>2680122</v>
      </c>
      <c r="D2901" s="3" t="s">
        <v>9757</v>
      </c>
      <c r="E2901" s="3" t="s">
        <v>9758</v>
      </c>
      <c r="F2901" s="3" t="s">
        <v>9759</v>
      </c>
      <c r="G2901" s="3" t="s">
        <v>566</v>
      </c>
      <c r="H2901" s="3" t="s">
        <v>702</v>
      </c>
      <c r="I2901" s="3" t="s">
        <v>129</v>
      </c>
      <c r="J2901" s="3" t="s">
        <v>119</v>
      </c>
      <c r="K2901" s="3" t="s">
        <v>28</v>
      </c>
      <c r="L2901" s="3" t="s">
        <v>28</v>
      </c>
      <c r="M2901" s="3" t="s">
        <v>28</v>
      </c>
      <c r="N2901" s="3" t="s">
        <v>28</v>
      </c>
      <c r="O2901" s="3" t="s">
        <v>27</v>
      </c>
      <c r="P2901" s="3" t="s">
        <v>28</v>
      </c>
      <c r="Q2901" s="3" t="s">
        <v>28</v>
      </c>
      <c r="R2901" s="3" t="s">
        <v>28</v>
      </c>
      <c r="S2901" s="3" t="s">
        <v>28</v>
      </c>
      <c r="T2901" s="3" t="s">
        <v>28</v>
      </c>
    </row>
    <row r="2902" spans="1:20" ht="409.6">
      <c r="A2902" s="3">
        <v>2680116</v>
      </c>
      <c r="B2902" s="3">
        <f>HYPERLINK("https://platform.v2.vetology.net/cases/2680116/screening-report/6?type=pdf&amp;v=v6&amp;scorecard=1&amp;secret_key=BX%25IJ%24%2F65ieZ%29f6", 2680116)</f>
        <v>2680116</v>
      </c>
      <c r="C2902" s="3">
        <f>HYPERLINK("https://platform.v2.vetology.net/report/v/final/"&amp;2680116, 2680116)</f>
        <v>2680116</v>
      </c>
      <c r="D2902" s="3" t="s">
        <v>9760</v>
      </c>
      <c r="E2902" s="3" t="s">
        <v>9761</v>
      </c>
      <c r="F2902" s="3" t="s">
        <v>9762</v>
      </c>
      <c r="G2902" s="3" t="s">
        <v>566</v>
      </c>
      <c r="H2902" s="3" t="s">
        <v>9763</v>
      </c>
      <c r="I2902" s="3" t="s">
        <v>124</v>
      </c>
      <c r="J2902" s="3" t="s">
        <v>125</v>
      </c>
      <c r="K2902" s="3" t="s">
        <v>28</v>
      </c>
      <c r="L2902" s="3" t="s">
        <v>28</v>
      </c>
      <c r="M2902" s="3" t="s">
        <v>28</v>
      </c>
      <c r="N2902" s="3" t="s">
        <v>28</v>
      </c>
      <c r="O2902" s="3" t="s">
        <v>27</v>
      </c>
      <c r="P2902" s="3" t="s">
        <v>28</v>
      </c>
      <c r="Q2902" s="3" t="s">
        <v>28</v>
      </c>
      <c r="R2902" s="3" t="s">
        <v>28</v>
      </c>
      <c r="S2902" s="3" t="s">
        <v>28</v>
      </c>
      <c r="T2902" s="3" t="s">
        <v>28</v>
      </c>
    </row>
    <row r="2903" spans="1:20" ht="396.75">
      <c r="A2903" s="3">
        <v>2680004</v>
      </c>
      <c r="B2903" s="3">
        <f>HYPERLINK("https://platform.v2.vetology.net/cases/2680004/screening-report/6?type=pdf&amp;v=v6&amp;scorecard=1&amp;secret_key=BX%25IJ%24%2F65ieZ%29f6", 2680004)</f>
        <v>2680004</v>
      </c>
      <c r="C2903" s="3">
        <f>HYPERLINK("https://platform.v2.vetology.net/report/v/final/"&amp;2680004, 2680004)</f>
        <v>2680004</v>
      </c>
      <c r="D2903" s="3" t="s">
        <v>9764</v>
      </c>
      <c r="E2903" s="3" t="s">
        <v>9765</v>
      </c>
      <c r="F2903" s="3" t="s">
        <v>9766</v>
      </c>
      <c r="G2903" s="3" t="s">
        <v>186</v>
      </c>
      <c r="H2903" s="3" t="s">
        <v>9767</v>
      </c>
      <c r="I2903" s="3" t="s">
        <v>2108</v>
      </c>
      <c r="J2903" s="3" t="s">
        <v>679</v>
      </c>
      <c r="K2903" s="3" t="s">
        <v>27</v>
      </c>
      <c r="L2903" s="3" t="s">
        <v>27</v>
      </c>
      <c r="M2903" s="3" t="s">
        <v>28</v>
      </c>
      <c r="N2903" s="3" t="s">
        <v>27</v>
      </c>
      <c r="O2903" s="3" t="s">
        <v>27</v>
      </c>
      <c r="P2903" s="3" t="s">
        <v>27</v>
      </c>
      <c r="Q2903" s="3" t="s">
        <v>27</v>
      </c>
      <c r="R2903" s="3" t="s">
        <v>27</v>
      </c>
      <c r="S2903" s="3" t="s">
        <v>27</v>
      </c>
      <c r="T2903" s="3" t="s">
        <v>27</v>
      </c>
    </row>
    <row r="2904" spans="1:20" ht="409.6">
      <c r="A2904" s="3">
        <v>2679966</v>
      </c>
      <c r="B2904" s="3">
        <f>HYPERLINK("https://platform.v2.vetology.net/cases/2679966/screening-report/6?type=pdf&amp;v=v6&amp;scorecard=1&amp;secret_key=BX%25IJ%24%2F65ieZ%29f6", 2679966)</f>
        <v>2679966</v>
      </c>
      <c r="C2904" s="3">
        <f>HYPERLINK("https://platform.v2.vetology.net/report/v/final/"&amp;2679966, 2679966)</f>
        <v>2679966</v>
      </c>
      <c r="D2904" s="3" t="s">
        <v>3124</v>
      </c>
      <c r="E2904" s="3" t="s">
        <v>1230</v>
      </c>
      <c r="F2904" s="3" t="s">
        <v>1049</v>
      </c>
      <c r="G2904" s="3" t="s">
        <v>100</v>
      </c>
      <c r="H2904" s="3" t="s">
        <v>9768</v>
      </c>
      <c r="I2904" s="3" t="s">
        <v>6981</v>
      </c>
      <c r="J2904" s="3" t="s">
        <v>6982</v>
      </c>
      <c r="K2904" s="3" t="s">
        <v>27</v>
      </c>
      <c r="L2904" s="3" t="s">
        <v>28</v>
      </c>
      <c r="M2904" s="3" t="s">
        <v>27</v>
      </c>
      <c r="N2904" s="3" t="s">
        <v>28</v>
      </c>
      <c r="O2904" s="3" t="s">
        <v>27</v>
      </c>
      <c r="P2904" s="3" t="s">
        <v>28</v>
      </c>
      <c r="Q2904" s="3" t="s">
        <v>27</v>
      </c>
      <c r="R2904" s="3" t="s">
        <v>28</v>
      </c>
      <c r="S2904" s="3" t="s">
        <v>28</v>
      </c>
      <c r="T2904" s="3" t="s">
        <v>28</v>
      </c>
    </row>
    <row r="2905" spans="1:20" ht="409.6">
      <c r="A2905" s="3">
        <v>2679960</v>
      </c>
      <c r="B2905" s="3">
        <f>HYPERLINK("https://platform.v2.vetology.net/cases/2679960/screening-report/6?type=pdf&amp;v=v6&amp;scorecard=1&amp;secret_key=BX%25IJ%24%2F65ieZ%29f6", 2679960)</f>
        <v>2679960</v>
      </c>
      <c r="C2905" s="3">
        <f>HYPERLINK("https://platform.v2.vetology.net/report/v/final/"&amp;2679960, 2679960)</f>
        <v>2679960</v>
      </c>
      <c r="D2905" s="3" t="s">
        <v>9769</v>
      </c>
      <c r="E2905" s="3" t="s">
        <v>9770</v>
      </c>
      <c r="F2905" s="3" t="s">
        <v>9771</v>
      </c>
      <c r="G2905" s="3" t="s">
        <v>186</v>
      </c>
      <c r="H2905" s="3" t="s">
        <v>9772</v>
      </c>
      <c r="I2905" s="3" t="s">
        <v>7317</v>
      </c>
      <c r="J2905" s="3" t="s">
        <v>7318</v>
      </c>
      <c r="K2905" s="3" t="s">
        <v>28</v>
      </c>
      <c r="L2905" s="3" t="s">
        <v>28</v>
      </c>
      <c r="M2905" s="3" t="s">
        <v>28</v>
      </c>
      <c r="N2905" s="3" t="s">
        <v>27</v>
      </c>
      <c r="O2905" s="3" t="s">
        <v>27</v>
      </c>
      <c r="P2905" s="3" t="s">
        <v>28</v>
      </c>
      <c r="Q2905" s="3" t="s">
        <v>27</v>
      </c>
      <c r="R2905" s="3" t="s">
        <v>28</v>
      </c>
      <c r="S2905" s="3" t="s">
        <v>27</v>
      </c>
      <c r="T2905" s="3" t="s">
        <v>27</v>
      </c>
    </row>
    <row r="2906" spans="1:20" ht="229.5">
      <c r="A2906" s="3">
        <v>2679955</v>
      </c>
      <c r="B2906" s="3">
        <f>HYPERLINK("https://platform.v2.vetology.net/cases/2679955/screening-report/6?type=pdf&amp;v=v6&amp;scorecard=1&amp;secret_key=BX%25IJ%24%2F65ieZ%29f6", 2679955)</f>
        <v>2679955</v>
      </c>
      <c r="C2906" s="3">
        <f>HYPERLINK("https://platform.v2.vetology.net/report/v/final/"&amp;2679955, 2679955)</f>
        <v>2679955</v>
      </c>
      <c r="D2906" s="3" t="s">
        <v>1419</v>
      </c>
      <c r="E2906" s="3" t="s">
        <v>1089</v>
      </c>
      <c r="F2906" s="3" t="s">
        <v>1090</v>
      </c>
      <c r="G2906" s="3" t="s">
        <v>100</v>
      </c>
      <c r="H2906" s="3" t="s">
        <v>135</v>
      </c>
      <c r="I2906" s="3" t="s">
        <v>136</v>
      </c>
      <c r="J2906" s="3" t="s">
        <v>137</v>
      </c>
      <c r="K2906" s="3" t="s">
        <v>28</v>
      </c>
      <c r="L2906" s="3" t="s">
        <v>28</v>
      </c>
      <c r="M2906" s="3" t="s">
        <v>28</v>
      </c>
      <c r="N2906" s="3" t="s">
        <v>27</v>
      </c>
      <c r="O2906" s="3" t="s">
        <v>27</v>
      </c>
      <c r="P2906" s="3" t="s">
        <v>28</v>
      </c>
      <c r="Q2906" s="3" t="s">
        <v>27</v>
      </c>
      <c r="R2906" s="3" t="s">
        <v>28</v>
      </c>
      <c r="S2906" s="3" t="s">
        <v>28</v>
      </c>
      <c r="T2906" s="3" t="s">
        <v>27</v>
      </c>
    </row>
    <row r="2907" spans="1:20" ht="409.6">
      <c r="A2907" s="3">
        <v>2679863</v>
      </c>
      <c r="B2907" s="3">
        <f>HYPERLINK("https://platform.v2.vetology.net/cases/2679863/screening-report/6?type=pdf&amp;v=v6&amp;scorecard=1&amp;secret_key=BX%25IJ%24%2F65ieZ%29f6", 2679863)</f>
        <v>2679863</v>
      </c>
      <c r="C2907" s="3">
        <f>HYPERLINK("https://platform.v2.vetology.net/report/v/final/"&amp;2679863, 2679863)</f>
        <v>2679863</v>
      </c>
      <c r="D2907" s="3" t="s">
        <v>9773</v>
      </c>
      <c r="E2907" s="3" t="s">
        <v>9774</v>
      </c>
      <c r="F2907" s="3" t="s">
        <v>22</v>
      </c>
      <c r="G2907" s="3" t="s">
        <v>372</v>
      </c>
      <c r="H2907" s="3" t="s">
        <v>7106</v>
      </c>
      <c r="I2907" s="3" t="s">
        <v>878</v>
      </c>
      <c r="J2907" s="3" t="s">
        <v>879</v>
      </c>
      <c r="K2907" s="3" t="s">
        <v>28</v>
      </c>
      <c r="L2907" s="3" t="s">
        <v>27</v>
      </c>
      <c r="M2907" s="3" t="s">
        <v>28</v>
      </c>
      <c r="N2907" s="3" t="s">
        <v>27</v>
      </c>
      <c r="O2907" s="3" t="s">
        <v>27</v>
      </c>
      <c r="P2907" s="3" t="s">
        <v>28</v>
      </c>
      <c r="Q2907" s="3" t="s">
        <v>27</v>
      </c>
      <c r="R2907" s="3" t="s">
        <v>27</v>
      </c>
      <c r="S2907" s="3" t="s">
        <v>27</v>
      </c>
      <c r="T2907" s="3" t="s">
        <v>27</v>
      </c>
    </row>
    <row r="2908" spans="1:20" ht="396.75">
      <c r="A2908" s="3">
        <v>2679828</v>
      </c>
      <c r="B2908" s="3">
        <f>HYPERLINK("https://platform.v2.vetology.net/cases/2679828/screening-report/6?type=pdf&amp;v=v6&amp;scorecard=1&amp;secret_key=BX%25IJ%24%2F65ieZ%29f6", 2679828)</f>
        <v>2679828</v>
      </c>
      <c r="C2908" s="3">
        <f>HYPERLINK("https://platform.v2.vetology.net/report/v/final/"&amp;2679828, 2679828)</f>
        <v>2679828</v>
      </c>
      <c r="D2908" s="3" t="s">
        <v>9775</v>
      </c>
      <c r="E2908" s="3" t="s">
        <v>2036</v>
      </c>
      <c r="F2908" s="3" t="s">
        <v>9776</v>
      </c>
      <c r="G2908" s="3" t="s">
        <v>186</v>
      </c>
      <c r="H2908" s="3" t="s">
        <v>350</v>
      </c>
      <c r="I2908" s="3" t="s">
        <v>351</v>
      </c>
      <c r="J2908" s="3" t="s">
        <v>352</v>
      </c>
      <c r="K2908" s="3" t="s">
        <v>28</v>
      </c>
      <c r="L2908" s="3" t="s">
        <v>28</v>
      </c>
      <c r="M2908" s="3" t="s">
        <v>28</v>
      </c>
      <c r="N2908" s="3" t="s">
        <v>28</v>
      </c>
      <c r="O2908" s="3" t="s">
        <v>28</v>
      </c>
      <c r="P2908" s="3" t="s">
        <v>28</v>
      </c>
      <c r="Q2908" s="3" t="s">
        <v>28</v>
      </c>
      <c r="R2908" s="3" t="s">
        <v>28</v>
      </c>
      <c r="S2908" s="3" t="s">
        <v>28</v>
      </c>
      <c r="T2908" s="3" t="s">
        <v>27</v>
      </c>
    </row>
    <row r="2909" spans="1:20" ht="305.25">
      <c r="A2909" s="3">
        <v>2679806</v>
      </c>
      <c r="B2909" s="3">
        <f>HYPERLINK("https://platform.v2.vetology.net/cases/2679806/screening-report/6?type=pdf&amp;v=v6&amp;scorecard=1&amp;secret_key=BX%25IJ%24%2F65ieZ%29f6", 2679806)</f>
        <v>2679806</v>
      </c>
      <c r="C2909" s="3">
        <f>HYPERLINK("https://platform.v2.vetology.net/report/v/final/"&amp;2679806, 2679806)</f>
        <v>2679806</v>
      </c>
      <c r="D2909" s="3" t="s">
        <v>9777</v>
      </c>
      <c r="E2909" s="3" t="s">
        <v>9778</v>
      </c>
      <c r="F2909" s="3"/>
      <c r="G2909" s="3" t="s">
        <v>100</v>
      </c>
      <c r="H2909" s="3" t="s">
        <v>158</v>
      </c>
      <c r="I2909" s="3" t="s">
        <v>32</v>
      </c>
      <c r="J2909" s="3" t="s">
        <v>33</v>
      </c>
      <c r="K2909" s="3" t="s">
        <v>28</v>
      </c>
      <c r="L2909" s="3" t="s">
        <v>28</v>
      </c>
      <c r="M2909" s="3" t="s">
        <v>28</v>
      </c>
      <c r="N2909" s="3" t="s">
        <v>28</v>
      </c>
      <c r="O2909" s="3" t="s">
        <v>28</v>
      </c>
      <c r="P2909" s="3" t="s">
        <v>28</v>
      </c>
      <c r="Q2909" s="3" t="s">
        <v>28</v>
      </c>
      <c r="R2909" s="3" t="s">
        <v>28</v>
      </c>
      <c r="S2909" s="3" t="s">
        <v>28</v>
      </c>
      <c r="T2909" s="3" t="s">
        <v>28</v>
      </c>
    </row>
    <row r="2910" spans="1:20" ht="409.6">
      <c r="A2910" s="3">
        <v>2679793</v>
      </c>
      <c r="B2910" s="3">
        <f>HYPERLINK("https://platform.v2.vetology.net/cases/2679793/screening-report/6?type=pdf&amp;v=v6&amp;scorecard=1&amp;secret_key=BX%25IJ%24%2F65ieZ%29f6", 2679793)</f>
        <v>2679793</v>
      </c>
      <c r="C2910" s="3">
        <f>HYPERLINK("https://platform.v2.vetology.net/report/v/final/"&amp;2679793, 2679793)</f>
        <v>2679793</v>
      </c>
      <c r="D2910" s="3" t="s">
        <v>9779</v>
      </c>
      <c r="E2910" s="3" t="s">
        <v>3119</v>
      </c>
      <c r="F2910" s="3" t="s">
        <v>22</v>
      </c>
      <c r="G2910" s="3" t="s">
        <v>372</v>
      </c>
      <c r="H2910" s="3" t="s">
        <v>9780</v>
      </c>
      <c r="I2910" s="3" t="s">
        <v>32</v>
      </c>
      <c r="J2910" s="3" t="s">
        <v>9781</v>
      </c>
      <c r="K2910" s="3" t="s">
        <v>27</v>
      </c>
      <c r="L2910" s="3" t="s">
        <v>28</v>
      </c>
      <c r="M2910" s="3" t="s">
        <v>27</v>
      </c>
      <c r="N2910" s="3" t="s">
        <v>28</v>
      </c>
      <c r="O2910" s="3" t="s">
        <v>27</v>
      </c>
      <c r="P2910" s="3" t="s">
        <v>28</v>
      </c>
      <c r="Q2910" s="3" t="s">
        <v>27</v>
      </c>
      <c r="R2910" s="3" t="s">
        <v>28</v>
      </c>
      <c r="S2910" s="3" t="s">
        <v>28</v>
      </c>
      <c r="T2910" s="3" t="s">
        <v>28</v>
      </c>
    </row>
    <row r="2911" spans="1:20" ht="381.75">
      <c r="A2911" s="3">
        <v>2679606</v>
      </c>
      <c r="B2911" s="3">
        <f>HYPERLINK("https://platform.v2.vetology.net/cases/2679606/screening-report/6?type=pdf&amp;v=v6&amp;scorecard=1&amp;secret_key=BX%25IJ%24%2F65ieZ%29f6", 2679606)</f>
        <v>2679606</v>
      </c>
      <c r="C2911" s="3">
        <f>HYPERLINK("https://platform.v2.vetology.net/report/v/final/"&amp;2679606, 2679606)</f>
        <v>2679606</v>
      </c>
      <c r="D2911" s="3" t="s">
        <v>9782</v>
      </c>
      <c r="E2911" s="3" t="s">
        <v>2247</v>
      </c>
      <c r="F2911" s="3" t="s">
        <v>1061</v>
      </c>
      <c r="G2911" s="3" t="s">
        <v>100</v>
      </c>
      <c r="H2911" s="3" t="s">
        <v>9783</v>
      </c>
      <c r="I2911" s="3" t="s">
        <v>1952</v>
      </c>
      <c r="J2911" s="3" t="s">
        <v>1953</v>
      </c>
      <c r="K2911" s="3" t="s">
        <v>27</v>
      </c>
      <c r="L2911" s="3" t="s">
        <v>28</v>
      </c>
      <c r="M2911" s="3" t="s">
        <v>27</v>
      </c>
      <c r="N2911" s="3" t="s">
        <v>27</v>
      </c>
      <c r="O2911" s="3" t="s">
        <v>27</v>
      </c>
      <c r="P2911" s="3" t="s">
        <v>28</v>
      </c>
      <c r="Q2911" s="3" t="s">
        <v>27</v>
      </c>
      <c r="R2911" s="3" t="s">
        <v>28</v>
      </c>
      <c r="S2911" s="3" t="s">
        <v>27</v>
      </c>
      <c r="T2911" s="3" t="s">
        <v>27</v>
      </c>
    </row>
    <row r="2912" spans="1:20" ht="409.6">
      <c r="A2912" s="3">
        <v>2679589</v>
      </c>
      <c r="B2912" s="3">
        <f>HYPERLINK("https://platform.v2.vetology.net/cases/2679589/screening-report/6?type=pdf&amp;v=v6&amp;scorecard=1&amp;secret_key=BX%25IJ%24%2F65ieZ%29f6", 2679589)</f>
        <v>2679589</v>
      </c>
      <c r="C2912" s="3">
        <f>HYPERLINK("https://platform.v2.vetology.net/report/v/final/"&amp;2679589, 2679589)</f>
        <v>2679589</v>
      </c>
      <c r="D2912" s="3" t="s">
        <v>9784</v>
      </c>
      <c r="E2912" s="3" t="s">
        <v>9785</v>
      </c>
      <c r="F2912" s="3" t="s">
        <v>260</v>
      </c>
      <c r="G2912" s="3" t="s">
        <v>186</v>
      </c>
      <c r="H2912" s="3" t="s">
        <v>9786</v>
      </c>
      <c r="I2912" s="3" t="s">
        <v>357</v>
      </c>
      <c r="J2912" s="3" t="s">
        <v>7497</v>
      </c>
      <c r="K2912" s="3" t="s">
        <v>28</v>
      </c>
      <c r="L2912" s="3" t="s">
        <v>28</v>
      </c>
      <c r="M2912" s="3" t="s">
        <v>28</v>
      </c>
      <c r="N2912" s="3" t="s">
        <v>28</v>
      </c>
      <c r="O2912" s="3" t="s">
        <v>27</v>
      </c>
      <c r="P2912" s="3" t="s">
        <v>28</v>
      </c>
      <c r="Q2912" s="3" t="s">
        <v>28</v>
      </c>
      <c r="R2912" s="3" t="s">
        <v>28</v>
      </c>
      <c r="S2912" s="3" t="s">
        <v>28</v>
      </c>
      <c r="T2912" s="3" t="s">
        <v>28</v>
      </c>
    </row>
    <row r="2913" spans="1:20" ht="396.75">
      <c r="A2913" s="3">
        <v>2679587</v>
      </c>
      <c r="B2913" s="3">
        <f>HYPERLINK("https://platform.v2.vetology.net/cases/2679587/screening-report/6?type=pdf&amp;v=v6&amp;scorecard=1&amp;secret_key=BX%25IJ%24%2F65ieZ%29f6", 2679587)</f>
        <v>2679587</v>
      </c>
      <c r="C2913" s="3">
        <f>HYPERLINK("https://platform.v2.vetology.net/report/v/final/"&amp;2679587, 2679587)</f>
        <v>2679587</v>
      </c>
      <c r="D2913" s="3" t="s">
        <v>9787</v>
      </c>
      <c r="E2913" s="3" t="s">
        <v>9788</v>
      </c>
      <c r="F2913" s="3" t="s">
        <v>22</v>
      </c>
      <c r="G2913" s="3" t="s">
        <v>100</v>
      </c>
      <c r="H2913" s="3" t="s">
        <v>3540</v>
      </c>
      <c r="I2913" s="3" t="s">
        <v>351</v>
      </c>
      <c r="J2913" s="3" t="s">
        <v>352</v>
      </c>
      <c r="K2913" s="3" t="s">
        <v>28</v>
      </c>
      <c r="L2913" s="3" t="s">
        <v>28</v>
      </c>
      <c r="M2913" s="3" t="s">
        <v>28</v>
      </c>
      <c r="N2913" s="3" t="s">
        <v>28</v>
      </c>
      <c r="O2913" s="3" t="s">
        <v>27</v>
      </c>
      <c r="P2913" s="3" t="s">
        <v>28</v>
      </c>
      <c r="Q2913" s="3" t="s">
        <v>28</v>
      </c>
      <c r="R2913" s="3" t="s">
        <v>28</v>
      </c>
      <c r="S2913" s="3" t="s">
        <v>28</v>
      </c>
      <c r="T2913" s="3" t="s">
        <v>27</v>
      </c>
    </row>
    <row r="2914" spans="1:20" ht="366">
      <c r="A2914" s="3">
        <v>2679565</v>
      </c>
      <c r="B2914" s="3">
        <f>HYPERLINK("https://platform.v2.vetology.net/cases/2679565/screening-report/6?type=pdf&amp;v=v6&amp;scorecard=1&amp;secret_key=BX%25IJ%24%2F65ieZ%29f6", 2679565)</f>
        <v>2679565</v>
      </c>
      <c r="C2914" s="3">
        <f>HYPERLINK("https://platform.v2.vetology.net/report/v/final/"&amp;2679565, 2679565)</f>
        <v>2679565</v>
      </c>
      <c r="D2914" s="3" t="s">
        <v>9789</v>
      </c>
      <c r="E2914" s="3" t="s">
        <v>9790</v>
      </c>
      <c r="F2914" s="3" t="s">
        <v>3379</v>
      </c>
      <c r="G2914" s="3" t="s">
        <v>496</v>
      </c>
      <c r="H2914" s="3" t="s">
        <v>9791</v>
      </c>
      <c r="I2914" s="3" t="s">
        <v>1034</v>
      </c>
      <c r="J2914" s="3" t="s">
        <v>1035</v>
      </c>
      <c r="K2914" s="3" t="s">
        <v>28</v>
      </c>
      <c r="L2914" s="3" t="s">
        <v>28</v>
      </c>
      <c r="M2914" s="3" t="s">
        <v>28</v>
      </c>
      <c r="N2914" s="3" t="s">
        <v>27</v>
      </c>
      <c r="O2914" s="3" t="s">
        <v>28</v>
      </c>
      <c r="P2914" s="3" t="s">
        <v>28</v>
      </c>
      <c r="Q2914" s="3" t="s">
        <v>28</v>
      </c>
      <c r="R2914" s="3" t="s">
        <v>27</v>
      </c>
      <c r="S2914" s="3" t="s">
        <v>28</v>
      </c>
      <c r="T2914" s="3" t="s">
        <v>27</v>
      </c>
    </row>
    <row r="2915" spans="1:20" ht="396.75">
      <c r="A2915" s="3">
        <v>2679555</v>
      </c>
      <c r="B2915" s="3">
        <f>HYPERLINK("https://platform.v2.vetology.net/cases/2679555/screening-report/6?type=pdf&amp;v=v6&amp;scorecard=1&amp;secret_key=BX%25IJ%24%2F65ieZ%29f6", 2679555)</f>
        <v>2679555</v>
      </c>
      <c r="C2915" s="3">
        <f>HYPERLINK("https://platform.v2.vetology.net/report/v/final/"&amp;2679555, 2679555)</f>
        <v>2679555</v>
      </c>
      <c r="D2915" s="3" t="s">
        <v>9792</v>
      </c>
      <c r="E2915" s="3" t="s">
        <v>9793</v>
      </c>
      <c r="F2915" s="3" t="s">
        <v>22</v>
      </c>
      <c r="G2915" s="3" t="s">
        <v>372</v>
      </c>
      <c r="H2915" s="3" t="s">
        <v>9794</v>
      </c>
      <c r="I2915" s="3" t="s">
        <v>572</v>
      </c>
      <c r="J2915" s="3" t="s">
        <v>573</v>
      </c>
      <c r="K2915" s="3" t="s">
        <v>28</v>
      </c>
      <c r="L2915" s="3" t="s">
        <v>28</v>
      </c>
      <c r="M2915" s="3" t="s">
        <v>28</v>
      </c>
      <c r="N2915" s="3" t="s">
        <v>28</v>
      </c>
      <c r="O2915" s="3" t="s">
        <v>27</v>
      </c>
      <c r="P2915" s="3" t="s">
        <v>28</v>
      </c>
      <c r="Q2915" s="3" t="s">
        <v>27</v>
      </c>
      <c r="R2915" s="3" t="s">
        <v>28</v>
      </c>
      <c r="S2915" s="3" t="s">
        <v>28</v>
      </c>
      <c r="T2915" s="3" t="s">
        <v>28</v>
      </c>
    </row>
    <row r="2916" spans="1:20" ht="409.6">
      <c r="A2916" s="3">
        <v>2679549</v>
      </c>
      <c r="B2916" s="3">
        <f>HYPERLINK("https://platform.v2.vetology.net/cases/2679549/screening-report/6?type=pdf&amp;v=v6&amp;scorecard=1&amp;secret_key=BX%25IJ%24%2F65ieZ%29f6", 2679549)</f>
        <v>2679549</v>
      </c>
      <c r="C2916" s="3">
        <f>HYPERLINK("https://platform.v2.vetology.net/report/v/final/"&amp;2679549, 2679549)</f>
        <v>2679549</v>
      </c>
      <c r="D2916" s="3" t="s">
        <v>9795</v>
      </c>
      <c r="E2916" s="3" t="s">
        <v>9796</v>
      </c>
      <c r="F2916" s="3" t="s">
        <v>22</v>
      </c>
      <c r="G2916" s="3" t="s">
        <v>372</v>
      </c>
      <c r="H2916" s="3" t="s">
        <v>9797</v>
      </c>
      <c r="I2916" s="3" t="s">
        <v>9798</v>
      </c>
      <c r="J2916" s="3" t="s">
        <v>9799</v>
      </c>
      <c r="K2916" s="3" t="s">
        <v>28</v>
      </c>
      <c r="L2916" s="3" t="s">
        <v>27</v>
      </c>
      <c r="M2916" s="3" t="s">
        <v>28</v>
      </c>
      <c r="N2916" s="3" t="s">
        <v>27</v>
      </c>
      <c r="O2916" s="3" t="s">
        <v>27</v>
      </c>
      <c r="P2916" s="3" t="s">
        <v>28</v>
      </c>
      <c r="Q2916" s="3" t="s">
        <v>28</v>
      </c>
      <c r="R2916" s="3" t="s">
        <v>27</v>
      </c>
      <c r="S2916" s="3" t="s">
        <v>27</v>
      </c>
      <c r="T2916" s="3" t="s">
        <v>27</v>
      </c>
    </row>
    <row r="2917" spans="1:20" ht="409.6">
      <c r="A2917" s="3">
        <v>2679536</v>
      </c>
      <c r="B2917" s="3">
        <f>HYPERLINK("https://platform.v2.vetology.net/cases/2679536/screening-report/6?type=pdf&amp;v=v6&amp;scorecard=1&amp;secret_key=BX%25IJ%24%2F65ieZ%29f6", 2679536)</f>
        <v>2679536</v>
      </c>
      <c r="C2917" s="3">
        <f>HYPERLINK("https://platform.v2.vetology.net/report/v/final/"&amp;2679536, 2679536)</f>
        <v>2679536</v>
      </c>
      <c r="D2917" s="3" t="s">
        <v>9800</v>
      </c>
      <c r="E2917" s="3" t="s">
        <v>9801</v>
      </c>
      <c r="F2917" s="3" t="s">
        <v>9802</v>
      </c>
      <c r="G2917" s="3" t="s">
        <v>566</v>
      </c>
      <c r="H2917" s="3" t="s">
        <v>9803</v>
      </c>
      <c r="I2917" s="3" t="s">
        <v>2625</v>
      </c>
      <c r="J2917" s="3" t="s">
        <v>2626</v>
      </c>
      <c r="K2917" s="3" t="s">
        <v>28</v>
      </c>
      <c r="L2917" s="3" t="s">
        <v>28</v>
      </c>
      <c r="M2917" s="3" t="s">
        <v>28</v>
      </c>
      <c r="N2917" s="3" t="s">
        <v>27</v>
      </c>
      <c r="O2917" s="3" t="s">
        <v>27</v>
      </c>
      <c r="P2917" s="3" t="s">
        <v>28</v>
      </c>
      <c r="Q2917" s="3" t="s">
        <v>28</v>
      </c>
      <c r="R2917" s="3" t="s">
        <v>28</v>
      </c>
      <c r="S2917" s="3" t="s">
        <v>27</v>
      </c>
      <c r="T2917" s="3" t="s">
        <v>27</v>
      </c>
    </row>
    <row r="2918" spans="1:20" ht="290.25">
      <c r="A2918" s="3">
        <v>2679522</v>
      </c>
      <c r="B2918" s="3">
        <f>HYPERLINK("https://platform.v2.vetology.net/cases/2679522/screening-report/6?type=pdf&amp;v=v6&amp;scorecard=1&amp;secret_key=BX%25IJ%24%2F65ieZ%29f6", 2679522)</f>
        <v>2679522</v>
      </c>
      <c r="C2918" s="3">
        <f>HYPERLINK("https://platform.v2.vetology.net/report/v/final/"&amp;2679522, 2679522)</f>
        <v>2679522</v>
      </c>
      <c r="D2918" s="3" t="s">
        <v>9804</v>
      </c>
      <c r="E2918" s="3" t="s">
        <v>9805</v>
      </c>
      <c r="F2918" s="3" t="s">
        <v>22</v>
      </c>
      <c r="G2918" s="3" t="s">
        <v>100</v>
      </c>
      <c r="H2918" s="3" t="s">
        <v>9806</v>
      </c>
      <c r="I2918" s="3" t="s">
        <v>952</v>
      </c>
      <c r="J2918" s="3" t="s">
        <v>953</v>
      </c>
      <c r="K2918" s="3" t="s">
        <v>28</v>
      </c>
      <c r="L2918" s="3" t="s">
        <v>28</v>
      </c>
      <c r="M2918" s="3" t="s">
        <v>28</v>
      </c>
      <c r="N2918" s="3" t="s">
        <v>28</v>
      </c>
      <c r="O2918" s="3" t="s">
        <v>27</v>
      </c>
      <c r="P2918" s="3" t="s">
        <v>27</v>
      </c>
      <c r="Q2918" s="3" t="s">
        <v>27</v>
      </c>
      <c r="R2918" s="3" t="s">
        <v>28</v>
      </c>
      <c r="S2918" s="3" t="s">
        <v>28</v>
      </c>
      <c r="T2918" s="3" t="s">
        <v>27</v>
      </c>
    </row>
    <row r="2919" spans="1:20" ht="229.5">
      <c r="A2919" s="3">
        <v>2679514</v>
      </c>
      <c r="B2919" s="3">
        <f>HYPERLINK("https://platform.v2.vetology.net/cases/2679514/screening-report/6?type=pdf&amp;v=v6&amp;scorecard=1&amp;secret_key=BX%25IJ%24%2F65ieZ%29f6", 2679514)</f>
        <v>2679514</v>
      </c>
      <c r="C2919" s="3">
        <f>HYPERLINK("https://platform.v2.vetology.net/report/v/final/"&amp;2679514, 2679514)</f>
        <v>2679514</v>
      </c>
      <c r="D2919" s="3" t="s">
        <v>954</v>
      </c>
      <c r="E2919" s="3" t="s">
        <v>9807</v>
      </c>
      <c r="F2919" s="3" t="s">
        <v>1049</v>
      </c>
      <c r="G2919" s="3" t="s">
        <v>100</v>
      </c>
      <c r="H2919" s="3" t="s">
        <v>328</v>
      </c>
      <c r="I2919" s="3"/>
      <c r="J2919" s="3" t="s">
        <v>207</v>
      </c>
      <c r="K2919" s="3" t="s">
        <v>28</v>
      </c>
      <c r="L2919" s="3" t="s">
        <v>28</v>
      </c>
      <c r="M2919" s="3" t="s">
        <v>28</v>
      </c>
      <c r="N2919" s="3" t="s">
        <v>28</v>
      </c>
      <c r="O2919" s="3" t="s">
        <v>27</v>
      </c>
      <c r="P2919" s="3" t="s">
        <v>28</v>
      </c>
      <c r="Q2919" s="3" t="s">
        <v>28</v>
      </c>
      <c r="R2919" s="3" t="s">
        <v>28</v>
      </c>
      <c r="S2919" s="3" t="s">
        <v>28</v>
      </c>
      <c r="T2919" s="3" t="s">
        <v>27</v>
      </c>
    </row>
    <row r="2920" spans="1:20" ht="366">
      <c r="A2920" s="3">
        <v>2679491</v>
      </c>
      <c r="B2920" s="3">
        <f>HYPERLINK("https://platform.v2.vetology.net/cases/2679491/screening-report/6?type=pdf&amp;v=v6&amp;scorecard=1&amp;secret_key=BX%25IJ%24%2F65ieZ%29f6", 2679491)</f>
        <v>2679491</v>
      </c>
      <c r="C2920" s="3">
        <f>HYPERLINK("https://platform.v2.vetology.net/report/v/final/"&amp;2679491, 2679491)</f>
        <v>2679491</v>
      </c>
      <c r="D2920" s="3" t="s">
        <v>9808</v>
      </c>
      <c r="E2920" s="3" t="s">
        <v>9809</v>
      </c>
      <c r="F2920" s="3" t="s">
        <v>22</v>
      </c>
      <c r="G2920" s="3" t="s">
        <v>23</v>
      </c>
      <c r="H2920" s="3" t="s">
        <v>1033</v>
      </c>
      <c r="I2920" s="3" t="s">
        <v>1034</v>
      </c>
      <c r="J2920" s="3" t="s">
        <v>1035</v>
      </c>
      <c r="K2920" s="3" t="s">
        <v>28</v>
      </c>
      <c r="L2920" s="3" t="s">
        <v>28</v>
      </c>
      <c r="M2920" s="3" t="s">
        <v>28</v>
      </c>
      <c r="N2920" s="3" t="s">
        <v>27</v>
      </c>
      <c r="O2920" s="3" t="s">
        <v>28</v>
      </c>
      <c r="P2920" s="3" t="s">
        <v>28</v>
      </c>
      <c r="Q2920" s="3" t="s">
        <v>28</v>
      </c>
      <c r="R2920" s="3" t="s">
        <v>28</v>
      </c>
      <c r="S2920" s="3" t="s">
        <v>28</v>
      </c>
      <c r="T2920" s="3" t="s">
        <v>27</v>
      </c>
    </row>
    <row r="2921" spans="1:20" ht="229.5">
      <c r="A2921" s="3">
        <v>2679432</v>
      </c>
      <c r="B2921" s="3">
        <f>HYPERLINK("https://platform.v2.vetology.net/cases/2679432/screening-report/6?type=pdf&amp;v=v6&amp;scorecard=1&amp;secret_key=BX%25IJ%24%2F65ieZ%29f6", 2679432)</f>
        <v>2679432</v>
      </c>
      <c r="C2921" s="3">
        <f>HYPERLINK("https://platform.v2.vetology.net/report/v/final/"&amp;2679432, 2679432)</f>
        <v>2679432</v>
      </c>
      <c r="D2921" s="3" t="s">
        <v>9810</v>
      </c>
      <c r="E2921" s="3" t="s">
        <v>9811</v>
      </c>
      <c r="F2921" s="3" t="s">
        <v>9812</v>
      </c>
      <c r="G2921" s="3" t="s">
        <v>186</v>
      </c>
      <c r="H2921" s="3" t="s">
        <v>304</v>
      </c>
      <c r="I2921" s="3" t="s">
        <v>305</v>
      </c>
      <c r="J2921" s="3" t="s">
        <v>119</v>
      </c>
      <c r="K2921" s="3" t="s">
        <v>28</v>
      </c>
      <c r="L2921" s="3" t="s">
        <v>28</v>
      </c>
      <c r="M2921" s="3" t="s">
        <v>28</v>
      </c>
      <c r="N2921" s="3" t="s">
        <v>28</v>
      </c>
      <c r="O2921" s="3" t="s">
        <v>28</v>
      </c>
      <c r="P2921" s="3" t="s">
        <v>28</v>
      </c>
      <c r="Q2921" s="3" t="s">
        <v>28</v>
      </c>
      <c r="R2921" s="3" t="s">
        <v>28</v>
      </c>
      <c r="S2921" s="3" t="s">
        <v>28</v>
      </c>
      <c r="T2921" s="3" t="s">
        <v>28</v>
      </c>
    </row>
    <row r="2922" spans="1:20" ht="409.6">
      <c r="A2922" s="3">
        <v>2679387</v>
      </c>
      <c r="B2922" s="3">
        <f>HYPERLINK("https://platform.v2.vetology.net/cases/2679387/screening-report/6?type=pdf&amp;v=v6&amp;scorecard=1&amp;secret_key=BX%25IJ%24%2F65ieZ%29f6", 2679387)</f>
        <v>2679387</v>
      </c>
      <c r="C2922" s="3">
        <f>HYPERLINK("https://platform.v2.vetology.net/report/v/final/"&amp;2679387, 2679387)</f>
        <v>2679387</v>
      </c>
      <c r="D2922" s="3" t="s">
        <v>9813</v>
      </c>
      <c r="E2922" s="3" t="s">
        <v>9814</v>
      </c>
      <c r="F2922" s="3" t="s">
        <v>9815</v>
      </c>
      <c r="G2922" s="3" t="s">
        <v>566</v>
      </c>
      <c r="H2922" s="3" t="s">
        <v>3343</v>
      </c>
      <c r="I2922" s="3" t="s">
        <v>136</v>
      </c>
      <c r="J2922" s="3" t="s">
        <v>137</v>
      </c>
      <c r="K2922" s="3" t="s">
        <v>28</v>
      </c>
      <c r="L2922" s="3" t="s">
        <v>28</v>
      </c>
      <c r="M2922" s="3" t="s">
        <v>28</v>
      </c>
      <c r="N2922" s="3" t="s">
        <v>28</v>
      </c>
      <c r="O2922" s="3" t="s">
        <v>27</v>
      </c>
      <c r="P2922" s="3" t="s">
        <v>28</v>
      </c>
      <c r="Q2922" s="3" t="s">
        <v>28</v>
      </c>
      <c r="R2922" s="3" t="s">
        <v>28</v>
      </c>
      <c r="S2922" s="3" t="s">
        <v>28</v>
      </c>
      <c r="T2922" s="3" t="s">
        <v>27</v>
      </c>
    </row>
    <row r="2923" spans="1:20" ht="381.75">
      <c r="A2923" s="3">
        <v>2679353</v>
      </c>
      <c r="B2923" s="3">
        <f>HYPERLINK("https://platform.v2.vetology.net/cases/2679353/screening-report/6?type=pdf&amp;v=v6&amp;scorecard=1&amp;secret_key=BX%25IJ%24%2F65ieZ%29f6", 2679353)</f>
        <v>2679353</v>
      </c>
      <c r="C2923" s="3">
        <f>HYPERLINK("https://platform.v2.vetology.net/report/v/final/"&amp;2679353, 2679353)</f>
        <v>2679353</v>
      </c>
      <c r="D2923" s="3" t="s">
        <v>9816</v>
      </c>
      <c r="E2923" s="3" t="s">
        <v>9817</v>
      </c>
      <c r="F2923" s="3" t="s">
        <v>22</v>
      </c>
      <c r="G2923" s="3" t="s">
        <v>372</v>
      </c>
      <c r="H2923" s="3" t="s">
        <v>158</v>
      </c>
      <c r="I2923" s="3" t="s">
        <v>32</v>
      </c>
      <c r="J2923" s="3" t="s">
        <v>33</v>
      </c>
      <c r="K2923" s="3" t="s">
        <v>28</v>
      </c>
      <c r="L2923" s="3" t="s">
        <v>27</v>
      </c>
      <c r="M2923" s="3" t="s">
        <v>28</v>
      </c>
      <c r="N2923" s="3" t="s">
        <v>28</v>
      </c>
      <c r="O2923" s="3" t="s">
        <v>27</v>
      </c>
      <c r="P2923" s="3" t="s">
        <v>28</v>
      </c>
      <c r="Q2923" s="3" t="s">
        <v>28</v>
      </c>
      <c r="R2923" s="3" t="s">
        <v>28</v>
      </c>
      <c r="S2923" s="3" t="s">
        <v>28</v>
      </c>
      <c r="T2923" s="3" t="s">
        <v>28</v>
      </c>
    </row>
    <row r="2924" spans="1:20" ht="409.6">
      <c r="A2924" s="3">
        <v>2679280</v>
      </c>
      <c r="B2924" s="3">
        <f>HYPERLINK("https://platform.v2.vetology.net/cases/2679280/screening-report/6?type=pdf&amp;v=v6&amp;scorecard=1&amp;secret_key=BX%25IJ%24%2F65ieZ%29f6", 2679280)</f>
        <v>2679280</v>
      </c>
      <c r="C2924" s="3">
        <f>HYPERLINK("https://platform.v2.vetology.net/report/v/final/"&amp;2679280, 2679280)</f>
        <v>2679280</v>
      </c>
      <c r="D2924" s="3" t="s">
        <v>9818</v>
      </c>
      <c r="E2924" s="3" t="s">
        <v>9819</v>
      </c>
      <c r="F2924" s="3" t="s">
        <v>9820</v>
      </c>
      <c r="G2924" s="3" t="s">
        <v>8582</v>
      </c>
      <c r="H2924" s="3" t="s">
        <v>158</v>
      </c>
      <c r="I2924" s="3" t="s">
        <v>32</v>
      </c>
      <c r="J2924" s="3" t="s">
        <v>119</v>
      </c>
      <c r="K2924" s="3" t="s">
        <v>28</v>
      </c>
      <c r="L2924" s="3" t="s">
        <v>28</v>
      </c>
      <c r="M2924" s="3" t="s">
        <v>28</v>
      </c>
      <c r="N2924" s="3" t="s">
        <v>28</v>
      </c>
      <c r="O2924" s="3" t="s">
        <v>27</v>
      </c>
      <c r="P2924" s="3" t="s">
        <v>28</v>
      </c>
      <c r="Q2924" s="3" t="s">
        <v>28</v>
      </c>
      <c r="R2924" s="3" t="s">
        <v>28</v>
      </c>
      <c r="S2924" s="3" t="s">
        <v>28</v>
      </c>
      <c r="T2924" s="3" t="s">
        <v>28</v>
      </c>
    </row>
    <row r="2925" spans="1:20" ht="336">
      <c r="A2925" s="3">
        <v>2679246</v>
      </c>
      <c r="B2925" s="3">
        <f>HYPERLINK("https://platform.v2.vetology.net/cases/2679246/screening-report/6?type=pdf&amp;v=v6&amp;scorecard=1&amp;secret_key=BX%25IJ%24%2F65ieZ%29f6", 2679246)</f>
        <v>2679246</v>
      </c>
      <c r="C2925" s="3">
        <f>HYPERLINK("https://platform.v2.vetology.net/report/v/final/"&amp;2679246, 2679246)</f>
        <v>2679246</v>
      </c>
      <c r="D2925" s="3" t="s">
        <v>9821</v>
      </c>
      <c r="E2925" s="3" t="s">
        <v>9822</v>
      </c>
      <c r="F2925" s="3" t="s">
        <v>9823</v>
      </c>
      <c r="G2925" s="3" t="s">
        <v>186</v>
      </c>
      <c r="H2925" s="3" t="s">
        <v>9824</v>
      </c>
      <c r="I2925" s="3" t="s">
        <v>42</v>
      </c>
      <c r="J2925" s="3" t="s">
        <v>43</v>
      </c>
      <c r="K2925" s="3" t="s">
        <v>28</v>
      </c>
      <c r="L2925" s="3" t="s">
        <v>27</v>
      </c>
      <c r="M2925" s="3" t="s">
        <v>27</v>
      </c>
      <c r="N2925" s="3" t="s">
        <v>27</v>
      </c>
      <c r="O2925" s="3" t="s">
        <v>27</v>
      </c>
      <c r="P2925" s="3" t="s">
        <v>28</v>
      </c>
      <c r="Q2925" s="3" t="s">
        <v>28</v>
      </c>
      <c r="R2925" s="3" t="s">
        <v>27</v>
      </c>
      <c r="S2925" s="3" t="s">
        <v>27</v>
      </c>
      <c r="T2925" s="3" t="s">
        <v>27</v>
      </c>
    </row>
    <row r="2926" spans="1:20" ht="366">
      <c r="A2926" s="3">
        <v>2679114</v>
      </c>
      <c r="B2926" s="3">
        <f>HYPERLINK("https://platform.v2.vetology.net/cases/2679114/screening-report/6?type=pdf&amp;v=v6&amp;scorecard=1&amp;secret_key=BX%25IJ%24%2F65ieZ%29f6", 2679114)</f>
        <v>2679114</v>
      </c>
      <c r="C2926" s="3">
        <f>HYPERLINK("https://platform.v2.vetology.net/report/v/final/"&amp;2679114, 2679114)</f>
        <v>2679114</v>
      </c>
      <c r="D2926" s="3" t="s">
        <v>9825</v>
      </c>
      <c r="E2926" s="3" t="s">
        <v>9826</v>
      </c>
      <c r="F2926" s="3" t="s">
        <v>9827</v>
      </c>
      <c r="G2926" s="3" t="s">
        <v>57</v>
      </c>
      <c r="H2926" s="3" t="s">
        <v>601</v>
      </c>
      <c r="I2926" s="3" t="s">
        <v>32</v>
      </c>
      <c r="J2926" s="3" t="s">
        <v>119</v>
      </c>
      <c r="K2926" s="3" t="s">
        <v>28</v>
      </c>
      <c r="L2926" s="3" t="s">
        <v>28</v>
      </c>
      <c r="M2926" s="3" t="s">
        <v>28</v>
      </c>
      <c r="N2926" s="3" t="s">
        <v>28</v>
      </c>
      <c r="O2926" s="3" t="s">
        <v>28</v>
      </c>
      <c r="P2926" s="3" t="s">
        <v>28</v>
      </c>
      <c r="Q2926" s="3" t="s">
        <v>28</v>
      </c>
      <c r="R2926" s="3" t="s">
        <v>28</v>
      </c>
      <c r="S2926" s="3" t="s">
        <v>28</v>
      </c>
      <c r="T2926" s="3" t="s">
        <v>27</v>
      </c>
    </row>
    <row r="2927" spans="1:20" ht="229.5">
      <c r="A2927" s="3">
        <v>2679070</v>
      </c>
      <c r="B2927" s="3">
        <f>HYPERLINK("https://platform.v2.vetology.net/cases/2679070/screening-report/6?type=pdf&amp;v=v6&amp;scorecard=1&amp;secret_key=BX%25IJ%24%2F65ieZ%29f6", 2679070)</f>
        <v>2679070</v>
      </c>
      <c r="C2927" s="3">
        <f>HYPERLINK("https://platform.v2.vetology.net/report/v/final/"&amp;2679070, 2679070)</f>
        <v>2679070</v>
      </c>
      <c r="D2927" s="3" t="s">
        <v>9828</v>
      </c>
      <c r="E2927" s="3" t="s">
        <v>9829</v>
      </c>
      <c r="F2927" s="3" t="s">
        <v>9830</v>
      </c>
      <c r="G2927" s="3" t="s">
        <v>100</v>
      </c>
      <c r="H2927" s="3" t="s">
        <v>1259</v>
      </c>
      <c r="I2927" s="3"/>
      <c r="J2927" s="3" t="s">
        <v>207</v>
      </c>
      <c r="K2927" s="3" t="s">
        <v>28</v>
      </c>
      <c r="L2927" s="3" t="s">
        <v>28</v>
      </c>
      <c r="M2927" s="3" t="s">
        <v>28</v>
      </c>
      <c r="N2927" s="3" t="s">
        <v>28</v>
      </c>
      <c r="O2927" s="3" t="s">
        <v>27</v>
      </c>
      <c r="P2927" s="3" t="s">
        <v>28</v>
      </c>
      <c r="Q2927" s="3" t="s">
        <v>28</v>
      </c>
      <c r="R2927" s="3" t="s">
        <v>28</v>
      </c>
      <c r="S2927" s="3" t="s">
        <v>28</v>
      </c>
      <c r="T2927" s="3" t="s">
        <v>28</v>
      </c>
    </row>
    <row r="2928" spans="1:20" ht="409.6">
      <c r="A2928" s="3">
        <v>2679062</v>
      </c>
      <c r="B2928" s="3">
        <f>HYPERLINK("https://platform.v2.vetology.net/cases/2679062/screening-report/6?type=pdf&amp;v=v6&amp;scorecard=1&amp;secret_key=BX%25IJ%24%2F65ieZ%29f6", 2679062)</f>
        <v>2679062</v>
      </c>
      <c r="C2928" s="3">
        <f>HYPERLINK("https://platform.v2.vetology.net/report/v/final/"&amp;2679062, 2679062)</f>
        <v>2679062</v>
      </c>
      <c r="D2928" s="3" t="s">
        <v>9831</v>
      </c>
      <c r="E2928" s="3" t="s">
        <v>9832</v>
      </c>
      <c r="F2928" s="3" t="s">
        <v>9833</v>
      </c>
      <c r="G2928" s="3" t="s">
        <v>57</v>
      </c>
      <c r="H2928" s="3" t="s">
        <v>9834</v>
      </c>
      <c r="I2928" s="3" t="s">
        <v>1688</v>
      </c>
      <c r="J2928" s="3" t="s">
        <v>207</v>
      </c>
      <c r="K2928" s="3" t="s">
        <v>27</v>
      </c>
      <c r="L2928" s="3" t="s">
        <v>27</v>
      </c>
      <c r="M2928" s="3" t="s">
        <v>27</v>
      </c>
      <c r="N2928" s="3" t="s">
        <v>28</v>
      </c>
      <c r="O2928" s="3" t="s">
        <v>27</v>
      </c>
      <c r="P2928" s="3" t="s">
        <v>28</v>
      </c>
      <c r="Q2928" s="3" t="s">
        <v>27</v>
      </c>
      <c r="R2928" s="3" t="s">
        <v>28</v>
      </c>
      <c r="S2928" s="3" t="s">
        <v>28</v>
      </c>
      <c r="T2928" s="3" t="s">
        <v>27</v>
      </c>
    </row>
    <row r="2929" spans="1:20" ht="366">
      <c r="A2929" s="3">
        <v>2679061</v>
      </c>
      <c r="B2929" s="3">
        <f>HYPERLINK("https://platform.v2.vetology.net/cases/2679061/screening-report/6?type=pdf&amp;v=v6&amp;scorecard=1&amp;secret_key=BX%25IJ%24%2F65ieZ%29f6", 2679061)</f>
        <v>2679061</v>
      </c>
      <c r="C2929" s="3">
        <f>HYPERLINK("https://platform.v2.vetology.net/report/v/final/"&amp;2679061, 2679061)</f>
        <v>2679061</v>
      </c>
      <c r="D2929" s="3" t="s">
        <v>9835</v>
      </c>
      <c r="E2929" s="3" t="s">
        <v>7073</v>
      </c>
      <c r="F2929" s="3" t="s">
        <v>56</v>
      </c>
      <c r="G2929" s="3" t="s">
        <v>57</v>
      </c>
      <c r="H2929" s="3" t="s">
        <v>1139</v>
      </c>
      <c r="I2929" s="3" t="s">
        <v>72</v>
      </c>
      <c r="J2929" s="3" t="s">
        <v>207</v>
      </c>
      <c r="K2929" s="3" t="s">
        <v>28</v>
      </c>
      <c r="L2929" s="3" t="s">
        <v>27</v>
      </c>
      <c r="M2929" s="3" t="s">
        <v>27</v>
      </c>
      <c r="N2929" s="3" t="s">
        <v>28</v>
      </c>
      <c r="O2929" s="3" t="s">
        <v>27</v>
      </c>
      <c r="P2929" s="3" t="s">
        <v>28</v>
      </c>
      <c r="Q2929" s="3" t="s">
        <v>27</v>
      </c>
      <c r="R2929" s="3" t="s">
        <v>28</v>
      </c>
      <c r="S2929" s="3" t="s">
        <v>28</v>
      </c>
      <c r="T2929" s="3" t="s">
        <v>28</v>
      </c>
    </row>
    <row r="2930" spans="1:20" ht="381.75">
      <c r="A2930" s="3">
        <v>2679056</v>
      </c>
      <c r="B2930" s="3">
        <f>HYPERLINK("https://platform.v2.vetology.net/cases/2679056/screening-report/6?type=pdf&amp;v=v6&amp;scorecard=1&amp;secret_key=BX%25IJ%24%2F65ieZ%29f6", 2679056)</f>
        <v>2679056</v>
      </c>
      <c r="C2930" s="3">
        <f>HYPERLINK("https://platform.v2.vetology.net/report/v/final/"&amp;2679056, 2679056)</f>
        <v>2679056</v>
      </c>
      <c r="D2930" s="3" t="s">
        <v>9836</v>
      </c>
      <c r="E2930" s="3" t="s">
        <v>9837</v>
      </c>
      <c r="F2930" s="3" t="s">
        <v>22</v>
      </c>
      <c r="G2930" s="3" t="s">
        <v>23</v>
      </c>
      <c r="H2930" s="3" t="s">
        <v>1421</v>
      </c>
      <c r="I2930" s="3" t="s">
        <v>2041</v>
      </c>
      <c r="J2930" s="3" t="s">
        <v>297</v>
      </c>
      <c r="K2930" s="3" t="s">
        <v>27</v>
      </c>
      <c r="L2930" s="3" t="s">
        <v>28</v>
      </c>
      <c r="M2930" s="3" t="s">
        <v>28</v>
      </c>
      <c r="N2930" s="3" t="s">
        <v>28</v>
      </c>
      <c r="O2930" s="3" t="s">
        <v>28</v>
      </c>
      <c r="P2930" s="3" t="s">
        <v>28</v>
      </c>
      <c r="Q2930" s="3" t="s">
        <v>28</v>
      </c>
      <c r="R2930" s="3" t="s">
        <v>28</v>
      </c>
      <c r="S2930" s="3" t="s">
        <v>28</v>
      </c>
      <c r="T2930" s="3" t="s">
        <v>28</v>
      </c>
    </row>
    <row r="2931" spans="1:20" ht="409.6">
      <c r="A2931" s="3">
        <v>2679055</v>
      </c>
      <c r="B2931" s="3">
        <f>HYPERLINK("https://platform.v2.vetology.net/cases/2679055/screening-report/6?type=pdf&amp;v=v6&amp;scorecard=1&amp;secret_key=BX%25IJ%24%2F65ieZ%29f6", 2679055)</f>
        <v>2679055</v>
      </c>
      <c r="C2931" s="3">
        <f>HYPERLINK("https://platform.v2.vetology.net/report/v/final/"&amp;2679055, 2679055)</f>
        <v>2679055</v>
      </c>
      <c r="D2931" s="3" t="s">
        <v>9838</v>
      </c>
      <c r="E2931" s="3" t="s">
        <v>9839</v>
      </c>
      <c r="F2931" s="3" t="s">
        <v>2881</v>
      </c>
      <c r="G2931" s="3" t="s">
        <v>57</v>
      </c>
      <c r="H2931" s="3" t="s">
        <v>158</v>
      </c>
      <c r="I2931" s="3" t="s">
        <v>32</v>
      </c>
      <c r="J2931" s="3" t="s">
        <v>119</v>
      </c>
      <c r="K2931" s="3" t="s">
        <v>27</v>
      </c>
      <c r="L2931" s="3" t="s">
        <v>28</v>
      </c>
      <c r="M2931" s="3" t="s">
        <v>28</v>
      </c>
      <c r="N2931" s="3" t="s">
        <v>28</v>
      </c>
      <c r="O2931" s="3" t="s">
        <v>28</v>
      </c>
      <c r="P2931" s="3" t="s">
        <v>28</v>
      </c>
      <c r="Q2931" s="3" t="s">
        <v>28</v>
      </c>
      <c r="R2931" s="3" t="s">
        <v>28</v>
      </c>
      <c r="S2931" s="3" t="s">
        <v>28</v>
      </c>
      <c r="T2931" s="3" t="s">
        <v>28</v>
      </c>
    </row>
    <row r="2932" spans="1:20" ht="409.6">
      <c r="A2932" s="3">
        <v>2679051</v>
      </c>
      <c r="B2932" s="3">
        <f>HYPERLINK("https://platform.v2.vetology.net/cases/2679051/screening-report/6?type=pdf&amp;v=v6&amp;scorecard=1&amp;secret_key=BX%25IJ%24%2F65ieZ%29f6", 2679051)</f>
        <v>2679051</v>
      </c>
      <c r="C2932" s="3">
        <f>HYPERLINK("https://platform.v2.vetology.net/report/v/final/"&amp;2679051, 2679051)</f>
        <v>2679051</v>
      </c>
      <c r="D2932" s="3" t="s">
        <v>9840</v>
      </c>
      <c r="E2932" s="3" t="s">
        <v>9841</v>
      </c>
      <c r="F2932" s="3" t="s">
        <v>9842</v>
      </c>
      <c r="G2932" s="3" t="s">
        <v>736</v>
      </c>
      <c r="H2932" s="3" t="s">
        <v>9843</v>
      </c>
      <c r="I2932" s="3" t="s">
        <v>9844</v>
      </c>
      <c r="J2932" s="3" t="s">
        <v>713</v>
      </c>
      <c r="K2932" s="3" t="s">
        <v>28</v>
      </c>
      <c r="L2932" s="3" t="s">
        <v>28</v>
      </c>
      <c r="M2932" s="3" t="s">
        <v>28</v>
      </c>
      <c r="N2932" s="3" t="s">
        <v>28</v>
      </c>
      <c r="O2932" s="3" t="s">
        <v>28</v>
      </c>
      <c r="P2932" s="3" t="s">
        <v>27</v>
      </c>
      <c r="Q2932" s="3" t="s">
        <v>28</v>
      </c>
      <c r="R2932" s="3" t="s">
        <v>28</v>
      </c>
      <c r="S2932" s="3" t="s">
        <v>28</v>
      </c>
      <c r="T2932" s="3" t="s">
        <v>28</v>
      </c>
    </row>
    <row r="2933" spans="1:20" ht="351">
      <c r="A2933" s="3">
        <v>2679032</v>
      </c>
      <c r="B2933" s="3">
        <f>HYPERLINK("https://platform.v2.vetology.net/cases/2679032/screening-report/6?type=pdf&amp;v=v6&amp;scorecard=1&amp;secret_key=BX%25IJ%24%2F65ieZ%29f6", 2679032)</f>
        <v>2679032</v>
      </c>
      <c r="C2933" s="3">
        <f>HYPERLINK("https://platform.v2.vetology.net/report/v/final/"&amp;2679032, 2679032)</f>
        <v>2679032</v>
      </c>
      <c r="D2933" s="3" t="s">
        <v>9845</v>
      </c>
      <c r="E2933" s="3" t="s">
        <v>9846</v>
      </c>
      <c r="F2933" s="3" t="s">
        <v>9847</v>
      </c>
      <c r="G2933" s="3" t="s">
        <v>179</v>
      </c>
      <c r="H2933" s="3" t="s">
        <v>328</v>
      </c>
      <c r="I2933" s="3"/>
      <c r="J2933" s="3" t="s">
        <v>207</v>
      </c>
      <c r="K2933" s="3" t="s">
        <v>28</v>
      </c>
      <c r="L2933" s="3" t="s">
        <v>28</v>
      </c>
      <c r="M2933" s="3" t="s">
        <v>28</v>
      </c>
      <c r="N2933" s="3" t="s">
        <v>28</v>
      </c>
      <c r="O2933" s="3" t="s">
        <v>27</v>
      </c>
      <c r="P2933" s="3" t="s">
        <v>28</v>
      </c>
      <c r="Q2933" s="3" t="s">
        <v>28</v>
      </c>
      <c r="R2933" s="3" t="s">
        <v>28</v>
      </c>
      <c r="S2933" s="3" t="s">
        <v>28</v>
      </c>
      <c r="T2933" s="3" t="s">
        <v>27</v>
      </c>
    </row>
    <row r="2934" spans="1:20" ht="409.6">
      <c r="A2934" s="3">
        <v>2679030</v>
      </c>
      <c r="B2934" s="3">
        <f>HYPERLINK("https://platform.v2.vetology.net/cases/2679030/screening-report/6?type=pdf&amp;v=v6&amp;scorecard=1&amp;secret_key=BX%25IJ%24%2F65ieZ%29f6", 2679030)</f>
        <v>2679030</v>
      </c>
      <c r="C2934" s="3">
        <f>HYPERLINK("https://platform.v2.vetology.net/report/v/final/"&amp;2679030, 2679030)</f>
        <v>2679030</v>
      </c>
      <c r="D2934" s="3" t="s">
        <v>9848</v>
      </c>
      <c r="E2934" s="3" t="s">
        <v>9849</v>
      </c>
      <c r="F2934" s="3" t="s">
        <v>9850</v>
      </c>
      <c r="G2934" s="3" t="s">
        <v>566</v>
      </c>
      <c r="H2934" s="3" t="s">
        <v>2528</v>
      </c>
      <c r="I2934" s="3" t="s">
        <v>324</v>
      </c>
      <c r="J2934" s="3" t="s">
        <v>325</v>
      </c>
      <c r="K2934" s="3" t="s">
        <v>27</v>
      </c>
      <c r="L2934" s="3" t="s">
        <v>27</v>
      </c>
      <c r="M2934" s="3" t="s">
        <v>27</v>
      </c>
      <c r="N2934" s="3" t="s">
        <v>28</v>
      </c>
      <c r="O2934" s="3" t="s">
        <v>27</v>
      </c>
      <c r="P2934" s="3" t="s">
        <v>28</v>
      </c>
      <c r="Q2934" s="3" t="s">
        <v>28</v>
      </c>
      <c r="R2934" s="3" t="s">
        <v>28</v>
      </c>
      <c r="S2934" s="3" t="s">
        <v>28</v>
      </c>
      <c r="T2934" s="3" t="s">
        <v>28</v>
      </c>
    </row>
    <row r="2935" spans="1:20" ht="409.6">
      <c r="A2935" s="3">
        <v>2679013</v>
      </c>
      <c r="B2935" s="3">
        <f>HYPERLINK("https://platform.v2.vetology.net/cases/2679013/screening-report/6?type=pdf&amp;v=v6&amp;scorecard=1&amp;secret_key=BX%25IJ%24%2F65ieZ%29f6", 2679013)</f>
        <v>2679013</v>
      </c>
      <c r="C2935" s="3">
        <f>HYPERLINK("https://platform.v2.vetology.net/report/v/final/"&amp;2679013, 2679013)</f>
        <v>2679013</v>
      </c>
      <c r="D2935" s="3" t="s">
        <v>9851</v>
      </c>
      <c r="E2935" s="3" t="s">
        <v>9852</v>
      </c>
      <c r="F2935" s="3" t="s">
        <v>9853</v>
      </c>
      <c r="G2935" s="3" t="s">
        <v>566</v>
      </c>
      <c r="H2935" s="3" t="s">
        <v>1478</v>
      </c>
      <c r="I2935" s="3" t="s">
        <v>279</v>
      </c>
      <c r="J2935" s="3" t="s">
        <v>280</v>
      </c>
      <c r="K2935" s="3" t="s">
        <v>28</v>
      </c>
      <c r="L2935" s="3" t="s">
        <v>28</v>
      </c>
      <c r="M2935" s="3" t="s">
        <v>28</v>
      </c>
      <c r="N2935" s="3" t="s">
        <v>28</v>
      </c>
      <c r="O2935" s="3" t="s">
        <v>27</v>
      </c>
      <c r="P2935" s="3" t="s">
        <v>28</v>
      </c>
      <c r="Q2935" s="3" t="s">
        <v>28</v>
      </c>
      <c r="R2935" s="3" t="s">
        <v>28</v>
      </c>
      <c r="S2935" s="3" t="s">
        <v>28</v>
      </c>
      <c r="T2935" s="3" t="s">
        <v>27</v>
      </c>
    </row>
    <row r="2936" spans="1:20" ht="409.6">
      <c r="A2936" s="3">
        <v>2678999</v>
      </c>
      <c r="B2936" s="3">
        <f>HYPERLINK("https://platform.v2.vetology.net/cases/2678999/screening-report/6?type=pdf&amp;v=v6&amp;scorecard=1&amp;secret_key=BX%25IJ%24%2F65ieZ%29f6", 2678999)</f>
        <v>2678999</v>
      </c>
      <c r="C2936" s="3">
        <f>HYPERLINK("https://platform.v2.vetology.net/report/v/final/"&amp;2678999, 2678999)</f>
        <v>2678999</v>
      </c>
      <c r="D2936" s="3" t="s">
        <v>9854</v>
      </c>
      <c r="E2936" s="3" t="s">
        <v>9855</v>
      </c>
      <c r="F2936" s="3" t="s">
        <v>9856</v>
      </c>
      <c r="G2936" s="3" t="s">
        <v>186</v>
      </c>
      <c r="H2936" s="3" t="s">
        <v>519</v>
      </c>
      <c r="I2936" s="3" t="s">
        <v>520</v>
      </c>
      <c r="J2936" s="3" t="s">
        <v>335</v>
      </c>
      <c r="K2936" s="3" t="s">
        <v>28</v>
      </c>
      <c r="L2936" s="3" t="s">
        <v>28</v>
      </c>
      <c r="M2936" s="3" t="s">
        <v>28</v>
      </c>
      <c r="N2936" s="3" t="s">
        <v>28</v>
      </c>
      <c r="O2936" s="3" t="s">
        <v>27</v>
      </c>
      <c r="P2936" s="3" t="s">
        <v>28</v>
      </c>
      <c r="Q2936" s="3" t="s">
        <v>28</v>
      </c>
      <c r="R2936" s="3" t="s">
        <v>28</v>
      </c>
      <c r="S2936" s="3" t="s">
        <v>28</v>
      </c>
      <c r="T2936" s="3" t="s">
        <v>28</v>
      </c>
    </row>
    <row r="2937" spans="1:20" ht="396.75">
      <c r="A2937" s="3">
        <v>2678982</v>
      </c>
      <c r="B2937" s="3">
        <f>HYPERLINK("https://platform.v2.vetology.net/cases/2678982/screening-report/6?type=pdf&amp;v=v6&amp;scorecard=1&amp;secret_key=BX%25IJ%24%2F65ieZ%29f6", 2678982)</f>
        <v>2678982</v>
      </c>
      <c r="C2937" s="3">
        <f>HYPERLINK("https://platform.v2.vetology.net/report/v/final/"&amp;2678982, 2678982)</f>
        <v>2678982</v>
      </c>
      <c r="D2937" s="3" t="s">
        <v>9857</v>
      </c>
      <c r="E2937" s="3" t="s">
        <v>9858</v>
      </c>
      <c r="F2937" s="3" t="s">
        <v>9859</v>
      </c>
      <c r="G2937" s="3" t="s">
        <v>496</v>
      </c>
      <c r="H2937" s="3" t="s">
        <v>4576</v>
      </c>
      <c r="I2937" s="3" t="s">
        <v>469</v>
      </c>
      <c r="J2937" s="3" t="s">
        <v>470</v>
      </c>
      <c r="K2937" s="3" t="s">
        <v>28</v>
      </c>
      <c r="L2937" s="3" t="s">
        <v>28</v>
      </c>
      <c r="M2937" s="3" t="s">
        <v>28</v>
      </c>
      <c r="N2937" s="3" t="s">
        <v>28</v>
      </c>
      <c r="O2937" s="3" t="s">
        <v>27</v>
      </c>
      <c r="P2937" s="3" t="s">
        <v>28</v>
      </c>
      <c r="Q2937" s="3" t="s">
        <v>28</v>
      </c>
      <c r="R2937" s="3" t="s">
        <v>28</v>
      </c>
      <c r="S2937" s="3" t="s">
        <v>28</v>
      </c>
      <c r="T2937" s="3" t="s">
        <v>28</v>
      </c>
    </row>
    <row r="2938" spans="1:20" ht="351">
      <c r="A2938" s="3">
        <v>2678964</v>
      </c>
      <c r="B2938" s="3">
        <f>HYPERLINK("https://platform.v2.vetology.net/cases/2678964/screening-report/6?type=pdf&amp;v=v6&amp;scorecard=1&amp;secret_key=BX%25IJ%24%2F65ieZ%29f6", 2678964)</f>
        <v>2678964</v>
      </c>
      <c r="C2938" s="3">
        <f>HYPERLINK("https://platform.v2.vetology.net/report/v/final/"&amp;2678964, 2678964)</f>
        <v>2678964</v>
      </c>
      <c r="D2938" s="3" t="s">
        <v>9860</v>
      </c>
      <c r="E2938" s="3" t="s">
        <v>9861</v>
      </c>
      <c r="F2938" s="3" t="s">
        <v>56</v>
      </c>
      <c r="G2938" s="3" t="s">
        <v>57</v>
      </c>
      <c r="H2938" s="3" t="s">
        <v>4184</v>
      </c>
      <c r="I2938" s="3" t="s">
        <v>136</v>
      </c>
      <c r="J2938" s="3" t="s">
        <v>424</v>
      </c>
      <c r="K2938" s="3" t="s">
        <v>28</v>
      </c>
      <c r="L2938" s="3" t="s">
        <v>28</v>
      </c>
      <c r="M2938" s="3" t="s">
        <v>28</v>
      </c>
      <c r="N2938" s="3" t="s">
        <v>28</v>
      </c>
      <c r="O2938" s="3" t="s">
        <v>27</v>
      </c>
      <c r="P2938" s="3" t="s">
        <v>28</v>
      </c>
      <c r="Q2938" s="3" t="s">
        <v>28</v>
      </c>
      <c r="R2938" s="3" t="s">
        <v>28</v>
      </c>
      <c r="S2938" s="3" t="s">
        <v>28</v>
      </c>
      <c r="T2938" s="3" t="s">
        <v>27</v>
      </c>
    </row>
    <row r="2939" spans="1:20" ht="336">
      <c r="A2939" s="3">
        <v>2678960</v>
      </c>
      <c r="B2939" s="3">
        <f>HYPERLINK("https://platform.v2.vetology.net/cases/2678960/screening-report/6?type=pdf&amp;v=v6&amp;scorecard=1&amp;secret_key=BX%25IJ%24%2F65ieZ%29f6", 2678960)</f>
        <v>2678960</v>
      </c>
      <c r="C2939" s="3">
        <f>HYPERLINK("https://platform.v2.vetology.net/report/v/final/"&amp;2678960, 2678960)</f>
        <v>2678960</v>
      </c>
      <c r="D2939" s="3" t="s">
        <v>9862</v>
      </c>
      <c r="E2939" s="3" t="s">
        <v>9863</v>
      </c>
      <c r="F2939" s="3" t="s">
        <v>3245</v>
      </c>
      <c r="G2939" s="3" t="s">
        <v>57</v>
      </c>
      <c r="H2939" s="3" t="s">
        <v>9864</v>
      </c>
      <c r="I2939" s="3" t="s">
        <v>9006</v>
      </c>
      <c r="J2939" s="3" t="s">
        <v>9007</v>
      </c>
      <c r="K2939" s="3" t="s">
        <v>28</v>
      </c>
      <c r="L2939" s="3" t="s">
        <v>28</v>
      </c>
      <c r="M2939" s="3" t="s">
        <v>28</v>
      </c>
      <c r="N2939" s="3" t="s">
        <v>28</v>
      </c>
      <c r="O2939" s="3" t="s">
        <v>28</v>
      </c>
      <c r="P2939" s="3" t="s">
        <v>28</v>
      </c>
      <c r="Q2939" s="3" t="s">
        <v>28</v>
      </c>
      <c r="R2939" s="3" t="s">
        <v>28</v>
      </c>
      <c r="S2939" s="3" t="s">
        <v>28</v>
      </c>
      <c r="T2939" s="3" t="s">
        <v>27</v>
      </c>
    </row>
    <row r="2940" spans="1:20" ht="381.75">
      <c r="A2940" s="3">
        <v>2678958</v>
      </c>
      <c r="B2940" s="3">
        <f>HYPERLINK("https://platform.v2.vetology.net/cases/2678958/screening-report/6?type=pdf&amp;v=v6&amp;scorecard=1&amp;secret_key=BX%25IJ%24%2F65ieZ%29f6", 2678958)</f>
        <v>2678958</v>
      </c>
      <c r="C2940" s="3">
        <f>HYPERLINK("https://platform.v2.vetology.net/report/v/final/"&amp;2678958, 2678958)</f>
        <v>2678958</v>
      </c>
      <c r="D2940" s="3" t="s">
        <v>9865</v>
      </c>
      <c r="E2940" s="3" t="s">
        <v>9866</v>
      </c>
      <c r="F2940" s="3" t="s">
        <v>277</v>
      </c>
      <c r="G2940" s="3" t="s">
        <v>186</v>
      </c>
      <c r="H2940" s="3" t="s">
        <v>8846</v>
      </c>
      <c r="I2940" s="3" t="s">
        <v>37</v>
      </c>
      <c r="J2940" s="3" t="s">
        <v>38</v>
      </c>
      <c r="K2940" s="3" t="s">
        <v>28</v>
      </c>
      <c r="L2940" s="3" t="s">
        <v>28</v>
      </c>
      <c r="M2940" s="3" t="s">
        <v>28</v>
      </c>
      <c r="N2940" s="3" t="s">
        <v>28</v>
      </c>
      <c r="O2940" s="3" t="s">
        <v>27</v>
      </c>
      <c r="P2940" s="3" t="s">
        <v>28</v>
      </c>
      <c r="Q2940" s="3" t="s">
        <v>28</v>
      </c>
      <c r="R2940" s="3" t="s">
        <v>28</v>
      </c>
      <c r="S2940" s="3" t="s">
        <v>28</v>
      </c>
      <c r="T2940" s="3" t="s">
        <v>28</v>
      </c>
    </row>
    <row r="2941" spans="1:20" ht="305.25">
      <c r="A2941" s="3">
        <v>2678957</v>
      </c>
      <c r="B2941" s="3">
        <f>HYPERLINK("https://platform.v2.vetology.net/cases/2678957/screening-report/6?type=pdf&amp;v=v6&amp;scorecard=1&amp;secret_key=BX%25IJ%24%2F65ieZ%29f6", 2678957)</f>
        <v>2678957</v>
      </c>
      <c r="C2941" s="3">
        <f>HYPERLINK("https://platform.v2.vetology.net/report/v/final/"&amp;2678957, 2678957)</f>
        <v>2678957</v>
      </c>
      <c r="D2941" s="3" t="s">
        <v>9867</v>
      </c>
      <c r="E2941" s="3" t="s">
        <v>9868</v>
      </c>
      <c r="F2941" s="3" t="s">
        <v>9869</v>
      </c>
      <c r="G2941" s="3" t="s">
        <v>186</v>
      </c>
      <c r="H2941" s="3" t="s">
        <v>2331</v>
      </c>
      <c r="I2941" s="3" t="s">
        <v>305</v>
      </c>
      <c r="J2941" s="3" t="s">
        <v>799</v>
      </c>
      <c r="K2941" s="3" t="s">
        <v>28</v>
      </c>
      <c r="L2941" s="3" t="s">
        <v>28</v>
      </c>
      <c r="M2941" s="3" t="s">
        <v>28</v>
      </c>
      <c r="N2941" s="3" t="s">
        <v>28</v>
      </c>
      <c r="O2941" s="3" t="s">
        <v>27</v>
      </c>
      <c r="P2941" s="3" t="s">
        <v>28</v>
      </c>
      <c r="Q2941" s="3" t="s">
        <v>28</v>
      </c>
      <c r="R2941" s="3" t="s">
        <v>28</v>
      </c>
      <c r="S2941" s="3" t="s">
        <v>27</v>
      </c>
      <c r="T2941" s="3" t="s">
        <v>28</v>
      </c>
    </row>
    <row r="2942" spans="1:20" ht="366">
      <c r="A2942" s="3">
        <v>2678860</v>
      </c>
      <c r="B2942" s="3">
        <f>HYPERLINK("https://platform.v2.vetology.net/cases/2678860/screening-report/6?type=pdf&amp;v=v6&amp;scorecard=1&amp;secret_key=BX%25IJ%24%2F65ieZ%29f6", 2678860)</f>
        <v>2678860</v>
      </c>
      <c r="C2942" s="3">
        <f>HYPERLINK("https://platform.v2.vetology.net/report/v/final/"&amp;2678860, 2678860)</f>
        <v>2678860</v>
      </c>
      <c r="D2942" s="3" t="s">
        <v>9870</v>
      </c>
      <c r="E2942" s="3" t="s">
        <v>9871</v>
      </c>
      <c r="F2942" s="3" t="s">
        <v>3245</v>
      </c>
      <c r="G2942" s="3" t="s">
        <v>57</v>
      </c>
      <c r="H2942" s="3" t="s">
        <v>2523</v>
      </c>
      <c r="I2942" s="3" t="s">
        <v>2524</v>
      </c>
      <c r="J2942" s="3" t="s">
        <v>1374</v>
      </c>
      <c r="K2942" s="3" t="s">
        <v>27</v>
      </c>
      <c r="L2942" s="3" t="s">
        <v>27</v>
      </c>
      <c r="M2942" s="3" t="s">
        <v>27</v>
      </c>
      <c r="N2942" s="3" t="s">
        <v>27</v>
      </c>
      <c r="O2942" s="3" t="s">
        <v>27</v>
      </c>
      <c r="P2942" s="3" t="s">
        <v>28</v>
      </c>
      <c r="Q2942" s="3" t="s">
        <v>27</v>
      </c>
      <c r="R2942" s="3" t="s">
        <v>27</v>
      </c>
      <c r="S2942" s="3" t="s">
        <v>27</v>
      </c>
      <c r="T2942" s="3" t="s">
        <v>27</v>
      </c>
    </row>
    <row r="2943" spans="1:20" ht="409.6">
      <c r="A2943" s="3">
        <v>2678855</v>
      </c>
      <c r="B2943" s="3">
        <f>HYPERLINK("https://platform.v2.vetology.net/cases/2678855/screening-report/6?type=pdf&amp;v=v6&amp;scorecard=1&amp;secret_key=BX%25IJ%24%2F65ieZ%29f6", 2678855)</f>
        <v>2678855</v>
      </c>
      <c r="C2943" s="3">
        <f>HYPERLINK("https://platform.v2.vetology.net/report/v/final/"&amp;2678855, 2678855)</f>
        <v>2678855</v>
      </c>
      <c r="D2943" s="3" t="s">
        <v>9872</v>
      </c>
      <c r="E2943" s="3" t="s">
        <v>9873</v>
      </c>
      <c r="F2943" s="3" t="s">
        <v>9874</v>
      </c>
      <c r="G2943" s="3" t="s">
        <v>186</v>
      </c>
      <c r="H2943" s="3" t="s">
        <v>146</v>
      </c>
      <c r="I2943" s="3" t="s">
        <v>147</v>
      </c>
      <c r="J2943" s="3" t="s">
        <v>148</v>
      </c>
      <c r="K2943" s="3" t="s">
        <v>27</v>
      </c>
      <c r="L2943" s="3" t="s">
        <v>28</v>
      </c>
      <c r="M2943" s="3" t="s">
        <v>28</v>
      </c>
      <c r="N2943" s="3" t="s">
        <v>28</v>
      </c>
      <c r="O2943" s="3" t="s">
        <v>27</v>
      </c>
      <c r="P2943" s="3" t="s">
        <v>27</v>
      </c>
      <c r="Q2943" s="3" t="s">
        <v>28</v>
      </c>
      <c r="R2943" s="3" t="s">
        <v>28</v>
      </c>
      <c r="S2943" s="3" t="s">
        <v>28</v>
      </c>
      <c r="T2943" s="3" t="s">
        <v>28</v>
      </c>
    </row>
    <row r="2944" spans="1:20" ht="409.6">
      <c r="A2944" s="3">
        <v>2678831</v>
      </c>
      <c r="B2944" s="3">
        <f>HYPERLINK("https://platform.v2.vetology.net/cases/2678831/screening-report/6?type=pdf&amp;v=v6&amp;scorecard=1&amp;secret_key=BX%25IJ%24%2F65ieZ%29f6", 2678831)</f>
        <v>2678831</v>
      </c>
      <c r="C2944" s="3">
        <f>HYPERLINK("https://platform.v2.vetology.net/report/v/final/"&amp;2678831, 2678831)</f>
        <v>2678831</v>
      </c>
      <c r="D2944" s="3" t="s">
        <v>9875</v>
      </c>
      <c r="E2944" s="3" t="s">
        <v>9876</v>
      </c>
      <c r="F2944" s="3" t="s">
        <v>9877</v>
      </c>
      <c r="G2944" s="3" t="s">
        <v>100</v>
      </c>
      <c r="H2944" s="3" t="s">
        <v>9878</v>
      </c>
      <c r="I2944" s="3" t="s">
        <v>1978</v>
      </c>
      <c r="J2944" s="3" t="s">
        <v>1979</v>
      </c>
      <c r="K2944" s="3" t="s">
        <v>28</v>
      </c>
      <c r="L2944" s="3" t="s">
        <v>28</v>
      </c>
      <c r="M2944" s="3" t="s">
        <v>28</v>
      </c>
      <c r="N2944" s="3" t="s">
        <v>27</v>
      </c>
      <c r="O2944" s="3" t="s">
        <v>28</v>
      </c>
      <c r="P2944" s="3" t="s">
        <v>28</v>
      </c>
      <c r="Q2944" s="3" t="s">
        <v>28</v>
      </c>
      <c r="R2944" s="3" t="s">
        <v>28</v>
      </c>
      <c r="S2944" s="3" t="s">
        <v>28</v>
      </c>
      <c r="T2944" s="3" t="s">
        <v>27</v>
      </c>
    </row>
    <row r="2945" spans="1:20" ht="409.6">
      <c r="A2945" s="3">
        <v>2678828</v>
      </c>
      <c r="B2945" s="3">
        <f>HYPERLINK("https://platform.v2.vetology.net/cases/2678828/screening-report/6?type=pdf&amp;v=v6&amp;scorecard=1&amp;secret_key=BX%25IJ%24%2F65ieZ%29f6", 2678828)</f>
        <v>2678828</v>
      </c>
      <c r="C2945" s="3">
        <f>HYPERLINK("https://platform.v2.vetology.net/report/v/final/"&amp;2678828, 2678828)</f>
        <v>2678828</v>
      </c>
      <c r="D2945" s="3" t="s">
        <v>9879</v>
      </c>
      <c r="E2945" s="3" t="s">
        <v>9880</v>
      </c>
      <c r="F2945" s="3" t="s">
        <v>9881</v>
      </c>
      <c r="G2945" s="3" t="s">
        <v>1772</v>
      </c>
      <c r="H2945" s="3" t="s">
        <v>304</v>
      </c>
      <c r="I2945" s="3" t="s">
        <v>305</v>
      </c>
      <c r="J2945" s="3" t="s">
        <v>119</v>
      </c>
      <c r="K2945" s="3" t="s">
        <v>28</v>
      </c>
      <c r="L2945" s="3" t="s">
        <v>28</v>
      </c>
      <c r="M2945" s="3" t="s">
        <v>28</v>
      </c>
      <c r="N2945" s="3" t="s">
        <v>28</v>
      </c>
      <c r="O2945" s="3" t="s">
        <v>28</v>
      </c>
      <c r="P2945" s="3" t="s">
        <v>28</v>
      </c>
      <c r="Q2945" s="3" t="s">
        <v>28</v>
      </c>
      <c r="R2945" s="3" t="s">
        <v>28</v>
      </c>
      <c r="S2945" s="3" t="s">
        <v>28</v>
      </c>
      <c r="T2945" s="3" t="s">
        <v>28</v>
      </c>
    </row>
    <row r="2946" spans="1:20" ht="366">
      <c r="A2946" s="3">
        <v>2678821</v>
      </c>
      <c r="B2946" s="3">
        <f>HYPERLINK("https://platform.v2.vetology.net/cases/2678821/screening-report/6?type=pdf&amp;v=v6&amp;scorecard=1&amp;secret_key=BX%25IJ%24%2F65ieZ%29f6", 2678821)</f>
        <v>2678821</v>
      </c>
      <c r="C2946" s="3">
        <f>HYPERLINK("https://platform.v2.vetology.net/report/v/final/"&amp;2678821, 2678821)</f>
        <v>2678821</v>
      </c>
      <c r="D2946" s="3" t="s">
        <v>9882</v>
      </c>
      <c r="E2946" s="3" t="s">
        <v>9883</v>
      </c>
      <c r="F2946" s="3" t="s">
        <v>9884</v>
      </c>
      <c r="G2946" s="3" t="s">
        <v>1772</v>
      </c>
      <c r="H2946" s="3" t="s">
        <v>1920</v>
      </c>
      <c r="I2946" s="3" t="s">
        <v>883</v>
      </c>
      <c r="J2946" s="3" t="s">
        <v>884</v>
      </c>
      <c r="K2946" s="3" t="s">
        <v>28</v>
      </c>
      <c r="L2946" s="3" t="s">
        <v>28</v>
      </c>
      <c r="M2946" s="3" t="s">
        <v>28</v>
      </c>
      <c r="N2946" s="3" t="s">
        <v>28</v>
      </c>
      <c r="O2946" s="3" t="s">
        <v>28</v>
      </c>
      <c r="P2946" s="3" t="s">
        <v>28</v>
      </c>
      <c r="Q2946" s="3" t="s">
        <v>28</v>
      </c>
      <c r="R2946" s="3" t="s">
        <v>28</v>
      </c>
      <c r="S2946" s="3" t="s">
        <v>28</v>
      </c>
      <c r="T2946" s="3" t="s">
        <v>28</v>
      </c>
    </row>
    <row r="2947" spans="1:20" ht="409.6">
      <c r="A2947" s="3">
        <v>2678795</v>
      </c>
      <c r="B2947" s="3">
        <f>HYPERLINK("https://platform.v2.vetology.net/cases/2678795/screening-report/6?type=pdf&amp;v=v6&amp;scorecard=1&amp;secret_key=BX%25IJ%24%2F65ieZ%29f6", 2678795)</f>
        <v>2678795</v>
      </c>
      <c r="C2947" s="3">
        <f>HYPERLINK("https://platform.v2.vetology.net/report/v/final/"&amp;2678795, 2678795)</f>
        <v>2678795</v>
      </c>
      <c r="D2947" s="3" t="s">
        <v>9885</v>
      </c>
      <c r="E2947" s="3" t="s">
        <v>9886</v>
      </c>
      <c r="F2947" s="3" t="s">
        <v>9887</v>
      </c>
      <c r="G2947" s="3" t="s">
        <v>186</v>
      </c>
      <c r="H2947" s="3" t="s">
        <v>9888</v>
      </c>
      <c r="I2947" s="3" t="s">
        <v>2771</v>
      </c>
      <c r="J2947" s="3" t="s">
        <v>2772</v>
      </c>
      <c r="K2947" s="3" t="s">
        <v>28</v>
      </c>
      <c r="L2947" s="3" t="s">
        <v>28</v>
      </c>
      <c r="M2947" s="3" t="s">
        <v>28</v>
      </c>
      <c r="N2947" s="3" t="s">
        <v>27</v>
      </c>
      <c r="O2947" s="3" t="s">
        <v>27</v>
      </c>
      <c r="P2947" s="3" t="s">
        <v>28</v>
      </c>
      <c r="Q2947" s="3" t="s">
        <v>28</v>
      </c>
      <c r="R2947" s="3" t="s">
        <v>27</v>
      </c>
      <c r="S2947" s="3" t="s">
        <v>27</v>
      </c>
      <c r="T2947" s="3" t="s">
        <v>27</v>
      </c>
    </row>
    <row r="2948" spans="1:20" ht="409.6">
      <c r="A2948" s="3">
        <v>2678764</v>
      </c>
      <c r="B2948" s="3">
        <f>HYPERLINK("https://platform.v2.vetology.net/cases/2678764/screening-report/6?type=pdf&amp;v=v6&amp;scorecard=1&amp;secret_key=BX%25IJ%24%2F65ieZ%29f6", 2678764)</f>
        <v>2678764</v>
      </c>
      <c r="C2948" s="3">
        <f>HYPERLINK("https://platform.v2.vetology.net/report/v/final/"&amp;2678764, 2678764)</f>
        <v>2678764</v>
      </c>
      <c r="D2948" s="3" t="s">
        <v>9889</v>
      </c>
      <c r="E2948" s="3" t="s">
        <v>9890</v>
      </c>
      <c r="F2948" s="3" t="s">
        <v>9891</v>
      </c>
      <c r="G2948" s="3" t="s">
        <v>179</v>
      </c>
      <c r="H2948" s="3" t="s">
        <v>9892</v>
      </c>
      <c r="I2948" s="3" t="s">
        <v>1798</v>
      </c>
      <c r="J2948" s="3" t="s">
        <v>1799</v>
      </c>
      <c r="K2948" s="3" t="s">
        <v>27</v>
      </c>
      <c r="L2948" s="3" t="s">
        <v>28</v>
      </c>
      <c r="M2948" s="3" t="s">
        <v>27</v>
      </c>
      <c r="N2948" s="3" t="s">
        <v>28</v>
      </c>
      <c r="O2948" s="3" t="s">
        <v>27</v>
      </c>
      <c r="P2948" s="3" t="s">
        <v>27</v>
      </c>
      <c r="Q2948" s="3" t="s">
        <v>27</v>
      </c>
      <c r="R2948" s="3" t="s">
        <v>28</v>
      </c>
      <c r="S2948" s="3" t="s">
        <v>27</v>
      </c>
      <c r="T2948" s="3" t="s">
        <v>27</v>
      </c>
    </row>
    <row r="2949" spans="1:20" ht="409.6">
      <c r="A2949" s="3">
        <v>2678709</v>
      </c>
      <c r="B2949" s="3">
        <f>HYPERLINK("https://platform.v2.vetology.net/cases/2678709/screening-report/6?type=pdf&amp;v=v6&amp;scorecard=1&amp;secret_key=BX%25IJ%24%2F65ieZ%29f6", 2678709)</f>
        <v>2678709</v>
      </c>
      <c r="C2949" s="3">
        <f>HYPERLINK("https://platform.v2.vetology.net/report/v/final/"&amp;2678709, 2678709)</f>
        <v>2678709</v>
      </c>
      <c r="D2949" s="3" t="s">
        <v>9893</v>
      </c>
      <c r="E2949" s="3" t="s">
        <v>9894</v>
      </c>
      <c r="F2949" s="3" t="s">
        <v>9895</v>
      </c>
      <c r="G2949" s="3" t="s">
        <v>1772</v>
      </c>
      <c r="H2949" s="3" t="s">
        <v>9896</v>
      </c>
      <c r="I2949" s="3" t="s">
        <v>1916</v>
      </c>
      <c r="J2949" s="3" t="s">
        <v>1917</v>
      </c>
      <c r="K2949" s="3" t="s">
        <v>28</v>
      </c>
      <c r="L2949" s="3" t="s">
        <v>28</v>
      </c>
      <c r="M2949" s="3" t="s">
        <v>28</v>
      </c>
      <c r="N2949" s="3" t="s">
        <v>28</v>
      </c>
      <c r="O2949" s="3" t="s">
        <v>27</v>
      </c>
      <c r="P2949" s="3" t="s">
        <v>28</v>
      </c>
      <c r="Q2949" s="3" t="s">
        <v>28</v>
      </c>
      <c r="R2949" s="3" t="s">
        <v>28</v>
      </c>
      <c r="S2949" s="3" t="s">
        <v>27</v>
      </c>
      <c r="T2949" s="3" t="s">
        <v>27</v>
      </c>
    </row>
    <row r="2950" spans="1:20" ht="321">
      <c r="A2950" s="3">
        <v>2678653</v>
      </c>
      <c r="B2950" s="3">
        <f>HYPERLINK("https://platform.v2.vetology.net/cases/2678653/screening-report/6?type=pdf&amp;v=v6&amp;scorecard=1&amp;secret_key=BX%25IJ%24%2F65ieZ%29f6", 2678653)</f>
        <v>2678653</v>
      </c>
      <c r="C2950" s="3">
        <f>HYPERLINK("https://platform.v2.vetology.net/report/v/final/"&amp;2678653, 2678653)</f>
        <v>2678653</v>
      </c>
      <c r="D2950" s="3" t="s">
        <v>9897</v>
      </c>
      <c r="E2950" s="3" t="s">
        <v>9898</v>
      </c>
      <c r="F2950" s="3" t="s">
        <v>9899</v>
      </c>
      <c r="G2950" s="3" t="s">
        <v>179</v>
      </c>
      <c r="H2950" s="3" t="s">
        <v>2523</v>
      </c>
      <c r="I2950" s="3" t="s">
        <v>2524</v>
      </c>
      <c r="J2950" s="3" t="s">
        <v>1374</v>
      </c>
      <c r="K2950" s="3" t="s">
        <v>27</v>
      </c>
      <c r="L2950" s="3" t="s">
        <v>27</v>
      </c>
      <c r="M2950" s="3" t="s">
        <v>27</v>
      </c>
      <c r="N2950" s="3" t="s">
        <v>27</v>
      </c>
      <c r="O2950" s="3" t="s">
        <v>27</v>
      </c>
      <c r="P2950" s="3" t="s">
        <v>28</v>
      </c>
      <c r="Q2950" s="3" t="s">
        <v>27</v>
      </c>
      <c r="R2950" s="3" t="s">
        <v>27</v>
      </c>
      <c r="S2950" s="3" t="s">
        <v>27</v>
      </c>
      <c r="T2950" s="3" t="s">
        <v>27</v>
      </c>
    </row>
    <row r="2951" spans="1:20" ht="409.6">
      <c r="A2951" s="3">
        <v>2678651</v>
      </c>
      <c r="B2951" s="3">
        <f>HYPERLINK("https://platform.v2.vetology.net/cases/2678651/screening-report/6?type=pdf&amp;v=v6&amp;scorecard=1&amp;secret_key=BX%25IJ%24%2F65ieZ%29f6", 2678651)</f>
        <v>2678651</v>
      </c>
      <c r="C2951" s="3">
        <f>HYPERLINK("https://platform.v2.vetology.net/report/v/final/"&amp;2678651, 2678651)</f>
        <v>2678651</v>
      </c>
      <c r="D2951" s="3" t="s">
        <v>9900</v>
      </c>
      <c r="E2951" s="3" t="s">
        <v>9901</v>
      </c>
      <c r="F2951" s="3" t="s">
        <v>9902</v>
      </c>
      <c r="G2951" s="3" t="s">
        <v>566</v>
      </c>
      <c r="H2951" s="3" t="s">
        <v>6289</v>
      </c>
      <c r="I2951" s="3" t="s">
        <v>3391</v>
      </c>
      <c r="J2951" s="3" t="s">
        <v>3392</v>
      </c>
      <c r="K2951" s="3" t="s">
        <v>27</v>
      </c>
      <c r="L2951" s="3" t="s">
        <v>28</v>
      </c>
      <c r="M2951" s="3" t="s">
        <v>27</v>
      </c>
      <c r="N2951" s="3" t="s">
        <v>28</v>
      </c>
      <c r="O2951" s="3" t="s">
        <v>27</v>
      </c>
      <c r="P2951" s="3" t="s">
        <v>28</v>
      </c>
      <c r="Q2951" s="3" t="s">
        <v>27</v>
      </c>
      <c r="R2951" s="3" t="s">
        <v>28</v>
      </c>
      <c r="S2951" s="3" t="s">
        <v>28</v>
      </c>
      <c r="T2951" s="3" t="s">
        <v>28</v>
      </c>
    </row>
    <row r="2952" spans="1:20" ht="351">
      <c r="A2952" s="3">
        <v>2678611</v>
      </c>
      <c r="B2952" s="3">
        <f>HYPERLINK("https://platform.v2.vetology.net/cases/2678611/screening-report/6?type=pdf&amp;v=v6&amp;scorecard=1&amp;secret_key=BX%25IJ%24%2F65ieZ%29f6", 2678611)</f>
        <v>2678611</v>
      </c>
      <c r="C2952" s="3">
        <f>HYPERLINK("https://platform.v2.vetology.net/report/v/final/"&amp;2678611, 2678611)</f>
        <v>2678611</v>
      </c>
      <c r="D2952" s="3" t="s">
        <v>9903</v>
      </c>
      <c r="E2952" s="3" t="s">
        <v>9904</v>
      </c>
      <c r="F2952" s="3" t="s">
        <v>9905</v>
      </c>
      <c r="G2952" s="3" t="s">
        <v>1772</v>
      </c>
      <c r="H2952" s="3" t="s">
        <v>9906</v>
      </c>
      <c r="I2952" s="3" t="s">
        <v>1472</v>
      </c>
      <c r="J2952" s="3" t="s">
        <v>1374</v>
      </c>
      <c r="K2952" s="3" t="s">
        <v>27</v>
      </c>
      <c r="L2952" s="3" t="s">
        <v>28</v>
      </c>
      <c r="M2952" s="3" t="s">
        <v>27</v>
      </c>
      <c r="N2952" s="3" t="s">
        <v>28</v>
      </c>
      <c r="O2952" s="3" t="s">
        <v>27</v>
      </c>
      <c r="P2952" s="3" t="s">
        <v>28</v>
      </c>
      <c r="Q2952" s="3" t="s">
        <v>28</v>
      </c>
      <c r="R2952" s="3" t="s">
        <v>28</v>
      </c>
      <c r="S2952" s="3" t="s">
        <v>28</v>
      </c>
      <c r="T2952" s="3" t="s">
        <v>28</v>
      </c>
    </row>
    <row r="2953" spans="1:20" ht="409.6">
      <c r="A2953" s="3">
        <v>2678576</v>
      </c>
      <c r="B2953" s="3">
        <f>HYPERLINK("https://platform.v2.vetology.net/cases/2678576/screening-report/6?type=pdf&amp;v=v6&amp;scorecard=1&amp;secret_key=BX%25IJ%24%2F65ieZ%29f6", 2678576)</f>
        <v>2678576</v>
      </c>
      <c r="C2953" s="3">
        <f>HYPERLINK("https://platform.v2.vetology.net/report/v/final/"&amp;2678576, 2678576)</f>
        <v>2678576</v>
      </c>
      <c r="D2953" s="3" t="s">
        <v>9907</v>
      </c>
      <c r="E2953" s="3" t="s">
        <v>9908</v>
      </c>
      <c r="F2953" s="3" t="s">
        <v>9909</v>
      </c>
      <c r="G2953" s="3" t="s">
        <v>179</v>
      </c>
      <c r="H2953" s="3" t="s">
        <v>877</v>
      </c>
      <c r="I2953" s="3" t="s">
        <v>878</v>
      </c>
      <c r="J2953" s="3" t="s">
        <v>879</v>
      </c>
      <c r="K2953" s="3" t="s">
        <v>27</v>
      </c>
      <c r="L2953" s="3" t="s">
        <v>27</v>
      </c>
      <c r="M2953" s="3" t="s">
        <v>28</v>
      </c>
      <c r="N2953" s="3" t="s">
        <v>27</v>
      </c>
      <c r="O2953" s="3" t="s">
        <v>27</v>
      </c>
      <c r="P2953" s="3" t="s">
        <v>28</v>
      </c>
      <c r="Q2953" s="3" t="s">
        <v>28</v>
      </c>
      <c r="R2953" s="3" t="s">
        <v>27</v>
      </c>
      <c r="S2953" s="3" t="s">
        <v>27</v>
      </c>
      <c r="T2953" s="3" t="s">
        <v>27</v>
      </c>
    </row>
    <row r="2954" spans="1:20" ht="275.25">
      <c r="A2954" s="3">
        <v>2678574</v>
      </c>
      <c r="B2954" s="3">
        <f>HYPERLINK("https://platform.v2.vetology.net/cases/2678574/screening-report/6?type=pdf&amp;v=v6&amp;scorecard=1&amp;secret_key=BX%25IJ%24%2F65ieZ%29f6", 2678574)</f>
        <v>2678574</v>
      </c>
      <c r="C2954" s="3">
        <f>HYPERLINK("https://platform.v2.vetology.net/report/v/final/"&amp;2678574, 2678574)</f>
        <v>2678574</v>
      </c>
      <c r="D2954" s="3" t="s">
        <v>9910</v>
      </c>
      <c r="E2954" s="3" t="s">
        <v>9911</v>
      </c>
      <c r="F2954" s="3" t="s">
        <v>9912</v>
      </c>
      <c r="G2954" s="3" t="s">
        <v>186</v>
      </c>
      <c r="H2954" s="3" t="s">
        <v>212</v>
      </c>
      <c r="I2954" s="3" t="s">
        <v>261</v>
      </c>
      <c r="J2954" s="3" t="s">
        <v>262</v>
      </c>
      <c r="K2954" s="3" t="s">
        <v>27</v>
      </c>
      <c r="L2954" s="3" t="s">
        <v>28</v>
      </c>
      <c r="M2954" s="3" t="s">
        <v>27</v>
      </c>
      <c r="N2954" s="3" t="s">
        <v>28</v>
      </c>
      <c r="O2954" s="3" t="s">
        <v>27</v>
      </c>
      <c r="P2954" s="3" t="s">
        <v>28</v>
      </c>
      <c r="Q2954" s="3" t="s">
        <v>28</v>
      </c>
      <c r="R2954" s="3" t="s">
        <v>28</v>
      </c>
      <c r="S2954" s="3" t="s">
        <v>28</v>
      </c>
      <c r="T2954" s="3" t="s">
        <v>28</v>
      </c>
    </row>
    <row r="2955" spans="1:20" ht="366">
      <c r="A2955" s="3">
        <v>2678567</v>
      </c>
      <c r="B2955" s="3">
        <f>HYPERLINK("https://platform.v2.vetology.net/cases/2678567/screening-report/6?type=pdf&amp;v=v6&amp;scorecard=1&amp;secret_key=BX%25IJ%24%2F65ieZ%29f6", 2678567)</f>
        <v>2678567</v>
      </c>
      <c r="C2955" s="3">
        <f>HYPERLINK("https://platform.v2.vetology.net/report/v/final/"&amp;2678567, 2678567)</f>
        <v>2678567</v>
      </c>
      <c r="D2955" s="3" t="s">
        <v>9913</v>
      </c>
      <c r="E2955" s="3" t="s">
        <v>9914</v>
      </c>
      <c r="F2955" s="3" t="s">
        <v>9915</v>
      </c>
      <c r="G2955" s="3" t="s">
        <v>186</v>
      </c>
      <c r="H2955" s="3" t="s">
        <v>9916</v>
      </c>
      <c r="I2955" s="3" t="s">
        <v>993</v>
      </c>
      <c r="J2955" s="3" t="s">
        <v>994</v>
      </c>
      <c r="K2955" s="3" t="s">
        <v>28</v>
      </c>
      <c r="L2955" s="3" t="s">
        <v>28</v>
      </c>
      <c r="M2955" s="3" t="s">
        <v>28</v>
      </c>
      <c r="N2955" s="3" t="s">
        <v>28</v>
      </c>
      <c r="O2955" s="3" t="s">
        <v>28</v>
      </c>
      <c r="P2955" s="3" t="s">
        <v>28</v>
      </c>
      <c r="Q2955" s="3" t="s">
        <v>28</v>
      </c>
      <c r="R2955" s="3" t="s">
        <v>28</v>
      </c>
      <c r="S2955" s="3" t="s">
        <v>28</v>
      </c>
      <c r="T2955" s="3" t="s">
        <v>28</v>
      </c>
    </row>
    <row r="2956" spans="1:20" ht="409.6">
      <c r="A2956" s="3">
        <v>2678558</v>
      </c>
      <c r="B2956" s="3">
        <f>HYPERLINK("https://platform.v2.vetology.net/cases/2678558/screening-report/6?type=pdf&amp;v=v6&amp;scorecard=1&amp;secret_key=BX%25IJ%24%2F65ieZ%29f6", 2678558)</f>
        <v>2678558</v>
      </c>
      <c r="C2956" s="3">
        <f>HYPERLINK("https://platform.v2.vetology.net/report/v/final/"&amp;2678558, 2678558)</f>
        <v>2678558</v>
      </c>
      <c r="D2956" s="3" t="s">
        <v>9917</v>
      </c>
      <c r="E2956" s="3" t="s">
        <v>9918</v>
      </c>
      <c r="F2956" s="3" t="s">
        <v>9919</v>
      </c>
      <c r="G2956" s="3" t="s">
        <v>1772</v>
      </c>
      <c r="H2956" s="3" t="s">
        <v>2475</v>
      </c>
      <c r="I2956" s="3" t="s">
        <v>1497</v>
      </c>
      <c r="J2956" s="3" t="s">
        <v>1340</v>
      </c>
      <c r="K2956" s="3" t="s">
        <v>28</v>
      </c>
      <c r="L2956" s="3" t="s">
        <v>28</v>
      </c>
      <c r="M2956" s="3" t="s">
        <v>28</v>
      </c>
      <c r="N2956" s="3" t="s">
        <v>28</v>
      </c>
      <c r="O2956" s="3" t="s">
        <v>27</v>
      </c>
      <c r="P2956" s="3" t="s">
        <v>28</v>
      </c>
      <c r="Q2956" s="3" t="s">
        <v>27</v>
      </c>
      <c r="R2956" s="3" t="s">
        <v>27</v>
      </c>
      <c r="S2956" s="3" t="s">
        <v>28</v>
      </c>
      <c r="T2956" s="3" t="s">
        <v>28</v>
      </c>
    </row>
    <row r="2957" spans="1:20" ht="229.5">
      <c r="A2957" s="3">
        <v>2678554</v>
      </c>
      <c r="B2957" s="3">
        <f>HYPERLINK("https://platform.v2.vetology.net/cases/2678554/screening-report/6?type=pdf&amp;v=v6&amp;scorecard=1&amp;secret_key=BX%25IJ%24%2F65ieZ%29f6", 2678554)</f>
        <v>2678554</v>
      </c>
      <c r="C2957" s="3">
        <f>HYPERLINK("https://platform.v2.vetology.net/report/v/final/"&amp;2678554, 2678554)</f>
        <v>2678554</v>
      </c>
      <c r="D2957" s="3" t="s">
        <v>9920</v>
      </c>
      <c r="E2957" s="3" t="s">
        <v>3119</v>
      </c>
      <c r="F2957" s="3" t="s">
        <v>22</v>
      </c>
      <c r="G2957" s="3" t="s">
        <v>372</v>
      </c>
      <c r="H2957" s="3" t="s">
        <v>9921</v>
      </c>
      <c r="I2957" s="3" t="s">
        <v>1026</v>
      </c>
      <c r="J2957" s="3" t="s">
        <v>847</v>
      </c>
      <c r="K2957" s="3" t="s">
        <v>27</v>
      </c>
      <c r="L2957" s="3" t="s">
        <v>28</v>
      </c>
      <c r="M2957" s="3" t="s">
        <v>28</v>
      </c>
      <c r="N2957" s="3" t="s">
        <v>28</v>
      </c>
      <c r="O2957" s="3" t="s">
        <v>28</v>
      </c>
      <c r="P2957" s="3" t="s">
        <v>28</v>
      </c>
      <c r="Q2957" s="3" t="s">
        <v>28</v>
      </c>
      <c r="R2957" s="3" t="s">
        <v>28</v>
      </c>
      <c r="S2957" s="3" t="s">
        <v>28</v>
      </c>
      <c r="T2957" s="3" t="s">
        <v>28</v>
      </c>
    </row>
    <row r="2958" spans="1:20" ht="409.6">
      <c r="A2958" s="3">
        <v>2678468</v>
      </c>
      <c r="B2958" s="3">
        <f>HYPERLINK("https://platform.v2.vetology.net/cases/2678468/screening-report/6?type=pdf&amp;v=v6&amp;scorecard=1&amp;secret_key=BX%25IJ%24%2F65ieZ%29f6", 2678468)</f>
        <v>2678468</v>
      </c>
      <c r="C2958" s="3">
        <f>HYPERLINK("https://platform.v2.vetology.net/report/v/final/"&amp;2678468, 2678468)</f>
        <v>2678468</v>
      </c>
      <c r="D2958" s="3" t="s">
        <v>9922</v>
      </c>
      <c r="E2958" s="3" t="s">
        <v>9923</v>
      </c>
      <c r="F2958" s="3" t="s">
        <v>9924</v>
      </c>
      <c r="G2958" s="3" t="s">
        <v>566</v>
      </c>
      <c r="H2958" s="3" t="s">
        <v>135</v>
      </c>
      <c r="I2958" s="3" t="s">
        <v>136</v>
      </c>
      <c r="J2958" s="3" t="s">
        <v>137</v>
      </c>
      <c r="K2958" s="3" t="s">
        <v>28</v>
      </c>
      <c r="L2958" s="3" t="s">
        <v>28</v>
      </c>
      <c r="M2958" s="3" t="s">
        <v>28</v>
      </c>
      <c r="N2958" s="3" t="s">
        <v>27</v>
      </c>
      <c r="O2958" s="3" t="s">
        <v>27</v>
      </c>
      <c r="P2958" s="3" t="s">
        <v>28</v>
      </c>
      <c r="Q2958" s="3" t="s">
        <v>28</v>
      </c>
      <c r="R2958" s="3" t="s">
        <v>27</v>
      </c>
      <c r="S2958" s="3" t="s">
        <v>27</v>
      </c>
      <c r="T2958" s="3" t="s">
        <v>27</v>
      </c>
    </row>
    <row r="2959" spans="1:20" ht="409.6">
      <c r="A2959" s="3">
        <v>2678457</v>
      </c>
      <c r="B2959" s="3">
        <f>HYPERLINK("https://platform.v2.vetology.net/cases/2678457/screening-report/6?type=pdf&amp;v=v6&amp;scorecard=1&amp;secret_key=BX%25IJ%24%2F65ieZ%29f6", 2678457)</f>
        <v>2678457</v>
      </c>
      <c r="C2959" s="3">
        <f>HYPERLINK("https://platform.v2.vetology.net/report/v/final/"&amp;2678457, 2678457)</f>
        <v>2678457</v>
      </c>
      <c r="D2959" s="3" t="s">
        <v>9925</v>
      </c>
      <c r="E2959" s="3" t="s">
        <v>9926</v>
      </c>
      <c r="F2959" s="3" t="s">
        <v>22</v>
      </c>
      <c r="G2959" s="3" t="s">
        <v>23</v>
      </c>
      <c r="H2959" s="3" t="s">
        <v>9927</v>
      </c>
      <c r="I2959" s="3" t="s">
        <v>6801</v>
      </c>
      <c r="J2959" s="3" t="s">
        <v>6802</v>
      </c>
      <c r="K2959" s="3" t="s">
        <v>28</v>
      </c>
      <c r="L2959" s="3" t="s">
        <v>28</v>
      </c>
      <c r="M2959" s="3" t="s">
        <v>27</v>
      </c>
      <c r="N2959" s="3" t="s">
        <v>28</v>
      </c>
      <c r="O2959" s="3" t="s">
        <v>27</v>
      </c>
      <c r="P2959" s="3" t="s">
        <v>28</v>
      </c>
      <c r="Q2959" s="3" t="s">
        <v>27</v>
      </c>
      <c r="R2959" s="3" t="s">
        <v>28</v>
      </c>
      <c r="S2959" s="3" t="s">
        <v>28</v>
      </c>
      <c r="T2959" s="3" t="s">
        <v>28</v>
      </c>
    </row>
    <row r="2960" spans="1:20" ht="366">
      <c r="A2960" s="3">
        <v>2678453</v>
      </c>
      <c r="B2960" s="3">
        <f>HYPERLINK("https://platform.v2.vetology.net/cases/2678453/screening-report/6?type=pdf&amp;v=v6&amp;scorecard=1&amp;secret_key=BX%25IJ%24%2F65ieZ%29f6", 2678453)</f>
        <v>2678453</v>
      </c>
      <c r="C2960" s="3">
        <f>HYPERLINK("https://platform.v2.vetology.net/report/v/final/"&amp;2678453, 2678453)</f>
        <v>2678453</v>
      </c>
      <c r="D2960" s="3" t="s">
        <v>9928</v>
      </c>
      <c r="E2960" s="3" t="s">
        <v>9929</v>
      </c>
      <c r="F2960" s="3" t="s">
        <v>1061</v>
      </c>
      <c r="G2960" s="3" t="s">
        <v>100</v>
      </c>
      <c r="H2960" s="3" t="s">
        <v>1271</v>
      </c>
      <c r="I2960" s="3" t="s">
        <v>883</v>
      </c>
      <c r="J2960" s="3" t="s">
        <v>884</v>
      </c>
      <c r="K2960" s="3" t="s">
        <v>28</v>
      </c>
      <c r="L2960" s="3" t="s">
        <v>28</v>
      </c>
      <c r="M2960" s="3" t="s">
        <v>28</v>
      </c>
      <c r="N2960" s="3" t="s">
        <v>28</v>
      </c>
      <c r="O2960" s="3" t="s">
        <v>28</v>
      </c>
      <c r="P2960" s="3" t="s">
        <v>28</v>
      </c>
      <c r="Q2960" s="3" t="s">
        <v>28</v>
      </c>
      <c r="R2960" s="3" t="s">
        <v>28</v>
      </c>
      <c r="S2960" s="3" t="s">
        <v>28</v>
      </c>
      <c r="T2960" s="3" t="s">
        <v>28</v>
      </c>
    </row>
    <row r="2961" spans="1:20" ht="381.75">
      <c r="A2961" s="3">
        <v>2678446</v>
      </c>
      <c r="B2961" s="3">
        <f>HYPERLINK("https://platform.v2.vetology.net/cases/2678446/screening-report/6?type=pdf&amp;v=v6&amp;scorecard=1&amp;secret_key=BX%25IJ%24%2F65ieZ%29f6", 2678446)</f>
        <v>2678446</v>
      </c>
      <c r="C2961" s="3">
        <f>HYPERLINK("https://platform.v2.vetology.net/report/v/final/"&amp;2678446, 2678446)</f>
        <v>2678446</v>
      </c>
      <c r="D2961" s="3" t="s">
        <v>9930</v>
      </c>
      <c r="E2961" s="3" t="s">
        <v>9931</v>
      </c>
      <c r="F2961" s="3" t="s">
        <v>9932</v>
      </c>
      <c r="G2961" s="3" t="s">
        <v>64</v>
      </c>
      <c r="H2961" s="3" t="s">
        <v>118</v>
      </c>
      <c r="I2961" s="3" t="s">
        <v>32</v>
      </c>
      <c r="J2961" s="3" t="s">
        <v>33</v>
      </c>
      <c r="K2961" s="3" t="s">
        <v>28</v>
      </c>
      <c r="L2961" s="3" t="s">
        <v>28</v>
      </c>
      <c r="M2961" s="3" t="s">
        <v>28</v>
      </c>
      <c r="N2961" s="3" t="s">
        <v>28</v>
      </c>
      <c r="O2961" s="3" t="s">
        <v>28</v>
      </c>
      <c r="P2961" s="3" t="s">
        <v>28</v>
      </c>
      <c r="Q2961" s="3" t="s">
        <v>28</v>
      </c>
      <c r="R2961" s="3" t="s">
        <v>28</v>
      </c>
      <c r="S2961" s="3" t="s">
        <v>28</v>
      </c>
      <c r="T2961" s="3" t="s">
        <v>28</v>
      </c>
    </row>
    <row r="2962" spans="1:20" ht="305.25">
      <c r="A2962" s="3">
        <v>2678438</v>
      </c>
      <c r="B2962" s="3">
        <f>HYPERLINK("https://platform.v2.vetology.net/cases/2678438/screening-report/6?type=pdf&amp;v=v6&amp;scorecard=1&amp;secret_key=BX%25IJ%24%2F65ieZ%29f6", 2678438)</f>
        <v>2678438</v>
      </c>
      <c r="C2962" s="3">
        <f>HYPERLINK("https://platform.v2.vetology.net/report/v/final/"&amp;2678438, 2678438)</f>
        <v>2678438</v>
      </c>
      <c r="D2962" s="3" t="s">
        <v>9933</v>
      </c>
      <c r="E2962" s="3" t="s">
        <v>9934</v>
      </c>
      <c r="F2962" s="3" t="s">
        <v>9935</v>
      </c>
      <c r="G2962" s="3" t="s">
        <v>186</v>
      </c>
      <c r="H2962" s="3" t="s">
        <v>3330</v>
      </c>
      <c r="I2962" s="3" t="s">
        <v>1373</v>
      </c>
      <c r="J2962" s="3" t="s">
        <v>33</v>
      </c>
      <c r="K2962" s="3" t="s">
        <v>28</v>
      </c>
      <c r="L2962" s="3" t="s">
        <v>27</v>
      </c>
      <c r="M2962" s="3" t="s">
        <v>28</v>
      </c>
      <c r="N2962" s="3" t="s">
        <v>28</v>
      </c>
      <c r="O2962" s="3" t="s">
        <v>27</v>
      </c>
      <c r="P2962" s="3" t="s">
        <v>27</v>
      </c>
      <c r="Q2962" s="3" t="s">
        <v>27</v>
      </c>
      <c r="R2962" s="3" t="s">
        <v>28</v>
      </c>
      <c r="S2962" s="3" t="s">
        <v>28</v>
      </c>
      <c r="T2962" s="3" t="s">
        <v>27</v>
      </c>
    </row>
    <row r="2963" spans="1:20" ht="409.6">
      <c r="A2963" s="3">
        <v>2678392</v>
      </c>
      <c r="B2963" s="3">
        <f>HYPERLINK("https://platform.v2.vetology.net/cases/2678392/screening-report/6?type=pdf&amp;v=v6&amp;scorecard=1&amp;secret_key=BX%25IJ%24%2F65ieZ%29f6", 2678392)</f>
        <v>2678392</v>
      </c>
      <c r="C2963" s="3">
        <f>HYPERLINK("https://platform.v2.vetology.net/report/v/final/"&amp;2678392, 2678392)</f>
        <v>2678392</v>
      </c>
      <c r="D2963" s="3" t="s">
        <v>9936</v>
      </c>
      <c r="E2963" s="3" t="s">
        <v>9937</v>
      </c>
      <c r="F2963" s="3" t="s">
        <v>9938</v>
      </c>
      <c r="G2963" s="3" t="s">
        <v>100</v>
      </c>
      <c r="H2963" s="3" t="s">
        <v>9939</v>
      </c>
      <c r="I2963" s="3" t="s">
        <v>4821</v>
      </c>
      <c r="J2963" s="3" t="s">
        <v>4822</v>
      </c>
      <c r="K2963" s="3" t="s">
        <v>27</v>
      </c>
      <c r="L2963" s="3" t="s">
        <v>27</v>
      </c>
      <c r="M2963" s="3" t="s">
        <v>27</v>
      </c>
      <c r="N2963" s="3" t="s">
        <v>27</v>
      </c>
      <c r="O2963" s="3" t="s">
        <v>27</v>
      </c>
      <c r="P2963" s="3" t="s">
        <v>28</v>
      </c>
      <c r="Q2963" s="3" t="s">
        <v>27</v>
      </c>
      <c r="R2963" s="3" t="s">
        <v>27</v>
      </c>
      <c r="S2963" s="3" t="s">
        <v>27</v>
      </c>
      <c r="T2963" s="3" t="s">
        <v>27</v>
      </c>
    </row>
    <row r="2964" spans="1:20" ht="351">
      <c r="A2964" s="3">
        <v>2678360</v>
      </c>
      <c r="B2964" s="3">
        <f>HYPERLINK("https://platform.v2.vetology.net/cases/2678360/screening-report/6?type=pdf&amp;v=v6&amp;scorecard=1&amp;secret_key=BX%25IJ%24%2F65ieZ%29f6", 2678360)</f>
        <v>2678360</v>
      </c>
      <c r="C2964" s="3">
        <f>HYPERLINK("https://platform.v2.vetology.net/report/v/final/"&amp;2678360, 2678360)</f>
        <v>2678360</v>
      </c>
      <c r="D2964" s="3" t="s">
        <v>9940</v>
      </c>
      <c r="E2964" s="3" t="s">
        <v>9941</v>
      </c>
      <c r="F2964" s="3" t="s">
        <v>9942</v>
      </c>
      <c r="G2964" s="3" t="s">
        <v>186</v>
      </c>
      <c r="H2964" s="3" t="s">
        <v>135</v>
      </c>
      <c r="I2964" s="3" t="s">
        <v>136</v>
      </c>
      <c r="J2964" s="3" t="s">
        <v>424</v>
      </c>
      <c r="K2964" s="3" t="s">
        <v>28</v>
      </c>
      <c r="L2964" s="3" t="s">
        <v>27</v>
      </c>
      <c r="M2964" s="3" t="s">
        <v>28</v>
      </c>
      <c r="N2964" s="3" t="s">
        <v>28</v>
      </c>
      <c r="O2964" s="3" t="s">
        <v>27</v>
      </c>
      <c r="P2964" s="3" t="s">
        <v>28</v>
      </c>
      <c r="Q2964" s="3" t="s">
        <v>28</v>
      </c>
      <c r="R2964" s="3" t="s">
        <v>28</v>
      </c>
      <c r="S2964" s="3" t="s">
        <v>28</v>
      </c>
      <c r="T2964" s="3" t="s">
        <v>27</v>
      </c>
    </row>
    <row r="2965" spans="1:20" ht="305.25">
      <c r="A2965" s="3">
        <v>2678282</v>
      </c>
      <c r="B2965" s="3">
        <f>HYPERLINK("https://platform.v2.vetology.net/cases/2678282/screening-report/6?type=pdf&amp;v=v6&amp;scorecard=1&amp;secret_key=BX%25IJ%24%2F65ieZ%29f6", 2678282)</f>
        <v>2678282</v>
      </c>
      <c r="C2965" s="3">
        <f>HYPERLINK("https://platform.v2.vetology.net/report/v/final/"&amp;2678282, 2678282)</f>
        <v>2678282</v>
      </c>
      <c r="D2965" s="3" t="s">
        <v>9943</v>
      </c>
      <c r="E2965" s="3" t="s">
        <v>9944</v>
      </c>
      <c r="F2965" s="3" t="s">
        <v>9945</v>
      </c>
      <c r="G2965" s="3" t="s">
        <v>186</v>
      </c>
      <c r="H2965" s="3" t="s">
        <v>6195</v>
      </c>
      <c r="I2965" s="3" t="s">
        <v>784</v>
      </c>
      <c r="J2965" s="3" t="s">
        <v>785</v>
      </c>
      <c r="K2965" s="3" t="s">
        <v>27</v>
      </c>
      <c r="L2965" s="3" t="s">
        <v>27</v>
      </c>
      <c r="M2965" s="3" t="s">
        <v>27</v>
      </c>
      <c r="N2965" s="3" t="s">
        <v>28</v>
      </c>
      <c r="O2965" s="3" t="s">
        <v>27</v>
      </c>
      <c r="P2965" s="3" t="s">
        <v>28</v>
      </c>
      <c r="Q2965" s="3" t="s">
        <v>27</v>
      </c>
      <c r="R2965" s="3" t="s">
        <v>28</v>
      </c>
      <c r="S2965" s="3" t="s">
        <v>28</v>
      </c>
      <c r="T2965" s="3" t="s">
        <v>27</v>
      </c>
    </row>
    <row r="2966" spans="1:20" ht="229.5">
      <c r="A2966" s="3">
        <v>2678274</v>
      </c>
      <c r="B2966" s="3">
        <f>HYPERLINK("https://platform.v2.vetology.net/cases/2678274/screening-report/6?type=pdf&amp;v=v6&amp;scorecard=1&amp;secret_key=BX%25IJ%24%2F65ieZ%29f6", 2678274)</f>
        <v>2678274</v>
      </c>
      <c r="C2966" s="3">
        <f>HYPERLINK("https://platform.v2.vetology.net/report/v/final/"&amp;2678274, 2678274)</f>
        <v>2678274</v>
      </c>
      <c r="D2966" s="3" t="s">
        <v>9946</v>
      </c>
      <c r="E2966" s="3" t="s">
        <v>9947</v>
      </c>
      <c r="F2966" s="3" t="s">
        <v>9948</v>
      </c>
      <c r="G2966" s="3" t="s">
        <v>8582</v>
      </c>
      <c r="H2966" s="3" t="s">
        <v>944</v>
      </c>
      <c r="I2966" s="3" t="s">
        <v>32</v>
      </c>
      <c r="J2966" s="3" t="s">
        <v>119</v>
      </c>
      <c r="K2966" s="3" t="s">
        <v>28</v>
      </c>
      <c r="L2966" s="3" t="s">
        <v>28</v>
      </c>
      <c r="M2966" s="3" t="s">
        <v>28</v>
      </c>
      <c r="N2966" s="3" t="s">
        <v>28</v>
      </c>
      <c r="O2966" s="3" t="s">
        <v>28</v>
      </c>
      <c r="P2966" s="3" t="s">
        <v>28</v>
      </c>
      <c r="Q2966" s="3" t="s">
        <v>28</v>
      </c>
      <c r="R2966" s="3" t="s">
        <v>28</v>
      </c>
      <c r="S2966" s="3" t="s">
        <v>28</v>
      </c>
      <c r="T2966" s="3" t="s">
        <v>28</v>
      </c>
    </row>
    <row r="2967" spans="1:20" ht="409.6">
      <c r="A2967" s="3">
        <v>2678270</v>
      </c>
      <c r="B2967" s="3">
        <f>HYPERLINK("https://platform.v2.vetology.net/cases/2678270/screening-report/6?type=pdf&amp;v=v6&amp;scorecard=1&amp;secret_key=BX%25IJ%24%2F65ieZ%29f6", 2678270)</f>
        <v>2678270</v>
      </c>
      <c r="C2967" s="3">
        <f>HYPERLINK("https://platform.v2.vetology.net/report/v/final/"&amp;2678270, 2678270)</f>
        <v>2678270</v>
      </c>
      <c r="D2967" s="3" t="s">
        <v>9949</v>
      </c>
      <c r="E2967" s="3" t="s">
        <v>9950</v>
      </c>
      <c r="F2967" s="3" t="s">
        <v>9951</v>
      </c>
      <c r="G2967" s="3" t="s">
        <v>57</v>
      </c>
      <c r="H2967" s="3" t="s">
        <v>4735</v>
      </c>
      <c r="I2967" s="3" t="s">
        <v>2771</v>
      </c>
      <c r="J2967" s="3" t="s">
        <v>2772</v>
      </c>
      <c r="K2967" s="3" t="s">
        <v>28</v>
      </c>
      <c r="L2967" s="3" t="s">
        <v>27</v>
      </c>
      <c r="M2967" s="3" t="s">
        <v>28</v>
      </c>
      <c r="N2967" s="3" t="s">
        <v>27</v>
      </c>
      <c r="O2967" s="3" t="s">
        <v>28</v>
      </c>
      <c r="P2967" s="3" t="s">
        <v>28</v>
      </c>
      <c r="Q2967" s="3" t="s">
        <v>28</v>
      </c>
      <c r="R2967" s="3" t="s">
        <v>27</v>
      </c>
      <c r="S2967" s="3" t="s">
        <v>27</v>
      </c>
      <c r="T2967" s="3" t="s">
        <v>27</v>
      </c>
    </row>
    <row r="2968" spans="1:20" ht="409.6">
      <c r="A2968" s="3">
        <v>2678265</v>
      </c>
      <c r="B2968" s="3">
        <f>HYPERLINK("https://platform.v2.vetology.net/cases/2678265/screening-report/6?type=pdf&amp;v=v6&amp;scorecard=1&amp;secret_key=BX%25IJ%24%2F65ieZ%29f6", 2678265)</f>
        <v>2678265</v>
      </c>
      <c r="C2968" s="3">
        <f>HYPERLINK("https://platform.v2.vetology.net/report/v/final/"&amp;2678265, 2678265)</f>
        <v>2678265</v>
      </c>
      <c r="D2968" s="3" t="s">
        <v>9952</v>
      </c>
      <c r="E2968" s="3" t="s">
        <v>9953</v>
      </c>
      <c r="F2968" s="3" t="s">
        <v>9954</v>
      </c>
      <c r="G2968" s="3" t="s">
        <v>8582</v>
      </c>
      <c r="H2968" s="3" t="s">
        <v>544</v>
      </c>
      <c r="I2968" s="3" t="s">
        <v>334</v>
      </c>
      <c r="J2968" s="3" t="s">
        <v>335</v>
      </c>
      <c r="K2968" s="3" t="s">
        <v>28</v>
      </c>
      <c r="L2968" s="3" t="s">
        <v>28</v>
      </c>
      <c r="M2968" s="3" t="s">
        <v>27</v>
      </c>
      <c r="N2968" s="3" t="s">
        <v>28</v>
      </c>
      <c r="O2968" s="3" t="s">
        <v>27</v>
      </c>
      <c r="P2968" s="3" t="s">
        <v>28</v>
      </c>
      <c r="Q2968" s="3" t="s">
        <v>27</v>
      </c>
      <c r="R2968" s="3" t="s">
        <v>28</v>
      </c>
      <c r="S2968" s="3" t="s">
        <v>27</v>
      </c>
      <c r="T2968" s="3" t="s">
        <v>28</v>
      </c>
    </row>
    <row r="2969" spans="1:20" ht="409.6">
      <c r="A2969" s="3">
        <v>2678214</v>
      </c>
      <c r="B2969" s="3">
        <f>HYPERLINK("https://platform.v2.vetology.net/cases/2678214/screening-report/6?type=pdf&amp;v=v6&amp;scorecard=1&amp;secret_key=BX%25IJ%24%2F65ieZ%29f6", 2678214)</f>
        <v>2678214</v>
      </c>
      <c r="C2969" s="3">
        <f>HYPERLINK("https://platform.v2.vetology.net/report/v/final/"&amp;2678214, 2678214)</f>
        <v>2678214</v>
      </c>
      <c r="D2969" s="3" t="s">
        <v>9955</v>
      </c>
      <c r="E2969" s="3" t="s">
        <v>9956</v>
      </c>
      <c r="F2969" s="3" t="s">
        <v>9957</v>
      </c>
      <c r="G2969" s="3" t="s">
        <v>186</v>
      </c>
      <c r="H2969" s="3" t="s">
        <v>9958</v>
      </c>
      <c r="I2969" s="3" t="s">
        <v>200</v>
      </c>
      <c r="J2969" s="3" t="s">
        <v>201</v>
      </c>
      <c r="K2969" s="3" t="s">
        <v>27</v>
      </c>
      <c r="L2969" s="3" t="s">
        <v>28</v>
      </c>
      <c r="M2969" s="3" t="s">
        <v>28</v>
      </c>
      <c r="N2969" s="3" t="s">
        <v>28</v>
      </c>
      <c r="O2969" s="3" t="s">
        <v>27</v>
      </c>
      <c r="P2969" s="3" t="s">
        <v>28</v>
      </c>
      <c r="Q2969" s="3" t="s">
        <v>27</v>
      </c>
      <c r="R2969" s="3" t="s">
        <v>28</v>
      </c>
      <c r="S2969" s="3" t="s">
        <v>28</v>
      </c>
      <c r="T2969" s="3" t="s">
        <v>28</v>
      </c>
    </row>
    <row r="2970" spans="1:20" ht="409.6">
      <c r="A2970" s="3">
        <v>2678120</v>
      </c>
      <c r="B2970" s="3">
        <f>HYPERLINK("https://platform.v2.vetology.net/cases/2678120/screening-report/6?type=pdf&amp;v=v6&amp;scorecard=1&amp;secret_key=BX%25IJ%24%2F65ieZ%29f6", 2678120)</f>
        <v>2678120</v>
      </c>
      <c r="C2970" s="3">
        <f>HYPERLINK("https://platform.v2.vetology.net/report/v/final/"&amp;2678120, 2678120)</f>
        <v>2678120</v>
      </c>
      <c r="D2970" s="3" t="s">
        <v>9959</v>
      </c>
      <c r="E2970" s="3" t="s">
        <v>9960</v>
      </c>
      <c r="F2970" s="3" t="s">
        <v>22</v>
      </c>
      <c r="G2970" s="3" t="s">
        <v>23</v>
      </c>
      <c r="H2970" s="3" t="s">
        <v>9961</v>
      </c>
      <c r="I2970" s="3" t="s">
        <v>4790</v>
      </c>
      <c r="J2970" s="3" t="s">
        <v>5412</v>
      </c>
      <c r="K2970" s="3" t="s">
        <v>28</v>
      </c>
      <c r="L2970" s="3" t="s">
        <v>28</v>
      </c>
      <c r="M2970" s="3" t="s">
        <v>28</v>
      </c>
      <c r="N2970" s="3" t="s">
        <v>28</v>
      </c>
      <c r="O2970" s="3" t="s">
        <v>27</v>
      </c>
      <c r="P2970" s="3" t="s">
        <v>28</v>
      </c>
      <c r="Q2970" s="3" t="s">
        <v>27</v>
      </c>
      <c r="R2970" s="3" t="s">
        <v>28</v>
      </c>
      <c r="S2970" s="3" t="s">
        <v>28</v>
      </c>
      <c r="T2970" s="3" t="s">
        <v>28</v>
      </c>
    </row>
    <row r="2971" spans="1:20" ht="396.75">
      <c r="A2971" s="3">
        <v>2678113</v>
      </c>
      <c r="B2971" s="3">
        <f>HYPERLINK("https://platform.v2.vetology.net/cases/2678113/screening-report/6?type=pdf&amp;v=v6&amp;scorecard=1&amp;secret_key=BX%25IJ%24%2F65ieZ%29f6", 2678113)</f>
        <v>2678113</v>
      </c>
      <c r="C2971" s="3">
        <f>HYPERLINK("https://platform.v2.vetology.net/report/v/final/"&amp;2678113, 2678113)</f>
        <v>2678113</v>
      </c>
      <c r="D2971" s="3" t="s">
        <v>9962</v>
      </c>
      <c r="E2971" s="3" t="s">
        <v>9963</v>
      </c>
      <c r="F2971" s="3" t="s">
        <v>3245</v>
      </c>
      <c r="G2971" s="3" t="s">
        <v>57</v>
      </c>
      <c r="H2971" s="3" t="s">
        <v>9964</v>
      </c>
      <c r="I2971" s="3" t="s">
        <v>9965</v>
      </c>
      <c r="J2971" s="3" t="s">
        <v>9966</v>
      </c>
      <c r="K2971" s="3" t="s">
        <v>28</v>
      </c>
      <c r="L2971" s="3" t="s">
        <v>28</v>
      </c>
      <c r="M2971" s="3" t="s">
        <v>28</v>
      </c>
      <c r="N2971" s="3" t="s">
        <v>28</v>
      </c>
      <c r="O2971" s="3" t="s">
        <v>27</v>
      </c>
      <c r="P2971" s="3" t="s">
        <v>27</v>
      </c>
      <c r="Q2971" s="3" t="s">
        <v>28</v>
      </c>
      <c r="R2971" s="3" t="s">
        <v>28</v>
      </c>
      <c r="S2971" s="3" t="s">
        <v>28</v>
      </c>
      <c r="T2971" s="3" t="s">
        <v>28</v>
      </c>
    </row>
    <row r="2972" spans="1:20" ht="409.6">
      <c r="A2972" s="3">
        <v>2678083</v>
      </c>
      <c r="B2972" s="3">
        <f>HYPERLINK("https://platform.v2.vetology.net/cases/2678083/screening-report/6?type=pdf&amp;v=v6&amp;scorecard=1&amp;secret_key=BX%25IJ%24%2F65ieZ%29f6", 2678083)</f>
        <v>2678083</v>
      </c>
      <c r="C2972" s="3">
        <f>HYPERLINK("https://platform.v2.vetology.net/report/v/final/"&amp;2678083, 2678083)</f>
        <v>2678083</v>
      </c>
      <c r="D2972" s="3" t="s">
        <v>9967</v>
      </c>
      <c r="E2972" s="3" t="s">
        <v>9968</v>
      </c>
      <c r="F2972" s="3" t="s">
        <v>9969</v>
      </c>
      <c r="G2972" s="3" t="s">
        <v>566</v>
      </c>
      <c r="H2972" s="3" t="s">
        <v>9970</v>
      </c>
      <c r="I2972" s="3" t="s">
        <v>9343</v>
      </c>
      <c r="J2972" s="3" t="s">
        <v>9344</v>
      </c>
      <c r="K2972" s="3" t="s">
        <v>27</v>
      </c>
      <c r="L2972" s="3" t="s">
        <v>28</v>
      </c>
      <c r="M2972" s="3" t="s">
        <v>28</v>
      </c>
      <c r="N2972" s="3" t="s">
        <v>28</v>
      </c>
      <c r="O2972" s="3" t="s">
        <v>27</v>
      </c>
      <c r="P2972" s="3" t="s">
        <v>28</v>
      </c>
      <c r="Q2972" s="3" t="s">
        <v>28</v>
      </c>
      <c r="R2972" s="3" t="s">
        <v>28</v>
      </c>
      <c r="S2972" s="3" t="s">
        <v>27</v>
      </c>
      <c r="T2972" s="3" t="s">
        <v>27</v>
      </c>
    </row>
    <row r="2973" spans="1:20" ht="409.6">
      <c r="A2973" s="3">
        <v>2678077</v>
      </c>
      <c r="B2973" s="3">
        <f>HYPERLINK("https://platform.v2.vetology.net/cases/2678077/screening-report/6?type=pdf&amp;v=v6&amp;scorecard=1&amp;secret_key=BX%25IJ%24%2F65ieZ%29f6", 2678077)</f>
        <v>2678077</v>
      </c>
      <c r="C2973" s="3">
        <f>HYPERLINK("https://platform.v2.vetology.net/report/v/final/"&amp;2678077, 2678077)</f>
        <v>2678077</v>
      </c>
      <c r="D2973" s="3" t="s">
        <v>9971</v>
      </c>
      <c r="E2973" s="3" t="s">
        <v>9972</v>
      </c>
      <c r="F2973" s="3" t="s">
        <v>9973</v>
      </c>
      <c r="G2973" s="3" t="s">
        <v>1772</v>
      </c>
      <c r="H2973" s="3" t="s">
        <v>533</v>
      </c>
      <c r="I2973" s="3" t="s">
        <v>345</v>
      </c>
      <c r="J2973" s="3" t="s">
        <v>534</v>
      </c>
      <c r="K2973" s="3" t="s">
        <v>28</v>
      </c>
      <c r="L2973" s="3" t="s">
        <v>28</v>
      </c>
      <c r="M2973" s="3" t="s">
        <v>28</v>
      </c>
      <c r="N2973" s="3" t="s">
        <v>27</v>
      </c>
      <c r="O2973" s="3" t="s">
        <v>27</v>
      </c>
      <c r="P2973" s="3" t="s">
        <v>28</v>
      </c>
      <c r="Q2973" s="3" t="s">
        <v>28</v>
      </c>
      <c r="R2973" s="3" t="s">
        <v>28</v>
      </c>
      <c r="S2973" s="3" t="s">
        <v>27</v>
      </c>
      <c r="T2973" s="3" t="s">
        <v>27</v>
      </c>
    </row>
    <row r="2974" spans="1:20" ht="409.6">
      <c r="A2974" s="3">
        <v>2678045</v>
      </c>
      <c r="B2974" s="3">
        <f>HYPERLINK("https://platform.v2.vetology.net/cases/2678045/screening-report/6?type=pdf&amp;v=v6&amp;scorecard=1&amp;secret_key=BX%25IJ%24%2F65ieZ%29f6", 2678045)</f>
        <v>2678045</v>
      </c>
      <c r="C2974" s="3">
        <f>HYPERLINK("https://platform.v2.vetology.net/report/v/final/"&amp;2678045, 2678045)</f>
        <v>2678045</v>
      </c>
      <c r="D2974" s="3" t="s">
        <v>9974</v>
      </c>
      <c r="E2974" s="3" t="s">
        <v>9975</v>
      </c>
      <c r="F2974" s="3" t="s">
        <v>22</v>
      </c>
      <c r="G2974" s="3" t="s">
        <v>23</v>
      </c>
      <c r="H2974" s="3" t="s">
        <v>1482</v>
      </c>
      <c r="I2974" s="3" t="s">
        <v>1483</v>
      </c>
      <c r="J2974" s="3" t="s">
        <v>5778</v>
      </c>
      <c r="K2974" s="3" t="s">
        <v>28</v>
      </c>
      <c r="L2974" s="3" t="s">
        <v>28</v>
      </c>
      <c r="M2974" s="3" t="s">
        <v>28</v>
      </c>
      <c r="N2974" s="3" t="s">
        <v>28</v>
      </c>
      <c r="O2974" s="3" t="s">
        <v>27</v>
      </c>
      <c r="P2974" s="3" t="s">
        <v>28</v>
      </c>
      <c r="Q2974" s="3" t="s">
        <v>28</v>
      </c>
      <c r="R2974" s="3" t="s">
        <v>28</v>
      </c>
      <c r="S2974" s="3" t="s">
        <v>28</v>
      </c>
      <c r="T2974" s="3" t="s">
        <v>28</v>
      </c>
    </row>
    <row r="2975" spans="1:20" ht="409.6">
      <c r="A2975" s="3">
        <v>2678029</v>
      </c>
      <c r="B2975" s="3">
        <f>HYPERLINK("https://platform.v2.vetology.net/cases/2678029/screening-report/6?type=pdf&amp;v=v6&amp;scorecard=1&amp;secret_key=BX%25IJ%24%2F65ieZ%29f6", 2678029)</f>
        <v>2678029</v>
      </c>
      <c r="C2975" s="3">
        <f>HYPERLINK("https://platform.v2.vetology.net/report/v/final/"&amp;2678029, 2678029)</f>
        <v>2678029</v>
      </c>
      <c r="D2975" s="3" t="s">
        <v>9976</v>
      </c>
      <c r="E2975" s="3" t="s">
        <v>9977</v>
      </c>
      <c r="F2975" s="3" t="s">
        <v>9978</v>
      </c>
      <c r="G2975" s="3" t="s">
        <v>566</v>
      </c>
      <c r="H2975" s="3" t="s">
        <v>9979</v>
      </c>
      <c r="I2975" s="3" t="s">
        <v>194</v>
      </c>
      <c r="J2975" s="3" t="s">
        <v>195</v>
      </c>
      <c r="K2975" s="3" t="s">
        <v>28</v>
      </c>
      <c r="L2975" s="3" t="s">
        <v>28</v>
      </c>
      <c r="M2975" s="3" t="s">
        <v>28</v>
      </c>
      <c r="N2975" s="3" t="s">
        <v>27</v>
      </c>
      <c r="O2975" s="3" t="s">
        <v>27</v>
      </c>
      <c r="P2975" s="3" t="s">
        <v>27</v>
      </c>
      <c r="Q2975" s="3" t="s">
        <v>28</v>
      </c>
      <c r="R2975" s="3" t="s">
        <v>27</v>
      </c>
      <c r="S2975" s="3" t="s">
        <v>27</v>
      </c>
      <c r="T2975" s="3" t="s">
        <v>27</v>
      </c>
    </row>
    <row r="2976" spans="1:20" ht="321">
      <c r="A2976" s="3">
        <v>2677895</v>
      </c>
      <c r="B2976" s="3">
        <f>HYPERLINK("https://platform.v2.vetology.net/cases/2677895/screening-report/6?type=pdf&amp;v=v6&amp;scorecard=1&amp;secret_key=BX%25IJ%24%2F65ieZ%29f6", 2677895)</f>
        <v>2677895</v>
      </c>
      <c r="C2976" s="3">
        <f>HYPERLINK("https://platform.v2.vetology.net/report/v/final/"&amp;2677895, 2677895)</f>
        <v>2677895</v>
      </c>
      <c r="D2976" s="3" t="s">
        <v>9980</v>
      </c>
      <c r="E2976" s="3" t="s">
        <v>9981</v>
      </c>
      <c r="F2976" s="3" t="s">
        <v>22</v>
      </c>
      <c r="G2976" s="3" t="s">
        <v>100</v>
      </c>
      <c r="H2976" s="3" t="s">
        <v>5310</v>
      </c>
      <c r="I2976" s="3" t="s">
        <v>1227</v>
      </c>
      <c r="J2976" s="3" t="s">
        <v>1228</v>
      </c>
      <c r="K2976" s="3" t="s">
        <v>28</v>
      </c>
      <c r="L2976" s="3" t="s">
        <v>28</v>
      </c>
      <c r="M2976" s="3" t="s">
        <v>28</v>
      </c>
      <c r="N2976" s="3" t="s">
        <v>27</v>
      </c>
      <c r="O2976" s="3" t="s">
        <v>28</v>
      </c>
      <c r="P2976" s="3" t="s">
        <v>28</v>
      </c>
      <c r="Q2976" s="3" t="s">
        <v>28</v>
      </c>
      <c r="R2976" s="3" t="s">
        <v>28</v>
      </c>
      <c r="S2976" s="3" t="s">
        <v>28</v>
      </c>
      <c r="T2976" s="3" t="s">
        <v>27</v>
      </c>
    </row>
    <row r="2977" spans="1:20" ht="409.6">
      <c r="A2977" s="3">
        <v>2677889</v>
      </c>
      <c r="B2977" s="3">
        <f>HYPERLINK("https://platform.v2.vetology.net/cases/2677889/screening-report/6?type=pdf&amp;v=v6&amp;scorecard=1&amp;secret_key=BX%25IJ%24%2F65ieZ%29f6", 2677889)</f>
        <v>2677889</v>
      </c>
      <c r="C2977" s="3">
        <f>HYPERLINK("https://platform.v2.vetology.net/report/v/final/"&amp;2677889, 2677889)</f>
        <v>2677889</v>
      </c>
      <c r="D2977" s="3" t="s">
        <v>9982</v>
      </c>
      <c r="E2977" s="3" t="s">
        <v>9983</v>
      </c>
      <c r="F2977" s="3" t="s">
        <v>22</v>
      </c>
      <c r="G2977" s="3" t="s">
        <v>372</v>
      </c>
      <c r="H2977" s="3" t="s">
        <v>9984</v>
      </c>
      <c r="I2977" s="3" t="s">
        <v>659</v>
      </c>
      <c r="J2977" s="3" t="s">
        <v>660</v>
      </c>
      <c r="K2977" s="3" t="s">
        <v>28</v>
      </c>
      <c r="L2977" s="3" t="s">
        <v>28</v>
      </c>
      <c r="M2977" s="3" t="s">
        <v>28</v>
      </c>
      <c r="N2977" s="3" t="s">
        <v>28</v>
      </c>
      <c r="O2977" s="3" t="s">
        <v>27</v>
      </c>
      <c r="P2977" s="3" t="s">
        <v>28</v>
      </c>
      <c r="Q2977" s="3" t="s">
        <v>28</v>
      </c>
      <c r="R2977" s="3" t="s">
        <v>28</v>
      </c>
      <c r="S2977" s="3" t="s">
        <v>28</v>
      </c>
      <c r="T2977" s="3" t="s">
        <v>28</v>
      </c>
    </row>
    <row r="2978" spans="1:20" ht="321">
      <c r="A2978" s="3">
        <v>2677887</v>
      </c>
      <c r="B2978" s="3">
        <f>HYPERLINK("https://platform.v2.vetology.net/cases/2677887/screening-report/6?type=pdf&amp;v=v6&amp;scorecard=1&amp;secret_key=BX%25IJ%24%2F65ieZ%29f6", 2677887)</f>
        <v>2677887</v>
      </c>
      <c r="C2978" s="3">
        <f>HYPERLINK("https://platform.v2.vetology.net/report/v/final/"&amp;2677887, 2677887)</f>
        <v>2677887</v>
      </c>
      <c r="D2978" s="3" t="s">
        <v>9985</v>
      </c>
      <c r="E2978" s="3" t="s">
        <v>9986</v>
      </c>
      <c r="F2978" s="3" t="s">
        <v>9987</v>
      </c>
      <c r="G2978" s="3" t="s">
        <v>186</v>
      </c>
      <c r="H2978" s="3" t="s">
        <v>2497</v>
      </c>
      <c r="I2978" s="3" t="s">
        <v>2498</v>
      </c>
      <c r="J2978" s="3" t="s">
        <v>2499</v>
      </c>
      <c r="K2978" s="3" t="s">
        <v>28</v>
      </c>
      <c r="L2978" s="3" t="s">
        <v>28</v>
      </c>
      <c r="M2978" s="3" t="s">
        <v>28</v>
      </c>
      <c r="N2978" s="3" t="s">
        <v>28</v>
      </c>
      <c r="O2978" s="3" t="s">
        <v>27</v>
      </c>
      <c r="P2978" s="3" t="s">
        <v>28</v>
      </c>
      <c r="Q2978" s="3" t="s">
        <v>27</v>
      </c>
      <c r="R2978" s="3" t="s">
        <v>28</v>
      </c>
      <c r="S2978" s="3" t="s">
        <v>28</v>
      </c>
      <c r="T2978" s="3" t="s">
        <v>27</v>
      </c>
    </row>
    <row r="2979" spans="1:20" ht="305.25">
      <c r="A2979" s="3">
        <v>2677874</v>
      </c>
      <c r="B2979" s="3">
        <f>HYPERLINK("https://platform.v2.vetology.net/cases/2677874/screening-report/6?type=pdf&amp;v=v6&amp;scorecard=1&amp;secret_key=BX%25IJ%24%2F65ieZ%29f6", 2677874)</f>
        <v>2677874</v>
      </c>
      <c r="C2979" s="3">
        <f>HYPERLINK("https://platform.v2.vetology.net/report/v/final/"&amp;2677874, 2677874)</f>
        <v>2677874</v>
      </c>
      <c r="D2979" s="3" t="s">
        <v>9988</v>
      </c>
      <c r="E2979" s="3" t="s">
        <v>9989</v>
      </c>
      <c r="F2979" s="3" t="s">
        <v>9990</v>
      </c>
      <c r="G2979" s="3" t="s">
        <v>186</v>
      </c>
      <c r="H2979" s="3" t="s">
        <v>445</v>
      </c>
      <c r="I2979" s="3" t="s">
        <v>446</v>
      </c>
      <c r="J2979" s="3" t="s">
        <v>447</v>
      </c>
      <c r="K2979" s="3" t="s">
        <v>28</v>
      </c>
      <c r="L2979" s="3" t="s">
        <v>28</v>
      </c>
      <c r="M2979" s="3" t="s">
        <v>28</v>
      </c>
      <c r="N2979" s="3" t="s">
        <v>28</v>
      </c>
      <c r="O2979" s="3" t="s">
        <v>27</v>
      </c>
      <c r="P2979" s="3" t="s">
        <v>27</v>
      </c>
      <c r="Q2979" s="3" t="s">
        <v>27</v>
      </c>
      <c r="R2979" s="3" t="s">
        <v>28</v>
      </c>
      <c r="S2979" s="3" t="s">
        <v>27</v>
      </c>
      <c r="T2979" s="3" t="s">
        <v>28</v>
      </c>
    </row>
    <row r="2980" spans="1:20" ht="321">
      <c r="A2980" s="3">
        <v>2677851</v>
      </c>
      <c r="B2980" s="3">
        <f>HYPERLINK("https://platform.v2.vetology.net/cases/2677851/screening-report/6?type=pdf&amp;v=v6&amp;scorecard=1&amp;secret_key=BX%25IJ%24%2F65ieZ%29f6", 2677851)</f>
        <v>2677851</v>
      </c>
      <c r="C2980" s="3">
        <f>HYPERLINK("https://platform.v2.vetology.net/report/v/final/"&amp;2677851, 2677851)</f>
        <v>2677851</v>
      </c>
      <c r="D2980" s="3" t="s">
        <v>9991</v>
      </c>
      <c r="E2980" s="3" t="s">
        <v>9992</v>
      </c>
      <c r="F2980" s="3" t="s">
        <v>1762</v>
      </c>
      <c r="G2980" s="3" t="s">
        <v>100</v>
      </c>
      <c r="H2980" s="3" t="s">
        <v>9993</v>
      </c>
      <c r="I2980" s="3" t="s">
        <v>9994</v>
      </c>
      <c r="J2980" s="3" t="s">
        <v>9995</v>
      </c>
      <c r="K2980" s="3" t="s">
        <v>28</v>
      </c>
      <c r="L2980" s="3" t="s">
        <v>27</v>
      </c>
      <c r="M2980" s="3" t="s">
        <v>27</v>
      </c>
      <c r="N2980" s="3" t="s">
        <v>28</v>
      </c>
      <c r="O2980" s="3" t="s">
        <v>27</v>
      </c>
      <c r="P2980" s="3" t="s">
        <v>27</v>
      </c>
      <c r="Q2980" s="3" t="s">
        <v>27</v>
      </c>
      <c r="R2980" s="3" t="s">
        <v>28</v>
      </c>
      <c r="S2980" s="3" t="s">
        <v>27</v>
      </c>
      <c r="T2980" s="3" t="s">
        <v>28</v>
      </c>
    </row>
    <row r="2981" spans="1:20" ht="366">
      <c r="A2981" s="3">
        <v>2677846</v>
      </c>
      <c r="B2981" s="3">
        <f>HYPERLINK("https://platform.v2.vetology.net/cases/2677846/screening-report/6?type=pdf&amp;v=v6&amp;scorecard=1&amp;secret_key=BX%25IJ%24%2F65ieZ%29f6", 2677846)</f>
        <v>2677846</v>
      </c>
      <c r="C2981" s="3">
        <f>HYPERLINK("https://platform.v2.vetology.net/report/v/final/"&amp;2677846, 2677846)</f>
        <v>2677846</v>
      </c>
      <c r="D2981" s="3" t="s">
        <v>9996</v>
      </c>
      <c r="E2981" s="3" t="s">
        <v>9997</v>
      </c>
      <c r="F2981" s="3" t="s">
        <v>772</v>
      </c>
      <c r="G2981" s="3" t="s">
        <v>57</v>
      </c>
      <c r="H2981" s="3" t="s">
        <v>9998</v>
      </c>
      <c r="I2981" s="3" t="s">
        <v>993</v>
      </c>
      <c r="J2981" s="3" t="s">
        <v>994</v>
      </c>
      <c r="K2981" s="3" t="s">
        <v>28</v>
      </c>
      <c r="L2981" s="3" t="s">
        <v>28</v>
      </c>
      <c r="M2981" s="3" t="s">
        <v>28</v>
      </c>
      <c r="N2981" s="3" t="s">
        <v>28</v>
      </c>
      <c r="O2981" s="3" t="s">
        <v>28</v>
      </c>
      <c r="P2981" s="3" t="s">
        <v>28</v>
      </c>
      <c r="Q2981" s="3" t="s">
        <v>28</v>
      </c>
      <c r="R2981" s="3" t="s">
        <v>28</v>
      </c>
      <c r="S2981" s="3" t="s">
        <v>28</v>
      </c>
      <c r="T2981" s="3" t="s">
        <v>28</v>
      </c>
    </row>
    <row r="2982" spans="1:20" ht="290.25">
      <c r="A2982" s="3">
        <v>2677845</v>
      </c>
      <c r="B2982" s="3">
        <f>HYPERLINK("https://platform.v2.vetology.net/cases/2677845/screening-report/6?type=pdf&amp;v=v6&amp;scorecard=1&amp;secret_key=BX%25IJ%24%2F65ieZ%29f6", 2677845)</f>
        <v>2677845</v>
      </c>
      <c r="C2982" s="3">
        <f>HYPERLINK("https://platform.v2.vetology.net/report/v/final/"&amp;2677845, 2677845)</f>
        <v>2677845</v>
      </c>
      <c r="D2982" s="3" t="s">
        <v>9999</v>
      </c>
      <c r="E2982" s="3" t="s">
        <v>10000</v>
      </c>
      <c r="F2982" s="3" t="s">
        <v>22</v>
      </c>
      <c r="G2982" s="3" t="s">
        <v>23</v>
      </c>
      <c r="H2982" s="3" t="s">
        <v>10001</v>
      </c>
      <c r="I2982" s="3" t="s">
        <v>316</v>
      </c>
      <c r="J2982" s="3" t="s">
        <v>317</v>
      </c>
      <c r="K2982" s="3" t="s">
        <v>27</v>
      </c>
      <c r="L2982" s="3" t="s">
        <v>28</v>
      </c>
      <c r="M2982" s="3" t="s">
        <v>28</v>
      </c>
      <c r="N2982" s="3" t="s">
        <v>28</v>
      </c>
      <c r="O2982" s="3" t="s">
        <v>27</v>
      </c>
      <c r="P2982" s="3" t="s">
        <v>28</v>
      </c>
      <c r="Q2982" s="3" t="s">
        <v>28</v>
      </c>
      <c r="R2982" s="3" t="s">
        <v>28</v>
      </c>
      <c r="S2982" s="3" t="s">
        <v>28</v>
      </c>
      <c r="T2982" s="3" t="s">
        <v>28</v>
      </c>
    </row>
    <row r="2983" spans="1:20" ht="336">
      <c r="A2983" s="3">
        <v>2677836</v>
      </c>
      <c r="B2983" s="3">
        <f>HYPERLINK("https://platform.v2.vetology.net/cases/2677836/screening-report/6?type=pdf&amp;v=v6&amp;scorecard=1&amp;secret_key=BX%25IJ%24%2F65ieZ%29f6", 2677836)</f>
        <v>2677836</v>
      </c>
      <c r="C2983" s="3">
        <f>HYPERLINK("https://platform.v2.vetology.net/report/v/final/"&amp;2677836, 2677836)</f>
        <v>2677836</v>
      </c>
      <c r="D2983" s="3" t="s">
        <v>10002</v>
      </c>
      <c r="E2983" s="3" t="s">
        <v>10003</v>
      </c>
      <c r="F2983" s="3" t="s">
        <v>22</v>
      </c>
      <c r="G2983" s="3" t="s">
        <v>23</v>
      </c>
      <c r="H2983" s="3" t="s">
        <v>10004</v>
      </c>
      <c r="I2983" s="3" t="s">
        <v>124</v>
      </c>
      <c r="J2983" s="3" t="s">
        <v>125</v>
      </c>
      <c r="K2983" s="3" t="s">
        <v>27</v>
      </c>
      <c r="L2983" s="3" t="s">
        <v>28</v>
      </c>
      <c r="M2983" s="3" t="s">
        <v>28</v>
      </c>
      <c r="N2983" s="3" t="s">
        <v>28</v>
      </c>
      <c r="O2983" s="3" t="s">
        <v>27</v>
      </c>
      <c r="P2983" s="3" t="s">
        <v>28</v>
      </c>
      <c r="Q2983" s="3" t="s">
        <v>28</v>
      </c>
      <c r="R2983" s="3" t="s">
        <v>28</v>
      </c>
      <c r="S2983" s="3" t="s">
        <v>28</v>
      </c>
      <c r="T2983" s="3" t="s">
        <v>28</v>
      </c>
    </row>
    <row r="2984" spans="1:20" ht="336">
      <c r="A2984" s="3">
        <v>2677819</v>
      </c>
      <c r="B2984" s="3">
        <f>HYPERLINK("https://platform.v2.vetology.net/cases/2677819/screening-report/6?type=pdf&amp;v=v6&amp;scorecard=1&amp;secret_key=BX%25IJ%24%2F65ieZ%29f6", 2677819)</f>
        <v>2677819</v>
      </c>
      <c r="C2984" s="3">
        <f>HYPERLINK("https://platform.v2.vetology.net/report/v/final/"&amp;2677819, 2677819)</f>
        <v>2677819</v>
      </c>
      <c r="D2984" s="3" t="s">
        <v>10005</v>
      </c>
      <c r="E2984" s="3" t="s">
        <v>10006</v>
      </c>
      <c r="F2984" s="3" t="s">
        <v>10007</v>
      </c>
      <c r="G2984" s="3" t="s">
        <v>179</v>
      </c>
      <c r="H2984" s="3" t="s">
        <v>10008</v>
      </c>
      <c r="I2984" s="3" t="s">
        <v>4303</v>
      </c>
      <c r="J2984" s="3" t="s">
        <v>363</v>
      </c>
      <c r="K2984" s="3" t="s">
        <v>27</v>
      </c>
      <c r="L2984" s="3" t="s">
        <v>27</v>
      </c>
      <c r="M2984" s="3" t="s">
        <v>27</v>
      </c>
      <c r="N2984" s="3" t="s">
        <v>27</v>
      </c>
      <c r="O2984" s="3" t="s">
        <v>27</v>
      </c>
      <c r="P2984" s="3" t="s">
        <v>27</v>
      </c>
      <c r="Q2984" s="3" t="s">
        <v>27</v>
      </c>
      <c r="R2984" s="3" t="s">
        <v>28</v>
      </c>
      <c r="S2984" s="3" t="s">
        <v>27</v>
      </c>
      <c r="T2984" s="3" t="s">
        <v>28</v>
      </c>
    </row>
    <row r="2985" spans="1:20" ht="396.75">
      <c r="A2985" s="3">
        <v>2677810</v>
      </c>
      <c r="B2985" s="3">
        <f>HYPERLINK("https://platform.v2.vetology.net/cases/2677810/screening-report/6?type=pdf&amp;v=v6&amp;scorecard=1&amp;secret_key=BX%25IJ%24%2F65ieZ%29f6", 2677810)</f>
        <v>2677810</v>
      </c>
      <c r="C2985" s="3">
        <f>HYPERLINK("https://platform.v2.vetology.net/report/v/final/"&amp;2677810, 2677810)</f>
        <v>2677810</v>
      </c>
      <c r="D2985" s="3" t="s">
        <v>10009</v>
      </c>
      <c r="E2985" s="3" t="s">
        <v>10010</v>
      </c>
      <c r="F2985" s="3" t="s">
        <v>56</v>
      </c>
      <c r="G2985" s="3" t="s">
        <v>57</v>
      </c>
      <c r="H2985" s="3" t="s">
        <v>1482</v>
      </c>
      <c r="I2985" s="3" t="s">
        <v>1483</v>
      </c>
      <c r="J2985" s="3" t="s">
        <v>5778</v>
      </c>
      <c r="K2985" s="3" t="s">
        <v>28</v>
      </c>
      <c r="L2985" s="3" t="s">
        <v>28</v>
      </c>
      <c r="M2985" s="3" t="s">
        <v>28</v>
      </c>
      <c r="N2985" s="3" t="s">
        <v>28</v>
      </c>
      <c r="O2985" s="3" t="s">
        <v>27</v>
      </c>
      <c r="P2985" s="3" t="s">
        <v>28</v>
      </c>
      <c r="Q2985" s="3" t="s">
        <v>28</v>
      </c>
      <c r="R2985" s="3" t="s">
        <v>28</v>
      </c>
      <c r="S2985" s="3" t="s">
        <v>28</v>
      </c>
      <c r="T2985" s="3" t="s">
        <v>27</v>
      </c>
    </row>
    <row r="2986" spans="1:20" ht="409.6">
      <c r="A2986" s="3">
        <v>2677779</v>
      </c>
      <c r="B2986" s="3">
        <f>HYPERLINK("https://platform.v2.vetology.net/cases/2677779/screening-report/6?type=pdf&amp;v=v6&amp;scorecard=1&amp;secret_key=BX%25IJ%24%2F65ieZ%29f6", 2677779)</f>
        <v>2677779</v>
      </c>
      <c r="C2986" s="3">
        <f>HYPERLINK("https://platform.v2.vetology.net/report/v/final/"&amp;2677779, 2677779)</f>
        <v>2677779</v>
      </c>
      <c r="D2986" s="3" t="s">
        <v>10011</v>
      </c>
      <c r="E2986" s="3" t="s">
        <v>10012</v>
      </c>
      <c r="F2986" s="3" t="s">
        <v>10013</v>
      </c>
      <c r="G2986" s="3" t="s">
        <v>186</v>
      </c>
      <c r="H2986" s="3" t="s">
        <v>677</v>
      </c>
      <c r="I2986" s="3" t="s">
        <v>678</v>
      </c>
      <c r="J2986" s="3" t="s">
        <v>1264</v>
      </c>
      <c r="K2986" s="3" t="s">
        <v>27</v>
      </c>
      <c r="L2986" s="3" t="s">
        <v>27</v>
      </c>
      <c r="M2986" s="3" t="s">
        <v>28</v>
      </c>
      <c r="N2986" s="3" t="s">
        <v>27</v>
      </c>
      <c r="O2986" s="3" t="s">
        <v>27</v>
      </c>
      <c r="P2986" s="3" t="s">
        <v>28</v>
      </c>
      <c r="Q2986" s="3" t="s">
        <v>28</v>
      </c>
      <c r="R2986" s="3" t="s">
        <v>27</v>
      </c>
      <c r="S2986" s="3" t="s">
        <v>27</v>
      </c>
      <c r="T2986" s="3" t="s">
        <v>27</v>
      </c>
    </row>
    <row r="2987" spans="1:20" ht="229.5">
      <c r="A2987" s="3">
        <v>2677754</v>
      </c>
      <c r="B2987" s="3">
        <f>HYPERLINK("https://platform.v2.vetology.net/cases/2677754/screening-report/6?type=pdf&amp;v=v6&amp;scorecard=1&amp;secret_key=BX%25IJ%24%2F65ieZ%29f6", 2677754)</f>
        <v>2677754</v>
      </c>
      <c r="C2987" s="3">
        <f>HYPERLINK("https://platform.v2.vetology.net/report/v/final/"&amp;2677754, 2677754)</f>
        <v>2677754</v>
      </c>
      <c r="D2987" s="3" t="s">
        <v>10014</v>
      </c>
      <c r="E2987" s="3" t="s">
        <v>10015</v>
      </c>
      <c r="F2987" s="3" t="s">
        <v>1762</v>
      </c>
      <c r="G2987" s="3" t="s">
        <v>100</v>
      </c>
      <c r="H2987" s="3" t="s">
        <v>908</v>
      </c>
      <c r="I2987" s="3" t="s">
        <v>7808</v>
      </c>
      <c r="J2987" s="3" t="s">
        <v>7809</v>
      </c>
      <c r="K2987" s="3" t="s">
        <v>28</v>
      </c>
      <c r="L2987" s="3" t="s">
        <v>28</v>
      </c>
      <c r="M2987" s="3" t="s">
        <v>28</v>
      </c>
      <c r="N2987" s="3" t="s">
        <v>28</v>
      </c>
      <c r="O2987" s="3" t="s">
        <v>28</v>
      </c>
      <c r="P2987" s="3" t="s">
        <v>28</v>
      </c>
      <c r="Q2987" s="3" t="s">
        <v>28</v>
      </c>
      <c r="R2987" s="3" t="s">
        <v>28</v>
      </c>
      <c r="S2987" s="3" t="s">
        <v>28</v>
      </c>
      <c r="T2987" s="3" t="s">
        <v>28</v>
      </c>
    </row>
    <row r="2988" spans="1:20" ht="409.6">
      <c r="A2988" s="3">
        <v>2677733</v>
      </c>
      <c r="B2988" s="3">
        <f>HYPERLINK("https://platform.v2.vetology.net/cases/2677733/screening-report/6?type=pdf&amp;v=v6&amp;scorecard=1&amp;secret_key=BX%25IJ%24%2F65ieZ%29f6", 2677733)</f>
        <v>2677733</v>
      </c>
      <c r="C2988" s="3">
        <f>HYPERLINK("https://platform.v2.vetology.net/report/v/final/"&amp;2677733, 2677733)</f>
        <v>2677733</v>
      </c>
      <c r="D2988" s="3" t="s">
        <v>10016</v>
      </c>
      <c r="E2988" s="3" t="s">
        <v>10017</v>
      </c>
      <c r="F2988" s="3" t="s">
        <v>10018</v>
      </c>
      <c r="G2988" s="3" t="s">
        <v>186</v>
      </c>
      <c r="H2988" s="3" t="s">
        <v>10019</v>
      </c>
      <c r="I2988" s="3" t="s">
        <v>32</v>
      </c>
      <c r="J2988" s="3" t="s">
        <v>578</v>
      </c>
      <c r="K2988" s="3" t="s">
        <v>27</v>
      </c>
      <c r="L2988" s="3" t="s">
        <v>28</v>
      </c>
      <c r="M2988" s="3" t="s">
        <v>28</v>
      </c>
      <c r="N2988" s="3" t="s">
        <v>28</v>
      </c>
      <c r="O2988" s="3" t="s">
        <v>27</v>
      </c>
      <c r="P2988" s="3" t="s">
        <v>28</v>
      </c>
      <c r="Q2988" s="3" t="s">
        <v>27</v>
      </c>
      <c r="R2988" s="3" t="s">
        <v>28</v>
      </c>
      <c r="S2988" s="3" t="s">
        <v>28</v>
      </c>
      <c r="T2988" s="3" t="s">
        <v>28</v>
      </c>
    </row>
    <row r="2989" spans="1:20" ht="409.6">
      <c r="A2989" s="3">
        <v>2677722</v>
      </c>
      <c r="B2989" s="3">
        <f>HYPERLINK("https://platform.v2.vetology.net/cases/2677722/screening-report/6?type=pdf&amp;v=v6&amp;scorecard=1&amp;secret_key=BX%25IJ%24%2F65ieZ%29f6", 2677722)</f>
        <v>2677722</v>
      </c>
      <c r="C2989" s="3">
        <f>HYPERLINK("https://platform.v2.vetology.net/report/v/final/"&amp;2677722, 2677722)</f>
        <v>2677722</v>
      </c>
      <c r="D2989" s="3" t="s">
        <v>10020</v>
      </c>
      <c r="E2989" s="3" t="s">
        <v>1089</v>
      </c>
      <c r="F2989" s="3" t="s">
        <v>1090</v>
      </c>
      <c r="G2989" s="3" t="s">
        <v>100</v>
      </c>
      <c r="H2989" s="3" t="s">
        <v>3407</v>
      </c>
      <c r="I2989" s="3" t="s">
        <v>520</v>
      </c>
      <c r="J2989" s="3" t="s">
        <v>335</v>
      </c>
      <c r="K2989" s="3" t="s">
        <v>28</v>
      </c>
      <c r="L2989" s="3" t="s">
        <v>28</v>
      </c>
      <c r="M2989" s="3" t="s">
        <v>28</v>
      </c>
      <c r="N2989" s="3" t="s">
        <v>28</v>
      </c>
      <c r="O2989" s="3" t="s">
        <v>27</v>
      </c>
      <c r="P2989" s="3" t="s">
        <v>28</v>
      </c>
      <c r="Q2989" s="3" t="s">
        <v>28</v>
      </c>
      <c r="R2989" s="3" t="s">
        <v>28</v>
      </c>
      <c r="S2989" s="3" t="s">
        <v>28</v>
      </c>
      <c r="T2989" s="3" t="s">
        <v>28</v>
      </c>
    </row>
    <row r="2990" spans="1:20" ht="409.6">
      <c r="A2990" s="3">
        <v>2677703</v>
      </c>
      <c r="B2990" s="3">
        <f>HYPERLINK("https://platform.v2.vetology.net/cases/2677703/screening-report/6?type=pdf&amp;v=v6&amp;scorecard=1&amp;secret_key=BX%25IJ%24%2F65ieZ%29f6", 2677703)</f>
        <v>2677703</v>
      </c>
      <c r="C2990" s="3">
        <f>HYPERLINK("https://platform.v2.vetology.net/report/v/final/"&amp;2677703, 2677703)</f>
        <v>2677703</v>
      </c>
      <c r="D2990" s="3" t="s">
        <v>10021</v>
      </c>
      <c r="E2990" s="3" t="s">
        <v>10022</v>
      </c>
      <c r="F2990" s="3" t="s">
        <v>10023</v>
      </c>
      <c r="G2990" s="3" t="s">
        <v>179</v>
      </c>
      <c r="H2990" s="3" t="s">
        <v>36</v>
      </c>
      <c r="I2990" s="3" t="s">
        <v>37</v>
      </c>
      <c r="J2990" s="3" t="s">
        <v>38</v>
      </c>
      <c r="K2990" s="3" t="s">
        <v>28</v>
      </c>
      <c r="L2990" s="3" t="s">
        <v>28</v>
      </c>
      <c r="M2990" s="3" t="s">
        <v>28</v>
      </c>
      <c r="N2990" s="3" t="s">
        <v>28</v>
      </c>
      <c r="O2990" s="3" t="s">
        <v>27</v>
      </c>
      <c r="P2990" s="3" t="s">
        <v>28</v>
      </c>
      <c r="Q2990" s="3" t="s">
        <v>28</v>
      </c>
      <c r="R2990" s="3" t="s">
        <v>28</v>
      </c>
      <c r="S2990" s="3" t="s">
        <v>28</v>
      </c>
      <c r="T2990" s="3" t="s">
        <v>28</v>
      </c>
    </row>
    <row r="2991" spans="1:20" ht="409.6">
      <c r="A2991" s="3">
        <v>2677694</v>
      </c>
      <c r="B2991" s="3">
        <f>HYPERLINK("https://platform.v2.vetology.net/cases/2677694/screening-report/6?type=pdf&amp;v=v6&amp;scorecard=1&amp;secret_key=BX%25IJ%24%2F65ieZ%29f6", 2677694)</f>
        <v>2677694</v>
      </c>
      <c r="C2991" s="3">
        <f>HYPERLINK("https://platform.v2.vetology.net/report/v/final/"&amp;2677694, 2677694)</f>
        <v>2677694</v>
      </c>
      <c r="D2991" s="3" t="s">
        <v>10024</v>
      </c>
      <c r="E2991" s="3" t="s">
        <v>10025</v>
      </c>
      <c r="F2991" s="3" t="s">
        <v>10026</v>
      </c>
      <c r="G2991" s="3" t="s">
        <v>186</v>
      </c>
      <c r="H2991" s="3" t="s">
        <v>10027</v>
      </c>
      <c r="I2991" s="3" t="s">
        <v>285</v>
      </c>
      <c r="J2991" s="3" t="s">
        <v>2264</v>
      </c>
      <c r="K2991" s="3" t="s">
        <v>28</v>
      </c>
      <c r="L2991" s="3" t="s">
        <v>28</v>
      </c>
      <c r="M2991" s="3" t="s">
        <v>28</v>
      </c>
      <c r="N2991" s="3" t="s">
        <v>28</v>
      </c>
      <c r="O2991" s="3" t="s">
        <v>27</v>
      </c>
      <c r="P2991" s="3" t="s">
        <v>28</v>
      </c>
      <c r="Q2991" s="3" t="s">
        <v>28</v>
      </c>
      <c r="R2991" s="3" t="s">
        <v>28</v>
      </c>
      <c r="S2991" s="3" t="s">
        <v>27</v>
      </c>
      <c r="T2991" s="3" t="s">
        <v>28</v>
      </c>
    </row>
    <row r="2992" spans="1:20" ht="396.75">
      <c r="A2992" s="3">
        <v>2677623</v>
      </c>
      <c r="B2992" s="3">
        <f>HYPERLINK("https://platform.v2.vetology.net/cases/2677623/screening-report/6?type=pdf&amp;v=v6&amp;scorecard=1&amp;secret_key=BX%25IJ%24%2F65ieZ%29f6", 2677623)</f>
        <v>2677623</v>
      </c>
      <c r="C2992" s="3">
        <f>HYPERLINK("https://platform.v2.vetology.net/report/v/final/"&amp;2677623, 2677623)</f>
        <v>2677623</v>
      </c>
      <c r="D2992" s="3" t="s">
        <v>10028</v>
      </c>
      <c r="E2992" s="3" t="s">
        <v>10029</v>
      </c>
      <c r="F2992" s="3" t="s">
        <v>3245</v>
      </c>
      <c r="G2992" s="3" t="s">
        <v>57</v>
      </c>
      <c r="H2992" s="3" t="s">
        <v>1097</v>
      </c>
      <c r="I2992" s="3" t="s">
        <v>469</v>
      </c>
      <c r="J2992" s="3" t="s">
        <v>470</v>
      </c>
      <c r="K2992" s="3" t="s">
        <v>28</v>
      </c>
      <c r="L2992" s="3" t="s">
        <v>28</v>
      </c>
      <c r="M2992" s="3" t="s">
        <v>28</v>
      </c>
      <c r="N2992" s="3" t="s">
        <v>28</v>
      </c>
      <c r="O2992" s="3" t="s">
        <v>27</v>
      </c>
      <c r="P2992" s="3" t="s">
        <v>28</v>
      </c>
      <c r="Q2992" s="3" t="s">
        <v>28</v>
      </c>
      <c r="R2992" s="3" t="s">
        <v>28</v>
      </c>
      <c r="S2992" s="3" t="s">
        <v>28</v>
      </c>
      <c r="T2992" s="3" t="s">
        <v>28</v>
      </c>
    </row>
    <row r="2993" spans="1:20" ht="409.6">
      <c r="A2993" s="3">
        <v>2677603</v>
      </c>
      <c r="B2993" s="3">
        <f>HYPERLINK("https://platform.v2.vetology.net/cases/2677603/screening-report/6?type=pdf&amp;v=v6&amp;scorecard=1&amp;secret_key=BX%25IJ%24%2F65ieZ%29f6", 2677603)</f>
        <v>2677603</v>
      </c>
      <c r="C2993" s="3">
        <f>HYPERLINK("https://platform.v2.vetology.net/report/v/final/"&amp;2677603, 2677603)</f>
        <v>2677603</v>
      </c>
      <c r="D2993" s="3" t="s">
        <v>10030</v>
      </c>
      <c r="E2993" s="3" t="s">
        <v>10031</v>
      </c>
      <c r="F2993" s="3" t="s">
        <v>10032</v>
      </c>
      <c r="G2993" s="3" t="s">
        <v>186</v>
      </c>
      <c r="H2993" s="3" t="s">
        <v>5117</v>
      </c>
      <c r="I2993" s="3" t="s">
        <v>659</v>
      </c>
      <c r="J2993" s="3" t="s">
        <v>660</v>
      </c>
      <c r="K2993" s="3" t="s">
        <v>28</v>
      </c>
      <c r="L2993" s="3" t="s">
        <v>28</v>
      </c>
      <c r="M2993" s="3" t="s">
        <v>28</v>
      </c>
      <c r="N2993" s="3" t="s">
        <v>28</v>
      </c>
      <c r="O2993" s="3" t="s">
        <v>27</v>
      </c>
      <c r="P2993" s="3" t="s">
        <v>28</v>
      </c>
      <c r="Q2993" s="3" t="s">
        <v>28</v>
      </c>
      <c r="R2993" s="3" t="s">
        <v>28</v>
      </c>
      <c r="S2993" s="3" t="s">
        <v>28</v>
      </c>
      <c r="T2993" s="3" t="s">
        <v>28</v>
      </c>
    </row>
    <row r="2994" spans="1:20" ht="290.25">
      <c r="A2994" s="3">
        <v>2677592</v>
      </c>
      <c r="B2994" s="3">
        <f>HYPERLINK("https://platform.v2.vetology.net/cases/2677592/screening-report/6?type=pdf&amp;v=v6&amp;scorecard=1&amp;secret_key=BX%25IJ%24%2F65ieZ%29f6", 2677592)</f>
        <v>2677592</v>
      </c>
      <c r="C2994" s="3">
        <f>HYPERLINK("https://platform.v2.vetology.net/report/v/final/"&amp;2677592, 2677592)</f>
        <v>2677592</v>
      </c>
      <c r="D2994" s="3" t="s">
        <v>10033</v>
      </c>
      <c r="E2994" s="3" t="s">
        <v>10034</v>
      </c>
      <c r="F2994" s="3" t="s">
        <v>10035</v>
      </c>
      <c r="G2994" s="3" t="s">
        <v>186</v>
      </c>
      <c r="H2994" s="3" t="s">
        <v>3824</v>
      </c>
      <c r="I2994" s="3" t="s">
        <v>316</v>
      </c>
      <c r="J2994" s="3" t="s">
        <v>317</v>
      </c>
      <c r="K2994" s="3" t="s">
        <v>27</v>
      </c>
      <c r="L2994" s="3" t="s">
        <v>28</v>
      </c>
      <c r="M2994" s="3" t="s">
        <v>28</v>
      </c>
      <c r="N2994" s="3" t="s">
        <v>28</v>
      </c>
      <c r="O2994" s="3" t="s">
        <v>27</v>
      </c>
      <c r="P2994" s="3" t="s">
        <v>28</v>
      </c>
      <c r="Q2994" s="3" t="s">
        <v>28</v>
      </c>
      <c r="R2994" s="3" t="s">
        <v>28</v>
      </c>
      <c r="S2994" s="3" t="s">
        <v>28</v>
      </c>
      <c r="T2994" s="3" t="s">
        <v>28</v>
      </c>
    </row>
    <row r="2995" spans="1:20" ht="336">
      <c r="A2995" s="3">
        <v>2677585</v>
      </c>
      <c r="B2995" s="3">
        <f>HYPERLINK("https://platform.v2.vetology.net/cases/2677585/screening-report/6?type=pdf&amp;v=v6&amp;scorecard=1&amp;secret_key=BX%25IJ%24%2F65ieZ%29f6", 2677585)</f>
        <v>2677585</v>
      </c>
      <c r="C2995" s="3">
        <f>HYPERLINK("https://platform.v2.vetology.net/report/v/final/"&amp;2677585, 2677585)</f>
        <v>2677585</v>
      </c>
      <c r="D2995" s="3" t="s">
        <v>10036</v>
      </c>
      <c r="E2995" s="3" t="s">
        <v>10037</v>
      </c>
      <c r="F2995" s="3" t="s">
        <v>10038</v>
      </c>
      <c r="G2995" s="3" t="s">
        <v>186</v>
      </c>
      <c r="H2995" s="3" t="s">
        <v>10039</v>
      </c>
      <c r="I2995" s="3" t="s">
        <v>718</v>
      </c>
      <c r="J2995" s="3" t="s">
        <v>719</v>
      </c>
      <c r="K2995" s="3" t="s">
        <v>28</v>
      </c>
      <c r="L2995" s="3" t="s">
        <v>28</v>
      </c>
      <c r="M2995" s="3" t="s">
        <v>28</v>
      </c>
      <c r="N2995" s="3" t="s">
        <v>28</v>
      </c>
      <c r="O2995" s="3" t="s">
        <v>27</v>
      </c>
      <c r="P2995" s="3" t="s">
        <v>28</v>
      </c>
      <c r="Q2995" s="3" t="s">
        <v>28</v>
      </c>
      <c r="R2995" s="3" t="s">
        <v>28</v>
      </c>
      <c r="S2995" s="3" t="s">
        <v>28</v>
      </c>
      <c r="T2995" s="3" t="s">
        <v>28</v>
      </c>
    </row>
    <row r="2996" spans="1:20" ht="409.6">
      <c r="A2996" s="3">
        <v>2677582</v>
      </c>
      <c r="B2996" s="3">
        <f>HYPERLINK("https://platform.v2.vetology.net/cases/2677582/screening-report/6?type=pdf&amp;v=v6&amp;scorecard=1&amp;secret_key=BX%25IJ%24%2F65ieZ%29f6", 2677582)</f>
        <v>2677582</v>
      </c>
      <c r="C2996" s="3">
        <f>HYPERLINK("https://platform.v2.vetology.net/report/v/final/"&amp;2677582, 2677582)</f>
        <v>2677582</v>
      </c>
      <c r="D2996" s="3" t="s">
        <v>10040</v>
      </c>
      <c r="E2996" s="3" t="s">
        <v>10041</v>
      </c>
      <c r="F2996" s="3" t="s">
        <v>10042</v>
      </c>
      <c r="G2996" s="3" t="s">
        <v>736</v>
      </c>
      <c r="H2996" s="3" t="s">
        <v>300</v>
      </c>
      <c r="I2996" s="3" t="s">
        <v>32</v>
      </c>
      <c r="J2996" s="3" t="s">
        <v>33</v>
      </c>
      <c r="K2996" s="3" t="s">
        <v>27</v>
      </c>
      <c r="L2996" s="3" t="s">
        <v>28</v>
      </c>
      <c r="M2996" s="3" t="s">
        <v>27</v>
      </c>
      <c r="N2996" s="3" t="s">
        <v>28</v>
      </c>
      <c r="O2996" s="3" t="s">
        <v>27</v>
      </c>
      <c r="P2996" s="3" t="s">
        <v>27</v>
      </c>
      <c r="Q2996" s="3" t="s">
        <v>28</v>
      </c>
      <c r="R2996" s="3" t="s">
        <v>28</v>
      </c>
      <c r="S2996" s="3" t="s">
        <v>28</v>
      </c>
      <c r="T2996" s="3" t="s">
        <v>27</v>
      </c>
    </row>
    <row r="2997" spans="1:20" ht="229.5">
      <c r="A2997" s="3">
        <v>2677568</v>
      </c>
      <c r="B2997" s="3">
        <f>HYPERLINK("https://platform.v2.vetology.net/cases/2677568/screening-report/6?type=pdf&amp;v=v6&amp;scorecard=1&amp;secret_key=BX%25IJ%24%2F65ieZ%29f6", 2677568)</f>
        <v>2677568</v>
      </c>
      <c r="C2997" s="3">
        <f>HYPERLINK("https://platform.v2.vetology.net/report/v/final/"&amp;2677568, 2677568)</f>
        <v>2677568</v>
      </c>
      <c r="D2997" s="3" t="s">
        <v>10043</v>
      </c>
      <c r="E2997" s="3" t="s">
        <v>10044</v>
      </c>
      <c r="F2997" s="3" t="s">
        <v>10045</v>
      </c>
      <c r="G2997" s="3" t="s">
        <v>179</v>
      </c>
      <c r="H2997" s="3" t="s">
        <v>241</v>
      </c>
      <c r="I2997" s="3"/>
      <c r="J2997" s="3" t="s">
        <v>207</v>
      </c>
      <c r="K2997" s="3" t="s">
        <v>28</v>
      </c>
      <c r="L2997" s="3" t="s">
        <v>28</v>
      </c>
      <c r="M2997" s="3" t="s">
        <v>28</v>
      </c>
      <c r="N2997" s="3" t="s">
        <v>28</v>
      </c>
      <c r="O2997" s="3" t="s">
        <v>27</v>
      </c>
      <c r="P2997" s="3" t="s">
        <v>28</v>
      </c>
      <c r="Q2997" s="3" t="s">
        <v>28</v>
      </c>
      <c r="R2997" s="3" t="s">
        <v>28</v>
      </c>
      <c r="S2997" s="3" t="s">
        <v>28</v>
      </c>
      <c r="T2997" s="3" t="s">
        <v>27</v>
      </c>
    </row>
    <row r="2998" spans="1:20" ht="336">
      <c r="A2998" s="3">
        <v>2677555</v>
      </c>
      <c r="B2998" s="3">
        <f>HYPERLINK("https://platform.v2.vetology.net/cases/2677555/screening-report/6?type=pdf&amp;v=v6&amp;scorecard=1&amp;secret_key=BX%25IJ%24%2F65ieZ%29f6", 2677555)</f>
        <v>2677555</v>
      </c>
      <c r="C2998" s="3">
        <f>HYPERLINK("https://platform.v2.vetology.net/report/v/final/"&amp;2677555, 2677555)</f>
        <v>2677555</v>
      </c>
      <c r="D2998" s="3" t="s">
        <v>10046</v>
      </c>
      <c r="E2998" s="3" t="s">
        <v>10047</v>
      </c>
      <c r="F2998" s="3" t="s">
        <v>10048</v>
      </c>
      <c r="G2998" s="3" t="s">
        <v>100</v>
      </c>
      <c r="H2998" s="3" t="s">
        <v>2077</v>
      </c>
      <c r="I2998" s="3" t="s">
        <v>2078</v>
      </c>
      <c r="J2998" s="3" t="s">
        <v>2079</v>
      </c>
      <c r="K2998" s="3" t="s">
        <v>28</v>
      </c>
      <c r="L2998" s="3" t="s">
        <v>28</v>
      </c>
      <c r="M2998" s="3" t="s">
        <v>28</v>
      </c>
      <c r="N2998" s="3" t="s">
        <v>28</v>
      </c>
      <c r="O2998" s="3" t="s">
        <v>27</v>
      </c>
      <c r="P2998" s="3" t="s">
        <v>28</v>
      </c>
      <c r="Q2998" s="3" t="s">
        <v>28</v>
      </c>
      <c r="R2998" s="3" t="s">
        <v>28</v>
      </c>
      <c r="S2998" s="3" t="s">
        <v>28</v>
      </c>
      <c r="T2998" s="3" t="s">
        <v>27</v>
      </c>
    </row>
    <row r="2999" spans="1:20" ht="290.25">
      <c r="A2999" s="3">
        <v>2677513</v>
      </c>
      <c r="B2999" s="3">
        <f>HYPERLINK("https://platform.v2.vetology.net/cases/2677513/screening-report/6?type=pdf&amp;v=v6&amp;scorecard=1&amp;secret_key=BX%25IJ%24%2F65ieZ%29f6", 2677513)</f>
        <v>2677513</v>
      </c>
      <c r="C2999" s="3">
        <f>HYPERLINK("https://platform.v2.vetology.net/report/v/final/"&amp;2677513, 2677513)</f>
        <v>2677513</v>
      </c>
      <c r="D2999" s="3" t="s">
        <v>10049</v>
      </c>
      <c r="E2999" s="3" t="s">
        <v>10050</v>
      </c>
      <c r="F2999" s="3" t="s">
        <v>10051</v>
      </c>
      <c r="G2999" s="3" t="s">
        <v>179</v>
      </c>
      <c r="H2999" s="3" t="s">
        <v>419</v>
      </c>
      <c r="I2999" s="3" t="s">
        <v>316</v>
      </c>
      <c r="J2999" s="3" t="s">
        <v>317</v>
      </c>
      <c r="K2999" s="3" t="s">
        <v>28</v>
      </c>
      <c r="L2999" s="3" t="s">
        <v>28</v>
      </c>
      <c r="M2999" s="3" t="s">
        <v>28</v>
      </c>
      <c r="N2999" s="3" t="s">
        <v>28</v>
      </c>
      <c r="O2999" s="3" t="s">
        <v>27</v>
      </c>
      <c r="P2999" s="3" t="s">
        <v>28</v>
      </c>
      <c r="Q2999" s="3" t="s">
        <v>28</v>
      </c>
      <c r="R2999" s="3" t="s">
        <v>28</v>
      </c>
      <c r="S2999" s="3" t="s">
        <v>28</v>
      </c>
      <c r="T2999" s="3" t="s">
        <v>28</v>
      </c>
    </row>
    <row r="3000" spans="1:20" ht="409.6">
      <c r="A3000" s="3">
        <v>2677447</v>
      </c>
      <c r="B3000" s="3">
        <f>HYPERLINK("https://platform.v2.vetology.net/cases/2677447/screening-report/6?type=pdf&amp;v=v6&amp;scorecard=1&amp;secret_key=BX%25IJ%24%2F65ieZ%29f6", 2677447)</f>
        <v>2677447</v>
      </c>
      <c r="C3000" s="3">
        <f>HYPERLINK("https://platform.v2.vetology.net/report/v/final/"&amp;2677447, 2677447)</f>
        <v>2677447</v>
      </c>
      <c r="D3000" s="3" t="s">
        <v>10052</v>
      </c>
      <c r="E3000" s="3" t="s">
        <v>10053</v>
      </c>
      <c r="F3000" s="3"/>
      <c r="G3000" s="3" t="s">
        <v>122</v>
      </c>
      <c r="H3000" s="3" t="s">
        <v>10054</v>
      </c>
      <c r="I3000" s="3" t="s">
        <v>310</v>
      </c>
      <c r="J3000" s="3" t="s">
        <v>311</v>
      </c>
      <c r="K3000" s="3" t="s">
        <v>28</v>
      </c>
      <c r="L3000" s="3" t="s">
        <v>27</v>
      </c>
      <c r="M3000" s="3" t="s">
        <v>28</v>
      </c>
      <c r="N3000" s="3" t="s">
        <v>27</v>
      </c>
      <c r="O3000" s="3" t="s">
        <v>27</v>
      </c>
      <c r="P3000" s="3" t="s">
        <v>28</v>
      </c>
      <c r="Q3000" s="3" t="s">
        <v>27</v>
      </c>
      <c r="R3000" s="3" t="s">
        <v>27</v>
      </c>
      <c r="S3000" s="3" t="s">
        <v>27</v>
      </c>
      <c r="T3000" s="3" t="s">
        <v>27</v>
      </c>
    </row>
    <row r="3001" spans="1:20" ht="244.5">
      <c r="A3001" s="3">
        <v>2677423</v>
      </c>
      <c r="B3001" s="3">
        <f>HYPERLINK("https://platform.v2.vetology.net/cases/2677423/screening-report/6?type=pdf&amp;v=v6&amp;scorecard=1&amp;secret_key=BX%25IJ%24%2F65ieZ%29f6", 2677423)</f>
        <v>2677423</v>
      </c>
      <c r="C3001" s="3">
        <f>HYPERLINK("https://platform.v2.vetology.net/report/v/final/"&amp;2677423, 2677423)</f>
        <v>2677423</v>
      </c>
      <c r="D3001" s="3" t="s">
        <v>10055</v>
      </c>
      <c r="E3001" s="3" t="s">
        <v>10056</v>
      </c>
      <c r="F3001" s="3" t="s">
        <v>10057</v>
      </c>
      <c r="G3001" s="3" t="s">
        <v>186</v>
      </c>
      <c r="H3001" s="3" t="s">
        <v>10058</v>
      </c>
      <c r="I3001" s="3" t="s">
        <v>653</v>
      </c>
      <c r="J3001" s="3" t="s">
        <v>654</v>
      </c>
      <c r="K3001" s="3" t="s">
        <v>28</v>
      </c>
      <c r="L3001" s="3" t="s">
        <v>28</v>
      </c>
      <c r="M3001" s="3" t="s">
        <v>28</v>
      </c>
      <c r="N3001" s="3" t="s">
        <v>28</v>
      </c>
      <c r="O3001" s="3" t="s">
        <v>27</v>
      </c>
      <c r="P3001" s="3" t="s">
        <v>28</v>
      </c>
      <c r="Q3001" s="3" t="s">
        <v>28</v>
      </c>
      <c r="R3001" s="3" t="s">
        <v>28</v>
      </c>
      <c r="S3001" s="3" t="s">
        <v>27</v>
      </c>
      <c r="T3001" s="3" t="s">
        <v>27</v>
      </c>
    </row>
    <row r="3002" spans="1:20" ht="336">
      <c r="A3002" s="3">
        <v>2677420</v>
      </c>
      <c r="B3002" s="3">
        <f>HYPERLINK("https://platform.v2.vetology.net/cases/2677420/screening-report/6?type=pdf&amp;v=v6&amp;scorecard=1&amp;secret_key=BX%25IJ%24%2F65ieZ%29f6", 2677420)</f>
        <v>2677420</v>
      </c>
      <c r="C3002" s="3">
        <f>HYPERLINK("https://platform.v2.vetology.net/report/v/final/"&amp;2677420, 2677420)</f>
        <v>2677420</v>
      </c>
      <c r="D3002" s="3" t="s">
        <v>10059</v>
      </c>
      <c r="E3002" s="3" t="s">
        <v>10060</v>
      </c>
      <c r="F3002" s="3" t="s">
        <v>3751</v>
      </c>
      <c r="G3002" s="3" t="s">
        <v>186</v>
      </c>
      <c r="H3002" s="3" t="s">
        <v>6639</v>
      </c>
      <c r="I3002" s="3" t="s">
        <v>6640</v>
      </c>
      <c r="J3002" s="3" t="s">
        <v>6641</v>
      </c>
      <c r="K3002" s="3" t="s">
        <v>28</v>
      </c>
      <c r="L3002" s="3" t="s">
        <v>28</v>
      </c>
      <c r="M3002" s="3" t="s">
        <v>28</v>
      </c>
      <c r="N3002" s="3" t="s">
        <v>28</v>
      </c>
      <c r="O3002" s="3" t="s">
        <v>27</v>
      </c>
      <c r="P3002" s="3" t="s">
        <v>27</v>
      </c>
      <c r="Q3002" s="3" t="s">
        <v>27</v>
      </c>
      <c r="R3002" s="3" t="s">
        <v>28</v>
      </c>
      <c r="S3002" s="3" t="s">
        <v>28</v>
      </c>
      <c r="T3002" s="3" t="s">
        <v>28</v>
      </c>
    </row>
    <row r="3003" spans="1:20" ht="351">
      <c r="A3003" s="3">
        <v>2677365</v>
      </c>
      <c r="B3003" s="3">
        <f>HYPERLINK("https://platform.v2.vetology.net/cases/2677365/screening-report/6?type=pdf&amp;v=v6&amp;scorecard=1&amp;secret_key=BX%25IJ%24%2F65ieZ%29f6", 2677365)</f>
        <v>2677365</v>
      </c>
      <c r="C3003" s="3">
        <f>HYPERLINK("https://platform.v2.vetology.net/report/v/final/"&amp;2677365, 2677365)</f>
        <v>2677365</v>
      </c>
      <c r="D3003" s="3" t="s">
        <v>10061</v>
      </c>
      <c r="E3003" s="3" t="s">
        <v>10062</v>
      </c>
      <c r="F3003" s="3" t="s">
        <v>10063</v>
      </c>
      <c r="G3003" s="3" t="s">
        <v>186</v>
      </c>
      <c r="H3003" s="3" t="s">
        <v>10064</v>
      </c>
      <c r="I3003" s="3" t="s">
        <v>4796</v>
      </c>
      <c r="J3003" s="3" t="s">
        <v>148</v>
      </c>
      <c r="K3003" s="3" t="s">
        <v>28</v>
      </c>
      <c r="L3003" s="3" t="s">
        <v>28</v>
      </c>
      <c r="M3003" s="3" t="s">
        <v>28</v>
      </c>
      <c r="N3003" s="3" t="s">
        <v>28</v>
      </c>
      <c r="O3003" s="3" t="s">
        <v>27</v>
      </c>
      <c r="P3003" s="3" t="s">
        <v>28</v>
      </c>
      <c r="Q3003" s="3" t="s">
        <v>27</v>
      </c>
      <c r="R3003" s="3" t="s">
        <v>28</v>
      </c>
      <c r="S3003" s="3" t="s">
        <v>28</v>
      </c>
      <c r="T3003" s="3" t="s">
        <v>28</v>
      </c>
    </row>
    <row r="3004" spans="1:20" ht="409.6">
      <c r="A3004" s="3">
        <v>2677334</v>
      </c>
      <c r="B3004" s="3">
        <f>HYPERLINK("https://platform.v2.vetology.net/cases/2677334/screening-report/6?type=pdf&amp;v=v6&amp;scorecard=1&amp;secret_key=BX%25IJ%24%2F65ieZ%29f6", 2677334)</f>
        <v>2677334</v>
      </c>
      <c r="C3004" s="3">
        <f>HYPERLINK("https://platform.v2.vetology.net/report/v/final/"&amp;2677334, 2677334)</f>
        <v>2677334</v>
      </c>
      <c r="D3004" s="3" t="s">
        <v>10065</v>
      </c>
      <c r="E3004" s="3" t="s">
        <v>10066</v>
      </c>
      <c r="F3004" s="3" t="s">
        <v>10067</v>
      </c>
      <c r="G3004" s="3" t="s">
        <v>186</v>
      </c>
      <c r="H3004" s="3" t="s">
        <v>6386</v>
      </c>
      <c r="I3004" s="3" t="s">
        <v>3840</v>
      </c>
      <c r="J3004" s="3" t="s">
        <v>286</v>
      </c>
      <c r="K3004" s="3" t="s">
        <v>27</v>
      </c>
      <c r="L3004" s="3" t="s">
        <v>28</v>
      </c>
      <c r="M3004" s="3" t="s">
        <v>28</v>
      </c>
      <c r="N3004" s="3" t="s">
        <v>28</v>
      </c>
      <c r="O3004" s="3" t="s">
        <v>27</v>
      </c>
      <c r="P3004" s="3" t="s">
        <v>28</v>
      </c>
      <c r="Q3004" s="3" t="s">
        <v>28</v>
      </c>
      <c r="R3004" s="3" t="s">
        <v>28</v>
      </c>
      <c r="S3004" s="3" t="s">
        <v>27</v>
      </c>
      <c r="T3004" s="3" t="s">
        <v>28</v>
      </c>
    </row>
    <row r="3005" spans="1:20" ht="305.25">
      <c r="A3005" s="3">
        <v>2677322</v>
      </c>
      <c r="B3005" s="3">
        <f>HYPERLINK("https://platform.v2.vetology.net/cases/2677322/screening-report/6?type=pdf&amp;v=v6&amp;scorecard=1&amp;secret_key=BX%25IJ%24%2F65ieZ%29f6", 2677322)</f>
        <v>2677322</v>
      </c>
      <c r="C3005" s="3">
        <f>HYPERLINK("https://platform.v2.vetology.net/report/v/final/"&amp;2677322, 2677322)</f>
        <v>2677322</v>
      </c>
      <c r="D3005" s="3" t="s">
        <v>10068</v>
      </c>
      <c r="E3005" s="3" t="s">
        <v>10069</v>
      </c>
      <c r="F3005" s="3" t="s">
        <v>10070</v>
      </c>
      <c r="G3005" s="3" t="s">
        <v>1772</v>
      </c>
      <c r="H3005" s="3" t="s">
        <v>10071</v>
      </c>
      <c r="I3005" s="3" t="s">
        <v>464</v>
      </c>
      <c r="J3005" s="3" t="s">
        <v>688</v>
      </c>
      <c r="K3005" s="3" t="s">
        <v>28</v>
      </c>
      <c r="L3005" s="3" t="s">
        <v>28</v>
      </c>
      <c r="M3005" s="3" t="s">
        <v>28</v>
      </c>
      <c r="N3005" s="3" t="s">
        <v>28</v>
      </c>
      <c r="O3005" s="3" t="s">
        <v>27</v>
      </c>
      <c r="P3005" s="3" t="s">
        <v>28</v>
      </c>
      <c r="Q3005" s="3" t="s">
        <v>28</v>
      </c>
      <c r="R3005" s="3" t="s">
        <v>28</v>
      </c>
      <c r="S3005" s="3" t="s">
        <v>28</v>
      </c>
      <c r="T3005" s="3" t="s">
        <v>28</v>
      </c>
    </row>
    <row r="3006" spans="1:20" ht="336">
      <c r="A3006" s="3">
        <v>2677320</v>
      </c>
      <c r="B3006" s="3">
        <f>HYPERLINK("https://platform.v2.vetology.net/cases/2677320/screening-report/6?type=pdf&amp;v=v6&amp;scorecard=1&amp;secret_key=BX%25IJ%24%2F65ieZ%29f6", 2677320)</f>
        <v>2677320</v>
      </c>
      <c r="C3006" s="3">
        <f>HYPERLINK("https://platform.v2.vetology.net/report/v/final/"&amp;2677320, 2677320)</f>
        <v>2677320</v>
      </c>
      <c r="D3006" s="3" t="s">
        <v>10072</v>
      </c>
      <c r="E3006" s="3" t="s">
        <v>10073</v>
      </c>
      <c r="F3006" s="3" t="s">
        <v>10074</v>
      </c>
      <c r="G3006" s="3" t="s">
        <v>1772</v>
      </c>
      <c r="H3006" s="3" t="s">
        <v>10075</v>
      </c>
      <c r="I3006" s="3" t="s">
        <v>25</v>
      </c>
      <c r="J3006" s="3" t="s">
        <v>26</v>
      </c>
      <c r="K3006" s="3" t="s">
        <v>28</v>
      </c>
      <c r="L3006" s="3" t="s">
        <v>28</v>
      </c>
      <c r="M3006" s="3" t="s">
        <v>28</v>
      </c>
      <c r="N3006" s="3" t="s">
        <v>28</v>
      </c>
      <c r="O3006" s="3" t="s">
        <v>27</v>
      </c>
      <c r="P3006" s="3" t="s">
        <v>28</v>
      </c>
      <c r="Q3006" s="3" t="s">
        <v>27</v>
      </c>
      <c r="R3006" s="3" t="s">
        <v>28</v>
      </c>
      <c r="S3006" s="3" t="s">
        <v>28</v>
      </c>
      <c r="T3006" s="3" t="s">
        <v>28</v>
      </c>
    </row>
    <row r="3007" spans="1:20" ht="396.75">
      <c r="A3007" s="3">
        <v>2677314</v>
      </c>
      <c r="B3007" s="3">
        <f>HYPERLINK("https://platform.v2.vetology.net/cases/2677314/screening-report/6?type=pdf&amp;v=v6&amp;scorecard=1&amp;secret_key=BX%25IJ%24%2F65ieZ%29f6", 2677314)</f>
        <v>2677314</v>
      </c>
      <c r="C3007" s="3">
        <f>HYPERLINK("https://platform.v2.vetology.net/report/v/final/"&amp;2677314, 2677314)</f>
        <v>2677314</v>
      </c>
      <c r="D3007" s="3" t="s">
        <v>10076</v>
      </c>
      <c r="E3007" s="3" t="s">
        <v>10077</v>
      </c>
      <c r="F3007" s="3" t="s">
        <v>6677</v>
      </c>
      <c r="G3007" s="3" t="s">
        <v>100</v>
      </c>
      <c r="H3007" s="3" t="s">
        <v>10078</v>
      </c>
      <c r="I3007" s="3" t="s">
        <v>572</v>
      </c>
      <c r="J3007" s="3" t="s">
        <v>573</v>
      </c>
      <c r="K3007" s="3" t="s">
        <v>27</v>
      </c>
      <c r="L3007" s="3" t="s">
        <v>28</v>
      </c>
      <c r="M3007" s="3" t="s">
        <v>28</v>
      </c>
      <c r="N3007" s="3" t="s">
        <v>28</v>
      </c>
      <c r="O3007" s="3" t="s">
        <v>27</v>
      </c>
      <c r="P3007" s="3" t="s">
        <v>28</v>
      </c>
      <c r="Q3007" s="3" t="s">
        <v>27</v>
      </c>
      <c r="R3007" s="3" t="s">
        <v>28</v>
      </c>
      <c r="S3007" s="3" t="s">
        <v>28</v>
      </c>
      <c r="T3007" s="3" t="s">
        <v>28</v>
      </c>
    </row>
    <row r="3008" spans="1:20" ht="229.5">
      <c r="A3008" s="3">
        <v>2677312</v>
      </c>
      <c r="B3008" s="3">
        <f>HYPERLINK("https://platform.v2.vetology.net/cases/2677312/screening-report/6?type=pdf&amp;v=v6&amp;scorecard=1&amp;secret_key=BX%25IJ%24%2F65ieZ%29f6", 2677312)</f>
        <v>2677312</v>
      </c>
      <c r="C3008" s="3">
        <f>HYPERLINK("https://platform.v2.vetology.net/report/v/final/"&amp;2677312, 2677312)</f>
        <v>2677312</v>
      </c>
      <c r="D3008" s="3" t="s">
        <v>10079</v>
      </c>
      <c r="E3008" s="3" t="s">
        <v>10080</v>
      </c>
      <c r="F3008" s="3" t="s">
        <v>3298</v>
      </c>
      <c r="G3008" s="3" t="s">
        <v>100</v>
      </c>
      <c r="H3008" s="3" t="s">
        <v>851</v>
      </c>
      <c r="I3008" s="3" t="s">
        <v>1497</v>
      </c>
      <c r="J3008" s="3" t="s">
        <v>847</v>
      </c>
      <c r="K3008" s="3" t="s">
        <v>28</v>
      </c>
      <c r="L3008" s="3" t="s">
        <v>28</v>
      </c>
      <c r="M3008" s="3" t="s">
        <v>28</v>
      </c>
      <c r="N3008" s="3" t="s">
        <v>28</v>
      </c>
      <c r="O3008" s="3" t="s">
        <v>27</v>
      </c>
      <c r="P3008" s="3" t="s">
        <v>28</v>
      </c>
      <c r="Q3008" s="3" t="s">
        <v>28</v>
      </c>
      <c r="R3008" s="3" t="s">
        <v>28</v>
      </c>
      <c r="S3008" s="3" t="s">
        <v>28</v>
      </c>
      <c r="T3008" s="3" t="s">
        <v>28</v>
      </c>
    </row>
    <row r="3009" spans="1:20" ht="381.75">
      <c r="A3009" s="3">
        <v>2677301</v>
      </c>
      <c r="B3009" s="3">
        <f>HYPERLINK("https://platform.v2.vetology.net/cases/2677301/screening-report/6?type=pdf&amp;v=v6&amp;scorecard=1&amp;secret_key=BX%25IJ%24%2F65ieZ%29f6", 2677301)</f>
        <v>2677301</v>
      </c>
      <c r="C3009" s="3">
        <f>HYPERLINK("https://platform.v2.vetology.net/report/v/final/"&amp;2677301, 2677301)</f>
        <v>2677301</v>
      </c>
      <c r="D3009" s="3" t="s">
        <v>10081</v>
      </c>
      <c r="E3009" s="3" t="s">
        <v>10082</v>
      </c>
      <c r="F3009" s="3" t="s">
        <v>277</v>
      </c>
      <c r="G3009" s="3" t="s">
        <v>186</v>
      </c>
      <c r="H3009" s="3" t="s">
        <v>3737</v>
      </c>
      <c r="I3009" s="3" t="s">
        <v>1897</v>
      </c>
      <c r="J3009" s="3" t="s">
        <v>325</v>
      </c>
      <c r="K3009" s="3" t="s">
        <v>27</v>
      </c>
      <c r="L3009" s="3" t="s">
        <v>28</v>
      </c>
      <c r="M3009" s="3" t="s">
        <v>27</v>
      </c>
      <c r="N3009" s="3" t="s">
        <v>28</v>
      </c>
      <c r="O3009" s="3" t="s">
        <v>27</v>
      </c>
      <c r="P3009" s="3" t="s">
        <v>27</v>
      </c>
      <c r="Q3009" s="3" t="s">
        <v>27</v>
      </c>
      <c r="R3009" s="3" t="s">
        <v>28</v>
      </c>
      <c r="S3009" s="3" t="s">
        <v>28</v>
      </c>
      <c r="T3009" s="3" t="s">
        <v>28</v>
      </c>
    </row>
    <row r="3010" spans="1:20" ht="409.6">
      <c r="A3010" s="3">
        <v>2677292</v>
      </c>
      <c r="B3010" s="3">
        <f>HYPERLINK("https://platform.v2.vetology.net/cases/2677292/screening-report/6?type=pdf&amp;v=v6&amp;scorecard=1&amp;secret_key=BX%25IJ%24%2F65ieZ%29f6", 2677292)</f>
        <v>2677292</v>
      </c>
      <c r="C3010" s="3">
        <f>HYPERLINK("https://platform.v2.vetology.net/report/v/final/"&amp;2677292, 2677292)</f>
        <v>2677292</v>
      </c>
      <c r="D3010" s="3" t="s">
        <v>10083</v>
      </c>
      <c r="E3010" s="3" t="s">
        <v>10084</v>
      </c>
      <c r="F3010" s="3" t="s">
        <v>10085</v>
      </c>
      <c r="G3010" s="3" t="s">
        <v>1772</v>
      </c>
      <c r="H3010" s="3" t="s">
        <v>3755</v>
      </c>
      <c r="I3010" s="3" t="s">
        <v>464</v>
      </c>
      <c r="J3010" s="3" t="s">
        <v>688</v>
      </c>
      <c r="K3010" s="3" t="s">
        <v>28</v>
      </c>
      <c r="L3010" s="3" t="s">
        <v>28</v>
      </c>
      <c r="M3010" s="3" t="s">
        <v>28</v>
      </c>
      <c r="N3010" s="3" t="s">
        <v>28</v>
      </c>
      <c r="O3010" s="3" t="s">
        <v>27</v>
      </c>
      <c r="P3010" s="3" t="s">
        <v>28</v>
      </c>
      <c r="Q3010" s="3" t="s">
        <v>28</v>
      </c>
      <c r="R3010" s="3" t="s">
        <v>28</v>
      </c>
      <c r="S3010" s="3" t="s">
        <v>28</v>
      </c>
      <c r="T3010" s="3" t="s">
        <v>28</v>
      </c>
    </row>
    <row r="3011" spans="1:20" ht="409.6">
      <c r="A3011" s="3">
        <v>2677174</v>
      </c>
      <c r="B3011" s="3">
        <f>HYPERLINK("https://platform.v2.vetology.net/cases/2677174/screening-report/6?type=pdf&amp;v=v6&amp;scorecard=1&amp;secret_key=BX%25IJ%24%2F65ieZ%29f6", 2677174)</f>
        <v>2677174</v>
      </c>
      <c r="C3011" s="3">
        <f>HYPERLINK("https://platform.v2.vetology.net/report/v/final/"&amp;2677174, 2677174)</f>
        <v>2677174</v>
      </c>
      <c r="D3011" s="3" t="s">
        <v>10086</v>
      </c>
      <c r="E3011" s="3" t="s">
        <v>10087</v>
      </c>
      <c r="F3011" s="3" t="s">
        <v>10088</v>
      </c>
      <c r="G3011" s="3" t="s">
        <v>1772</v>
      </c>
      <c r="H3011" s="3" t="s">
        <v>571</v>
      </c>
      <c r="I3011" s="3" t="s">
        <v>572</v>
      </c>
      <c r="J3011" s="3" t="s">
        <v>573</v>
      </c>
      <c r="K3011" s="3" t="s">
        <v>28</v>
      </c>
      <c r="L3011" s="3" t="s">
        <v>28</v>
      </c>
      <c r="M3011" s="3" t="s">
        <v>28</v>
      </c>
      <c r="N3011" s="3" t="s">
        <v>28</v>
      </c>
      <c r="O3011" s="3" t="s">
        <v>27</v>
      </c>
      <c r="P3011" s="3" t="s">
        <v>28</v>
      </c>
      <c r="Q3011" s="3" t="s">
        <v>27</v>
      </c>
      <c r="R3011" s="3" t="s">
        <v>28</v>
      </c>
      <c r="S3011" s="3" t="s">
        <v>28</v>
      </c>
      <c r="T3011" s="3" t="s">
        <v>28</v>
      </c>
    </row>
    <row r="3012" spans="1:20" ht="259.5">
      <c r="A3012" s="3">
        <v>2677170</v>
      </c>
      <c r="B3012" s="3">
        <f>HYPERLINK("https://platform.v2.vetology.net/cases/2677170/screening-report/6?type=pdf&amp;v=v6&amp;scorecard=1&amp;secret_key=BX%25IJ%24%2F65ieZ%29f6", 2677170)</f>
        <v>2677170</v>
      </c>
      <c r="C3012" s="3">
        <f>HYPERLINK("https://platform.v2.vetology.net/report/v/final/"&amp;2677170, 2677170)</f>
        <v>2677170</v>
      </c>
      <c r="D3012" s="3" t="s">
        <v>954</v>
      </c>
      <c r="E3012" s="3" t="s">
        <v>1230</v>
      </c>
      <c r="F3012" s="3" t="s">
        <v>1049</v>
      </c>
      <c r="G3012" s="3" t="s">
        <v>100</v>
      </c>
      <c r="H3012" s="3" t="s">
        <v>212</v>
      </c>
      <c r="I3012" s="3" t="s">
        <v>261</v>
      </c>
      <c r="J3012" s="3" t="s">
        <v>262</v>
      </c>
      <c r="K3012" s="3" t="s">
        <v>27</v>
      </c>
      <c r="L3012" s="3" t="s">
        <v>28</v>
      </c>
      <c r="M3012" s="3" t="s">
        <v>27</v>
      </c>
      <c r="N3012" s="3" t="s">
        <v>28</v>
      </c>
      <c r="O3012" s="3" t="s">
        <v>27</v>
      </c>
      <c r="P3012" s="3" t="s">
        <v>28</v>
      </c>
      <c r="Q3012" s="3" t="s">
        <v>28</v>
      </c>
      <c r="R3012" s="3" t="s">
        <v>28</v>
      </c>
      <c r="S3012" s="3" t="s">
        <v>28</v>
      </c>
      <c r="T3012" s="3" t="s">
        <v>28</v>
      </c>
    </row>
    <row r="3013" spans="1:20" ht="366">
      <c r="A3013" s="3">
        <v>2677169</v>
      </c>
      <c r="B3013" s="3">
        <f>HYPERLINK("https://platform.v2.vetology.net/cases/2677169/screening-report/6?type=pdf&amp;v=v6&amp;scorecard=1&amp;secret_key=BX%25IJ%24%2F65ieZ%29f6", 2677169)</f>
        <v>2677169</v>
      </c>
      <c r="C3013" s="3">
        <f>HYPERLINK("https://platform.v2.vetology.net/report/v/final/"&amp;2677169, 2677169)</f>
        <v>2677169</v>
      </c>
      <c r="D3013" s="3" t="s">
        <v>10089</v>
      </c>
      <c r="E3013" s="3" t="s">
        <v>1510</v>
      </c>
      <c r="F3013" s="3" t="s">
        <v>10090</v>
      </c>
      <c r="G3013" s="3" t="s">
        <v>100</v>
      </c>
      <c r="H3013" s="3" t="s">
        <v>10091</v>
      </c>
      <c r="I3013" s="3" t="s">
        <v>961</v>
      </c>
      <c r="J3013" s="3" t="s">
        <v>962</v>
      </c>
      <c r="K3013" s="3" t="s">
        <v>28</v>
      </c>
      <c r="L3013" s="3" t="s">
        <v>28</v>
      </c>
      <c r="M3013" s="3" t="s">
        <v>27</v>
      </c>
      <c r="N3013" s="3" t="s">
        <v>28</v>
      </c>
      <c r="O3013" s="3" t="s">
        <v>27</v>
      </c>
      <c r="P3013" s="3" t="s">
        <v>28</v>
      </c>
      <c r="Q3013" s="3" t="s">
        <v>28</v>
      </c>
      <c r="R3013" s="3" t="s">
        <v>28</v>
      </c>
      <c r="S3013" s="3" t="s">
        <v>28</v>
      </c>
      <c r="T3013" s="3" t="s">
        <v>28</v>
      </c>
    </row>
    <row r="3014" spans="1:20" ht="409.6">
      <c r="A3014" s="3">
        <v>2677138</v>
      </c>
      <c r="B3014" s="3">
        <f>HYPERLINK("https://platform.v2.vetology.net/cases/2677138/screening-report/6?type=pdf&amp;v=v6&amp;scorecard=1&amp;secret_key=BX%25IJ%24%2F65ieZ%29f6", 2677138)</f>
        <v>2677138</v>
      </c>
      <c r="C3014" s="3">
        <f>HYPERLINK("https://platform.v2.vetology.net/report/v/final/"&amp;2677138, 2677138)</f>
        <v>2677138</v>
      </c>
      <c r="D3014" s="3" t="s">
        <v>10092</v>
      </c>
      <c r="E3014" s="3" t="s">
        <v>10093</v>
      </c>
      <c r="F3014" s="3" t="s">
        <v>10094</v>
      </c>
      <c r="G3014" s="3" t="s">
        <v>57</v>
      </c>
      <c r="H3014" s="3" t="s">
        <v>10095</v>
      </c>
      <c r="I3014" s="3" t="s">
        <v>32</v>
      </c>
      <c r="J3014" s="3" t="s">
        <v>578</v>
      </c>
      <c r="K3014" s="3" t="s">
        <v>28</v>
      </c>
      <c r="L3014" s="3" t="s">
        <v>28</v>
      </c>
      <c r="M3014" s="3" t="s">
        <v>28</v>
      </c>
      <c r="N3014" s="3" t="s">
        <v>28</v>
      </c>
      <c r="O3014" s="3" t="s">
        <v>27</v>
      </c>
      <c r="P3014" s="3" t="s">
        <v>28</v>
      </c>
      <c r="Q3014" s="3" t="s">
        <v>27</v>
      </c>
      <c r="R3014" s="3" t="s">
        <v>28</v>
      </c>
      <c r="S3014" s="3" t="s">
        <v>28</v>
      </c>
      <c r="T3014" s="3" t="s">
        <v>28</v>
      </c>
    </row>
    <row r="3015" spans="1:20" ht="366">
      <c r="A3015" s="3">
        <v>2677055</v>
      </c>
      <c r="B3015" s="3">
        <f>HYPERLINK("https://platform.v2.vetology.net/cases/2677055/screening-report/6?type=pdf&amp;v=v6&amp;scorecard=1&amp;secret_key=BX%25IJ%24%2F65ieZ%29f6", 2677055)</f>
        <v>2677055</v>
      </c>
      <c r="C3015" s="3">
        <f>HYPERLINK("https://platform.v2.vetology.net/report/v/final/"&amp;2677055, 2677055)</f>
        <v>2677055</v>
      </c>
      <c r="D3015" s="3" t="s">
        <v>10096</v>
      </c>
      <c r="E3015" s="3" t="s">
        <v>10097</v>
      </c>
      <c r="F3015" s="3" t="s">
        <v>222</v>
      </c>
      <c r="G3015" s="3" t="s">
        <v>186</v>
      </c>
      <c r="H3015" s="3" t="s">
        <v>10098</v>
      </c>
      <c r="I3015" s="3" t="s">
        <v>768</v>
      </c>
      <c r="J3015" s="3" t="s">
        <v>769</v>
      </c>
      <c r="K3015" s="3" t="s">
        <v>28</v>
      </c>
      <c r="L3015" s="3" t="s">
        <v>28</v>
      </c>
      <c r="M3015" s="3" t="s">
        <v>28</v>
      </c>
      <c r="N3015" s="3" t="s">
        <v>28</v>
      </c>
      <c r="O3015" s="3" t="s">
        <v>28</v>
      </c>
      <c r="P3015" s="3" t="s">
        <v>27</v>
      </c>
      <c r="Q3015" s="3" t="s">
        <v>28</v>
      </c>
      <c r="R3015" s="3" t="s">
        <v>28</v>
      </c>
      <c r="S3015" s="3" t="s">
        <v>28</v>
      </c>
      <c r="T3015" s="3" t="s">
        <v>27</v>
      </c>
    </row>
    <row r="3016" spans="1:20" ht="409.6">
      <c r="A3016" s="3">
        <v>2676985</v>
      </c>
      <c r="B3016" s="3">
        <f>HYPERLINK("https://platform.v2.vetology.net/cases/2676985/screening-report/6?type=pdf&amp;v=v6&amp;scorecard=1&amp;secret_key=BX%25IJ%24%2F65ieZ%29f6", 2676985)</f>
        <v>2676985</v>
      </c>
      <c r="C3016" s="3">
        <f>HYPERLINK("https://platform.v2.vetology.net/report/v/final/"&amp;2676985, 2676985)</f>
        <v>2676985</v>
      </c>
      <c r="D3016" s="3" t="s">
        <v>10099</v>
      </c>
      <c r="E3016" s="3" t="s">
        <v>10100</v>
      </c>
      <c r="F3016" s="3" t="s">
        <v>10101</v>
      </c>
      <c r="G3016" s="3" t="s">
        <v>179</v>
      </c>
      <c r="H3016" s="3" t="s">
        <v>10102</v>
      </c>
      <c r="I3016" s="3" t="s">
        <v>1529</v>
      </c>
      <c r="J3016" s="3" t="s">
        <v>1530</v>
      </c>
      <c r="K3016" s="3" t="s">
        <v>27</v>
      </c>
      <c r="L3016" s="3" t="s">
        <v>27</v>
      </c>
      <c r="M3016" s="3" t="s">
        <v>28</v>
      </c>
      <c r="N3016" s="3" t="s">
        <v>28</v>
      </c>
      <c r="O3016" s="3" t="s">
        <v>27</v>
      </c>
      <c r="P3016" s="3" t="s">
        <v>28</v>
      </c>
      <c r="Q3016" s="3" t="s">
        <v>27</v>
      </c>
      <c r="R3016" s="3" t="s">
        <v>28</v>
      </c>
      <c r="S3016" s="3" t="s">
        <v>28</v>
      </c>
      <c r="T3016" s="3" t="s">
        <v>28</v>
      </c>
    </row>
    <row r="3017" spans="1:20" ht="305.25">
      <c r="A3017" s="3">
        <v>2676952</v>
      </c>
      <c r="B3017" s="3">
        <f>HYPERLINK("https://platform.v2.vetology.net/cases/2676952/screening-report/6?type=pdf&amp;v=v6&amp;scorecard=1&amp;secret_key=BX%25IJ%24%2F65ieZ%29f6", 2676952)</f>
        <v>2676952</v>
      </c>
      <c r="C3017" s="3">
        <f>HYPERLINK("https://platform.v2.vetology.net/report/v/final/"&amp;2676952, 2676952)</f>
        <v>2676952</v>
      </c>
      <c r="D3017" s="3" t="s">
        <v>10103</v>
      </c>
      <c r="E3017" s="3" t="s">
        <v>10104</v>
      </c>
      <c r="F3017" s="3" t="s">
        <v>10105</v>
      </c>
      <c r="G3017" s="3" t="s">
        <v>100</v>
      </c>
      <c r="H3017" s="3" t="s">
        <v>10106</v>
      </c>
      <c r="I3017" s="3" t="s">
        <v>1725</v>
      </c>
      <c r="J3017" s="3" t="s">
        <v>1726</v>
      </c>
      <c r="K3017" s="3" t="s">
        <v>27</v>
      </c>
      <c r="L3017" s="3" t="s">
        <v>28</v>
      </c>
      <c r="M3017" s="3" t="s">
        <v>28</v>
      </c>
      <c r="N3017" s="3" t="s">
        <v>28</v>
      </c>
      <c r="O3017" s="3" t="s">
        <v>27</v>
      </c>
      <c r="P3017" s="3" t="s">
        <v>28</v>
      </c>
      <c r="Q3017" s="3" t="s">
        <v>27</v>
      </c>
      <c r="R3017" s="3" t="s">
        <v>28</v>
      </c>
      <c r="S3017" s="3" t="s">
        <v>28</v>
      </c>
      <c r="T3017" s="3" t="s">
        <v>28</v>
      </c>
    </row>
    <row r="3018" spans="1:20" ht="381.75">
      <c r="A3018" s="3">
        <v>2676945</v>
      </c>
      <c r="B3018" s="3">
        <f>HYPERLINK("https://platform.v2.vetology.net/cases/2676945/screening-report/6?type=pdf&amp;v=v6&amp;scorecard=1&amp;secret_key=BX%25IJ%24%2F65ieZ%29f6", 2676945)</f>
        <v>2676945</v>
      </c>
      <c r="C3018" s="3">
        <f>HYPERLINK("https://platform.v2.vetology.net/report/v/final/"&amp;2676945, 2676945)</f>
        <v>2676945</v>
      </c>
      <c r="D3018" s="3" t="s">
        <v>10107</v>
      </c>
      <c r="E3018" s="3" t="s">
        <v>10108</v>
      </c>
      <c r="F3018" s="3" t="s">
        <v>10109</v>
      </c>
      <c r="G3018" s="3" t="s">
        <v>100</v>
      </c>
      <c r="H3018" s="3" t="s">
        <v>10110</v>
      </c>
      <c r="I3018" s="3" t="s">
        <v>856</v>
      </c>
      <c r="J3018" s="3" t="s">
        <v>857</v>
      </c>
      <c r="K3018" s="3" t="s">
        <v>28</v>
      </c>
      <c r="L3018" s="3" t="s">
        <v>28</v>
      </c>
      <c r="M3018" s="3" t="s">
        <v>28</v>
      </c>
      <c r="N3018" s="3" t="s">
        <v>28</v>
      </c>
      <c r="O3018" s="3" t="s">
        <v>27</v>
      </c>
      <c r="P3018" s="3" t="s">
        <v>28</v>
      </c>
      <c r="Q3018" s="3" t="s">
        <v>28</v>
      </c>
      <c r="R3018" s="3" t="s">
        <v>28</v>
      </c>
      <c r="S3018" s="3" t="s">
        <v>28</v>
      </c>
      <c r="T3018" s="3" t="s">
        <v>28</v>
      </c>
    </row>
    <row r="3019" spans="1:20" ht="409.6">
      <c r="A3019" s="3">
        <v>2676881</v>
      </c>
      <c r="B3019" s="3">
        <f>HYPERLINK("https://platform.v2.vetology.net/cases/2676881/screening-report/6?type=pdf&amp;v=v6&amp;scorecard=1&amp;secret_key=BX%25IJ%24%2F65ieZ%29f6", 2676881)</f>
        <v>2676881</v>
      </c>
      <c r="C3019" s="3">
        <f>HYPERLINK("https://platform.v2.vetology.net/report/v/final/"&amp;2676881, 2676881)</f>
        <v>2676881</v>
      </c>
      <c r="D3019" s="3" t="s">
        <v>10111</v>
      </c>
      <c r="E3019" s="3" t="s">
        <v>10112</v>
      </c>
      <c r="F3019" s="3" t="s">
        <v>10113</v>
      </c>
      <c r="G3019" s="3" t="s">
        <v>566</v>
      </c>
      <c r="H3019" s="3" t="s">
        <v>10114</v>
      </c>
      <c r="I3019" s="3" t="s">
        <v>572</v>
      </c>
      <c r="J3019" s="3" t="s">
        <v>2392</v>
      </c>
      <c r="K3019" s="3" t="s">
        <v>27</v>
      </c>
      <c r="L3019" s="3" t="s">
        <v>28</v>
      </c>
      <c r="M3019" s="3" t="s">
        <v>27</v>
      </c>
      <c r="N3019" s="3" t="s">
        <v>28</v>
      </c>
      <c r="O3019" s="3" t="s">
        <v>27</v>
      </c>
      <c r="P3019" s="3" t="s">
        <v>28</v>
      </c>
      <c r="Q3019" s="3" t="s">
        <v>27</v>
      </c>
      <c r="R3019" s="3" t="s">
        <v>28</v>
      </c>
      <c r="S3019" s="3" t="s">
        <v>28</v>
      </c>
      <c r="T3019" s="3" t="s">
        <v>28</v>
      </c>
    </row>
    <row r="3020" spans="1:20" ht="351">
      <c r="A3020" s="3">
        <v>2676778</v>
      </c>
      <c r="B3020" s="3">
        <f>HYPERLINK("https://platform.v2.vetology.net/cases/2676778/screening-report/6?type=pdf&amp;v=v6&amp;scorecard=1&amp;secret_key=BX%25IJ%24%2F65ieZ%29f6", 2676778)</f>
        <v>2676778</v>
      </c>
      <c r="C3020" s="3">
        <f>HYPERLINK("https://platform.v2.vetology.net/report/v/final/"&amp;2676778, 2676778)</f>
        <v>2676778</v>
      </c>
      <c r="D3020" s="3" t="s">
        <v>10115</v>
      </c>
      <c r="E3020" s="3" t="s">
        <v>10116</v>
      </c>
      <c r="F3020" s="3"/>
      <c r="G3020" s="3" t="s">
        <v>122</v>
      </c>
      <c r="H3020" s="3" t="s">
        <v>10117</v>
      </c>
      <c r="I3020" s="3" t="s">
        <v>8495</v>
      </c>
      <c r="J3020" s="3" t="s">
        <v>8496</v>
      </c>
      <c r="K3020" s="3" t="s">
        <v>28</v>
      </c>
      <c r="L3020" s="3" t="s">
        <v>27</v>
      </c>
      <c r="M3020" s="3" t="s">
        <v>27</v>
      </c>
      <c r="N3020" s="3" t="s">
        <v>28</v>
      </c>
      <c r="O3020" s="3" t="s">
        <v>28</v>
      </c>
      <c r="P3020" s="3" t="s">
        <v>28</v>
      </c>
      <c r="Q3020" s="3" t="s">
        <v>28</v>
      </c>
      <c r="R3020" s="3" t="s">
        <v>28</v>
      </c>
      <c r="S3020" s="3" t="s">
        <v>28</v>
      </c>
      <c r="T3020" s="3" t="s">
        <v>28</v>
      </c>
    </row>
    <row r="3021" spans="1:20" ht="275.25">
      <c r="A3021" s="3">
        <v>2676767</v>
      </c>
      <c r="B3021" s="3">
        <f>HYPERLINK("https://platform.v2.vetology.net/cases/2676767/screening-report/6?type=pdf&amp;v=v6&amp;scorecard=1&amp;secret_key=BX%25IJ%24%2F65ieZ%29f6", 2676767)</f>
        <v>2676767</v>
      </c>
      <c r="C3021" s="3">
        <f>HYPERLINK("https://platform.v2.vetology.net/report/v/final/"&amp;2676767, 2676767)</f>
        <v>2676767</v>
      </c>
      <c r="D3021" s="3" t="s">
        <v>10118</v>
      </c>
      <c r="E3021" s="3" t="s">
        <v>10119</v>
      </c>
      <c r="F3021" s="3" t="s">
        <v>10120</v>
      </c>
      <c r="G3021" s="3" t="s">
        <v>186</v>
      </c>
      <c r="H3021" s="3" t="s">
        <v>2847</v>
      </c>
      <c r="I3021" s="3" t="s">
        <v>291</v>
      </c>
      <c r="J3021" s="3" t="s">
        <v>225</v>
      </c>
      <c r="K3021" s="3" t="s">
        <v>28</v>
      </c>
      <c r="L3021" s="3" t="s">
        <v>28</v>
      </c>
      <c r="M3021" s="3" t="s">
        <v>28</v>
      </c>
      <c r="N3021" s="3" t="s">
        <v>27</v>
      </c>
      <c r="O3021" s="3" t="s">
        <v>27</v>
      </c>
      <c r="P3021" s="3" t="s">
        <v>28</v>
      </c>
      <c r="Q3021" s="3" t="s">
        <v>28</v>
      </c>
      <c r="R3021" s="3" t="s">
        <v>27</v>
      </c>
      <c r="S3021" s="3" t="s">
        <v>28</v>
      </c>
      <c r="T3021" s="3" t="s">
        <v>27</v>
      </c>
    </row>
    <row r="3022" spans="1:20" ht="381.75">
      <c r="A3022" s="3">
        <v>2676764</v>
      </c>
      <c r="B3022" s="3">
        <f>HYPERLINK("https://platform.v2.vetology.net/cases/2676764/screening-report/6?type=pdf&amp;v=v6&amp;scorecard=1&amp;secret_key=BX%25IJ%24%2F65ieZ%29f6", 2676764)</f>
        <v>2676764</v>
      </c>
      <c r="C3022" s="3">
        <f>HYPERLINK("https://platform.v2.vetology.net/report/v/final/"&amp;2676764, 2676764)</f>
        <v>2676764</v>
      </c>
      <c r="D3022" s="3" t="s">
        <v>10121</v>
      </c>
      <c r="E3022" s="3" t="s">
        <v>10122</v>
      </c>
      <c r="F3022" s="3" t="s">
        <v>5023</v>
      </c>
      <c r="G3022" s="3" t="s">
        <v>100</v>
      </c>
      <c r="H3022" s="3" t="s">
        <v>855</v>
      </c>
      <c r="I3022" s="3" t="s">
        <v>856</v>
      </c>
      <c r="J3022" s="3" t="s">
        <v>857</v>
      </c>
      <c r="K3022" s="3" t="s">
        <v>27</v>
      </c>
      <c r="L3022" s="3" t="s">
        <v>28</v>
      </c>
      <c r="M3022" s="3" t="s">
        <v>28</v>
      </c>
      <c r="N3022" s="3" t="s">
        <v>28</v>
      </c>
      <c r="O3022" s="3" t="s">
        <v>27</v>
      </c>
      <c r="P3022" s="3" t="s">
        <v>28</v>
      </c>
      <c r="Q3022" s="3" t="s">
        <v>28</v>
      </c>
      <c r="R3022" s="3" t="s">
        <v>28</v>
      </c>
      <c r="S3022" s="3" t="s">
        <v>28</v>
      </c>
      <c r="T3022" s="3" t="s">
        <v>28</v>
      </c>
    </row>
    <row r="3023" spans="1:20" ht="321">
      <c r="A3023" s="3">
        <v>2676760</v>
      </c>
      <c r="B3023" s="3">
        <f>HYPERLINK("https://platform.v2.vetology.net/cases/2676760/screening-report/6?type=pdf&amp;v=v6&amp;scorecard=1&amp;secret_key=BX%25IJ%24%2F65ieZ%29f6", 2676760)</f>
        <v>2676760</v>
      </c>
      <c r="C3023" s="3">
        <f>HYPERLINK("https://platform.v2.vetology.net/report/v/final/"&amp;2676760, 2676760)</f>
        <v>2676760</v>
      </c>
      <c r="D3023" s="3" t="s">
        <v>10123</v>
      </c>
      <c r="E3023" s="3" t="s">
        <v>10124</v>
      </c>
      <c r="F3023" s="3" t="s">
        <v>10125</v>
      </c>
      <c r="G3023" s="3" t="s">
        <v>186</v>
      </c>
      <c r="H3023" s="3" t="s">
        <v>2523</v>
      </c>
      <c r="I3023" s="3" t="s">
        <v>2524</v>
      </c>
      <c r="J3023" s="3" t="s">
        <v>1374</v>
      </c>
      <c r="K3023" s="3" t="s">
        <v>27</v>
      </c>
      <c r="L3023" s="3" t="s">
        <v>27</v>
      </c>
      <c r="M3023" s="3" t="s">
        <v>27</v>
      </c>
      <c r="N3023" s="3" t="s">
        <v>27</v>
      </c>
      <c r="O3023" s="3" t="s">
        <v>27</v>
      </c>
      <c r="P3023" s="3" t="s">
        <v>28</v>
      </c>
      <c r="Q3023" s="3" t="s">
        <v>27</v>
      </c>
      <c r="R3023" s="3" t="s">
        <v>27</v>
      </c>
      <c r="S3023" s="3" t="s">
        <v>27</v>
      </c>
      <c r="T3023" s="3" t="s">
        <v>27</v>
      </c>
    </row>
    <row r="3024" spans="1:20" ht="409.6">
      <c r="A3024" s="3">
        <v>2676689</v>
      </c>
      <c r="B3024" s="3">
        <f>HYPERLINK("https://platform.v2.vetology.net/cases/2676689/screening-report/6?type=pdf&amp;v=v6&amp;scorecard=1&amp;secret_key=BX%25IJ%24%2F65ieZ%29f6", 2676689)</f>
        <v>2676689</v>
      </c>
      <c r="C3024" s="3">
        <f>HYPERLINK("https://platform.v2.vetology.net/report/v/final/"&amp;2676689, 2676689)</f>
        <v>2676689</v>
      </c>
      <c r="D3024" s="3" t="s">
        <v>10126</v>
      </c>
      <c r="E3024" s="3" t="s">
        <v>10127</v>
      </c>
      <c r="F3024" s="3" t="s">
        <v>2682</v>
      </c>
      <c r="G3024" s="3" t="s">
        <v>100</v>
      </c>
      <c r="H3024" s="3" t="s">
        <v>10128</v>
      </c>
      <c r="I3024" s="3" t="s">
        <v>2694</v>
      </c>
      <c r="J3024" s="3" t="s">
        <v>2695</v>
      </c>
      <c r="K3024" s="3" t="s">
        <v>28</v>
      </c>
      <c r="L3024" s="3" t="s">
        <v>27</v>
      </c>
      <c r="M3024" s="3" t="s">
        <v>27</v>
      </c>
      <c r="N3024" s="3" t="s">
        <v>27</v>
      </c>
      <c r="O3024" s="3" t="s">
        <v>27</v>
      </c>
      <c r="P3024" s="3" t="s">
        <v>28</v>
      </c>
      <c r="Q3024" s="3" t="s">
        <v>27</v>
      </c>
      <c r="R3024" s="3" t="s">
        <v>28</v>
      </c>
      <c r="S3024" s="3" t="s">
        <v>27</v>
      </c>
      <c r="T3024" s="3" t="s">
        <v>28</v>
      </c>
    </row>
    <row r="3025" spans="1:20" ht="366">
      <c r="A3025" s="3">
        <v>2676664</v>
      </c>
      <c r="B3025" s="3">
        <f>HYPERLINK("https://platform.v2.vetology.net/cases/2676664/screening-report/6?type=pdf&amp;v=v6&amp;scorecard=1&amp;secret_key=BX%25IJ%24%2F65ieZ%29f6", 2676664)</f>
        <v>2676664</v>
      </c>
      <c r="C3025" s="3">
        <f>HYPERLINK("https://platform.v2.vetology.net/report/v/final/"&amp;2676664, 2676664)</f>
        <v>2676664</v>
      </c>
      <c r="D3025" s="3" t="s">
        <v>10129</v>
      </c>
      <c r="E3025" s="3" t="s">
        <v>10130</v>
      </c>
      <c r="F3025" s="3" t="s">
        <v>10131</v>
      </c>
      <c r="G3025" s="3" t="s">
        <v>179</v>
      </c>
      <c r="H3025" s="3" t="s">
        <v>10132</v>
      </c>
      <c r="I3025" s="3" t="s">
        <v>807</v>
      </c>
      <c r="J3025" s="3" t="s">
        <v>808</v>
      </c>
      <c r="K3025" s="3" t="s">
        <v>28</v>
      </c>
      <c r="L3025" s="3" t="s">
        <v>28</v>
      </c>
      <c r="M3025" s="3" t="s">
        <v>28</v>
      </c>
      <c r="N3025" s="3" t="s">
        <v>27</v>
      </c>
      <c r="O3025" s="3" t="s">
        <v>27</v>
      </c>
      <c r="P3025" s="3" t="s">
        <v>28</v>
      </c>
      <c r="Q3025" s="3" t="s">
        <v>27</v>
      </c>
      <c r="R3025" s="3" t="s">
        <v>27</v>
      </c>
      <c r="S3025" s="3" t="s">
        <v>28</v>
      </c>
      <c r="T3025" s="3" t="s">
        <v>27</v>
      </c>
    </row>
    <row r="3026" spans="1:20" ht="409.6">
      <c r="A3026" s="3">
        <v>2676654</v>
      </c>
      <c r="B3026" s="3">
        <f>HYPERLINK("https://platform.v2.vetology.net/cases/2676654/screening-report/6?type=pdf&amp;v=v6&amp;scorecard=1&amp;secret_key=BX%25IJ%24%2F65ieZ%29f6", 2676654)</f>
        <v>2676654</v>
      </c>
      <c r="C3026" s="3">
        <f>HYPERLINK("https://platform.v2.vetology.net/report/v/final/"&amp;2676654, 2676654)</f>
        <v>2676654</v>
      </c>
      <c r="D3026" s="3" t="s">
        <v>10133</v>
      </c>
      <c r="E3026" s="3" t="s">
        <v>10134</v>
      </c>
      <c r="F3026" s="3" t="s">
        <v>10135</v>
      </c>
      <c r="G3026" s="3" t="s">
        <v>186</v>
      </c>
      <c r="H3026" s="3" t="s">
        <v>10136</v>
      </c>
      <c r="I3026" s="3" t="s">
        <v>1352</v>
      </c>
      <c r="J3026" s="3" t="s">
        <v>1353</v>
      </c>
      <c r="K3026" s="3" t="s">
        <v>28</v>
      </c>
      <c r="L3026" s="3" t="s">
        <v>27</v>
      </c>
      <c r="M3026" s="3" t="s">
        <v>28</v>
      </c>
      <c r="N3026" s="3" t="s">
        <v>27</v>
      </c>
      <c r="O3026" s="3" t="s">
        <v>27</v>
      </c>
      <c r="P3026" s="3" t="s">
        <v>28</v>
      </c>
      <c r="Q3026" s="3" t="s">
        <v>28</v>
      </c>
      <c r="R3026" s="3" t="s">
        <v>27</v>
      </c>
      <c r="S3026" s="3" t="s">
        <v>27</v>
      </c>
      <c r="T3026" s="3" t="s">
        <v>27</v>
      </c>
    </row>
    <row r="3027" spans="1:20" ht="351">
      <c r="A3027" s="3">
        <v>2676556</v>
      </c>
      <c r="B3027" s="3">
        <f>HYPERLINK("https://platform.v2.vetology.net/cases/2676556/screening-report/6?type=pdf&amp;v=v6&amp;scorecard=1&amp;secret_key=BX%25IJ%24%2F65ieZ%29f6", 2676556)</f>
        <v>2676556</v>
      </c>
      <c r="C3027" s="3">
        <f>HYPERLINK("https://platform.v2.vetology.net/report/v/final/"&amp;2676556, 2676556)</f>
        <v>2676556</v>
      </c>
      <c r="D3027" s="3" t="s">
        <v>10137</v>
      </c>
      <c r="E3027" s="3" t="s">
        <v>10138</v>
      </c>
      <c r="F3027" s="3" t="s">
        <v>10139</v>
      </c>
      <c r="G3027" s="3" t="s">
        <v>57</v>
      </c>
      <c r="H3027" s="3" t="s">
        <v>10140</v>
      </c>
      <c r="I3027" s="3" t="s">
        <v>10141</v>
      </c>
      <c r="J3027" s="3" t="s">
        <v>10142</v>
      </c>
      <c r="K3027" s="3" t="s">
        <v>28</v>
      </c>
      <c r="L3027" s="3" t="s">
        <v>27</v>
      </c>
      <c r="M3027" s="3" t="s">
        <v>27</v>
      </c>
      <c r="N3027" s="3" t="s">
        <v>28</v>
      </c>
      <c r="O3027" s="3" t="s">
        <v>27</v>
      </c>
      <c r="P3027" s="3" t="s">
        <v>28</v>
      </c>
      <c r="Q3027" s="3" t="s">
        <v>27</v>
      </c>
      <c r="R3027" s="3" t="s">
        <v>27</v>
      </c>
      <c r="S3027" s="3" t="s">
        <v>27</v>
      </c>
      <c r="T3027" s="3" t="s">
        <v>27</v>
      </c>
    </row>
    <row r="3028" spans="1:20" ht="229.5">
      <c r="A3028" s="3">
        <v>2676545</v>
      </c>
      <c r="B3028" s="3">
        <f>HYPERLINK("https://platform.v2.vetology.net/cases/2676545/screening-report/6?type=pdf&amp;v=v6&amp;scorecard=1&amp;secret_key=BX%25IJ%24%2F65ieZ%29f6", 2676545)</f>
        <v>2676545</v>
      </c>
      <c r="C3028" s="3">
        <f>HYPERLINK("https://platform.v2.vetology.net/report/v/final/"&amp;2676545, 2676545)</f>
        <v>2676545</v>
      </c>
      <c r="D3028" s="3" t="s">
        <v>10143</v>
      </c>
      <c r="E3028" s="3" t="s">
        <v>10144</v>
      </c>
      <c r="F3028" s="3"/>
      <c r="G3028" s="3" t="s">
        <v>122</v>
      </c>
      <c r="H3028" s="3" t="s">
        <v>31</v>
      </c>
      <c r="I3028" s="3" t="s">
        <v>32</v>
      </c>
      <c r="J3028" s="3" t="s">
        <v>119</v>
      </c>
      <c r="K3028" s="3" t="s">
        <v>28</v>
      </c>
      <c r="L3028" s="3" t="s">
        <v>28</v>
      </c>
      <c r="M3028" s="3" t="s">
        <v>28</v>
      </c>
      <c r="N3028" s="3" t="s">
        <v>28</v>
      </c>
      <c r="O3028" s="3" t="s">
        <v>27</v>
      </c>
      <c r="P3028" s="3" t="s">
        <v>28</v>
      </c>
      <c r="Q3028" s="3" t="s">
        <v>28</v>
      </c>
      <c r="R3028" s="3" t="s">
        <v>28</v>
      </c>
      <c r="S3028" s="3" t="s">
        <v>28</v>
      </c>
      <c r="T3028" s="3" t="s">
        <v>28</v>
      </c>
    </row>
    <row r="3029" spans="1:20" ht="409.6">
      <c r="A3029" s="3">
        <v>2676467</v>
      </c>
      <c r="B3029" s="3">
        <f>HYPERLINK("https://platform.v2.vetology.net/cases/2676467/screening-report/6?type=pdf&amp;v=v6&amp;scorecard=1&amp;secret_key=BX%25IJ%24%2F65ieZ%29f6", 2676467)</f>
        <v>2676467</v>
      </c>
      <c r="C3029" s="3">
        <f>HYPERLINK("https://platform.v2.vetology.net/report/v/final/"&amp;2676467, 2676467)</f>
        <v>2676467</v>
      </c>
      <c r="D3029" s="3" t="s">
        <v>10145</v>
      </c>
      <c r="E3029" s="3" t="s">
        <v>10146</v>
      </c>
      <c r="F3029" s="3" t="s">
        <v>3751</v>
      </c>
      <c r="G3029" s="3" t="s">
        <v>186</v>
      </c>
      <c r="H3029" s="3" t="s">
        <v>2861</v>
      </c>
      <c r="I3029" s="3" t="s">
        <v>667</v>
      </c>
      <c r="J3029" s="3" t="s">
        <v>668</v>
      </c>
      <c r="K3029" s="3" t="s">
        <v>28</v>
      </c>
      <c r="L3029" s="3" t="s">
        <v>28</v>
      </c>
      <c r="M3029" s="3" t="s">
        <v>28</v>
      </c>
      <c r="N3029" s="3" t="s">
        <v>28</v>
      </c>
      <c r="O3029" s="3" t="s">
        <v>27</v>
      </c>
      <c r="P3029" s="3" t="s">
        <v>28</v>
      </c>
      <c r="Q3029" s="3" t="s">
        <v>28</v>
      </c>
      <c r="R3029" s="3" t="s">
        <v>28</v>
      </c>
      <c r="S3029" s="3" t="s">
        <v>27</v>
      </c>
      <c r="T3029" s="3" t="s">
        <v>27</v>
      </c>
    </row>
    <row r="3030" spans="1:20" ht="409.6">
      <c r="A3030" s="3">
        <v>2676463</v>
      </c>
      <c r="B3030" s="3">
        <f>HYPERLINK("https://platform.v2.vetology.net/cases/2676463/screening-report/6?type=pdf&amp;v=v6&amp;scorecard=1&amp;secret_key=BX%25IJ%24%2F65ieZ%29f6", 2676463)</f>
        <v>2676463</v>
      </c>
      <c r="C3030" s="3">
        <f>HYPERLINK("https://platform.v2.vetology.net/report/v/final/"&amp;2676463, 2676463)</f>
        <v>2676463</v>
      </c>
      <c r="D3030" s="3" t="s">
        <v>10147</v>
      </c>
      <c r="E3030" s="3" t="s">
        <v>10148</v>
      </c>
      <c r="F3030" s="3" t="s">
        <v>22</v>
      </c>
      <c r="G3030" s="3" t="s">
        <v>23</v>
      </c>
      <c r="H3030" s="3" t="s">
        <v>10149</v>
      </c>
      <c r="I3030" s="3" t="s">
        <v>793</v>
      </c>
      <c r="J3030" s="3" t="s">
        <v>794</v>
      </c>
      <c r="K3030" s="3" t="s">
        <v>28</v>
      </c>
      <c r="L3030" s="3" t="s">
        <v>28</v>
      </c>
      <c r="M3030" s="3" t="s">
        <v>28</v>
      </c>
      <c r="N3030" s="3" t="s">
        <v>28</v>
      </c>
      <c r="O3030" s="3" t="s">
        <v>28</v>
      </c>
      <c r="P3030" s="3" t="s">
        <v>28</v>
      </c>
      <c r="Q3030" s="3" t="s">
        <v>28</v>
      </c>
      <c r="R3030" s="3" t="s">
        <v>28</v>
      </c>
      <c r="S3030" s="3" t="s">
        <v>28</v>
      </c>
      <c r="T3030" s="3" t="s">
        <v>28</v>
      </c>
    </row>
    <row r="3031" spans="1:20" ht="366">
      <c r="A3031" s="3">
        <v>2676444</v>
      </c>
      <c r="B3031" s="3">
        <f>HYPERLINK("https://platform.v2.vetology.net/cases/2676444/screening-report/6?type=pdf&amp;v=v6&amp;scorecard=1&amp;secret_key=BX%25IJ%24%2F65ieZ%29f6", 2676444)</f>
        <v>2676444</v>
      </c>
      <c r="C3031" s="3">
        <f>HYPERLINK("https://platform.v2.vetology.net/report/v/final/"&amp;2676444, 2676444)</f>
        <v>2676444</v>
      </c>
      <c r="D3031" s="3" t="s">
        <v>10150</v>
      </c>
      <c r="E3031" s="3" t="s">
        <v>10151</v>
      </c>
      <c r="F3031" s="3" t="s">
        <v>10152</v>
      </c>
      <c r="G3031" s="3" t="s">
        <v>179</v>
      </c>
      <c r="H3031" s="3" t="s">
        <v>10153</v>
      </c>
      <c r="I3031" s="3" t="s">
        <v>1034</v>
      </c>
      <c r="J3031" s="3" t="s">
        <v>1035</v>
      </c>
      <c r="K3031" s="3" t="s">
        <v>27</v>
      </c>
      <c r="L3031" s="3" t="s">
        <v>27</v>
      </c>
      <c r="M3031" s="3" t="s">
        <v>28</v>
      </c>
      <c r="N3031" s="3" t="s">
        <v>28</v>
      </c>
      <c r="O3031" s="3" t="s">
        <v>28</v>
      </c>
      <c r="P3031" s="3" t="s">
        <v>28</v>
      </c>
      <c r="Q3031" s="3" t="s">
        <v>28</v>
      </c>
      <c r="R3031" s="3" t="s">
        <v>27</v>
      </c>
      <c r="S3031" s="3" t="s">
        <v>28</v>
      </c>
      <c r="T3031" s="3" t="s">
        <v>27</v>
      </c>
    </row>
    <row r="3032" spans="1:20" ht="336">
      <c r="A3032" s="3">
        <v>2676406</v>
      </c>
      <c r="B3032" s="3">
        <f>HYPERLINK("https://platform.v2.vetology.net/cases/2676406/screening-report/6?type=pdf&amp;v=v6&amp;scorecard=1&amp;secret_key=BX%25IJ%24%2F65ieZ%29f6", 2676406)</f>
        <v>2676406</v>
      </c>
      <c r="C3032" s="3">
        <f>HYPERLINK("https://platform.v2.vetology.net/report/v/final/"&amp;2676406, 2676406)</f>
        <v>2676406</v>
      </c>
      <c r="D3032" s="3" t="s">
        <v>10154</v>
      </c>
      <c r="E3032" s="3" t="s">
        <v>10155</v>
      </c>
      <c r="F3032" s="3" t="s">
        <v>3758</v>
      </c>
      <c r="G3032" s="3" t="s">
        <v>186</v>
      </c>
      <c r="H3032" s="3" t="s">
        <v>8317</v>
      </c>
      <c r="I3032" s="3" t="s">
        <v>2506</v>
      </c>
      <c r="J3032" s="3" t="s">
        <v>2507</v>
      </c>
      <c r="K3032" s="3" t="s">
        <v>27</v>
      </c>
      <c r="L3032" s="3" t="s">
        <v>28</v>
      </c>
      <c r="M3032" s="3" t="s">
        <v>27</v>
      </c>
      <c r="N3032" s="3" t="s">
        <v>28</v>
      </c>
      <c r="O3032" s="3" t="s">
        <v>27</v>
      </c>
      <c r="P3032" s="3" t="s">
        <v>27</v>
      </c>
      <c r="Q3032" s="3" t="s">
        <v>27</v>
      </c>
      <c r="R3032" s="3" t="s">
        <v>28</v>
      </c>
      <c r="S3032" s="3" t="s">
        <v>28</v>
      </c>
      <c r="T3032" s="3" t="s">
        <v>28</v>
      </c>
    </row>
    <row r="3033" spans="1:20" ht="229.5">
      <c r="A3033" s="3">
        <v>2676397</v>
      </c>
      <c r="B3033" s="3">
        <f>HYPERLINK("https://platform.v2.vetology.net/cases/2676397/screening-report/6?type=pdf&amp;v=v6&amp;scorecard=1&amp;secret_key=BX%25IJ%24%2F65ieZ%29f6", 2676397)</f>
        <v>2676397</v>
      </c>
      <c r="C3033" s="3">
        <f>HYPERLINK("https://platform.v2.vetology.net/report/v/final/"&amp;2676397, 2676397)</f>
        <v>2676397</v>
      </c>
      <c r="D3033" s="3" t="s">
        <v>10156</v>
      </c>
      <c r="E3033" s="3" t="s">
        <v>10157</v>
      </c>
      <c r="F3033" s="3" t="s">
        <v>10158</v>
      </c>
      <c r="G3033" s="3" t="s">
        <v>179</v>
      </c>
      <c r="H3033" s="3" t="s">
        <v>300</v>
      </c>
      <c r="I3033" s="3" t="s">
        <v>32</v>
      </c>
      <c r="J3033" s="3" t="s">
        <v>119</v>
      </c>
      <c r="K3033" s="3" t="s">
        <v>28</v>
      </c>
      <c r="L3033" s="3" t="s">
        <v>28</v>
      </c>
      <c r="M3033" s="3" t="s">
        <v>28</v>
      </c>
      <c r="N3033" s="3" t="s">
        <v>28</v>
      </c>
      <c r="O3033" s="3" t="s">
        <v>28</v>
      </c>
      <c r="P3033" s="3" t="s">
        <v>28</v>
      </c>
      <c r="Q3033" s="3" t="s">
        <v>28</v>
      </c>
      <c r="R3033" s="3" t="s">
        <v>28</v>
      </c>
      <c r="S3033" s="3" t="s">
        <v>28</v>
      </c>
      <c r="T3033" s="3" t="s">
        <v>28</v>
      </c>
    </row>
    <row r="3034" spans="1:20" ht="381.75">
      <c r="A3034" s="3">
        <v>2676384</v>
      </c>
      <c r="B3034" s="3">
        <f>HYPERLINK("https://platform.v2.vetology.net/cases/2676384/screening-report/6?type=pdf&amp;v=v6&amp;scorecard=1&amp;secret_key=BX%25IJ%24%2F65ieZ%29f6", 2676384)</f>
        <v>2676384</v>
      </c>
      <c r="C3034" s="3">
        <f>HYPERLINK("https://platform.v2.vetology.net/report/v/final/"&amp;2676384, 2676384)</f>
        <v>2676384</v>
      </c>
      <c r="D3034" s="3" t="s">
        <v>10159</v>
      </c>
      <c r="E3034" s="3" t="s">
        <v>10160</v>
      </c>
      <c r="F3034" s="3" t="s">
        <v>10161</v>
      </c>
      <c r="G3034" s="3" t="s">
        <v>57</v>
      </c>
      <c r="H3034" s="3" t="s">
        <v>135</v>
      </c>
      <c r="I3034" s="3" t="s">
        <v>136</v>
      </c>
      <c r="J3034" s="3" t="s">
        <v>424</v>
      </c>
      <c r="K3034" s="3" t="s">
        <v>28</v>
      </c>
      <c r="L3034" s="3" t="s">
        <v>28</v>
      </c>
      <c r="M3034" s="3" t="s">
        <v>28</v>
      </c>
      <c r="N3034" s="3" t="s">
        <v>27</v>
      </c>
      <c r="O3034" s="3" t="s">
        <v>27</v>
      </c>
      <c r="P3034" s="3" t="s">
        <v>28</v>
      </c>
      <c r="Q3034" s="3" t="s">
        <v>28</v>
      </c>
      <c r="R3034" s="3" t="s">
        <v>28</v>
      </c>
      <c r="S3034" s="3" t="s">
        <v>27</v>
      </c>
      <c r="T3034" s="3" t="s">
        <v>27</v>
      </c>
    </row>
    <row r="3035" spans="1:20" ht="351">
      <c r="A3035" s="3">
        <v>2676337</v>
      </c>
      <c r="B3035" s="3">
        <f>HYPERLINK("https://platform.v2.vetology.net/cases/2676337/screening-report/6?type=pdf&amp;v=v6&amp;scorecard=1&amp;secret_key=BX%25IJ%24%2F65ieZ%29f6", 2676337)</f>
        <v>2676337</v>
      </c>
      <c r="C3035" s="3">
        <f>HYPERLINK("https://platform.v2.vetology.net/report/v/final/"&amp;2676337, 2676337)</f>
        <v>2676337</v>
      </c>
      <c r="D3035" s="3" t="s">
        <v>10162</v>
      </c>
      <c r="E3035" s="3" t="s">
        <v>10163</v>
      </c>
      <c r="F3035" s="3" t="s">
        <v>10164</v>
      </c>
      <c r="G3035" s="3" t="s">
        <v>57</v>
      </c>
      <c r="H3035" s="3" t="s">
        <v>10165</v>
      </c>
      <c r="I3035" s="3" t="s">
        <v>8624</v>
      </c>
      <c r="J3035" s="3" t="s">
        <v>207</v>
      </c>
      <c r="K3035" s="3" t="s">
        <v>27</v>
      </c>
      <c r="L3035" s="3" t="s">
        <v>28</v>
      </c>
      <c r="M3035" s="3" t="s">
        <v>28</v>
      </c>
      <c r="N3035" s="3" t="s">
        <v>28</v>
      </c>
      <c r="O3035" s="3" t="s">
        <v>27</v>
      </c>
      <c r="P3035" s="3" t="s">
        <v>27</v>
      </c>
      <c r="Q3035" s="3" t="s">
        <v>27</v>
      </c>
      <c r="R3035" s="3" t="s">
        <v>28</v>
      </c>
      <c r="S3035" s="3" t="s">
        <v>28</v>
      </c>
      <c r="T3035" s="3" t="s">
        <v>27</v>
      </c>
    </row>
    <row r="3036" spans="1:20" ht="409.6">
      <c r="A3036" s="3">
        <v>2676299</v>
      </c>
      <c r="B3036" s="3">
        <f>HYPERLINK("https://platform.v2.vetology.net/cases/2676299/screening-report/6?type=pdf&amp;v=v6&amp;scorecard=1&amp;secret_key=BX%25IJ%24%2F65ieZ%29f6", 2676299)</f>
        <v>2676299</v>
      </c>
      <c r="C3036" s="3">
        <f>HYPERLINK("https://platform.v2.vetology.net/report/v/final/"&amp;2676299, 2676299)</f>
        <v>2676299</v>
      </c>
      <c r="D3036" s="3" t="s">
        <v>10166</v>
      </c>
      <c r="E3036" s="3" t="s">
        <v>10167</v>
      </c>
      <c r="F3036" s="3" t="s">
        <v>10168</v>
      </c>
      <c r="G3036" s="3" t="s">
        <v>57</v>
      </c>
      <c r="H3036" s="3" t="s">
        <v>501</v>
      </c>
      <c r="I3036" s="3" t="s">
        <v>233</v>
      </c>
      <c r="J3036" s="3" t="s">
        <v>502</v>
      </c>
      <c r="K3036" s="3" t="s">
        <v>27</v>
      </c>
      <c r="L3036" s="3" t="s">
        <v>28</v>
      </c>
      <c r="M3036" s="3" t="s">
        <v>27</v>
      </c>
      <c r="N3036" s="3" t="s">
        <v>28</v>
      </c>
      <c r="O3036" s="3" t="s">
        <v>27</v>
      </c>
      <c r="P3036" s="3" t="s">
        <v>28</v>
      </c>
      <c r="Q3036" s="3" t="s">
        <v>27</v>
      </c>
      <c r="R3036" s="3" t="s">
        <v>28</v>
      </c>
      <c r="S3036" s="3" t="s">
        <v>28</v>
      </c>
      <c r="T3036" s="3" t="s">
        <v>28</v>
      </c>
    </row>
    <row r="3037" spans="1:20" ht="409.6">
      <c r="A3037" s="3">
        <v>2676291</v>
      </c>
      <c r="B3037" s="3">
        <f>HYPERLINK("https://platform.v2.vetology.net/cases/2676291/screening-report/6?type=pdf&amp;v=v6&amp;scorecard=1&amp;secret_key=BX%25IJ%24%2F65ieZ%29f6", 2676291)</f>
        <v>2676291</v>
      </c>
      <c r="C3037" s="3">
        <f>HYPERLINK("https://platform.v2.vetology.net/report/v/final/"&amp;2676291, 2676291)</f>
        <v>2676291</v>
      </c>
      <c r="D3037" s="3" t="s">
        <v>10169</v>
      </c>
      <c r="E3037" s="3" t="s">
        <v>10170</v>
      </c>
      <c r="F3037" s="3" t="s">
        <v>10171</v>
      </c>
      <c r="G3037" s="3" t="s">
        <v>57</v>
      </c>
      <c r="H3037" s="3" t="s">
        <v>10172</v>
      </c>
      <c r="I3037" s="3" t="s">
        <v>659</v>
      </c>
      <c r="J3037" s="3" t="s">
        <v>660</v>
      </c>
      <c r="K3037" s="3" t="s">
        <v>27</v>
      </c>
      <c r="L3037" s="3" t="s">
        <v>28</v>
      </c>
      <c r="M3037" s="3" t="s">
        <v>28</v>
      </c>
      <c r="N3037" s="3" t="s">
        <v>28</v>
      </c>
      <c r="O3037" s="3" t="s">
        <v>27</v>
      </c>
      <c r="P3037" s="3" t="s">
        <v>28</v>
      </c>
      <c r="Q3037" s="3" t="s">
        <v>28</v>
      </c>
      <c r="R3037" s="3" t="s">
        <v>28</v>
      </c>
      <c r="S3037" s="3" t="s">
        <v>28</v>
      </c>
      <c r="T3037" s="3" t="s">
        <v>28</v>
      </c>
    </row>
    <row r="3038" spans="1:20" ht="290.25">
      <c r="A3038" s="3">
        <v>2676282</v>
      </c>
      <c r="B3038" s="3">
        <f>HYPERLINK("https://platform.v2.vetology.net/cases/2676282/screening-report/6?type=pdf&amp;v=v6&amp;scorecard=1&amp;secret_key=BX%25IJ%24%2F65ieZ%29f6", 2676282)</f>
        <v>2676282</v>
      </c>
      <c r="C3038" s="3">
        <f>HYPERLINK("https://platform.v2.vetology.net/report/v/final/"&amp;2676282, 2676282)</f>
        <v>2676282</v>
      </c>
      <c r="D3038" s="3" t="s">
        <v>10173</v>
      </c>
      <c r="E3038" s="3" t="s">
        <v>10174</v>
      </c>
      <c r="F3038" s="3" t="s">
        <v>10175</v>
      </c>
      <c r="G3038" s="3" t="s">
        <v>186</v>
      </c>
      <c r="H3038" s="3" t="s">
        <v>10176</v>
      </c>
      <c r="I3038" s="3" t="s">
        <v>4099</v>
      </c>
      <c r="J3038" s="3" t="s">
        <v>4100</v>
      </c>
      <c r="K3038" s="3" t="s">
        <v>27</v>
      </c>
      <c r="L3038" s="3" t="s">
        <v>28</v>
      </c>
      <c r="M3038" s="3" t="s">
        <v>27</v>
      </c>
      <c r="N3038" s="3" t="s">
        <v>28</v>
      </c>
      <c r="O3038" s="3" t="s">
        <v>27</v>
      </c>
      <c r="P3038" s="3" t="s">
        <v>28</v>
      </c>
      <c r="Q3038" s="3" t="s">
        <v>28</v>
      </c>
      <c r="R3038" s="3" t="s">
        <v>28</v>
      </c>
      <c r="S3038" s="3" t="s">
        <v>28</v>
      </c>
      <c r="T3038" s="3" t="s">
        <v>28</v>
      </c>
    </row>
    <row r="3039" spans="1:20" ht="409.6">
      <c r="A3039" s="3">
        <v>2676262</v>
      </c>
      <c r="B3039" s="3">
        <f>HYPERLINK("https://platform.v2.vetology.net/cases/2676262/screening-report/6?type=pdf&amp;v=v6&amp;scorecard=1&amp;secret_key=BX%25IJ%24%2F65ieZ%29f6", 2676262)</f>
        <v>2676262</v>
      </c>
      <c r="C3039" s="3">
        <f>HYPERLINK("https://platform.v2.vetology.net/report/v/final/"&amp;2676262, 2676262)</f>
        <v>2676262</v>
      </c>
      <c r="D3039" s="3" t="s">
        <v>10177</v>
      </c>
      <c r="E3039" s="3" t="s">
        <v>10178</v>
      </c>
      <c r="F3039" s="3" t="s">
        <v>10179</v>
      </c>
      <c r="G3039" s="3" t="s">
        <v>736</v>
      </c>
      <c r="H3039" s="3" t="s">
        <v>10180</v>
      </c>
      <c r="I3039" s="3" t="s">
        <v>8770</v>
      </c>
      <c r="J3039" s="3" t="s">
        <v>8771</v>
      </c>
      <c r="K3039" s="3" t="s">
        <v>27</v>
      </c>
      <c r="L3039" s="3" t="s">
        <v>27</v>
      </c>
      <c r="M3039" s="3" t="s">
        <v>27</v>
      </c>
      <c r="N3039" s="3" t="s">
        <v>27</v>
      </c>
      <c r="O3039" s="3" t="s">
        <v>27</v>
      </c>
      <c r="P3039" s="3" t="s">
        <v>27</v>
      </c>
      <c r="Q3039" s="3" t="s">
        <v>27</v>
      </c>
      <c r="R3039" s="3" t="s">
        <v>27</v>
      </c>
      <c r="S3039" s="3" t="s">
        <v>27</v>
      </c>
      <c r="T3039" s="3" t="s">
        <v>27</v>
      </c>
    </row>
    <row r="3040" spans="1:20" ht="409.6">
      <c r="A3040" s="3">
        <v>2676252</v>
      </c>
      <c r="B3040" s="3">
        <f>HYPERLINK("https://platform.v2.vetology.net/cases/2676252/screening-report/6?type=pdf&amp;v=v6&amp;scorecard=1&amp;secret_key=BX%25IJ%24%2F65ieZ%29f6", 2676252)</f>
        <v>2676252</v>
      </c>
      <c r="C3040" s="3">
        <f>HYPERLINK("https://platform.v2.vetology.net/report/v/final/"&amp;2676252, 2676252)</f>
        <v>2676252</v>
      </c>
      <c r="D3040" s="3" t="s">
        <v>10181</v>
      </c>
      <c r="E3040" s="3" t="s">
        <v>10182</v>
      </c>
      <c r="F3040" s="3" t="s">
        <v>10183</v>
      </c>
      <c r="G3040" s="3" t="s">
        <v>57</v>
      </c>
      <c r="H3040" s="3" t="s">
        <v>4211</v>
      </c>
      <c r="I3040" s="3" t="s">
        <v>3369</v>
      </c>
      <c r="J3040" s="3" t="s">
        <v>207</v>
      </c>
      <c r="K3040" s="3" t="s">
        <v>28</v>
      </c>
      <c r="L3040" s="3" t="s">
        <v>28</v>
      </c>
      <c r="M3040" s="3" t="s">
        <v>28</v>
      </c>
      <c r="N3040" s="3" t="s">
        <v>28</v>
      </c>
      <c r="O3040" s="3" t="s">
        <v>28</v>
      </c>
      <c r="P3040" s="3" t="s">
        <v>28</v>
      </c>
      <c r="Q3040" s="3" t="s">
        <v>28</v>
      </c>
      <c r="R3040" s="3" t="s">
        <v>28</v>
      </c>
      <c r="S3040" s="3" t="s">
        <v>28</v>
      </c>
      <c r="T3040" s="3" t="s">
        <v>28</v>
      </c>
    </row>
    <row r="3041" spans="1:20" ht="336">
      <c r="A3041" s="3">
        <v>2676229</v>
      </c>
      <c r="B3041" s="3">
        <f>HYPERLINK("https://platform.v2.vetology.net/cases/2676229/screening-report/6?type=pdf&amp;v=v6&amp;scorecard=1&amp;secret_key=BX%25IJ%24%2F65ieZ%29f6", 2676229)</f>
        <v>2676229</v>
      </c>
      <c r="C3041" s="3">
        <f>HYPERLINK("https://platform.v2.vetology.net/report/v/final/"&amp;2676229, 2676229)</f>
        <v>2676229</v>
      </c>
      <c r="D3041" s="3" t="s">
        <v>10184</v>
      </c>
      <c r="E3041" s="3" t="s">
        <v>10185</v>
      </c>
      <c r="F3041" s="3" t="s">
        <v>10186</v>
      </c>
      <c r="G3041" s="3" t="s">
        <v>179</v>
      </c>
      <c r="H3041" s="3" t="s">
        <v>1869</v>
      </c>
      <c r="I3041" s="3" t="s">
        <v>626</v>
      </c>
      <c r="J3041" s="3" t="s">
        <v>627</v>
      </c>
      <c r="K3041" s="3" t="s">
        <v>28</v>
      </c>
      <c r="L3041" s="3" t="s">
        <v>28</v>
      </c>
      <c r="M3041" s="3" t="s">
        <v>28</v>
      </c>
      <c r="N3041" s="3" t="s">
        <v>28</v>
      </c>
      <c r="O3041" s="3" t="s">
        <v>27</v>
      </c>
      <c r="P3041" s="3" t="s">
        <v>28</v>
      </c>
      <c r="Q3041" s="3" t="s">
        <v>28</v>
      </c>
      <c r="R3041" s="3" t="s">
        <v>28</v>
      </c>
      <c r="S3041" s="3" t="s">
        <v>28</v>
      </c>
      <c r="T3041" s="3" t="s">
        <v>27</v>
      </c>
    </row>
    <row r="3042" spans="1:20" ht="275.25">
      <c r="A3042" s="3">
        <v>2676220</v>
      </c>
      <c r="B3042" s="3">
        <f>HYPERLINK("https://platform.v2.vetology.net/cases/2676220/screening-report/6?type=pdf&amp;v=v6&amp;scorecard=1&amp;secret_key=BX%25IJ%24%2F65ieZ%29f6", 2676220)</f>
        <v>2676220</v>
      </c>
      <c r="C3042" s="3">
        <f>HYPERLINK("https://platform.v2.vetology.net/report/v/final/"&amp;2676220, 2676220)</f>
        <v>2676220</v>
      </c>
      <c r="D3042" s="3" t="s">
        <v>10187</v>
      </c>
      <c r="E3042" s="3" t="s">
        <v>10188</v>
      </c>
      <c r="F3042" s="3" t="s">
        <v>10189</v>
      </c>
      <c r="G3042" s="3" t="s">
        <v>186</v>
      </c>
      <c r="H3042" s="3" t="s">
        <v>10190</v>
      </c>
      <c r="I3042" s="3" t="s">
        <v>10191</v>
      </c>
      <c r="J3042" s="3" t="s">
        <v>207</v>
      </c>
      <c r="K3042" s="3" t="s">
        <v>28</v>
      </c>
      <c r="L3042" s="3" t="s">
        <v>28</v>
      </c>
      <c r="M3042" s="3" t="s">
        <v>27</v>
      </c>
      <c r="N3042" s="3" t="s">
        <v>28</v>
      </c>
      <c r="O3042" s="3" t="s">
        <v>28</v>
      </c>
      <c r="P3042" s="3" t="s">
        <v>28</v>
      </c>
      <c r="Q3042" s="3" t="s">
        <v>28</v>
      </c>
      <c r="R3042" s="3" t="s">
        <v>28</v>
      </c>
      <c r="S3042" s="3" t="s">
        <v>28</v>
      </c>
      <c r="T3042" s="3" t="s">
        <v>28</v>
      </c>
    </row>
    <row r="3043" spans="1:20" ht="409.6">
      <c r="A3043" s="3">
        <v>2676217</v>
      </c>
      <c r="B3043" s="3">
        <f>HYPERLINK("https://platform.v2.vetology.net/cases/2676217/screening-report/6?type=pdf&amp;v=v6&amp;scorecard=1&amp;secret_key=BX%25IJ%24%2F65ieZ%29f6", 2676217)</f>
        <v>2676217</v>
      </c>
      <c r="C3043" s="3">
        <f>HYPERLINK("https://platform.v2.vetology.net/report/v/final/"&amp;2676217, 2676217)</f>
        <v>2676217</v>
      </c>
      <c r="D3043" s="3" t="s">
        <v>10192</v>
      </c>
      <c r="E3043" s="3" t="s">
        <v>10193</v>
      </c>
      <c r="F3043" s="3"/>
      <c r="G3043" s="3" t="s">
        <v>100</v>
      </c>
      <c r="H3043" s="3" t="s">
        <v>10194</v>
      </c>
      <c r="I3043" s="3" t="s">
        <v>520</v>
      </c>
      <c r="J3043" s="3" t="s">
        <v>335</v>
      </c>
      <c r="K3043" s="3" t="s">
        <v>27</v>
      </c>
      <c r="L3043" s="3" t="s">
        <v>28</v>
      </c>
      <c r="M3043" s="3" t="s">
        <v>27</v>
      </c>
      <c r="N3043" s="3" t="s">
        <v>28</v>
      </c>
      <c r="O3043" s="3" t="s">
        <v>28</v>
      </c>
      <c r="P3043" s="3" t="s">
        <v>28</v>
      </c>
      <c r="Q3043" s="3" t="s">
        <v>28</v>
      </c>
      <c r="R3043" s="3" t="s">
        <v>28</v>
      </c>
      <c r="S3043" s="3" t="s">
        <v>28</v>
      </c>
      <c r="T3043" s="3" t="s">
        <v>28</v>
      </c>
    </row>
    <row r="3044" spans="1:20" ht="381.75">
      <c r="A3044" s="3">
        <v>2676185</v>
      </c>
      <c r="B3044" s="3">
        <f>HYPERLINK("https://platform.v2.vetology.net/cases/2676185/screening-report/6?type=pdf&amp;v=v6&amp;scorecard=1&amp;secret_key=BX%25IJ%24%2F65ieZ%29f6", 2676185)</f>
        <v>2676185</v>
      </c>
      <c r="C3044" s="3">
        <f>HYPERLINK("https://platform.v2.vetology.net/report/v/final/"&amp;2676185, 2676185)</f>
        <v>2676185</v>
      </c>
      <c r="D3044" s="3" t="s">
        <v>10195</v>
      </c>
      <c r="E3044" s="3" t="s">
        <v>10196</v>
      </c>
      <c r="F3044" s="3" t="s">
        <v>10197</v>
      </c>
      <c r="G3044" s="3" t="s">
        <v>186</v>
      </c>
      <c r="H3044" s="3" t="s">
        <v>10198</v>
      </c>
      <c r="I3044" s="3" t="s">
        <v>7307</v>
      </c>
      <c r="J3044" s="3" t="s">
        <v>7308</v>
      </c>
      <c r="K3044" s="3" t="s">
        <v>27</v>
      </c>
      <c r="L3044" s="3" t="s">
        <v>28</v>
      </c>
      <c r="M3044" s="3" t="s">
        <v>27</v>
      </c>
      <c r="N3044" s="3" t="s">
        <v>28</v>
      </c>
      <c r="O3044" s="3" t="s">
        <v>27</v>
      </c>
      <c r="P3044" s="3" t="s">
        <v>28</v>
      </c>
      <c r="Q3044" s="3" t="s">
        <v>28</v>
      </c>
      <c r="R3044" s="3" t="s">
        <v>28</v>
      </c>
      <c r="S3044" s="3" t="s">
        <v>28</v>
      </c>
      <c r="T3044" s="3" t="s">
        <v>27</v>
      </c>
    </row>
    <row r="3045" spans="1:20" ht="305.25">
      <c r="A3045" s="3">
        <v>2676184</v>
      </c>
      <c r="B3045" s="3">
        <f>HYPERLINK("https://platform.v2.vetology.net/cases/2676184/screening-report/6?type=pdf&amp;v=v6&amp;scorecard=1&amp;secret_key=BX%25IJ%24%2F65ieZ%29f6", 2676184)</f>
        <v>2676184</v>
      </c>
      <c r="C3045" s="3">
        <f>HYPERLINK("https://platform.v2.vetology.net/report/v/final/"&amp;2676184, 2676184)</f>
        <v>2676184</v>
      </c>
      <c r="D3045" s="3" t="s">
        <v>10199</v>
      </c>
      <c r="E3045" s="3" t="s">
        <v>10200</v>
      </c>
      <c r="F3045" s="3" t="s">
        <v>10201</v>
      </c>
      <c r="G3045" s="3" t="s">
        <v>186</v>
      </c>
      <c r="H3045" s="3" t="s">
        <v>118</v>
      </c>
      <c r="I3045" s="3" t="s">
        <v>32</v>
      </c>
      <c r="J3045" s="3" t="s">
        <v>33</v>
      </c>
      <c r="K3045" s="3" t="s">
        <v>27</v>
      </c>
      <c r="L3045" s="3" t="s">
        <v>28</v>
      </c>
      <c r="M3045" s="3" t="s">
        <v>28</v>
      </c>
      <c r="N3045" s="3" t="s">
        <v>28</v>
      </c>
      <c r="O3045" s="3" t="s">
        <v>27</v>
      </c>
      <c r="P3045" s="3" t="s">
        <v>28</v>
      </c>
      <c r="Q3045" s="3" t="s">
        <v>27</v>
      </c>
      <c r="R3045" s="3" t="s">
        <v>28</v>
      </c>
      <c r="S3045" s="3" t="s">
        <v>28</v>
      </c>
      <c r="T3045" s="3" t="s">
        <v>27</v>
      </c>
    </row>
    <row r="3046" spans="1:20" ht="409.6">
      <c r="A3046" s="3">
        <v>2676181</v>
      </c>
      <c r="B3046" s="3">
        <f>HYPERLINK("https://platform.v2.vetology.net/cases/2676181/screening-report/6?type=pdf&amp;v=v6&amp;scorecard=1&amp;secret_key=BX%25IJ%24%2F65ieZ%29f6", 2676181)</f>
        <v>2676181</v>
      </c>
      <c r="C3046" s="3">
        <f>HYPERLINK("https://platform.v2.vetology.net/report/v/final/"&amp;2676181, 2676181)</f>
        <v>2676181</v>
      </c>
      <c r="D3046" s="3" t="s">
        <v>10202</v>
      </c>
      <c r="E3046" s="3" t="s">
        <v>10203</v>
      </c>
      <c r="F3046" s="3" t="s">
        <v>4712</v>
      </c>
      <c r="G3046" s="3" t="s">
        <v>57</v>
      </c>
      <c r="H3046" s="3" t="s">
        <v>10204</v>
      </c>
      <c r="I3046" s="3" t="s">
        <v>1978</v>
      </c>
      <c r="J3046" s="3" t="s">
        <v>1979</v>
      </c>
      <c r="K3046" s="3" t="s">
        <v>28</v>
      </c>
      <c r="L3046" s="3" t="s">
        <v>28</v>
      </c>
      <c r="M3046" s="3" t="s">
        <v>28</v>
      </c>
      <c r="N3046" s="3" t="s">
        <v>27</v>
      </c>
      <c r="O3046" s="3" t="s">
        <v>27</v>
      </c>
      <c r="P3046" s="3" t="s">
        <v>28</v>
      </c>
      <c r="Q3046" s="3" t="s">
        <v>28</v>
      </c>
      <c r="R3046" s="3" t="s">
        <v>27</v>
      </c>
      <c r="S3046" s="3" t="s">
        <v>27</v>
      </c>
      <c r="T3046" s="3" t="s">
        <v>27</v>
      </c>
    </row>
    <row r="3047" spans="1:20" ht="409.6">
      <c r="A3047" s="3">
        <v>2676176</v>
      </c>
      <c r="B3047" s="3">
        <f>HYPERLINK("https://platform.v2.vetology.net/cases/2676176/screening-report/6?type=pdf&amp;v=v6&amp;scorecard=1&amp;secret_key=BX%25IJ%24%2F65ieZ%29f6", 2676176)</f>
        <v>2676176</v>
      </c>
      <c r="C3047" s="3">
        <f>HYPERLINK("https://platform.v2.vetology.net/report/v/final/"&amp;2676176, 2676176)</f>
        <v>2676176</v>
      </c>
      <c r="D3047" s="3" t="s">
        <v>10205</v>
      </c>
      <c r="E3047" s="3" t="s">
        <v>10206</v>
      </c>
      <c r="F3047" s="3" t="s">
        <v>10207</v>
      </c>
      <c r="G3047" s="3" t="s">
        <v>179</v>
      </c>
      <c r="H3047" s="3" t="s">
        <v>10208</v>
      </c>
      <c r="I3047" s="3" t="s">
        <v>59</v>
      </c>
      <c r="J3047" s="3" t="s">
        <v>60</v>
      </c>
      <c r="K3047" s="3" t="s">
        <v>28</v>
      </c>
      <c r="L3047" s="3" t="s">
        <v>28</v>
      </c>
      <c r="M3047" s="3" t="s">
        <v>28</v>
      </c>
      <c r="N3047" s="3" t="s">
        <v>28</v>
      </c>
      <c r="O3047" s="3" t="s">
        <v>28</v>
      </c>
      <c r="P3047" s="3" t="s">
        <v>28</v>
      </c>
      <c r="Q3047" s="3" t="s">
        <v>28</v>
      </c>
      <c r="R3047" s="3" t="s">
        <v>28</v>
      </c>
      <c r="S3047" s="3" t="s">
        <v>28</v>
      </c>
      <c r="T3047" s="3" t="s">
        <v>27</v>
      </c>
    </row>
    <row r="3048" spans="1:20" ht="351">
      <c r="A3048" s="3">
        <v>2676163</v>
      </c>
      <c r="B3048" s="3">
        <f>HYPERLINK("https://platform.v2.vetology.net/cases/2676163/screening-report/6?type=pdf&amp;v=v6&amp;scorecard=1&amp;secret_key=BX%25IJ%24%2F65ieZ%29f6", 2676163)</f>
        <v>2676163</v>
      </c>
      <c r="C3048" s="3">
        <f>HYPERLINK("https://platform.v2.vetology.net/report/v/final/"&amp;2676163, 2676163)</f>
        <v>2676163</v>
      </c>
      <c r="D3048" s="3" t="s">
        <v>10209</v>
      </c>
      <c r="E3048" s="3" t="s">
        <v>10210</v>
      </c>
      <c r="F3048" s="3" t="s">
        <v>10211</v>
      </c>
      <c r="G3048" s="3" t="s">
        <v>179</v>
      </c>
      <c r="H3048" s="3" t="s">
        <v>10212</v>
      </c>
      <c r="I3048" s="3" t="s">
        <v>3465</v>
      </c>
      <c r="J3048" s="3" t="s">
        <v>387</v>
      </c>
      <c r="K3048" s="3" t="s">
        <v>28</v>
      </c>
      <c r="L3048" s="3" t="s">
        <v>28</v>
      </c>
      <c r="M3048" s="3" t="s">
        <v>28</v>
      </c>
      <c r="N3048" s="3" t="s">
        <v>28</v>
      </c>
      <c r="O3048" s="3" t="s">
        <v>28</v>
      </c>
      <c r="P3048" s="3" t="s">
        <v>28</v>
      </c>
      <c r="Q3048" s="3" t="s">
        <v>28</v>
      </c>
      <c r="R3048" s="3" t="s">
        <v>28</v>
      </c>
      <c r="S3048" s="3" t="s">
        <v>28</v>
      </c>
      <c r="T3048" s="3" t="s">
        <v>28</v>
      </c>
    </row>
    <row r="3049" spans="1:20" ht="409.6">
      <c r="A3049" s="3">
        <v>2676149</v>
      </c>
      <c r="B3049" s="3">
        <f>HYPERLINK("https://platform.v2.vetology.net/cases/2676149/screening-report/6?type=pdf&amp;v=v6&amp;scorecard=1&amp;secret_key=BX%25IJ%24%2F65ieZ%29f6", 2676149)</f>
        <v>2676149</v>
      </c>
      <c r="C3049" s="3">
        <f>HYPERLINK("https://platform.v2.vetology.net/report/v/final/"&amp;2676149, 2676149)</f>
        <v>2676149</v>
      </c>
      <c r="D3049" s="3" t="s">
        <v>10213</v>
      </c>
      <c r="E3049" s="3" t="s">
        <v>10214</v>
      </c>
      <c r="F3049" s="3" t="s">
        <v>10215</v>
      </c>
      <c r="G3049" s="3" t="s">
        <v>566</v>
      </c>
      <c r="H3049" s="3" t="s">
        <v>1271</v>
      </c>
      <c r="I3049" s="3" t="s">
        <v>883</v>
      </c>
      <c r="J3049" s="3" t="s">
        <v>884</v>
      </c>
      <c r="K3049" s="3" t="s">
        <v>28</v>
      </c>
      <c r="L3049" s="3" t="s">
        <v>28</v>
      </c>
      <c r="M3049" s="3" t="s">
        <v>28</v>
      </c>
      <c r="N3049" s="3" t="s">
        <v>28</v>
      </c>
      <c r="O3049" s="3" t="s">
        <v>28</v>
      </c>
      <c r="P3049" s="3" t="s">
        <v>28</v>
      </c>
      <c r="Q3049" s="3" t="s">
        <v>28</v>
      </c>
      <c r="R3049" s="3" t="s">
        <v>28</v>
      </c>
      <c r="S3049" s="3" t="s">
        <v>28</v>
      </c>
      <c r="T3049" s="3" t="s">
        <v>28</v>
      </c>
    </row>
    <row r="3050" spans="1:20" ht="275.25">
      <c r="A3050" s="3">
        <v>2676130</v>
      </c>
      <c r="B3050" s="3">
        <f>HYPERLINK("https://platform.v2.vetology.net/cases/2676130/screening-report/6?type=pdf&amp;v=v6&amp;scorecard=1&amp;secret_key=BX%25IJ%24%2F65ieZ%29f6", 2676130)</f>
        <v>2676130</v>
      </c>
      <c r="C3050" s="3">
        <f>HYPERLINK("https://platform.v2.vetology.net/report/v/final/"&amp;2676130, 2676130)</f>
        <v>2676130</v>
      </c>
      <c r="D3050" s="3" t="s">
        <v>10216</v>
      </c>
      <c r="E3050" s="3" t="s">
        <v>10217</v>
      </c>
      <c r="F3050" s="3" t="s">
        <v>10218</v>
      </c>
      <c r="G3050" s="3" t="s">
        <v>100</v>
      </c>
      <c r="H3050" s="3" t="s">
        <v>10219</v>
      </c>
      <c r="I3050" s="3" t="s">
        <v>464</v>
      </c>
      <c r="J3050" s="3" t="s">
        <v>297</v>
      </c>
      <c r="K3050" s="3" t="s">
        <v>28</v>
      </c>
      <c r="L3050" s="3" t="s">
        <v>28</v>
      </c>
      <c r="M3050" s="3" t="s">
        <v>28</v>
      </c>
      <c r="N3050" s="3" t="s">
        <v>28</v>
      </c>
      <c r="O3050" s="3" t="s">
        <v>28</v>
      </c>
      <c r="P3050" s="3" t="s">
        <v>28</v>
      </c>
      <c r="Q3050" s="3" t="s">
        <v>28</v>
      </c>
      <c r="R3050" s="3" t="s">
        <v>28</v>
      </c>
      <c r="S3050" s="3" t="s">
        <v>28</v>
      </c>
      <c r="T3050" s="3" t="s">
        <v>28</v>
      </c>
    </row>
    <row r="3051" spans="1:20" ht="409.6">
      <c r="A3051" s="3">
        <v>2676122</v>
      </c>
      <c r="B3051" s="3">
        <f>HYPERLINK("https://platform.v2.vetology.net/cases/2676122/screening-report/6?type=pdf&amp;v=v6&amp;scorecard=1&amp;secret_key=BX%25IJ%24%2F65ieZ%29f6", 2676122)</f>
        <v>2676122</v>
      </c>
      <c r="C3051" s="3">
        <f>HYPERLINK("https://platform.v2.vetology.net/report/v/final/"&amp;2676122, 2676122)</f>
        <v>2676122</v>
      </c>
      <c r="D3051" s="3" t="s">
        <v>10220</v>
      </c>
      <c r="E3051" s="3" t="s">
        <v>10221</v>
      </c>
      <c r="F3051" s="3" t="s">
        <v>1762</v>
      </c>
      <c r="G3051" s="3" t="s">
        <v>100</v>
      </c>
      <c r="H3051" s="3" t="s">
        <v>4663</v>
      </c>
      <c r="I3051" s="3" t="s">
        <v>368</v>
      </c>
      <c r="J3051" s="3" t="s">
        <v>369</v>
      </c>
      <c r="K3051" s="3" t="s">
        <v>27</v>
      </c>
      <c r="L3051" s="3" t="s">
        <v>27</v>
      </c>
      <c r="M3051" s="3" t="s">
        <v>27</v>
      </c>
      <c r="N3051" s="3" t="s">
        <v>28</v>
      </c>
      <c r="O3051" s="3" t="s">
        <v>27</v>
      </c>
      <c r="P3051" s="3" t="s">
        <v>28</v>
      </c>
      <c r="Q3051" s="3" t="s">
        <v>27</v>
      </c>
      <c r="R3051" s="3" t="s">
        <v>28</v>
      </c>
      <c r="S3051" s="3" t="s">
        <v>28</v>
      </c>
      <c r="T3051" s="3" t="s">
        <v>28</v>
      </c>
    </row>
    <row r="3052" spans="1:20" ht="366">
      <c r="A3052" s="3">
        <v>2676115</v>
      </c>
      <c r="B3052" s="3">
        <f>HYPERLINK("https://platform.v2.vetology.net/cases/2676115/screening-report/6?type=pdf&amp;v=v6&amp;scorecard=1&amp;secret_key=BX%25IJ%24%2F65ieZ%29f6", 2676115)</f>
        <v>2676115</v>
      </c>
      <c r="C3052" s="3">
        <f>HYPERLINK("https://platform.v2.vetology.net/report/v/final/"&amp;2676115, 2676115)</f>
        <v>2676115</v>
      </c>
      <c r="D3052" s="3" t="s">
        <v>10222</v>
      </c>
      <c r="E3052" s="3" t="s">
        <v>10223</v>
      </c>
      <c r="F3052" s="3" t="s">
        <v>10224</v>
      </c>
      <c r="G3052" s="3" t="s">
        <v>179</v>
      </c>
      <c r="H3052" s="3" t="s">
        <v>10225</v>
      </c>
      <c r="I3052" s="3" t="s">
        <v>2432</v>
      </c>
      <c r="J3052" s="3" t="s">
        <v>2433</v>
      </c>
      <c r="K3052" s="3" t="s">
        <v>27</v>
      </c>
      <c r="L3052" s="3" t="s">
        <v>27</v>
      </c>
      <c r="M3052" s="3" t="s">
        <v>28</v>
      </c>
      <c r="N3052" s="3" t="s">
        <v>28</v>
      </c>
      <c r="O3052" s="3" t="s">
        <v>27</v>
      </c>
      <c r="P3052" s="3" t="s">
        <v>28</v>
      </c>
      <c r="Q3052" s="3" t="s">
        <v>28</v>
      </c>
      <c r="R3052" s="3" t="s">
        <v>27</v>
      </c>
      <c r="S3052" s="3" t="s">
        <v>27</v>
      </c>
      <c r="T3052" s="3" t="s">
        <v>27</v>
      </c>
    </row>
    <row r="3053" spans="1:20" ht="305.25">
      <c r="A3053" s="3">
        <v>2676085</v>
      </c>
      <c r="B3053" s="3">
        <f>HYPERLINK("https://platform.v2.vetology.net/cases/2676085/screening-report/6?type=pdf&amp;v=v6&amp;scorecard=1&amp;secret_key=BX%25IJ%24%2F65ieZ%29f6", 2676085)</f>
        <v>2676085</v>
      </c>
      <c r="C3053" s="3">
        <f>HYPERLINK("https://platform.v2.vetology.net/report/v/final/"&amp;2676085, 2676085)</f>
        <v>2676085</v>
      </c>
      <c r="D3053" s="3" t="s">
        <v>10226</v>
      </c>
      <c r="E3053" s="3" t="s">
        <v>10227</v>
      </c>
      <c r="F3053" s="3" t="s">
        <v>10228</v>
      </c>
      <c r="G3053" s="3" t="s">
        <v>186</v>
      </c>
      <c r="H3053" s="3" t="s">
        <v>702</v>
      </c>
      <c r="I3053" s="3" t="s">
        <v>4382</v>
      </c>
      <c r="J3053" s="3" t="s">
        <v>33</v>
      </c>
      <c r="K3053" s="3" t="s">
        <v>27</v>
      </c>
      <c r="L3053" s="3" t="s">
        <v>28</v>
      </c>
      <c r="M3053" s="3" t="s">
        <v>28</v>
      </c>
      <c r="N3053" s="3" t="s">
        <v>28</v>
      </c>
      <c r="O3053" s="3" t="s">
        <v>28</v>
      </c>
      <c r="P3053" s="3" t="s">
        <v>27</v>
      </c>
      <c r="Q3053" s="3" t="s">
        <v>28</v>
      </c>
      <c r="R3053" s="3" t="s">
        <v>28</v>
      </c>
      <c r="S3053" s="3" t="s">
        <v>28</v>
      </c>
      <c r="T3053" s="3" t="s">
        <v>28</v>
      </c>
    </row>
    <row r="3054" spans="1:20" ht="229.5">
      <c r="A3054" s="3">
        <v>2676055</v>
      </c>
      <c r="B3054" s="3">
        <f>HYPERLINK("https://platform.v2.vetology.net/cases/2676055/screening-report/6?type=pdf&amp;v=v6&amp;scorecard=1&amp;secret_key=BX%25IJ%24%2F65ieZ%29f6", 2676055)</f>
        <v>2676055</v>
      </c>
      <c r="C3054" s="3">
        <f>HYPERLINK("https://platform.v2.vetology.net/report/v/final/"&amp;2676055, 2676055)</f>
        <v>2676055</v>
      </c>
      <c r="D3054" s="3" t="s">
        <v>10229</v>
      </c>
      <c r="E3054" s="3" t="s">
        <v>10230</v>
      </c>
      <c r="F3054" s="3" t="s">
        <v>260</v>
      </c>
      <c r="G3054" s="3" t="s">
        <v>186</v>
      </c>
      <c r="H3054" s="3" t="s">
        <v>31</v>
      </c>
      <c r="I3054" s="3" t="s">
        <v>1497</v>
      </c>
      <c r="J3054" s="3" t="s">
        <v>847</v>
      </c>
      <c r="K3054" s="3" t="s">
        <v>28</v>
      </c>
      <c r="L3054" s="3" t="s">
        <v>28</v>
      </c>
      <c r="M3054" s="3" t="s">
        <v>28</v>
      </c>
      <c r="N3054" s="3" t="s">
        <v>28</v>
      </c>
      <c r="O3054" s="3" t="s">
        <v>27</v>
      </c>
      <c r="P3054" s="3" t="s">
        <v>28</v>
      </c>
      <c r="Q3054" s="3" t="s">
        <v>28</v>
      </c>
      <c r="R3054" s="3" t="s">
        <v>28</v>
      </c>
      <c r="S3054" s="3" t="s">
        <v>28</v>
      </c>
      <c r="T3054" s="3" t="s">
        <v>28</v>
      </c>
    </row>
    <row r="3055" spans="1:20" ht="409.6">
      <c r="A3055" s="3">
        <v>2676035</v>
      </c>
      <c r="B3055" s="3">
        <f>HYPERLINK("https://platform.v2.vetology.net/cases/2676035/screening-report/6?type=pdf&amp;v=v6&amp;scorecard=1&amp;secret_key=BX%25IJ%24%2F65ieZ%29f6", 2676035)</f>
        <v>2676035</v>
      </c>
      <c r="C3055" s="3">
        <f>HYPERLINK("https://platform.v2.vetology.net/report/v/final/"&amp;2676035, 2676035)</f>
        <v>2676035</v>
      </c>
      <c r="D3055" s="3" t="s">
        <v>10231</v>
      </c>
      <c r="E3055" s="3" t="s">
        <v>10232</v>
      </c>
      <c r="F3055" s="3" t="s">
        <v>1762</v>
      </c>
      <c r="G3055" s="3" t="s">
        <v>100</v>
      </c>
      <c r="H3055" s="3" t="s">
        <v>10233</v>
      </c>
      <c r="I3055" s="3" t="s">
        <v>5078</v>
      </c>
      <c r="J3055" s="3" t="s">
        <v>9627</v>
      </c>
      <c r="K3055" s="3" t="s">
        <v>28</v>
      </c>
      <c r="L3055" s="3" t="s">
        <v>28</v>
      </c>
      <c r="M3055" s="3" t="s">
        <v>28</v>
      </c>
      <c r="N3055" s="3" t="s">
        <v>28</v>
      </c>
      <c r="O3055" s="3" t="s">
        <v>28</v>
      </c>
      <c r="P3055" s="3" t="s">
        <v>28</v>
      </c>
      <c r="Q3055" s="3" t="s">
        <v>28</v>
      </c>
      <c r="R3055" s="3" t="s">
        <v>28</v>
      </c>
      <c r="S3055" s="3" t="s">
        <v>28</v>
      </c>
      <c r="T3055" s="3" t="s">
        <v>28</v>
      </c>
    </row>
    <row r="3056" spans="1:20" ht="409.6">
      <c r="A3056" s="3">
        <v>2675993</v>
      </c>
      <c r="B3056" s="3">
        <f>HYPERLINK("https://platform.v2.vetology.net/cases/2675993/screening-report/6?type=pdf&amp;v=v6&amp;scorecard=1&amp;secret_key=BX%25IJ%24%2F65ieZ%29f6", 2675993)</f>
        <v>2675993</v>
      </c>
      <c r="C3056" s="3">
        <f>HYPERLINK("https://platform.v2.vetology.net/report/v/final/"&amp;2675993, 2675993)</f>
        <v>2675993</v>
      </c>
      <c r="D3056" s="3" t="s">
        <v>10234</v>
      </c>
      <c r="E3056" s="3" t="s">
        <v>10235</v>
      </c>
      <c r="F3056" s="3" t="s">
        <v>10236</v>
      </c>
      <c r="G3056" s="3" t="s">
        <v>186</v>
      </c>
      <c r="H3056" s="3" t="s">
        <v>10237</v>
      </c>
      <c r="I3056" s="3" t="s">
        <v>1057</v>
      </c>
      <c r="J3056" s="3" t="s">
        <v>1058</v>
      </c>
      <c r="K3056" s="3" t="s">
        <v>28</v>
      </c>
      <c r="L3056" s="3" t="s">
        <v>28</v>
      </c>
      <c r="M3056" s="3" t="s">
        <v>28</v>
      </c>
      <c r="N3056" s="3" t="s">
        <v>28</v>
      </c>
      <c r="O3056" s="3" t="s">
        <v>28</v>
      </c>
      <c r="P3056" s="3" t="s">
        <v>27</v>
      </c>
      <c r="Q3056" s="3" t="s">
        <v>28</v>
      </c>
      <c r="R3056" s="3" t="s">
        <v>28</v>
      </c>
      <c r="S3056" s="3" t="s">
        <v>28</v>
      </c>
      <c r="T3056" s="3" t="s">
        <v>27</v>
      </c>
    </row>
    <row r="3057" spans="1:20" ht="290.25">
      <c r="A3057" s="3">
        <v>2675969</v>
      </c>
      <c r="B3057" s="3">
        <f>HYPERLINK("https://platform.v2.vetology.net/cases/2675969/screening-report/6?type=pdf&amp;v=v6&amp;scorecard=1&amp;secret_key=BX%25IJ%24%2F65ieZ%29f6", 2675969)</f>
        <v>2675969</v>
      </c>
      <c r="C3057" s="3">
        <f>HYPERLINK("https://platform.v2.vetology.net/report/v/final/"&amp;2675969, 2675969)</f>
        <v>2675969</v>
      </c>
      <c r="D3057" s="3" t="s">
        <v>10238</v>
      </c>
      <c r="E3057" s="3" t="s">
        <v>10239</v>
      </c>
      <c r="F3057" s="3" t="s">
        <v>22</v>
      </c>
      <c r="G3057" s="3" t="s">
        <v>100</v>
      </c>
      <c r="H3057" s="3" t="s">
        <v>944</v>
      </c>
      <c r="I3057" s="3" t="s">
        <v>2041</v>
      </c>
      <c r="J3057" s="3" t="s">
        <v>2042</v>
      </c>
      <c r="K3057" s="3" t="s">
        <v>28</v>
      </c>
      <c r="L3057" s="3" t="s">
        <v>28</v>
      </c>
      <c r="M3057" s="3" t="s">
        <v>28</v>
      </c>
      <c r="N3057" s="3" t="s">
        <v>28</v>
      </c>
      <c r="O3057" s="3" t="s">
        <v>27</v>
      </c>
      <c r="P3057" s="3" t="s">
        <v>28</v>
      </c>
      <c r="Q3057" s="3" t="s">
        <v>28</v>
      </c>
      <c r="R3057" s="3" t="s">
        <v>28</v>
      </c>
      <c r="S3057" s="3" t="s">
        <v>28</v>
      </c>
      <c r="T3057" s="3" t="s">
        <v>28</v>
      </c>
    </row>
    <row r="3058" spans="1:20" ht="409.6">
      <c r="A3058" s="3">
        <v>2675932</v>
      </c>
      <c r="B3058" s="3">
        <f>HYPERLINK("https://platform.v2.vetology.net/cases/2675932/screening-report/6?type=pdf&amp;v=v6&amp;scorecard=1&amp;secret_key=BX%25IJ%24%2F65ieZ%29f6", 2675932)</f>
        <v>2675932</v>
      </c>
      <c r="C3058" s="3">
        <f>HYPERLINK("https://platform.v2.vetology.net/report/v/final/"&amp;2675932, 2675932)</f>
        <v>2675932</v>
      </c>
      <c r="D3058" s="3" t="s">
        <v>10240</v>
      </c>
      <c r="E3058" s="3" t="s">
        <v>10241</v>
      </c>
      <c r="F3058" s="3" t="s">
        <v>10242</v>
      </c>
      <c r="G3058" s="3" t="s">
        <v>1772</v>
      </c>
      <c r="H3058" s="3" t="s">
        <v>677</v>
      </c>
      <c r="I3058" s="3" t="s">
        <v>678</v>
      </c>
      <c r="J3058" s="3" t="s">
        <v>679</v>
      </c>
      <c r="K3058" s="3" t="s">
        <v>27</v>
      </c>
      <c r="L3058" s="3" t="s">
        <v>27</v>
      </c>
      <c r="M3058" s="3" t="s">
        <v>28</v>
      </c>
      <c r="N3058" s="3" t="s">
        <v>27</v>
      </c>
      <c r="O3058" s="3" t="s">
        <v>27</v>
      </c>
      <c r="P3058" s="3" t="s">
        <v>28</v>
      </c>
      <c r="Q3058" s="3" t="s">
        <v>28</v>
      </c>
      <c r="R3058" s="3" t="s">
        <v>27</v>
      </c>
      <c r="S3058" s="3" t="s">
        <v>27</v>
      </c>
      <c r="T3058" s="3" t="s">
        <v>27</v>
      </c>
    </row>
    <row r="3059" spans="1:20" ht="305.25">
      <c r="A3059" s="3">
        <v>2675922</v>
      </c>
      <c r="B3059" s="3">
        <f>HYPERLINK("https://platform.v2.vetology.net/cases/2675922/screening-report/6?type=pdf&amp;v=v6&amp;scorecard=1&amp;secret_key=BX%25IJ%24%2F65ieZ%29f6", 2675922)</f>
        <v>2675922</v>
      </c>
      <c r="C3059" s="3">
        <f>HYPERLINK("https://platform.v2.vetology.net/report/v/final/"&amp;2675922, 2675922)</f>
        <v>2675922</v>
      </c>
      <c r="D3059" s="3" t="s">
        <v>10243</v>
      </c>
      <c r="E3059" s="3" t="s">
        <v>10244</v>
      </c>
      <c r="F3059" s="3" t="s">
        <v>22</v>
      </c>
      <c r="G3059" s="3" t="s">
        <v>23</v>
      </c>
      <c r="H3059" s="3" t="s">
        <v>4698</v>
      </c>
      <c r="I3059" s="3" t="s">
        <v>4699</v>
      </c>
      <c r="J3059" s="3" t="s">
        <v>4700</v>
      </c>
      <c r="K3059" s="3" t="s">
        <v>27</v>
      </c>
      <c r="L3059" s="3" t="s">
        <v>28</v>
      </c>
      <c r="M3059" s="3" t="s">
        <v>27</v>
      </c>
      <c r="N3059" s="3" t="s">
        <v>28</v>
      </c>
      <c r="O3059" s="3" t="s">
        <v>27</v>
      </c>
      <c r="P3059" s="3" t="s">
        <v>27</v>
      </c>
      <c r="Q3059" s="3" t="s">
        <v>27</v>
      </c>
      <c r="R3059" s="3" t="s">
        <v>28</v>
      </c>
      <c r="S3059" s="3" t="s">
        <v>28</v>
      </c>
      <c r="T3059" s="3" t="s">
        <v>28</v>
      </c>
    </row>
    <row r="3060" spans="1:20" ht="409.6">
      <c r="A3060" s="3">
        <v>2675873</v>
      </c>
      <c r="B3060" s="3">
        <f>HYPERLINK("https://platform.v2.vetology.net/cases/2675873/screening-report/6?type=pdf&amp;v=v6&amp;scorecard=1&amp;secret_key=BX%25IJ%24%2F65ieZ%29f6", 2675873)</f>
        <v>2675873</v>
      </c>
      <c r="C3060" s="3">
        <f>HYPERLINK("https://platform.v2.vetology.net/report/v/final/"&amp;2675873, 2675873)</f>
        <v>2675873</v>
      </c>
      <c r="D3060" s="3" t="s">
        <v>10245</v>
      </c>
      <c r="E3060" s="3" t="s">
        <v>10246</v>
      </c>
      <c r="F3060" s="3" t="s">
        <v>10247</v>
      </c>
      <c r="G3060" s="3" t="s">
        <v>57</v>
      </c>
      <c r="H3060" s="3" t="s">
        <v>10248</v>
      </c>
      <c r="I3060" s="3" t="s">
        <v>464</v>
      </c>
      <c r="J3060" s="3" t="s">
        <v>207</v>
      </c>
      <c r="K3060" s="3" t="s">
        <v>27</v>
      </c>
      <c r="L3060" s="3" t="s">
        <v>28</v>
      </c>
      <c r="M3060" s="3" t="s">
        <v>28</v>
      </c>
      <c r="N3060" s="3" t="s">
        <v>28</v>
      </c>
      <c r="O3060" s="3" t="s">
        <v>28</v>
      </c>
      <c r="P3060" s="3" t="s">
        <v>28</v>
      </c>
      <c r="Q3060" s="3" t="s">
        <v>28</v>
      </c>
      <c r="R3060" s="3" t="s">
        <v>28</v>
      </c>
      <c r="S3060" s="3" t="s">
        <v>28</v>
      </c>
      <c r="T3060" s="3" t="s">
        <v>28</v>
      </c>
    </row>
    <row r="3061" spans="1:20" ht="336">
      <c r="A3061" s="3">
        <v>2675806</v>
      </c>
      <c r="B3061" s="3">
        <f>HYPERLINK("https://platform.v2.vetology.net/cases/2675806/screening-report/6?type=pdf&amp;v=v6&amp;scorecard=1&amp;secret_key=BX%25IJ%24%2F65ieZ%29f6", 2675806)</f>
        <v>2675806</v>
      </c>
      <c r="C3061" s="3">
        <f>HYPERLINK("https://platform.v2.vetology.net/report/v/final/"&amp;2675806, 2675806)</f>
        <v>2675806</v>
      </c>
      <c r="D3061" s="3" t="s">
        <v>10249</v>
      </c>
      <c r="E3061" s="3" t="s">
        <v>10250</v>
      </c>
      <c r="F3061" s="3" t="s">
        <v>10251</v>
      </c>
      <c r="G3061" s="3" t="s">
        <v>834</v>
      </c>
      <c r="H3061" s="3" t="s">
        <v>10252</v>
      </c>
      <c r="I3061" s="3" t="s">
        <v>4885</v>
      </c>
      <c r="J3061" s="3" t="s">
        <v>1021</v>
      </c>
      <c r="K3061" s="3" t="s">
        <v>27</v>
      </c>
      <c r="L3061" s="3" t="s">
        <v>28</v>
      </c>
      <c r="M3061" s="3" t="s">
        <v>27</v>
      </c>
      <c r="N3061" s="3" t="s">
        <v>28</v>
      </c>
      <c r="O3061" s="3" t="s">
        <v>28</v>
      </c>
      <c r="P3061" s="3" t="s">
        <v>28</v>
      </c>
      <c r="Q3061" s="3" t="s">
        <v>28</v>
      </c>
      <c r="R3061" s="3" t="s">
        <v>28</v>
      </c>
      <c r="S3061" s="3" t="s">
        <v>28</v>
      </c>
      <c r="T3061" s="3" t="s">
        <v>28</v>
      </c>
    </row>
    <row r="3062" spans="1:20" ht="409.6">
      <c r="A3062" s="3">
        <v>2675773</v>
      </c>
      <c r="B3062" s="3">
        <f>HYPERLINK("https://platform.v2.vetology.net/cases/2675773/screening-report/6?type=pdf&amp;v=v6&amp;scorecard=1&amp;secret_key=BX%25IJ%24%2F65ieZ%29f6", 2675773)</f>
        <v>2675773</v>
      </c>
      <c r="C3062" s="3">
        <f>HYPERLINK("https://platform.v2.vetology.net/report/v/final/"&amp;2675773, 2675773)</f>
        <v>2675773</v>
      </c>
      <c r="D3062" s="3" t="s">
        <v>10253</v>
      </c>
      <c r="E3062" s="3" t="s">
        <v>955</v>
      </c>
      <c r="F3062" s="3" t="s">
        <v>956</v>
      </c>
      <c r="G3062" s="3" t="s">
        <v>100</v>
      </c>
      <c r="H3062" s="3" t="s">
        <v>10254</v>
      </c>
      <c r="I3062" s="3" t="s">
        <v>2825</v>
      </c>
      <c r="J3062" s="3" t="s">
        <v>2826</v>
      </c>
      <c r="K3062" s="3" t="s">
        <v>27</v>
      </c>
      <c r="L3062" s="3" t="s">
        <v>28</v>
      </c>
      <c r="M3062" s="3" t="s">
        <v>27</v>
      </c>
      <c r="N3062" s="3" t="s">
        <v>28</v>
      </c>
      <c r="O3062" s="3" t="s">
        <v>27</v>
      </c>
      <c r="P3062" s="3" t="s">
        <v>28</v>
      </c>
      <c r="Q3062" s="3" t="s">
        <v>27</v>
      </c>
      <c r="R3062" s="3" t="s">
        <v>28</v>
      </c>
      <c r="S3062" s="3" t="s">
        <v>28</v>
      </c>
      <c r="T3062" s="3" t="s">
        <v>28</v>
      </c>
    </row>
    <row r="3063" spans="1:20" ht="409.6">
      <c r="A3063" s="3">
        <v>2675764</v>
      </c>
      <c r="B3063" s="3">
        <f>HYPERLINK("https://platform.v2.vetology.net/cases/2675764/screening-report/6?type=pdf&amp;v=v6&amp;scorecard=1&amp;secret_key=BX%25IJ%24%2F65ieZ%29f6", 2675764)</f>
        <v>2675764</v>
      </c>
      <c r="C3063" s="3">
        <f>HYPERLINK("https://platform.v2.vetology.net/report/v/final/"&amp;2675764, 2675764)</f>
        <v>2675764</v>
      </c>
      <c r="D3063" s="3" t="s">
        <v>10255</v>
      </c>
      <c r="E3063" s="3" t="s">
        <v>10256</v>
      </c>
      <c r="F3063" s="3" t="s">
        <v>22</v>
      </c>
      <c r="G3063" s="3" t="s">
        <v>372</v>
      </c>
      <c r="H3063" s="3" t="s">
        <v>158</v>
      </c>
      <c r="I3063" s="3" t="s">
        <v>32</v>
      </c>
      <c r="J3063" s="3" t="s">
        <v>119</v>
      </c>
      <c r="K3063" s="3" t="s">
        <v>28</v>
      </c>
      <c r="L3063" s="3" t="s">
        <v>28</v>
      </c>
      <c r="M3063" s="3" t="s">
        <v>28</v>
      </c>
      <c r="N3063" s="3" t="s">
        <v>28</v>
      </c>
      <c r="O3063" s="3" t="s">
        <v>27</v>
      </c>
      <c r="P3063" s="3" t="s">
        <v>28</v>
      </c>
      <c r="Q3063" s="3" t="s">
        <v>28</v>
      </c>
      <c r="R3063" s="3" t="s">
        <v>28</v>
      </c>
      <c r="S3063" s="3" t="s">
        <v>28</v>
      </c>
      <c r="T3063" s="3" t="s">
        <v>28</v>
      </c>
    </row>
    <row r="3064" spans="1:20" ht="366">
      <c r="A3064" s="3">
        <v>2675760</v>
      </c>
      <c r="B3064" s="3">
        <f>HYPERLINK("https://platform.v2.vetology.net/cases/2675760/screening-report/6?type=pdf&amp;v=v6&amp;scorecard=1&amp;secret_key=BX%25IJ%24%2F65ieZ%29f6", 2675760)</f>
        <v>2675760</v>
      </c>
      <c r="C3064" s="3">
        <f>HYPERLINK("https://platform.v2.vetology.net/report/v/final/"&amp;2675760, 2675760)</f>
        <v>2675760</v>
      </c>
      <c r="D3064" s="3" t="s">
        <v>10257</v>
      </c>
      <c r="E3064" s="3" t="s">
        <v>10258</v>
      </c>
      <c r="F3064" s="3" t="s">
        <v>10259</v>
      </c>
      <c r="G3064" s="3" t="s">
        <v>834</v>
      </c>
      <c r="H3064" s="3" t="s">
        <v>10260</v>
      </c>
      <c r="I3064" s="3" t="s">
        <v>1483</v>
      </c>
      <c r="J3064" s="3" t="s">
        <v>5778</v>
      </c>
      <c r="K3064" s="3" t="s">
        <v>28</v>
      </c>
      <c r="L3064" s="3" t="s">
        <v>28</v>
      </c>
      <c r="M3064" s="3" t="s">
        <v>28</v>
      </c>
      <c r="N3064" s="3" t="s">
        <v>28</v>
      </c>
      <c r="O3064" s="3" t="s">
        <v>27</v>
      </c>
      <c r="P3064" s="3" t="s">
        <v>28</v>
      </c>
      <c r="Q3064" s="3" t="s">
        <v>28</v>
      </c>
      <c r="R3064" s="3" t="s">
        <v>28</v>
      </c>
      <c r="S3064" s="3" t="s">
        <v>28</v>
      </c>
      <c r="T3064" s="3" t="s">
        <v>27</v>
      </c>
    </row>
    <row r="3065" spans="1:20" ht="366">
      <c r="A3065" s="3">
        <v>2675748</v>
      </c>
      <c r="B3065" s="3">
        <f>HYPERLINK("https://platform.v2.vetology.net/cases/2675748/screening-report/6?type=pdf&amp;v=v6&amp;scorecard=1&amp;secret_key=BX%25IJ%24%2F65ieZ%29f6", 2675748)</f>
        <v>2675748</v>
      </c>
      <c r="C3065" s="3">
        <f>HYPERLINK("https://platform.v2.vetology.net/report/v/final/"&amp;2675748, 2675748)</f>
        <v>2675748</v>
      </c>
      <c r="D3065" s="3" t="s">
        <v>10261</v>
      </c>
      <c r="E3065" s="3" t="s">
        <v>10262</v>
      </c>
      <c r="F3065" s="3" t="s">
        <v>22</v>
      </c>
      <c r="G3065" s="3" t="s">
        <v>372</v>
      </c>
      <c r="H3065" s="3" t="s">
        <v>10263</v>
      </c>
      <c r="I3065" s="3" t="s">
        <v>2821</v>
      </c>
      <c r="J3065" s="3" t="s">
        <v>2822</v>
      </c>
      <c r="K3065" s="3" t="s">
        <v>28</v>
      </c>
      <c r="L3065" s="3" t="s">
        <v>28</v>
      </c>
      <c r="M3065" s="3" t="s">
        <v>28</v>
      </c>
      <c r="N3065" s="3" t="s">
        <v>28</v>
      </c>
      <c r="O3065" s="3" t="s">
        <v>28</v>
      </c>
      <c r="P3065" s="3" t="s">
        <v>28</v>
      </c>
      <c r="Q3065" s="3" t="s">
        <v>28</v>
      </c>
      <c r="R3065" s="3" t="s">
        <v>28</v>
      </c>
      <c r="S3065" s="3" t="s">
        <v>27</v>
      </c>
      <c r="T3065" s="3" t="s">
        <v>28</v>
      </c>
    </row>
    <row r="3066" spans="1:20" ht="290.25">
      <c r="A3066" s="3">
        <v>2675706</v>
      </c>
      <c r="B3066" s="3">
        <f>HYPERLINK("https://platform.v2.vetology.net/cases/2675706/screening-report/6?type=pdf&amp;v=v6&amp;scorecard=1&amp;secret_key=BX%25IJ%24%2F65ieZ%29f6", 2675706)</f>
        <v>2675706</v>
      </c>
      <c r="C3066" s="3">
        <f>HYPERLINK("https://platform.v2.vetology.net/report/v/final/"&amp;2675706, 2675706)</f>
        <v>2675706</v>
      </c>
      <c r="D3066" s="3" t="s">
        <v>2158</v>
      </c>
      <c r="E3066" s="3" t="s">
        <v>955</v>
      </c>
      <c r="F3066" s="3" t="s">
        <v>956</v>
      </c>
      <c r="G3066" s="3" t="s">
        <v>100</v>
      </c>
      <c r="H3066" s="3" t="s">
        <v>7681</v>
      </c>
      <c r="I3066" s="3" t="s">
        <v>4099</v>
      </c>
      <c r="J3066" s="3" t="s">
        <v>4100</v>
      </c>
      <c r="K3066" s="3" t="s">
        <v>27</v>
      </c>
      <c r="L3066" s="3" t="s">
        <v>28</v>
      </c>
      <c r="M3066" s="3" t="s">
        <v>27</v>
      </c>
      <c r="N3066" s="3" t="s">
        <v>28</v>
      </c>
      <c r="O3066" s="3" t="s">
        <v>27</v>
      </c>
      <c r="P3066" s="3" t="s">
        <v>28</v>
      </c>
      <c r="Q3066" s="3" t="s">
        <v>28</v>
      </c>
      <c r="R3066" s="3" t="s">
        <v>28</v>
      </c>
      <c r="S3066" s="3" t="s">
        <v>28</v>
      </c>
      <c r="T3066" s="3" t="s">
        <v>28</v>
      </c>
    </row>
    <row r="3067" spans="1:20" ht="305.25">
      <c r="A3067" s="3">
        <v>2675653</v>
      </c>
      <c r="B3067" s="3">
        <f>HYPERLINK("https://platform.v2.vetology.net/cases/2675653/screening-report/6?type=pdf&amp;v=v6&amp;scorecard=1&amp;secret_key=BX%25IJ%24%2F65ieZ%29f6", 2675653)</f>
        <v>2675653</v>
      </c>
      <c r="C3067" s="3">
        <f>HYPERLINK("https://platform.v2.vetology.net/report/v/final/"&amp;2675653, 2675653)</f>
        <v>2675653</v>
      </c>
      <c r="D3067" s="3" t="s">
        <v>10264</v>
      </c>
      <c r="E3067" s="3" t="s">
        <v>10265</v>
      </c>
      <c r="F3067" s="3" t="s">
        <v>10266</v>
      </c>
      <c r="G3067" s="3" t="s">
        <v>23</v>
      </c>
      <c r="H3067" s="3" t="s">
        <v>10267</v>
      </c>
      <c r="I3067" s="3" t="s">
        <v>1109</v>
      </c>
      <c r="J3067" s="3" t="s">
        <v>1110</v>
      </c>
      <c r="K3067" s="3" t="s">
        <v>27</v>
      </c>
      <c r="L3067" s="3" t="s">
        <v>28</v>
      </c>
      <c r="M3067" s="3" t="s">
        <v>28</v>
      </c>
      <c r="N3067" s="3" t="s">
        <v>28</v>
      </c>
      <c r="O3067" s="3" t="s">
        <v>27</v>
      </c>
      <c r="P3067" s="3" t="s">
        <v>28</v>
      </c>
      <c r="Q3067" s="3" t="s">
        <v>27</v>
      </c>
      <c r="R3067" s="3" t="s">
        <v>28</v>
      </c>
      <c r="S3067" s="3" t="s">
        <v>28</v>
      </c>
      <c r="T3067" s="3" t="s">
        <v>28</v>
      </c>
    </row>
    <row r="3068" spans="1:20" ht="259.5">
      <c r="A3068" s="3">
        <v>2675651</v>
      </c>
      <c r="B3068" s="3">
        <f>HYPERLINK("https://platform.v2.vetology.net/cases/2675651/screening-report/6?type=pdf&amp;v=v6&amp;scorecard=1&amp;secret_key=BX%25IJ%24%2F65ieZ%29f6", 2675651)</f>
        <v>2675651</v>
      </c>
      <c r="C3068" s="3">
        <f>HYPERLINK("https://platform.v2.vetology.net/report/v/final/"&amp;2675651, 2675651)</f>
        <v>2675651</v>
      </c>
      <c r="D3068" s="3" t="s">
        <v>10268</v>
      </c>
      <c r="E3068" s="3" t="s">
        <v>10269</v>
      </c>
      <c r="F3068" s="3" t="s">
        <v>10270</v>
      </c>
      <c r="G3068" s="3" t="s">
        <v>23</v>
      </c>
      <c r="H3068" s="3" t="s">
        <v>3546</v>
      </c>
      <c r="I3068" s="3" t="s">
        <v>305</v>
      </c>
      <c r="J3068" s="3" t="s">
        <v>2419</v>
      </c>
      <c r="K3068" s="3" t="s">
        <v>27</v>
      </c>
      <c r="L3068" s="3" t="s">
        <v>27</v>
      </c>
      <c r="M3068" s="3" t="s">
        <v>28</v>
      </c>
      <c r="N3068" s="3" t="s">
        <v>28</v>
      </c>
      <c r="O3068" s="3" t="s">
        <v>27</v>
      </c>
      <c r="P3068" s="3" t="s">
        <v>28</v>
      </c>
      <c r="Q3068" s="3" t="s">
        <v>27</v>
      </c>
      <c r="R3068" s="3" t="s">
        <v>27</v>
      </c>
      <c r="S3068" s="3" t="s">
        <v>27</v>
      </c>
      <c r="T3068" s="3" t="s">
        <v>27</v>
      </c>
    </row>
    <row r="3069" spans="1:20" ht="409.6">
      <c r="A3069" s="3">
        <v>2675583</v>
      </c>
      <c r="B3069" s="3">
        <f>HYPERLINK("https://platform.v2.vetology.net/cases/2675583/screening-report/6?type=pdf&amp;v=v6&amp;scorecard=1&amp;secret_key=BX%25IJ%24%2F65ieZ%29f6", 2675583)</f>
        <v>2675583</v>
      </c>
      <c r="C3069" s="3">
        <f>HYPERLINK("https://platform.v2.vetology.net/report/v/final/"&amp;2675583, 2675583)</f>
        <v>2675583</v>
      </c>
      <c r="D3069" s="3" t="s">
        <v>10271</v>
      </c>
      <c r="E3069" s="3" t="s">
        <v>10272</v>
      </c>
      <c r="F3069" s="3" t="s">
        <v>4712</v>
      </c>
      <c r="G3069" s="3" t="s">
        <v>57</v>
      </c>
      <c r="H3069" s="3" t="s">
        <v>31</v>
      </c>
      <c r="I3069" s="3" t="s">
        <v>32</v>
      </c>
      <c r="J3069" s="3" t="s">
        <v>847</v>
      </c>
      <c r="K3069" s="3" t="s">
        <v>28</v>
      </c>
      <c r="L3069" s="3" t="s">
        <v>28</v>
      </c>
      <c r="M3069" s="3" t="s">
        <v>28</v>
      </c>
      <c r="N3069" s="3" t="s">
        <v>28</v>
      </c>
      <c r="O3069" s="3" t="s">
        <v>27</v>
      </c>
      <c r="P3069" s="3" t="s">
        <v>28</v>
      </c>
      <c r="Q3069" s="3" t="s">
        <v>28</v>
      </c>
      <c r="R3069" s="3" t="s">
        <v>28</v>
      </c>
      <c r="S3069" s="3" t="s">
        <v>28</v>
      </c>
      <c r="T3069" s="3" t="s">
        <v>27</v>
      </c>
    </row>
    <row r="3070" spans="1:20" ht="229.5">
      <c r="A3070" s="3">
        <v>2675531</v>
      </c>
      <c r="B3070" s="3">
        <f>HYPERLINK("https://platform.v2.vetology.net/cases/2675531/screening-report/6?type=pdf&amp;v=v6&amp;scorecard=1&amp;secret_key=BX%25IJ%24%2F65ieZ%29f6", 2675531)</f>
        <v>2675531</v>
      </c>
      <c r="C3070" s="3">
        <f>HYPERLINK("https://platform.v2.vetology.net/report/v/final/"&amp;2675531, 2675531)</f>
        <v>2675531</v>
      </c>
      <c r="D3070" s="3" t="s">
        <v>10273</v>
      </c>
      <c r="E3070" s="3" t="s">
        <v>10274</v>
      </c>
      <c r="F3070" s="3" t="s">
        <v>22</v>
      </c>
      <c r="G3070" s="3" t="s">
        <v>372</v>
      </c>
      <c r="H3070" s="3" t="s">
        <v>241</v>
      </c>
      <c r="I3070" s="3"/>
      <c r="J3070" s="3" t="s">
        <v>207</v>
      </c>
      <c r="K3070" s="3" t="s">
        <v>28</v>
      </c>
      <c r="L3070" s="3" t="s">
        <v>28</v>
      </c>
      <c r="M3070" s="3" t="s">
        <v>28</v>
      </c>
      <c r="N3070" s="3" t="s">
        <v>28</v>
      </c>
      <c r="O3070" s="3" t="s">
        <v>27</v>
      </c>
      <c r="P3070" s="3" t="s">
        <v>28</v>
      </c>
      <c r="Q3070" s="3" t="s">
        <v>28</v>
      </c>
      <c r="R3070" s="3" t="s">
        <v>28</v>
      </c>
      <c r="S3070" s="3" t="s">
        <v>28</v>
      </c>
      <c r="T3070" s="3" t="s">
        <v>27</v>
      </c>
    </row>
    <row r="3071" spans="1:20" ht="366">
      <c r="A3071" s="3">
        <v>2675487</v>
      </c>
      <c r="B3071" s="3">
        <f>HYPERLINK("https://platform.v2.vetology.net/cases/2675487/screening-report/6?type=pdf&amp;v=v6&amp;scorecard=1&amp;secret_key=BX%25IJ%24%2F65ieZ%29f6", 2675487)</f>
        <v>2675487</v>
      </c>
      <c r="C3071" s="3">
        <f>HYPERLINK("https://platform.v2.vetology.net/report/v/final/"&amp;2675487, 2675487)</f>
        <v>2675487</v>
      </c>
      <c r="D3071" s="3" t="s">
        <v>10275</v>
      </c>
      <c r="E3071" s="3" t="s">
        <v>10276</v>
      </c>
      <c r="F3071" s="3" t="s">
        <v>22</v>
      </c>
      <c r="G3071" s="3" t="s">
        <v>100</v>
      </c>
      <c r="H3071" s="3" t="s">
        <v>806</v>
      </c>
      <c r="I3071" s="3" t="s">
        <v>807</v>
      </c>
      <c r="J3071" s="3" t="s">
        <v>808</v>
      </c>
      <c r="K3071" s="3" t="s">
        <v>28</v>
      </c>
      <c r="L3071" s="3" t="s">
        <v>28</v>
      </c>
      <c r="M3071" s="3" t="s">
        <v>28</v>
      </c>
      <c r="N3071" s="3" t="s">
        <v>27</v>
      </c>
      <c r="O3071" s="3" t="s">
        <v>27</v>
      </c>
      <c r="P3071" s="3" t="s">
        <v>28</v>
      </c>
      <c r="Q3071" s="3" t="s">
        <v>28</v>
      </c>
      <c r="R3071" s="3" t="s">
        <v>28</v>
      </c>
      <c r="S3071" s="3" t="s">
        <v>27</v>
      </c>
      <c r="T3071" s="3" t="s">
        <v>27</v>
      </c>
    </row>
    <row r="3072" spans="1:20" ht="409.6">
      <c r="A3072" s="3">
        <v>2675486</v>
      </c>
      <c r="B3072" s="3">
        <f>HYPERLINK("https://platform.v2.vetology.net/cases/2675486/screening-report/6?type=pdf&amp;v=v6&amp;scorecard=1&amp;secret_key=BX%25IJ%24%2F65ieZ%29f6", 2675486)</f>
        <v>2675486</v>
      </c>
      <c r="C3072" s="3">
        <f>HYPERLINK("https://platform.v2.vetology.net/report/v/final/"&amp;2675486, 2675486)</f>
        <v>2675486</v>
      </c>
      <c r="D3072" s="3" t="s">
        <v>10277</v>
      </c>
      <c r="E3072" s="3" t="s">
        <v>1230</v>
      </c>
      <c r="F3072" s="3" t="s">
        <v>1049</v>
      </c>
      <c r="G3072" s="3" t="s">
        <v>100</v>
      </c>
      <c r="H3072" s="3" t="s">
        <v>10278</v>
      </c>
      <c r="I3072" s="3" t="s">
        <v>4591</v>
      </c>
      <c r="J3072" s="3" t="s">
        <v>4592</v>
      </c>
      <c r="K3072" s="3" t="s">
        <v>27</v>
      </c>
      <c r="L3072" s="3" t="s">
        <v>27</v>
      </c>
      <c r="M3072" s="3" t="s">
        <v>28</v>
      </c>
      <c r="N3072" s="3" t="s">
        <v>28</v>
      </c>
      <c r="O3072" s="3" t="s">
        <v>27</v>
      </c>
      <c r="P3072" s="3" t="s">
        <v>28</v>
      </c>
      <c r="Q3072" s="3" t="s">
        <v>28</v>
      </c>
      <c r="R3072" s="3" t="s">
        <v>28</v>
      </c>
      <c r="S3072" s="3" t="s">
        <v>27</v>
      </c>
      <c r="T3072" s="3" t="s">
        <v>28</v>
      </c>
    </row>
    <row r="3073" spans="1:20" ht="336">
      <c r="A3073" s="3">
        <v>2675463</v>
      </c>
      <c r="B3073" s="3">
        <f>HYPERLINK("https://platform.v2.vetology.net/cases/2675463/screening-report/6?type=pdf&amp;v=v6&amp;scorecard=1&amp;secret_key=BX%25IJ%24%2F65ieZ%29f6", 2675463)</f>
        <v>2675463</v>
      </c>
      <c r="C3073" s="3">
        <f>HYPERLINK("https://platform.v2.vetology.net/report/v/final/"&amp;2675463, 2675463)</f>
        <v>2675463</v>
      </c>
      <c r="D3073" s="3" t="s">
        <v>10279</v>
      </c>
      <c r="E3073" s="3" t="s">
        <v>10280</v>
      </c>
      <c r="F3073" s="3" t="s">
        <v>22</v>
      </c>
      <c r="G3073" s="3" t="s">
        <v>100</v>
      </c>
      <c r="H3073" s="3" t="s">
        <v>10281</v>
      </c>
      <c r="I3073" s="3" t="s">
        <v>626</v>
      </c>
      <c r="J3073" s="3" t="s">
        <v>627</v>
      </c>
      <c r="K3073" s="3" t="s">
        <v>28</v>
      </c>
      <c r="L3073" s="3" t="s">
        <v>28</v>
      </c>
      <c r="M3073" s="3" t="s">
        <v>28</v>
      </c>
      <c r="N3073" s="3" t="s">
        <v>28</v>
      </c>
      <c r="O3073" s="3" t="s">
        <v>28</v>
      </c>
      <c r="P3073" s="3" t="s">
        <v>28</v>
      </c>
      <c r="Q3073" s="3" t="s">
        <v>28</v>
      </c>
      <c r="R3073" s="3" t="s">
        <v>28</v>
      </c>
      <c r="S3073" s="3" t="s">
        <v>28</v>
      </c>
      <c r="T3073" s="3" t="s">
        <v>28</v>
      </c>
    </row>
    <row r="3074" spans="1:20" ht="336">
      <c r="A3074" s="3">
        <v>2675453</v>
      </c>
      <c r="B3074" s="3">
        <f>HYPERLINK("https://platform.v2.vetology.net/cases/2675453/screening-report/6?type=pdf&amp;v=v6&amp;scorecard=1&amp;secret_key=BX%25IJ%24%2F65ieZ%29f6", 2675453)</f>
        <v>2675453</v>
      </c>
      <c r="C3074" s="3">
        <f>HYPERLINK("https://platform.v2.vetology.net/report/v/final/"&amp;2675453, 2675453)</f>
        <v>2675453</v>
      </c>
      <c r="D3074" s="3" t="s">
        <v>10282</v>
      </c>
      <c r="E3074" s="3" t="s">
        <v>10283</v>
      </c>
      <c r="F3074" s="3"/>
      <c r="G3074" s="3" t="s">
        <v>122</v>
      </c>
      <c r="H3074" s="3" t="s">
        <v>7259</v>
      </c>
      <c r="I3074" s="3" t="s">
        <v>66</v>
      </c>
      <c r="J3074" s="3" t="s">
        <v>67</v>
      </c>
      <c r="K3074" s="3" t="s">
        <v>28</v>
      </c>
      <c r="L3074" s="3" t="s">
        <v>28</v>
      </c>
      <c r="M3074" s="3" t="s">
        <v>28</v>
      </c>
      <c r="N3074" s="3" t="s">
        <v>28</v>
      </c>
      <c r="O3074" s="3" t="s">
        <v>28</v>
      </c>
      <c r="P3074" s="3" t="s">
        <v>28</v>
      </c>
      <c r="Q3074" s="3" t="s">
        <v>28</v>
      </c>
      <c r="R3074" s="3" t="s">
        <v>28</v>
      </c>
      <c r="S3074" s="3" t="s">
        <v>28</v>
      </c>
      <c r="T3074" s="3" t="s">
        <v>28</v>
      </c>
    </row>
    <row r="3075" spans="1:20" ht="336">
      <c r="A3075" s="3">
        <v>2675393</v>
      </c>
      <c r="B3075" s="3">
        <f>HYPERLINK("https://platform.v2.vetology.net/cases/2675393/screening-report/6?type=pdf&amp;v=v6&amp;scorecard=1&amp;secret_key=BX%25IJ%24%2F65ieZ%29f6", 2675393)</f>
        <v>2675393</v>
      </c>
      <c r="C3075" s="3">
        <f>HYPERLINK("https://platform.v2.vetology.net/report/v/final/"&amp;2675393, 2675393)</f>
        <v>2675393</v>
      </c>
      <c r="D3075" s="3" t="s">
        <v>10284</v>
      </c>
      <c r="E3075" s="3" t="s">
        <v>10285</v>
      </c>
      <c r="F3075" s="3" t="s">
        <v>10286</v>
      </c>
      <c r="G3075" s="3" t="s">
        <v>186</v>
      </c>
      <c r="H3075" s="3" t="s">
        <v>10287</v>
      </c>
      <c r="I3075" s="3" t="s">
        <v>7146</v>
      </c>
      <c r="J3075" s="3" t="s">
        <v>7147</v>
      </c>
      <c r="K3075" s="3" t="s">
        <v>28</v>
      </c>
      <c r="L3075" s="3" t="s">
        <v>27</v>
      </c>
      <c r="M3075" s="3" t="s">
        <v>27</v>
      </c>
      <c r="N3075" s="3" t="s">
        <v>27</v>
      </c>
      <c r="O3075" s="3" t="s">
        <v>27</v>
      </c>
      <c r="P3075" s="3" t="s">
        <v>28</v>
      </c>
      <c r="Q3075" s="3" t="s">
        <v>27</v>
      </c>
      <c r="R3075" s="3" t="s">
        <v>27</v>
      </c>
      <c r="S3075" s="3" t="s">
        <v>27</v>
      </c>
      <c r="T3075" s="3" t="s">
        <v>27</v>
      </c>
    </row>
    <row r="3076" spans="1:20" ht="336">
      <c r="A3076" s="3">
        <v>2675342</v>
      </c>
      <c r="B3076" s="3">
        <f>HYPERLINK("https://platform.v2.vetology.net/cases/2675342/screening-report/6?type=pdf&amp;v=v6&amp;scorecard=1&amp;secret_key=BX%25IJ%24%2F65ieZ%29f6", 2675342)</f>
        <v>2675342</v>
      </c>
      <c r="C3076" s="3">
        <f>HYPERLINK("https://platform.v2.vetology.net/report/v/final/"&amp;2675342, 2675342)</f>
        <v>2675342</v>
      </c>
      <c r="D3076" s="3" t="s">
        <v>10288</v>
      </c>
      <c r="E3076" s="3" t="s">
        <v>10289</v>
      </c>
      <c r="F3076" s="3" t="s">
        <v>10290</v>
      </c>
      <c r="G3076" s="3" t="s">
        <v>186</v>
      </c>
      <c r="H3076" s="3" t="s">
        <v>10291</v>
      </c>
      <c r="I3076" s="3" t="s">
        <v>4885</v>
      </c>
      <c r="J3076" s="3" t="s">
        <v>1021</v>
      </c>
      <c r="K3076" s="3" t="s">
        <v>27</v>
      </c>
      <c r="L3076" s="3" t="s">
        <v>28</v>
      </c>
      <c r="M3076" s="3" t="s">
        <v>27</v>
      </c>
      <c r="N3076" s="3" t="s">
        <v>28</v>
      </c>
      <c r="O3076" s="3" t="s">
        <v>28</v>
      </c>
      <c r="P3076" s="3" t="s">
        <v>28</v>
      </c>
      <c r="Q3076" s="3" t="s">
        <v>28</v>
      </c>
      <c r="R3076" s="3" t="s">
        <v>28</v>
      </c>
      <c r="S3076" s="3" t="s">
        <v>28</v>
      </c>
      <c r="T3076" s="3" t="s">
        <v>28</v>
      </c>
    </row>
    <row r="3077" spans="1:20" ht="381.75">
      <c r="A3077" s="3">
        <v>2675340</v>
      </c>
      <c r="B3077" s="3">
        <f>HYPERLINK("https://platform.v2.vetology.net/cases/2675340/screening-report/6?type=pdf&amp;v=v6&amp;scorecard=1&amp;secret_key=BX%25IJ%24%2F65ieZ%29f6", 2675340)</f>
        <v>2675340</v>
      </c>
      <c r="C3077" s="3">
        <f>HYPERLINK("https://platform.v2.vetology.net/report/v/final/"&amp;2675340, 2675340)</f>
        <v>2675340</v>
      </c>
      <c r="D3077" s="3" t="s">
        <v>10292</v>
      </c>
      <c r="E3077" s="3" t="s">
        <v>1690</v>
      </c>
      <c r="F3077" s="3"/>
      <c r="G3077" s="3" t="s">
        <v>100</v>
      </c>
      <c r="H3077" s="3" t="s">
        <v>10293</v>
      </c>
      <c r="I3077" s="3" t="s">
        <v>7307</v>
      </c>
      <c r="J3077" s="3" t="s">
        <v>7308</v>
      </c>
      <c r="K3077" s="3" t="s">
        <v>27</v>
      </c>
      <c r="L3077" s="3" t="s">
        <v>28</v>
      </c>
      <c r="M3077" s="3" t="s">
        <v>28</v>
      </c>
      <c r="N3077" s="3" t="s">
        <v>28</v>
      </c>
      <c r="O3077" s="3" t="s">
        <v>28</v>
      </c>
      <c r="P3077" s="3" t="s">
        <v>28</v>
      </c>
      <c r="Q3077" s="3" t="s">
        <v>27</v>
      </c>
      <c r="R3077" s="3" t="s">
        <v>28</v>
      </c>
      <c r="S3077" s="3" t="s">
        <v>28</v>
      </c>
      <c r="T3077" s="3" t="s">
        <v>27</v>
      </c>
    </row>
    <row r="3078" spans="1:20" ht="305.25">
      <c r="A3078" s="3">
        <v>2675312</v>
      </c>
      <c r="B3078" s="3">
        <f>HYPERLINK("https://platform.v2.vetology.net/cases/2675312/screening-report/6?type=pdf&amp;v=v6&amp;scorecard=1&amp;secret_key=BX%25IJ%24%2F65ieZ%29f6", 2675312)</f>
        <v>2675312</v>
      </c>
      <c r="C3078" s="3">
        <f>HYPERLINK("https://platform.v2.vetology.net/report/v/final/"&amp;2675312, 2675312)</f>
        <v>2675312</v>
      </c>
      <c r="D3078" s="3" t="s">
        <v>10294</v>
      </c>
      <c r="E3078" s="3" t="s">
        <v>3601</v>
      </c>
      <c r="F3078" s="3" t="s">
        <v>22</v>
      </c>
      <c r="G3078" s="3" t="s">
        <v>100</v>
      </c>
      <c r="H3078" s="3" t="s">
        <v>300</v>
      </c>
      <c r="I3078" s="3" t="s">
        <v>32</v>
      </c>
      <c r="J3078" s="3" t="s">
        <v>33</v>
      </c>
      <c r="K3078" s="3" t="s">
        <v>27</v>
      </c>
      <c r="L3078" s="3" t="s">
        <v>28</v>
      </c>
      <c r="M3078" s="3" t="s">
        <v>28</v>
      </c>
      <c r="N3078" s="3" t="s">
        <v>28</v>
      </c>
      <c r="O3078" s="3" t="s">
        <v>28</v>
      </c>
      <c r="P3078" s="3" t="s">
        <v>28</v>
      </c>
      <c r="Q3078" s="3" t="s">
        <v>28</v>
      </c>
      <c r="R3078" s="3" t="s">
        <v>28</v>
      </c>
      <c r="S3078" s="3" t="s">
        <v>28</v>
      </c>
      <c r="T3078" s="3" t="s">
        <v>28</v>
      </c>
    </row>
    <row r="3079" spans="1:20" ht="305.25">
      <c r="A3079" s="3">
        <v>2675293</v>
      </c>
      <c r="B3079" s="3">
        <f>HYPERLINK("https://platform.v2.vetology.net/cases/2675293/screening-report/6?type=pdf&amp;v=v6&amp;scorecard=1&amp;secret_key=BX%25IJ%24%2F65ieZ%29f6", 2675293)</f>
        <v>2675293</v>
      </c>
      <c r="C3079" s="3">
        <f>HYPERLINK("https://platform.v2.vetology.net/report/v/final/"&amp;2675293, 2675293)</f>
        <v>2675293</v>
      </c>
      <c r="D3079" s="3" t="s">
        <v>10295</v>
      </c>
      <c r="E3079" s="3" t="s">
        <v>1089</v>
      </c>
      <c r="F3079" s="3" t="s">
        <v>1090</v>
      </c>
      <c r="G3079" s="3" t="s">
        <v>100</v>
      </c>
      <c r="H3079" s="3" t="s">
        <v>118</v>
      </c>
      <c r="I3079" s="3" t="s">
        <v>32</v>
      </c>
      <c r="J3079" s="3" t="s">
        <v>33</v>
      </c>
      <c r="K3079" s="3" t="s">
        <v>27</v>
      </c>
      <c r="L3079" s="3" t="s">
        <v>28</v>
      </c>
      <c r="M3079" s="3" t="s">
        <v>28</v>
      </c>
      <c r="N3079" s="3" t="s">
        <v>28</v>
      </c>
      <c r="O3079" s="3" t="s">
        <v>28</v>
      </c>
      <c r="P3079" s="3" t="s">
        <v>28</v>
      </c>
      <c r="Q3079" s="3" t="s">
        <v>27</v>
      </c>
      <c r="R3079" s="3" t="s">
        <v>28</v>
      </c>
      <c r="S3079" s="3" t="s">
        <v>28</v>
      </c>
      <c r="T3079" s="3" t="s">
        <v>27</v>
      </c>
    </row>
    <row r="3080" spans="1:20" ht="366">
      <c r="A3080" s="3">
        <v>2675275</v>
      </c>
      <c r="B3080" s="3">
        <f>HYPERLINK("https://platform.v2.vetology.net/cases/2675275/screening-report/6?type=pdf&amp;v=v6&amp;scorecard=1&amp;secret_key=BX%25IJ%24%2F65ieZ%29f6", 2675275)</f>
        <v>2675275</v>
      </c>
      <c r="C3080" s="3">
        <f>HYPERLINK("https://platform.v2.vetology.net/report/v/final/"&amp;2675275, 2675275)</f>
        <v>2675275</v>
      </c>
      <c r="D3080" s="3" t="s">
        <v>10296</v>
      </c>
      <c r="E3080" s="3" t="s">
        <v>1089</v>
      </c>
      <c r="F3080" s="3" t="s">
        <v>1090</v>
      </c>
      <c r="G3080" s="3" t="s">
        <v>100</v>
      </c>
      <c r="H3080" s="3" t="s">
        <v>1482</v>
      </c>
      <c r="I3080" s="3" t="s">
        <v>1483</v>
      </c>
      <c r="J3080" s="3" t="s">
        <v>5778</v>
      </c>
      <c r="K3080" s="3" t="s">
        <v>28</v>
      </c>
      <c r="L3080" s="3" t="s">
        <v>28</v>
      </c>
      <c r="M3080" s="3" t="s">
        <v>28</v>
      </c>
      <c r="N3080" s="3" t="s">
        <v>28</v>
      </c>
      <c r="O3080" s="3" t="s">
        <v>27</v>
      </c>
      <c r="P3080" s="3" t="s">
        <v>28</v>
      </c>
      <c r="Q3080" s="3" t="s">
        <v>28</v>
      </c>
      <c r="R3080" s="3" t="s">
        <v>28</v>
      </c>
      <c r="S3080" s="3" t="s">
        <v>28</v>
      </c>
      <c r="T3080" s="3" t="s">
        <v>27</v>
      </c>
    </row>
    <row r="3081" spans="1:20" ht="409.6">
      <c r="A3081" s="3">
        <v>2675270</v>
      </c>
      <c r="B3081" s="3">
        <f>HYPERLINK("https://platform.v2.vetology.net/cases/2675270/screening-report/6?type=pdf&amp;v=v6&amp;scorecard=1&amp;secret_key=BX%25IJ%24%2F65ieZ%29f6", 2675270)</f>
        <v>2675270</v>
      </c>
      <c r="C3081" s="3">
        <f>HYPERLINK("https://platform.v2.vetology.net/report/v/final/"&amp;2675270, 2675270)</f>
        <v>2675270</v>
      </c>
      <c r="D3081" s="3" t="s">
        <v>1229</v>
      </c>
      <c r="E3081" s="3" t="s">
        <v>1230</v>
      </c>
      <c r="F3081" s="3" t="s">
        <v>1049</v>
      </c>
      <c r="G3081" s="3" t="s">
        <v>100</v>
      </c>
      <c r="H3081" s="3" t="s">
        <v>5828</v>
      </c>
      <c r="I3081" s="3" t="s">
        <v>1135</v>
      </c>
      <c r="J3081" s="3" t="s">
        <v>1136</v>
      </c>
      <c r="K3081" s="3" t="s">
        <v>28</v>
      </c>
      <c r="L3081" s="3" t="s">
        <v>27</v>
      </c>
      <c r="M3081" s="3" t="s">
        <v>28</v>
      </c>
      <c r="N3081" s="3" t="s">
        <v>27</v>
      </c>
      <c r="O3081" s="3" t="s">
        <v>27</v>
      </c>
      <c r="P3081" s="3" t="s">
        <v>28</v>
      </c>
      <c r="Q3081" s="3" t="s">
        <v>27</v>
      </c>
      <c r="R3081" s="3" t="s">
        <v>27</v>
      </c>
      <c r="S3081" s="3" t="s">
        <v>27</v>
      </c>
      <c r="T3081" s="3" t="s">
        <v>27</v>
      </c>
    </row>
    <row r="3082" spans="1:20" ht="409.6">
      <c r="A3082" s="3">
        <v>2675254</v>
      </c>
      <c r="B3082" s="3">
        <f>HYPERLINK("https://platform.v2.vetology.net/cases/2675254/screening-report/6?type=pdf&amp;v=v6&amp;scorecard=1&amp;secret_key=BX%25IJ%24%2F65ieZ%29f6", 2675254)</f>
        <v>2675254</v>
      </c>
      <c r="C3082" s="3">
        <f>HYPERLINK("https://platform.v2.vetology.net/report/v/final/"&amp;2675254, 2675254)</f>
        <v>2675254</v>
      </c>
      <c r="D3082" s="3" t="s">
        <v>10297</v>
      </c>
      <c r="E3082" s="3" t="s">
        <v>10298</v>
      </c>
      <c r="F3082" s="3" t="s">
        <v>10299</v>
      </c>
      <c r="G3082" s="3" t="s">
        <v>566</v>
      </c>
      <c r="H3082" s="3" t="s">
        <v>3343</v>
      </c>
      <c r="I3082" s="3" t="s">
        <v>136</v>
      </c>
      <c r="J3082" s="3" t="s">
        <v>137</v>
      </c>
      <c r="K3082" s="3" t="s">
        <v>28</v>
      </c>
      <c r="L3082" s="3" t="s">
        <v>28</v>
      </c>
      <c r="M3082" s="3" t="s">
        <v>28</v>
      </c>
      <c r="N3082" s="3" t="s">
        <v>28</v>
      </c>
      <c r="O3082" s="3" t="s">
        <v>27</v>
      </c>
      <c r="P3082" s="3" t="s">
        <v>28</v>
      </c>
      <c r="Q3082" s="3" t="s">
        <v>27</v>
      </c>
      <c r="R3082" s="3" t="s">
        <v>27</v>
      </c>
      <c r="S3082" s="3" t="s">
        <v>28</v>
      </c>
      <c r="T3082" s="3" t="s">
        <v>27</v>
      </c>
    </row>
    <row r="3083" spans="1:20" ht="409.6">
      <c r="A3083" s="3">
        <v>2675053</v>
      </c>
      <c r="B3083" s="3">
        <f>HYPERLINK("https://platform.v2.vetology.net/cases/2675053/screening-report/6?type=pdf&amp;v=v6&amp;scorecard=1&amp;secret_key=BX%25IJ%24%2F65ieZ%29f6", 2675053)</f>
        <v>2675053</v>
      </c>
      <c r="C3083" s="3">
        <f>HYPERLINK("https://platform.v2.vetology.net/report/v/final/"&amp;2675053, 2675053)</f>
        <v>2675053</v>
      </c>
      <c r="D3083" s="3" t="s">
        <v>10300</v>
      </c>
      <c r="E3083" s="3" t="s">
        <v>10301</v>
      </c>
      <c r="F3083" s="3" t="s">
        <v>22</v>
      </c>
      <c r="G3083" s="3" t="s">
        <v>23</v>
      </c>
      <c r="H3083" s="3" t="s">
        <v>1033</v>
      </c>
      <c r="I3083" s="3" t="s">
        <v>1034</v>
      </c>
      <c r="J3083" s="3" t="s">
        <v>1035</v>
      </c>
      <c r="K3083" s="3" t="s">
        <v>28</v>
      </c>
      <c r="L3083" s="3" t="s">
        <v>28</v>
      </c>
      <c r="M3083" s="3" t="s">
        <v>28</v>
      </c>
      <c r="N3083" s="3" t="s">
        <v>27</v>
      </c>
      <c r="O3083" s="3" t="s">
        <v>28</v>
      </c>
      <c r="P3083" s="3" t="s">
        <v>28</v>
      </c>
      <c r="Q3083" s="3" t="s">
        <v>28</v>
      </c>
      <c r="R3083" s="3" t="s">
        <v>27</v>
      </c>
      <c r="S3083" s="3" t="s">
        <v>28</v>
      </c>
      <c r="T3083" s="3" t="s">
        <v>27</v>
      </c>
    </row>
    <row r="3084" spans="1:20" ht="409.6">
      <c r="A3084" s="3">
        <v>2675045</v>
      </c>
      <c r="B3084" s="3">
        <f>HYPERLINK("https://platform.v2.vetology.net/cases/2675045/screening-report/6?type=pdf&amp;v=v6&amp;scorecard=1&amp;secret_key=BX%25IJ%24%2F65ieZ%29f6", 2675045)</f>
        <v>2675045</v>
      </c>
      <c r="C3084" s="3">
        <f>HYPERLINK("https://platform.v2.vetology.net/report/v/final/"&amp;2675045, 2675045)</f>
        <v>2675045</v>
      </c>
      <c r="D3084" s="3" t="s">
        <v>10302</v>
      </c>
      <c r="E3084" s="3" t="s">
        <v>10303</v>
      </c>
      <c r="F3084" s="3" t="s">
        <v>22</v>
      </c>
      <c r="G3084" s="3" t="s">
        <v>23</v>
      </c>
      <c r="H3084" s="3" t="s">
        <v>10304</v>
      </c>
      <c r="I3084" s="3" t="s">
        <v>659</v>
      </c>
      <c r="J3084" s="3" t="s">
        <v>660</v>
      </c>
      <c r="K3084" s="3" t="s">
        <v>28</v>
      </c>
      <c r="L3084" s="3" t="s">
        <v>28</v>
      </c>
      <c r="M3084" s="3" t="s">
        <v>28</v>
      </c>
      <c r="N3084" s="3" t="s">
        <v>28</v>
      </c>
      <c r="O3084" s="3" t="s">
        <v>27</v>
      </c>
      <c r="P3084" s="3" t="s">
        <v>28</v>
      </c>
      <c r="Q3084" s="3" t="s">
        <v>28</v>
      </c>
      <c r="R3084" s="3" t="s">
        <v>28</v>
      </c>
      <c r="S3084" s="3" t="s">
        <v>27</v>
      </c>
      <c r="T3084" s="3" t="s">
        <v>28</v>
      </c>
    </row>
    <row r="3085" spans="1:20" ht="409.6">
      <c r="A3085" s="3">
        <v>2675032</v>
      </c>
      <c r="B3085" s="3">
        <f>HYPERLINK("https://platform.v2.vetology.net/cases/2675032/screening-report/6?type=pdf&amp;v=v6&amp;scorecard=1&amp;secret_key=BX%25IJ%24%2F65ieZ%29f6", 2675032)</f>
        <v>2675032</v>
      </c>
      <c r="C3085" s="3">
        <f>HYPERLINK("https://platform.v2.vetology.net/report/v/final/"&amp;2675032, 2675032)</f>
        <v>2675032</v>
      </c>
      <c r="D3085" s="3" t="s">
        <v>10305</v>
      </c>
      <c r="E3085" s="3" t="s">
        <v>1089</v>
      </c>
      <c r="F3085" s="3" t="s">
        <v>1090</v>
      </c>
      <c r="G3085" s="3" t="s">
        <v>100</v>
      </c>
      <c r="H3085" s="3" t="s">
        <v>10306</v>
      </c>
      <c r="I3085" s="3" t="s">
        <v>52</v>
      </c>
      <c r="J3085" s="3" t="s">
        <v>154</v>
      </c>
      <c r="K3085" s="3" t="s">
        <v>27</v>
      </c>
      <c r="L3085" s="3" t="s">
        <v>28</v>
      </c>
      <c r="M3085" s="3" t="s">
        <v>28</v>
      </c>
      <c r="N3085" s="3" t="s">
        <v>28</v>
      </c>
      <c r="O3085" s="3" t="s">
        <v>27</v>
      </c>
      <c r="P3085" s="3" t="s">
        <v>27</v>
      </c>
      <c r="Q3085" s="3" t="s">
        <v>27</v>
      </c>
      <c r="R3085" s="3" t="s">
        <v>28</v>
      </c>
      <c r="S3085" s="3" t="s">
        <v>28</v>
      </c>
      <c r="T3085" s="3" t="s">
        <v>28</v>
      </c>
    </row>
    <row r="3086" spans="1:20" ht="396.75">
      <c r="A3086" s="3">
        <v>2675031</v>
      </c>
      <c r="B3086" s="3">
        <f>HYPERLINK("https://platform.v2.vetology.net/cases/2675031/screening-report/6?type=pdf&amp;v=v6&amp;scorecard=1&amp;secret_key=BX%25IJ%24%2F65ieZ%29f6", 2675031)</f>
        <v>2675031</v>
      </c>
      <c r="C3086" s="3">
        <f>HYPERLINK("https://platform.v2.vetology.net/report/v/final/"&amp;2675031, 2675031)</f>
        <v>2675031</v>
      </c>
      <c r="D3086" s="3" t="s">
        <v>10307</v>
      </c>
      <c r="E3086" s="3" t="s">
        <v>10308</v>
      </c>
      <c r="F3086" s="3" t="s">
        <v>1762</v>
      </c>
      <c r="G3086" s="3" t="s">
        <v>100</v>
      </c>
      <c r="H3086" s="3" t="s">
        <v>350</v>
      </c>
      <c r="I3086" s="3" t="s">
        <v>351</v>
      </c>
      <c r="J3086" s="3" t="s">
        <v>352</v>
      </c>
      <c r="K3086" s="3" t="s">
        <v>27</v>
      </c>
      <c r="L3086" s="3" t="s">
        <v>28</v>
      </c>
      <c r="M3086" s="3" t="s">
        <v>28</v>
      </c>
      <c r="N3086" s="3" t="s">
        <v>28</v>
      </c>
      <c r="O3086" s="3" t="s">
        <v>28</v>
      </c>
      <c r="P3086" s="3" t="s">
        <v>28</v>
      </c>
      <c r="Q3086" s="3" t="s">
        <v>28</v>
      </c>
      <c r="R3086" s="3" t="s">
        <v>28</v>
      </c>
      <c r="S3086" s="3" t="s">
        <v>28</v>
      </c>
      <c r="T3086" s="3" t="s">
        <v>27</v>
      </c>
    </row>
    <row r="3087" spans="1:20" ht="381.75">
      <c r="A3087" s="3">
        <v>2675030</v>
      </c>
      <c r="B3087" s="3">
        <f>HYPERLINK("https://platform.v2.vetology.net/cases/2675030/screening-report/6?type=pdf&amp;v=v6&amp;scorecard=1&amp;secret_key=BX%25IJ%24%2F65ieZ%29f6", 2675030)</f>
        <v>2675030</v>
      </c>
      <c r="C3087" s="3">
        <f>HYPERLINK("https://platform.v2.vetology.net/report/v/final/"&amp;2675030, 2675030)</f>
        <v>2675030</v>
      </c>
      <c r="D3087" s="3" t="s">
        <v>10309</v>
      </c>
      <c r="E3087" s="3" t="s">
        <v>10310</v>
      </c>
      <c r="F3087" s="3" t="s">
        <v>10311</v>
      </c>
      <c r="G3087" s="3" t="s">
        <v>100</v>
      </c>
      <c r="H3087" s="3" t="s">
        <v>1905</v>
      </c>
      <c r="I3087" s="3" t="s">
        <v>37</v>
      </c>
      <c r="J3087" s="3" t="s">
        <v>38</v>
      </c>
      <c r="K3087" s="3" t="s">
        <v>28</v>
      </c>
      <c r="L3087" s="3" t="s">
        <v>28</v>
      </c>
      <c r="M3087" s="3" t="s">
        <v>28</v>
      </c>
      <c r="N3087" s="3" t="s">
        <v>28</v>
      </c>
      <c r="O3087" s="3" t="s">
        <v>27</v>
      </c>
      <c r="P3087" s="3" t="s">
        <v>28</v>
      </c>
      <c r="Q3087" s="3" t="s">
        <v>28</v>
      </c>
      <c r="R3087" s="3" t="s">
        <v>28</v>
      </c>
      <c r="S3087" s="3" t="s">
        <v>28</v>
      </c>
      <c r="T3087" s="3" t="s">
        <v>28</v>
      </c>
    </row>
    <row r="3088" spans="1:20" ht="336">
      <c r="A3088" s="3">
        <v>2675027</v>
      </c>
      <c r="B3088" s="3">
        <f>HYPERLINK("https://platform.v2.vetology.net/cases/2675027/screening-report/6?type=pdf&amp;v=v6&amp;scorecard=1&amp;secret_key=BX%25IJ%24%2F65ieZ%29f6", 2675027)</f>
        <v>2675027</v>
      </c>
      <c r="C3088" s="3">
        <f>HYPERLINK("https://platform.v2.vetology.net/report/v/final/"&amp;2675027, 2675027)</f>
        <v>2675027</v>
      </c>
      <c r="D3088" s="3" t="s">
        <v>10312</v>
      </c>
      <c r="E3088" s="3" t="s">
        <v>10313</v>
      </c>
      <c r="F3088" s="3" t="s">
        <v>22</v>
      </c>
      <c r="G3088" s="3" t="s">
        <v>100</v>
      </c>
      <c r="H3088" s="3" t="s">
        <v>10314</v>
      </c>
      <c r="I3088" s="3" t="s">
        <v>2388</v>
      </c>
      <c r="J3088" s="3" t="s">
        <v>2389</v>
      </c>
      <c r="K3088" s="3" t="s">
        <v>28</v>
      </c>
      <c r="L3088" s="3" t="s">
        <v>28</v>
      </c>
      <c r="M3088" s="3" t="s">
        <v>28</v>
      </c>
      <c r="N3088" s="3" t="s">
        <v>27</v>
      </c>
      <c r="O3088" s="3" t="s">
        <v>27</v>
      </c>
      <c r="P3088" s="3" t="s">
        <v>27</v>
      </c>
      <c r="Q3088" s="3" t="s">
        <v>28</v>
      </c>
      <c r="R3088" s="3" t="s">
        <v>28</v>
      </c>
      <c r="S3088" s="3" t="s">
        <v>28</v>
      </c>
      <c r="T3088" s="3" t="s">
        <v>27</v>
      </c>
    </row>
    <row r="3089" spans="1:20" ht="351">
      <c r="A3089" s="3">
        <v>2674964</v>
      </c>
      <c r="B3089" s="3">
        <f>HYPERLINK("https://platform.v2.vetology.net/cases/2674964/screening-report/6?type=pdf&amp;v=v6&amp;scorecard=1&amp;secret_key=BX%25IJ%24%2F65ieZ%29f6", 2674964)</f>
        <v>2674964</v>
      </c>
      <c r="C3089" s="3">
        <f>HYPERLINK("https://platform.v2.vetology.net/report/v/final/"&amp;2674964, 2674964)</f>
        <v>2674964</v>
      </c>
      <c r="D3089" s="3" t="s">
        <v>10315</v>
      </c>
      <c r="E3089" s="3" t="s">
        <v>10316</v>
      </c>
      <c r="F3089" s="3" t="s">
        <v>5255</v>
      </c>
      <c r="G3089" s="3" t="s">
        <v>23</v>
      </c>
      <c r="H3089" s="3" t="s">
        <v>10317</v>
      </c>
      <c r="I3089" s="3" t="s">
        <v>2226</v>
      </c>
      <c r="J3089" s="3" t="s">
        <v>2227</v>
      </c>
      <c r="K3089" s="3" t="s">
        <v>28</v>
      </c>
      <c r="L3089" s="3" t="s">
        <v>28</v>
      </c>
      <c r="M3089" s="3" t="s">
        <v>27</v>
      </c>
      <c r="N3089" s="3" t="s">
        <v>28</v>
      </c>
      <c r="O3089" s="3" t="s">
        <v>27</v>
      </c>
      <c r="P3089" s="3" t="s">
        <v>28</v>
      </c>
      <c r="Q3089" s="3" t="s">
        <v>27</v>
      </c>
      <c r="R3089" s="3" t="s">
        <v>28</v>
      </c>
      <c r="S3089" s="3" t="s">
        <v>28</v>
      </c>
      <c r="T3089" s="3" t="s">
        <v>28</v>
      </c>
    </row>
    <row r="3090" spans="1:20" ht="409.6">
      <c r="A3090" s="3">
        <v>2674848</v>
      </c>
      <c r="B3090" s="3">
        <f>HYPERLINK("https://platform.v2.vetology.net/cases/2674848/screening-report/6?type=pdf&amp;v=v6&amp;scorecard=1&amp;secret_key=BX%25IJ%24%2F65ieZ%29f6", 2674848)</f>
        <v>2674848</v>
      </c>
      <c r="C3090" s="3">
        <f>HYPERLINK("https://platform.v2.vetology.net/report/v/final/"&amp;2674848, 2674848)</f>
        <v>2674848</v>
      </c>
      <c r="D3090" s="3" t="s">
        <v>10318</v>
      </c>
      <c r="E3090" s="3" t="s">
        <v>10319</v>
      </c>
      <c r="F3090" s="3" t="s">
        <v>22</v>
      </c>
      <c r="G3090" s="3" t="s">
        <v>372</v>
      </c>
      <c r="H3090" s="3" t="s">
        <v>2058</v>
      </c>
      <c r="I3090" s="3" t="s">
        <v>357</v>
      </c>
      <c r="J3090" s="3" t="s">
        <v>7497</v>
      </c>
      <c r="K3090" s="3" t="s">
        <v>28</v>
      </c>
      <c r="L3090" s="3" t="s">
        <v>28</v>
      </c>
      <c r="M3090" s="3" t="s">
        <v>28</v>
      </c>
      <c r="N3090" s="3" t="s">
        <v>28</v>
      </c>
      <c r="O3090" s="3" t="s">
        <v>28</v>
      </c>
      <c r="P3090" s="3" t="s">
        <v>28</v>
      </c>
      <c r="Q3090" s="3" t="s">
        <v>28</v>
      </c>
      <c r="R3090" s="3" t="s">
        <v>27</v>
      </c>
      <c r="S3090" s="3" t="s">
        <v>28</v>
      </c>
      <c r="T3090" s="3" t="s">
        <v>27</v>
      </c>
    </row>
    <row r="3091" spans="1:20" ht="351">
      <c r="A3091" s="3">
        <v>2674840</v>
      </c>
      <c r="B3091" s="3">
        <f>HYPERLINK("https://platform.v2.vetology.net/cases/2674840/screening-report/6?type=pdf&amp;v=v6&amp;scorecard=1&amp;secret_key=BX%25IJ%24%2F65ieZ%29f6", 2674840)</f>
        <v>2674840</v>
      </c>
      <c r="C3091" s="3">
        <f>HYPERLINK("https://platform.v2.vetology.net/report/v/final/"&amp;2674840, 2674840)</f>
        <v>2674840</v>
      </c>
      <c r="D3091" s="3" t="s">
        <v>10320</v>
      </c>
      <c r="E3091" s="3" t="s">
        <v>10321</v>
      </c>
      <c r="F3091" s="3" t="s">
        <v>2595</v>
      </c>
      <c r="G3091" s="3" t="s">
        <v>23</v>
      </c>
      <c r="H3091" s="3" t="s">
        <v>31</v>
      </c>
      <c r="I3091" s="3" t="s">
        <v>32</v>
      </c>
      <c r="J3091" s="3" t="s">
        <v>847</v>
      </c>
      <c r="K3091" s="3" t="s">
        <v>28</v>
      </c>
      <c r="L3091" s="3" t="s">
        <v>28</v>
      </c>
      <c r="M3091" s="3" t="s">
        <v>28</v>
      </c>
      <c r="N3091" s="3" t="s">
        <v>28</v>
      </c>
      <c r="O3091" s="3" t="s">
        <v>27</v>
      </c>
      <c r="P3091" s="3" t="s">
        <v>28</v>
      </c>
      <c r="Q3091" s="3" t="s">
        <v>28</v>
      </c>
      <c r="R3091" s="3" t="s">
        <v>28</v>
      </c>
      <c r="S3091" s="3" t="s">
        <v>28</v>
      </c>
      <c r="T3091" s="3" t="s">
        <v>28</v>
      </c>
    </row>
    <row r="3092" spans="1:20" ht="366">
      <c r="A3092" s="3">
        <v>2674833</v>
      </c>
      <c r="B3092" s="3">
        <f>HYPERLINK("https://platform.v2.vetology.net/cases/2674833/screening-report/6?type=pdf&amp;v=v6&amp;scorecard=1&amp;secret_key=BX%25IJ%24%2F65ieZ%29f6", 2674833)</f>
        <v>2674833</v>
      </c>
      <c r="C3092" s="3">
        <f>HYPERLINK("https://platform.v2.vetology.net/report/v/final/"&amp;2674833, 2674833)</f>
        <v>2674833</v>
      </c>
      <c r="D3092" s="3" t="s">
        <v>3124</v>
      </c>
      <c r="E3092" s="3" t="s">
        <v>1230</v>
      </c>
      <c r="F3092" s="3" t="s">
        <v>1049</v>
      </c>
      <c r="G3092" s="3" t="s">
        <v>100</v>
      </c>
      <c r="H3092" s="3" t="s">
        <v>3559</v>
      </c>
      <c r="I3092" s="3" t="s">
        <v>993</v>
      </c>
      <c r="J3092" s="3" t="s">
        <v>994</v>
      </c>
      <c r="K3092" s="3" t="s">
        <v>28</v>
      </c>
      <c r="L3092" s="3" t="s">
        <v>28</v>
      </c>
      <c r="M3092" s="3" t="s">
        <v>28</v>
      </c>
      <c r="N3092" s="3" t="s">
        <v>28</v>
      </c>
      <c r="O3092" s="3" t="s">
        <v>27</v>
      </c>
      <c r="P3092" s="3" t="s">
        <v>28</v>
      </c>
      <c r="Q3092" s="3" t="s">
        <v>28</v>
      </c>
      <c r="R3092" s="3" t="s">
        <v>28</v>
      </c>
      <c r="S3092" s="3" t="s">
        <v>28</v>
      </c>
      <c r="T3092" s="3" t="s">
        <v>28</v>
      </c>
    </row>
    <row r="3093" spans="1:20" ht="409.6">
      <c r="A3093" s="3">
        <v>2674783</v>
      </c>
      <c r="B3093" s="3">
        <f>HYPERLINK("https://platform.v2.vetology.net/cases/2674783/screening-report/6?type=pdf&amp;v=v6&amp;scorecard=1&amp;secret_key=BX%25IJ%24%2F65ieZ%29f6", 2674783)</f>
        <v>2674783</v>
      </c>
      <c r="C3093" s="3">
        <f>HYPERLINK("https://platform.v2.vetology.net/report/v/final/"&amp;2674783, 2674783)</f>
        <v>2674783</v>
      </c>
      <c r="D3093" s="3" t="s">
        <v>10322</v>
      </c>
      <c r="E3093" s="3" t="s">
        <v>10323</v>
      </c>
      <c r="F3093" s="3" t="s">
        <v>10324</v>
      </c>
      <c r="G3093" s="3" t="s">
        <v>736</v>
      </c>
      <c r="H3093" s="3" t="s">
        <v>4184</v>
      </c>
      <c r="I3093" s="3" t="s">
        <v>136</v>
      </c>
      <c r="J3093" s="3" t="s">
        <v>424</v>
      </c>
      <c r="K3093" s="3" t="s">
        <v>27</v>
      </c>
      <c r="L3093" s="3" t="s">
        <v>28</v>
      </c>
      <c r="M3093" s="3" t="s">
        <v>28</v>
      </c>
      <c r="N3093" s="3" t="s">
        <v>28</v>
      </c>
      <c r="O3093" s="3" t="s">
        <v>27</v>
      </c>
      <c r="P3093" s="3" t="s">
        <v>28</v>
      </c>
      <c r="Q3093" s="3" t="s">
        <v>28</v>
      </c>
      <c r="R3093" s="3" t="s">
        <v>28</v>
      </c>
      <c r="S3093" s="3" t="s">
        <v>28</v>
      </c>
      <c r="T3093" s="3" t="s">
        <v>27</v>
      </c>
    </row>
    <row r="3094" spans="1:20" ht="396.75">
      <c r="A3094" s="3">
        <v>2674762</v>
      </c>
      <c r="B3094" s="3">
        <f>HYPERLINK("https://platform.v2.vetology.net/cases/2674762/screening-report/6?type=pdf&amp;v=v6&amp;scorecard=1&amp;secret_key=BX%25IJ%24%2F65ieZ%29f6", 2674762)</f>
        <v>2674762</v>
      </c>
      <c r="C3094" s="3">
        <f>HYPERLINK("https://platform.v2.vetology.net/report/v/final/"&amp;2674762, 2674762)</f>
        <v>2674762</v>
      </c>
      <c r="D3094" s="3" t="s">
        <v>10325</v>
      </c>
      <c r="E3094" s="3" t="s">
        <v>10326</v>
      </c>
      <c r="F3094" s="3" t="s">
        <v>22</v>
      </c>
      <c r="G3094" s="3" t="s">
        <v>372</v>
      </c>
      <c r="H3094" s="3" t="s">
        <v>10327</v>
      </c>
      <c r="I3094" s="3" t="s">
        <v>1497</v>
      </c>
      <c r="J3094" s="3" t="s">
        <v>399</v>
      </c>
      <c r="K3094" s="3" t="s">
        <v>28</v>
      </c>
      <c r="L3094" s="3" t="s">
        <v>28</v>
      </c>
      <c r="M3094" s="3" t="s">
        <v>28</v>
      </c>
      <c r="N3094" s="3" t="s">
        <v>27</v>
      </c>
      <c r="O3094" s="3" t="s">
        <v>27</v>
      </c>
      <c r="P3094" s="3" t="s">
        <v>27</v>
      </c>
      <c r="Q3094" s="3" t="s">
        <v>28</v>
      </c>
      <c r="R3094" s="3" t="s">
        <v>28</v>
      </c>
      <c r="S3094" s="3" t="s">
        <v>28</v>
      </c>
      <c r="T3094" s="3" t="s">
        <v>27</v>
      </c>
    </row>
    <row r="3095" spans="1:20" ht="409.6">
      <c r="A3095" s="3">
        <v>2674746</v>
      </c>
      <c r="B3095" s="3">
        <f>HYPERLINK("https://platform.v2.vetology.net/cases/2674746/screening-report/6?type=pdf&amp;v=v6&amp;scorecard=1&amp;secret_key=BX%25IJ%24%2F65ieZ%29f6", 2674746)</f>
        <v>2674746</v>
      </c>
      <c r="C3095" s="3">
        <f>HYPERLINK("https://platform.v2.vetology.net/report/v/final/"&amp;2674746, 2674746)</f>
        <v>2674746</v>
      </c>
      <c r="D3095" s="3" t="s">
        <v>10328</v>
      </c>
      <c r="E3095" s="3" t="s">
        <v>10329</v>
      </c>
      <c r="F3095" s="3" t="s">
        <v>1061</v>
      </c>
      <c r="G3095" s="3" t="s">
        <v>100</v>
      </c>
      <c r="H3095" s="3" t="s">
        <v>10330</v>
      </c>
      <c r="I3095" s="3" t="s">
        <v>7317</v>
      </c>
      <c r="J3095" s="3" t="s">
        <v>7318</v>
      </c>
      <c r="K3095" s="3" t="s">
        <v>28</v>
      </c>
      <c r="L3095" s="3" t="s">
        <v>27</v>
      </c>
      <c r="M3095" s="3" t="s">
        <v>28</v>
      </c>
      <c r="N3095" s="3" t="s">
        <v>27</v>
      </c>
      <c r="O3095" s="3" t="s">
        <v>27</v>
      </c>
      <c r="P3095" s="3" t="s">
        <v>28</v>
      </c>
      <c r="Q3095" s="3" t="s">
        <v>27</v>
      </c>
      <c r="R3095" s="3" t="s">
        <v>27</v>
      </c>
      <c r="S3095" s="3" t="s">
        <v>28</v>
      </c>
      <c r="T3095" s="3" t="s">
        <v>27</v>
      </c>
    </row>
    <row r="3096" spans="1:20" ht="409.6">
      <c r="A3096" s="3">
        <v>2674736</v>
      </c>
      <c r="B3096" s="3">
        <f>HYPERLINK("https://platform.v2.vetology.net/cases/2674736/screening-report/6?type=pdf&amp;v=v6&amp;scorecard=1&amp;secret_key=BX%25IJ%24%2F65ieZ%29f6", 2674736)</f>
        <v>2674736</v>
      </c>
      <c r="C3096" s="3">
        <f>HYPERLINK("https://platform.v2.vetology.net/report/v/final/"&amp;2674736, 2674736)</f>
        <v>2674736</v>
      </c>
      <c r="D3096" s="3" t="s">
        <v>10331</v>
      </c>
      <c r="E3096" s="3" t="s">
        <v>10332</v>
      </c>
      <c r="F3096" s="3" t="s">
        <v>22</v>
      </c>
      <c r="G3096" s="3" t="s">
        <v>372</v>
      </c>
      <c r="H3096" s="3" t="s">
        <v>10333</v>
      </c>
      <c r="I3096" s="3" t="s">
        <v>706</v>
      </c>
      <c r="J3096" s="3" t="s">
        <v>707</v>
      </c>
      <c r="K3096" s="3" t="s">
        <v>28</v>
      </c>
      <c r="L3096" s="3" t="s">
        <v>28</v>
      </c>
      <c r="M3096" s="3" t="s">
        <v>28</v>
      </c>
      <c r="N3096" s="3" t="s">
        <v>28</v>
      </c>
      <c r="O3096" s="3" t="s">
        <v>27</v>
      </c>
      <c r="P3096" s="3" t="s">
        <v>28</v>
      </c>
      <c r="Q3096" s="3" t="s">
        <v>27</v>
      </c>
      <c r="R3096" s="3" t="s">
        <v>28</v>
      </c>
      <c r="S3096" s="3" t="s">
        <v>28</v>
      </c>
      <c r="T3096" s="3" t="s">
        <v>27</v>
      </c>
    </row>
    <row r="3097" spans="1:20" ht="409.6">
      <c r="A3097" s="3">
        <v>2674730</v>
      </c>
      <c r="B3097" s="3">
        <f>HYPERLINK("https://platform.v2.vetology.net/cases/2674730/screening-report/6?type=pdf&amp;v=v6&amp;scorecard=1&amp;secret_key=BX%25IJ%24%2F65ieZ%29f6", 2674730)</f>
        <v>2674730</v>
      </c>
      <c r="C3097" s="3">
        <f>HYPERLINK("https://platform.v2.vetology.net/report/v/final/"&amp;2674730, 2674730)</f>
        <v>2674730</v>
      </c>
      <c r="D3097" s="3" t="s">
        <v>10334</v>
      </c>
      <c r="E3097" s="3" t="s">
        <v>10335</v>
      </c>
      <c r="F3097" s="3" t="s">
        <v>22</v>
      </c>
      <c r="G3097" s="3" t="s">
        <v>23</v>
      </c>
      <c r="H3097" s="3" t="s">
        <v>10336</v>
      </c>
      <c r="I3097" s="3" t="s">
        <v>2068</v>
      </c>
      <c r="J3097" s="3" t="s">
        <v>2069</v>
      </c>
      <c r="K3097" s="3" t="s">
        <v>28</v>
      </c>
      <c r="L3097" s="3" t="s">
        <v>27</v>
      </c>
      <c r="M3097" s="3" t="s">
        <v>28</v>
      </c>
      <c r="N3097" s="3" t="s">
        <v>27</v>
      </c>
      <c r="O3097" s="3" t="s">
        <v>27</v>
      </c>
      <c r="P3097" s="3" t="s">
        <v>28</v>
      </c>
      <c r="Q3097" s="3" t="s">
        <v>27</v>
      </c>
      <c r="R3097" s="3" t="s">
        <v>27</v>
      </c>
      <c r="S3097" s="3" t="s">
        <v>27</v>
      </c>
      <c r="T3097" s="3" t="s">
        <v>27</v>
      </c>
    </row>
    <row r="3098" spans="1:20" ht="305.25">
      <c r="A3098" s="3">
        <v>2674711</v>
      </c>
      <c r="B3098" s="3">
        <f>HYPERLINK("https://platform.v2.vetology.net/cases/2674711/screening-report/6?type=pdf&amp;v=v6&amp;scorecard=1&amp;secret_key=BX%25IJ%24%2F65ieZ%29f6", 2674711)</f>
        <v>2674711</v>
      </c>
      <c r="C3098" s="3">
        <f>HYPERLINK("https://platform.v2.vetology.net/report/v/final/"&amp;2674711, 2674711)</f>
        <v>2674711</v>
      </c>
      <c r="D3098" s="3" t="s">
        <v>10337</v>
      </c>
      <c r="E3098" s="3" t="s">
        <v>10338</v>
      </c>
      <c r="F3098" s="3" t="s">
        <v>10339</v>
      </c>
      <c r="G3098" s="3" t="s">
        <v>100</v>
      </c>
      <c r="H3098" s="3" t="s">
        <v>519</v>
      </c>
      <c r="I3098" s="3" t="s">
        <v>1344</v>
      </c>
      <c r="J3098" s="3" t="s">
        <v>33</v>
      </c>
      <c r="K3098" s="3" t="s">
        <v>28</v>
      </c>
      <c r="L3098" s="3" t="s">
        <v>28</v>
      </c>
      <c r="M3098" s="3" t="s">
        <v>28</v>
      </c>
      <c r="N3098" s="3" t="s">
        <v>28</v>
      </c>
      <c r="O3098" s="3" t="s">
        <v>27</v>
      </c>
      <c r="P3098" s="3" t="s">
        <v>28</v>
      </c>
      <c r="Q3098" s="3" t="s">
        <v>28</v>
      </c>
      <c r="R3098" s="3" t="s">
        <v>28</v>
      </c>
      <c r="S3098" s="3" t="s">
        <v>28</v>
      </c>
      <c r="T3098" s="3" t="s">
        <v>28</v>
      </c>
    </row>
    <row r="3099" spans="1:20" ht="409.6">
      <c r="A3099" s="3">
        <v>2674691</v>
      </c>
      <c r="B3099" s="3">
        <f>HYPERLINK("https://platform.v2.vetology.net/cases/2674691/screening-report/6?type=pdf&amp;v=v6&amp;scorecard=1&amp;secret_key=BX%25IJ%24%2F65ieZ%29f6", 2674691)</f>
        <v>2674691</v>
      </c>
      <c r="C3099" s="3">
        <f>HYPERLINK("https://platform.v2.vetology.net/report/v/final/"&amp;2674691, 2674691)</f>
        <v>2674691</v>
      </c>
      <c r="D3099" s="3" t="s">
        <v>10340</v>
      </c>
      <c r="E3099" s="3" t="s">
        <v>10341</v>
      </c>
      <c r="F3099" s="3" t="s">
        <v>10342</v>
      </c>
      <c r="G3099" s="3" t="s">
        <v>64</v>
      </c>
      <c r="H3099" s="3" t="s">
        <v>31</v>
      </c>
      <c r="I3099" s="3" t="s">
        <v>32</v>
      </c>
      <c r="J3099" s="3" t="s">
        <v>119</v>
      </c>
      <c r="K3099" s="3" t="s">
        <v>28</v>
      </c>
      <c r="L3099" s="3" t="s">
        <v>28</v>
      </c>
      <c r="M3099" s="3" t="s">
        <v>28</v>
      </c>
      <c r="N3099" s="3" t="s">
        <v>28</v>
      </c>
      <c r="O3099" s="3" t="s">
        <v>27</v>
      </c>
      <c r="P3099" s="3" t="s">
        <v>28</v>
      </c>
      <c r="Q3099" s="3" t="s">
        <v>28</v>
      </c>
      <c r="R3099" s="3" t="s">
        <v>28</v>
      </c>
      <c r="S3099" s="3" t="s">
        <v>28</v>
      </c>
      <c r="T3099" s="3" t="s">
        <v>28</v>
      </c>
    </row>
    <row r="3100" spans="1:20" ht="409.6">
      <c r="A3100" s="3">
        <v>2674689</v>
      </c>
      <c r="B3100" s="3">
        <f>HYPERLINK("https://platform.v2.vetology.net/cases/2674689/screening-report/6?type=pdf&amp;v=v6&amp;scorecard=1&amp;secret_key=BX%25IJ%24%2F65ieZ%29f6", 2674689)</f>
        <v>2674689</v>
      </c>
      <c r="C3100" s="3">
        <f>HYPERLINK("https://platform.v2.vetology.net/report/v/final/"&amp;2674689, 2674689)</f>
        <v>2674689</v>
      </c>
      <c r="D3100" s="3" t="s">
        <v>10343</v>
      </c>
      <c r="E3100" s="3" t="s">
        <v>10344</v>
      </c>
      <c r="F3100" s="3" t="s">
        <v>10345</v>
      </c>
      <c r="G3100" s="3" t="s">
        <v>736</v>
      </c>
      <c r="H3100" s="3" t="s">
        <v>2107</v>
      </c>
      <c r="I3100" s="3" t="s">
        <v>2108</v>
      </c>
      <c r="J3100" s="3" t="s">
        <v>679</v>
      </c>
      <c r="K3100" s="3" t="s">
        <v>27</v>
      </c>
      <c r="L3100" s="3" t="s">
        <v>27</v>
      </c>
      <c r="M3100" s="3" t="s">
        <v>28</v>
      </c>
      <c r="N3100" s="3" t="s">
        <v>27</v>
      </c>
      <c r="O3100" s="3" t="s">
        <v>27</v>
      </c>
      <c r="P3100" s="3" t="s">
        <v>27</v>
      </c>
      <c r="Q3100" s="3" t="s">
        <v>27</v>
      </c>
      <c r="R3100" s="3" t="s">
        <v>27</v>
      </c>
      <c r="S3100" s="3" t="s">
        <v>27</v>
      </c>
      <c r="T3100" s="3" t="s">
        <v>27</v>
      </c>
    </row>
    <row r="3101" spans="1:20" ht="409.6">
      <c r="A3101" s="3">
        <v>2674685</v>
      </c>
      <c r="B3101" s="3">
        <f>HYPERLINK("https://platform.v2.vetology.net/cases/2674685/screening-report/6?type=pdf&amp;v=v6&amp;scorecard=1&amp;secret_key=BX%25IJ%24%2F65ieZ%29f6", 2674685)</f>
        <v>2674685</v>
      </c>
      <c r="C3101" s="3">
        <f>HYPERLINK("https://platform.v2.vetology.net/report/v/final/"&amp;2674685, 2674685)</f>
        <v>2674685</v>
      </c>
      <c r="D3101" s="3" t="s">
        <v>10346</v>
      </c>
      <c r="E3101" s="3" t="s">
        <v>10347</v>
      </c>
      <c r="F3101" s="3" t="s">
        <v>22</v>
      </c>
      <c r="G3101" s="3" t="s">
        <v>372</v>
      </c>
      <c r="H3101" s="3" t="s">
        <v>1844</v>
      </c>
      <c r="I3101" s="3" t="s">
        <v>1845</v>
      </c>
      <c r="J3101" s="3" t="s">
        <v>1846</v>
      </c>
      <c r="K3101" s="3" t="s">
        <v>28</v>
      </c>
      <c r="L3101" s="3" t="s">
        <v>28</v>
      </c>
      <c r="M3101" s="3" t="s">
        <v>28</v>
      </c>
      <c r="N3101" s="3" t="s">
        <v>28</v>
      </c>
      <c r="O3101" s="3" t="s">
        <v>27</v>
      </c>
      <c r="P3101" s="3" t="s">
        <v>28</v>
      </c>
      <c r="Q3101" s="3" t="s">
        <v>28</v>
      </c>
      <c r="R3101" s="3" t="s">
        <v>28</v>
      </c>
      <c r="S3101" s="3" t="s">
        <v>27</v>
      </c>
      <c r="T3101" s="3" t="s">
        <v>28</v>
      </c>
    </row>
    <row r="3102" spans="1:20" ht="305.25">
      <c r="A3102" s="3">
        <v>2674655</v>
      </c>
      <c r="B3102" s="3">
        <f>HYPERLINK("https://platform.v2.vetology.net/cases/2674655/screening-report/6?type=pdf&amp;v=v6&amp;scorecard=1&amp;secret_key=BX%25IJ%24%2F65ieZ%29f6", 2674655)</f>
        <v>2674655</v>
      </c>
      <c r="C3102" s="3">
        <f>HYPERLINK("https://platform.v2.vetology.net/report/v/final/"&amp;2674655, 2674655)</f>
        <v>2674655</v>
      </c>
      <c r="D3102" s="3" t="s">
        <v>10348</v>
      </c>
      <c r="E3102" s="3" t="s">
        <v>10349</v>
      </c>
      <c r="F3102" s="3" t="s">
        <v>10350</v>
      </c>
      <c r="G3102" s="3" t="s">
        <v>186</v>
      </c>
      <c r="H3102" s="3" t="s">
        <v>10351</v>
      </c>
      <c r="I3102" s="3" t="s">
        <v>1082</v>
      </c>
      <c r="J3102" s="3" t="s">
        <v>1083</v>
      </c>
      <c r="K3102" s="3" t="s">
        <v>28</v>
      </c>
      <c r="L3102" s="3" t="s">
        <v>28</v>
      </c>
      <c r="M3102" s="3" t="s">
        <v>27</v>
      </c>
      <c r="N3102" s="3" t="s">
        <v>28</v>
      </c>
      <c r="O3102" s="3" t="s">
        <v>27</v>
      </c>
      <c r="P3102" s="3" t="s">
        <v>28</v>
      </c>
      <c r="Q3102" s="3" t="s">
        <v>28</v>
      </c>
      <c r="R3102" s="3" t="s">
        <v>28</v>
      </c>
      <c r="S3102" s="3" t="s">
        <v>27</v>
      </c>
      <c r="T3102" s="3" t="s">
        <v>27</v>
      </c>
    </row>
    <row r="3103" spans="1:20" ht="351">
      <c r="A3103" s="3">
        <v>2674627</v>
      </c>
      <c r="B3103" s="3">
        <f>HYPERLINK("https://platform.v2.vetology.net/cases/2674627/screening-report/6?type=pdf&amp;v=v6&amp;scorecard=1&amp;secret_key=BX%25IJ%24%2F65ieZ%29f6", 2674627)</f>
        <v>2674627</v>
      </c>
      <c r="C3103" s="3">
        <f>HYPERLINK("https://platform.v2.vetology.net/report/v/final/"&amp;2674627, 2674627)</f>
        <v>2674627</v>
      </c>
      <c r="D3103" s="3" t="s">
        <v>10352</v>
      </c>
      <c r="E3103" s="3" t="s">
        <v>1089</v>
      </c>
      <c r="F3103" s="3" t="s">
        <v>1090</v>
      </c>
      <c r="G3103" s="3" t="s">
        <v>100</v>
      </c>
      <c r="H3103" s="3" t="s">
        <v>10353</v>
      </c>
      <c r="I3103" s="3" t="s">
        <v>3835</v>
      </c>
      <c r="J3103" s="3" t="s">
        <v>3009</v>
      </c>
      <c r="K3103" s="3" t="s">
        <v>27</v>
      </c>
      <c r="L3103" s="3" t="s">
        <v>28</v>
      </c>
      <c r="M3103" s="3" t="s">
        <v>27</v>
      </c>
      <c r="N3103" s="3" t="s">
        <v>28</v>
      </c>
      <c r="O3103" s="3" t="s">
        <v>27</v>
      </c>
      <c r="P3103" s="3" t="s">
        <v>27</v>
      </c>
      <c r="Q3103" s="3" t="s">
        <v>27</v>
      </c>
      <c r="R3103" s="3" t="s">
        <v>28</v>
      </c>
      <c r="S3103" s="3" t="s">
        <v>28</v>
      </c>
      <c r="T3103" s="3" t="s">
        <v>28</v>
      </c>
    </row>
    <row r="3104" spans="1:20" ht="409.6">
      <c r="A3104" s="3">
        <v>2674607</v>
      </c>
      <c r="B3104" s="3">
        <f>HYPERLINK("https://platform.v2.vetology.net/cases/2674607/screening-report/6?type=pdf&amp;v=v6&amp;scorecard=1&amp;secret_key=BX%25IJ%24%2F65ieZ%29f6", 2674607)</f>
        <v>2674607</v>
      </c>
      <c r="C3104" s="3">
        <f>HYPERLINK("https://platform.v2.vetology.net/report/v/final/"&amp;2674607, 2674607)</f>
        <v>2674607</v>
      </c>
      <c r="D3104" s="3" t="s">
        <v>10354</v>
      </c>
      <c r="E3104" s="3" t="s">
        <v>10355</v>
      </c>
      <c r="F3104" s="3" t="s">
        <v>10356</v>
      </c>
      <c r="G3104" s="3" t="s">
        <v>64</v>
      </c>
      <c r="H3104" s="3" t="s">
        <v>944</v>
      </c>
      <c r="I3104" s="3" t="s">
        <v>32</v>
      </c>
      <c r="J3104" s="3" t="s">
        <v>33</v>
      </c>
      <c r="K3104" s="3" t="s">
        <v>28</v>
      </c>
      <c r="L3104" s="3" t="s">
        <v>28</v>
      </c>
      <c r="M3104" s="3" t="s">
        <v>28</v>
      </c>
      <c r="N3104" s="3" t="s">
        <v>28</v>
      </c>
      <c r="O3104" s="3" t="s">
        <v>28</v>
      </c>
      <c r="P3104" s="3" t="s">
        <v>27</v>
      </c>
      <c r="Q3104" s="3" t="s">
        <v>28</v>
      </c>
      <c r="R3104" s="3" t="s">
        <v>28</v>
      </c>
      <c r="S3104" s="3" t="s">
        <v>28</v>
      </c>
      <c r="T3104" s="3" t="s">
        <v>27</v>
      </c>
    </row>
    <row r="3105" spans="1:20" ht="409.6">
      <c r="A3105" s="3">
        <v>2674605</v>
      </c>
      <c r="B3105" s="3">
        <f>HYPERLINK("https://platform.v2.vetology.net/cases/2674605/screening-report/6?type=pdf&amp;v=v6&amp;scorecard=1&amp;secret_key=BX%25IJ%24%2F65ieZ%29f6", 2674605)</f>
        <v>2674605</v>
      </c>
      <c r="C3105" s="3">
        <f>HYPERLINK("https://platform.v2.vetology.net/report/v/final/"&amp;2674605, 2674605)</f>
        <v>2674605</v>
      </c>
      <c r="D3105" s="3" t="s">
        <v>10357</v>
      </c>
      <c r="E3105" s="3" t="s">
        <v>10358</v>
      </c>
      <c r="F3105" s="3" t="s">
        <v>10359</v>
      </c>
      <c r="G3105" s="3" t="s">
        <v>64</v>
      </c>
      <c r="H3105" s="3" t="s">
        <v>5261</v>
      </c>
      <c r="I3105" s="3" t="s">
        <v>305</v>
      </c>
      <c r="J3105" s="3" t="s">
        <v>799</v>
      </c>
      <c r="K3105" s="3" t="s">
        <v>28</v>
      </c>
      <c r="L3105" s="3" t="s">
        <v>28</v>
      </c>
      <c r="M3105" s="3" t="s">
        <v>28</v>
      </c>
      <c r="N3105" s="3" t="s">
        <v>28</v>
      </c>
      <c r="O3105" s="3" t="s">
        <v>28</v>
      </c>
      <c r="P3105" s="3" t="s">
        <v>28</v>
      </c>
      <c r="Q3105" s="3" t="s">
        <v>28</v>
      </c>
      <c r="R3105" s="3" t="s">
        <v>28</v>
      </c>
      <c r="S3105" s="3" t="s">
        <v>28</v>
      </c>
      <c r="T3105" s="3" t="s">
        <v>28</v>
      </c>
    </row>
    <row r="3106" spans="1:20" ht="409.6">
      <c r="A3106" s="3">
        <v>2674591</v>
      </c>
      <c r="B3106" s="3">
        <f>HYPERLINK("https://platform.v2.vetology.net/cases/2674591/screening-report/6?type=pdf&amp;v=v6&amp;scorecard=1&amp;secret_key=BX%25IJ%24%2F65ieZ%29f6", 2674591)</f>
        <v>2674591</v>
      </c>
      <c r="C3106" s="3">
        <f>HYPERLINK("https://platform.v2.vetology.net/report/v/final/"&amp;2674591, 2674591)</f>
        <v>2674591</v>
      </c>
      <c r="D3106" s="3" t="s">
        <v>10360</v>
      </c>
      <c r="E3106" s="3" t="s">
        <v>10361</v>
      </c>
      <c r="F3106" s="3" t="s">
        <v>10362</v>
      </c>
      <c r="G3106" s="3" t="s">
        <v>64</v>
      </c>
      <c r="H3106" s="3" t="s">
        <v>10363</v>
      </c>
      <c r="I3106" s="3" t="s">
        <v>2963</v>
      </c>
      <c r="J3106" s="3" t="s">
        <v>2964</v>
      </c>
      <c r="K3106" s="3" t="s">
        <v>28</v>
      </c>
      <c r="L3106" s="3" t="s">
        <v>28</v>
      </c>
      <c r="M3106" s="3" t="s">
        <v>28</v>
      </c>
      <c r="N3106" s="3" t="s">
        <v>28</v>
      </c>
      <c r="O3106" s="3" t="s">
        <v>27</v>
      </c>
      <c r="P3106" s="3" t="s">
        <v>28</v>
      </c>
      <c r="Q3106" s="3" t="s">
        <v>27</v>
      </c>
      <c r="R3106" s="3" t="s">
        <v>28</v>
      </c>
      <c r="S3106" s="3" t="s">
        <v>28</v>
      </c>
      <c r="T3106" s="3" t="s">
        <v>28</v>
      </c>
    </row>
    <row r="3107" spans="1:20" ht="409.6">
      <c r="A3107" s="3">
        <v>2674585</v>
      </c>
      <c r="B3107" s="3">
        <f>HYPERLINK("https://platform.v2.vetology.net/cases/2674585/screening-report/6?type=pdf&amp;v=v6&amp;scorecard=1&amp;secret_key=BX%25IJ%24%2F65ieZ%29f6", 2674585)</f>
        <v>2674585</v>
      </c>
      <c r="C3107" s="3">
        <f>HYPERLINK("https://platform.v2.vetology.net/report/v/final/"&amp;2674585, 2674585)</f>
        <v>2674585</v>
      </c>
      <c r="D3107" s="3" t="s">
        <v>10364</v>
      </c>
      <c r="E3107" s="3" t="s">
        <v>7370</v>
      </c>
      <c r="F3107" s="3" t="s">
        <v>22</v>
      </c>
      <c r="G3107" s="3" t="s">
        <v>23</v>
      </c>
      <c r="H3107" s="3" t="s">
        <v>10365</v>
      </c>
      <c r="I3107" s="3" t="s">
        <v>1057</v>
      </c>
      <c r="J3107" s="3" t="s">
        <v>1058</v>
      </c>
      <c r="K3107" s="3" t="s">
        <v>28</v>
      </c>
      <c r="L3107" s="3" t="s">
        <v>28</v>
      </c>
      <c r="M3107" s="3" t="s">
        <v>28</v>
      </c>
      <c r="N3107" s="3" t="s">
        <v>28</v>
      </c>
      <c r="O3107" s="3" t="s">
        <v>28</v>
      </c>
      <c r="P3107" s="3" t="s">
        <v>28</v>
      </c>
      <c r="Q3107" s="3" t="s">
        <v>28</v>
      </c>
      <c r="R3107" s="3" t="s">
        <v>28</v>
      </c>
      <c r="S3107" s="3" t="s">
        <v>28</v>
      </c>
      <c r="T3107" s="3" t="s">
        <v>27</v>
      </c>
    </row>
    <row r="3108" spans="1:20" ht="409.6">
      <c r="A3108" s="3">
        <v>2674584</v>
      </c>
      <c r="B3108" s="3">
        <f>HYPERLINK("https://platform.v2.vetology.net/cases/2674584/screening-report/6?type=pdf&amp;v=v6&amp;scorecard=1&amp;secret_key=BX%25IJ%24%2F65ieZ%29f6", 2674584)</f>
        <v>2674584</v>
      </c>
      <c r="C3108" s="3">
        <f>HYPERLINK("https://platform.v2.vetology.net/report/v/final/"&amp;2674584, 2674584)</f>
        <v>2674584</v>
      </c>
      <c r="D3108" s="3" t="s">
        <v>10366</v>
      </c>
      <c r="E3108" s="3" t="s">
        <v>10367</v>
      </c>
      <c r="F3108" s="3" t="s">
        <v>10368</v>
      </c>
      <c r="G3108" s="3" t="s">
        <v>736</v>
      </c>
      <c r="H3108" s="3" t="s">
        <v>10369</v>
      </c>
      <c r="I3108" s="3" t="s">
        <v>2165</v>
      </c>
      <c r="J3108" s="3" t="s">
        <v>207</v>
      </c>
      <c r="K3108" s="3" t="s">
        <v>28</v>
      </c>
      <c r="L3108" s="3" t="s">
        <v>28</v>
      </c>
      <c r="M3108" s="3" t="s">
        <v>28</v>
      </c>
      <c r="N3108" s="3" t="s">
        <v>28</v>
      </c>
      <c r="O3108" s="3" t="s">
        <v>28</v>
      </c>
      <c r="P3108" s="3" t="s">
        <v>28</v>
      </c>
      <c r="Q3108" s="3" t="s">
        <v>28</v>
      </c>
      <c r="R3108" s="3" t="s">
        <v>28</v>
      </c>
      <c r="S3108" s="3" t="s">
        <v>28</v>
      </c>
      <c r="T3108" s="3" t="s">
        <v>28</v>
      </c>
    </row>
    <row r="3109" spans="1:20" ht="409.6">
      <c r="A3109" s="3">
        <v>2674580</v>
      </c>
      <c r="B3109" s="3">
        <f>HYPERLINK("https://platform.v2.vetology.net/cases/2674580/screening-report/6?type=pdf&amp;v=v6&amp;scorecard=1&amp;secret_key=BX%25IJ%24%2F65ieZ%29f6", 2674580)</f>
        <v>2674580</v>
      </c>
      <c r="C3109" s="3">
        <f>HYPERLINK("https://platform.v2.vetology.net/report/v/final/"&amp;2674580, 2674580)</f>
        <v>2674580</v>
      </c>
      <c r="D3109" s="3" t="s">
        <v>10370</v>
      </c>
      <c r="E3109" s="3" t="s">
        <v>10371</v>
      </c>
      <c r="F3109" s="3" t="s">
        <v>956</v>
      </c>
      <c r="G3109" s="3" t="s">
        <v>100</v>
      </c>
      <c r="H3109" s="3" t="s">
        <v>544</v>
      </c>
      <c r="I3109" s="3" t="s">
        <v>334</v>
      </c>
      <c r="J3109" s="3" t="s">
        <v>335</v>
      </c>
      <c r="K3109" s="3" t="s">
        <v>27</v>
      </c>
      <c r="L3109" s="3" t="s">
        <v>28</v>
      </c>
      <c r="M3109" s="3" t="s">
        <v>27</v>
      </c>
      <c r="N3109" s="3" t="s">
        <v>28</v>
      </c>
      <c r="O3109" s="3" t="s">
        <v>27</v>
      </c>
      <c r="P3109" s="3" t="s">
        <v>28</v>
      </c>
      <c r="Q3109" s="3" t="s">
        <v>28</v>
      </c>
      <c r="R3109" s="3" t="s">
        <v>28</v>
      </c>
      <c r="S3109" s="3" t="s">
        <v>28</v>
      </c>
      <c r="T3109" s="3" t="s">
        <v>28</v>
      </c>
    </row>
    <row r="3110" spans="1:20" ht="409.6">
      <c r="A3110" s="3">
        <v>2674562</v>
      </c>
      <c r="B3110" s="3">
        <f>HYPERLINK("https://platform.v2.vetology.net/cases/2674562/screening-report/6?type=pdf&amp;v=v6&amp;scorecard=1&amp;secret_key=BX%25IJ%24%2F65ieZ%29f6", 2674562)</f>
        <v>2674562</v>
      </c>
      <c r="C3110" s="3">
        <f>HYPERLINK("https://platform.v2.vetology.net/report/v/final/"&amp;2674562, 2674562)</f>
        <v>2674562</v>
      </c>
      <c r="D3110" s="3" t="s">
        <v>2158</v>
      </c>
      <c r="E3110" s="3" t="s">
        <v>1230</v>
      </c>
      <c r="F3110" s="3" t="s">
        <v>1049</v>
      </c>
      <c r="G3110" s="3" t="s">
        <v>100</v>
      </c>
      <c r="H3110" s="3" t="s">
        <v>10372</v>
      </c>
      <c r="I3110" s="3" t="s">
        <v>6582</v>
      </c>
      <c r="J3110" s="3" t="s">
        <v>6583</v>
      </c>
      <c r="K3110" s="3" t="s">
        <v>27</v>
      </c>
      <c r="L3110" s="3" t="s">
        <v>28</v>
      </c>
      <c r="M3110" s="3" t="s">
        <v>27</v>
      </c>
      <c r="N3110" s="3" t="s">
        <v>28</v>
      </c>
      <c r="O3110" s="3" t="s">
        <v>27</v>
      </c>
      <c r="P3110" s="3" t="s">
        <v>28</v>
      </c>
      <c r="Q3110" s="3" t="s">
        <v>27</v>
      </c>
      <c r="R3110" s="3" t="s">
        <v>28</v>
      </c>
      <c r="S3110" s="3" t="s">
        <v>28</v>
      </c>
      <c r="T3110" s="3" t="s">
        <v>28</v>
      </c>
    </row>
    <row r="3111" spans="1:20" ht="229.5">
      <c r="A3111" s="3">
        <v>2674523</v>
      </c>
      <c r="B3111" s="3">
        <f>HYPERLINK("https://platform.v2.vetology.net/cases/2674523/screening-report/6?type=pdf&amp;v=v6&amp;scorecard=1&amp;secret_key=BX%25IJ%24%2F65ieZ%29f6", 2674523)</f>
        <v>2674523</v>
      </c>
      <c r="C3111" s="3">
        <f>HYPERLINK("https://platform.v2.vetology.net/report/v/final/"&amp;2674523, 2674523)</f>
        <v>2674523</v>
      </c>
      <c r="D3111" s="3" t="s">
        <v>10373</v>
      </c>
      <c r="E3111" s="3" t="s">
        <v>10374</v>
      </c>
      <c r="F3111" s="3" t="s">
        <v>10375</v>
      </c>
      <c r="G3111" s="3" t="s">
        <v>100</v>
      </c>
      <c r="H3111" s="3" t="s">
        <v>31</v>
      </c>
      <c r="I3111" s="3" t="s">
        <v>129</v>
      </c>
      <c r="J3111" s="3" t="s">
        <v>119</v>
      </c>
      <c r="K3111" s="3" t="s">
        <v>27</v>
      </c>
      <c r="L3111" s="3" t="s">
        <v>28</v>
      </c>
      <c r="M3111" s="3" t="s">
        <v>28</v>
      </c>
      <c r="N3111" s="3" t="s">
        <v>28</v>
      </c>
      <c r="O3111" s="3" t="s">
        <v>27</v>
      </c>
      <c r="P3111" s="3" t="s">
        <v>28</v>
      </c>
      <c r="Q3111" s="3" t="s">
        <v>28</v>
      </c>
      <c r="R3111" s="3" t="s">
        <v>28</v>
      </c>
      <c r="S3111" s="3" t="s">
        <v>28</v>
      </c>
      <c r="T3111" s="3" t="s">
        <v>28</v>
      </c>
    </row>
    <row r="3112" spans="1:20" ht="244.5">
      <c r="A3112" s="3">
        <v>2674467</v>
      </c>
      <c r="B3112" s="3">
        <f>HYPERLINK("https://platform.v2.vetology.net/cases/2674467/screening-report/6?type=pdf&amp;v=v6&amp;scorecard=1&amp;secret_key=BX%25IJ%24%2F65ieZ%29f6", 2674467)</f>
        <v>2674467</v>
      </c>
      <c r="C3112" s="3">
        <f>HYPERLINK("https://platform.v2.vetology.net/report/v/final/"&amp;2674467, 2674467)</f>
        <v>2674467</v>
      </c>
      <c r="D3112" s="3" t="s">
        <v>10376</v>
      </c>
      <c r="E3112" s="3" t="s">
        <v>10377</v>
      </c>
      <c r="F3112" s="3" t="s">
        <v>10378</v>
      </c>
      <c r="G3112" s="3" t="s">
        <v>186</v>
      </c>
      <c r="H3112" s="3" t="s">
        <v>238</v>
      </c>
      <c r="I3112" s="3"/>
      <c r="J3112" s="3" t="s">
        <v>207</v>
      </c>
      <c r="K3112" s="3" t="s">
        <v>28</v>
      </c>
      <c r="L3112" s="3" t="s">
        <v>28</v>
      </c>
      <c r="M3112" s="3" t="s">
        <v>28</v>
      </c>
      <c r="N3112" s="3" t="s">
        <v>28</v>
      </c>
      <c r="O3112" s="3" t="s">
        <v>27</v>
      </c>
      <c r="P3112" s="3" t="s">
        <v>28</v>
      </c>
      <c r="Q3112" s="3" t="s">
        <v>28</v>
      </c>
      <c r="R3112" s="3" t="s">
        <v>28</v>
      </c>
      <c r="S3112" s="3" t="s">
        <v>28</v>
      </c>
      <c r="T3112" s="3" t="s">
        <v>27</v>
      </c>
    </row>
    <row r="3113" spans="1:20" ht="336">
      <c r="A3113" s="3">
        <v>2674464</v>
      </c>
      <c r="B3113" s="3">
        <f>HYPERLINK("https://platform.v2.vetology.net/cases/2674464/screening-report/6?type=pdf&amp;v=v6&amp;scorecard=1&amp;secret_key=BX%25IJ%24%2F65ieZ%29f6", 2674464)</f>
        <v>2674464</v>
      </c>
      <c r="C3113" s="3">
        <f>HYPERLINK("https://platform.v2.vetology.net/report/v/final/"&amp;2674464, 2674464)</f>
        <v>2674464</v>
      </c>
      <c r="D3113" s="3" t="s">
        <v>10379</v>
      </c>
      <c r="E3113" s="3" t="s">
        <v>10380</v>
      </c>
      <c r="F3113" s="3" t="s">
        <v>10381</v>
      </c>
      <c r="G3113" s="3" t="s">
        <v>186</v>
      </c>
      <c r="H3113" s="3" t="s">
        <v>141</v>
      </c>
      <c r="I3113" s="3" t="s">
        <v>142</v>
      </c>
      <c r="J3113" s="3" t="s">
        <v>143</v>
      </c>
      <c r="K3113" s="3" t="s">
        <v>28</v>
      </c>
      <c r="L3113" s="3" t="s">
        <v>28</v>
      </c>
      <c r="M3113" s="3" t="s">
        <v>28</v>
      </c>
      <c r="N3113" s="3" t="s">
        <v>28</v>
      </c>
      <c r="O3113" s="3" t="s">
        <v>27</v>
      </c>
      <c r="P3113" s="3" t="s">
        <v>28</v>
      </c>
      <c r="Q3113" s="3" t="s">
        <v>28</v>
      </c>
      <c r="R3113" s="3" t="s">
        <v>28</v>
      </c>
      <c r="S3113" s="3" t="s">
        <v>28</v>
      </c>
      <c r="T3113" s="3" t="s">
        <v>27</v>
      </c>
    </row>
    <row r="3114" spans="1:20" ht="305.25">
      <c r="A3114" s="3">
        <v>2674416</v>
      </c>
      <c r="B3114" s="3">
        <f>HYPERLINK("https://platform.v2.vetology.net/cases/2674416/screening-report/6?type=pdf&amp;v=v6&amp;scorecard=1&amp;secret_key=BX%25IJ%24%2F65ieZ%29f6", 2674416)</f>
        <v>2674416</v>
      </c>
      <c r="C3114" s="3">
        <f>HYPERLINK("https://platform.v2.vetology.net/report/v/final/"&amp;2674416, 2674416)</f>
        <v>2674416</v>
      </c>
      <c r="D3114" s="3" t="s">
        <v>10382</v>
      </c>
      <c r="E3114" s="3" t="s">
        <v>1690</v>
      </c>
      <c r="F3114" s="3"/>
      <c r="G3114" s="3" t="s">
        <v>100</v>
      </c>
      <c r="H3114" s="3" t="s">
        <v>31</v>
      </c>
      <c r="I3114" s="3" t="s">
        <v>32</v>
      </c>
      <c r="J3114" s="3" t="s">
        <v>33</v>
      </c>
      <c r="K3114" s="3" t="s">
        <v>28</v>
      </c>
      <c r="L3114" s="3" t="s">
        <v>28</v>
      </c>
      <c r="M3114" s="3" t="s">
        <v>28</v>
      </c>
      <c r="N3114" s="3" t="s">
        <v>28</v>
      </c>
      <c r="O3114" s="3" t="s">
        <v>28</v>
      </c>
      <c r="P3114" s="3" t="s">
        <v>28</v>
      </c>
      <c r="Q3114" s="3" t="s">
        <v>28</v>
      </c>
      <c r="R3114" s="3" t="s">
        <v>28</v>
      </c>
      <c r="S3114" s="3" t="s">
        <v>28</v>
      </c>
      <c r="T3114" s="3" t="s">
        <v>28</v>
      </c>
    </row>
    <row r="3115" spans="1:20" ht="381.75">
      <c r="A3115" s="3">
        <v>2674397</v>
      </c>
      <c r="B3115" s="3">
        <f>HYPERLINK("https://platform.v2.vetology.net/cases/2674397/screening-report/6?type=pdf&amp;v=v6&amp;scorecard=1&amp;secret_key=BX%25IJ%24%2F65ieZ%29f6", 2674397)</f>
        <v>2674397</v>
      </c>
      <c r="C3115" s="3">
        <f>HYPERLINK("https://platform.v2.vetology.net/report/v/final/"&amp;2674397, 2674397)</f>
        <v>2674397</v>
      </c>
      <c r="D3115" s="3" t="s">
        <v>10383</v>
      </c>
      <c r="E3115" s="3" t="s">
        <v>10384</v>
      </c>
      <c r="F3115" s="3" t="s">
        <v>10385</v>
      </c>
      <c r="G3115" s="3" t="s">
        <v>186</v>
      </c>
      <c r="H3115" s="3" t="s">
        <v>10386</v>
      </c>
      <c r="I3115" s="3" t="s">
        <v>1897</v>
      </c>
      <c r="J3115" s="3" t="s">
        <v>325</v>
      </c>
      <c r="K3115" s="3" t="s">
        <v>28</v>
      </c>
      <c r="L3115" s="3" t="s">
        <v>28</v>
      </c>
      <c r="M3115" s="3" t="s">
        <v>27</v>
      </c>
      <c r="N3115" s="3" t="s">
        <v>28</v>
      </c>
      <c r="O3115" s="3" t="s">
        <v>27</v>
      </c>
      <c r="P3115" s="3" t="s">
        <v>27</v>
      </c>
      <c r="Q3115" s="3" t="s">
        <v>27</v>
      </c>
      <c r="R3115" s="3" t="s">
        <v>28</v>
      </c>
      <c r="S3115" s="3" t="s">
        <v>28</v>
      </c>
      <c r="T3115" s="3" t="s">
        <v>28</v>
      </c>
    </row>
    <row r="3116" spans="1:20" ht="290.25">
      <c r="A3116" s="3">
        <v>2674380</v>
      </c>
      <c r="B3116" s="3">
        <f>HYPERLINK("https://platform.v2.vetology.net/cases/2674380/screening-report/6?type=pdf&amp;v=v6&amp;scorecard=1&amp;secret_key=BX%25IJ%24%2F65ieZ%29f6", 2674380)</f>
        <v>2674380</v>
      </c>
      <c r="C3116" s="3">
        <f>HYPERLINK("https://platform.v2.vetology.net/report/v/final/"&amp;2674380, 2674380)</f>
        <v>2674380</v>
      </c>
      <c r="D3116" s="3" t="s">
        <v>10387</v>
      </c>
      <c r="E3116" s="3" t="s">
        <v>1054</v>
      </c>
      <c r="F3116" s="3" t="s">
        <v>10048</v>
      </c>
      <c r="G3116" s="3" t="s">
        <v>100</v>
      </c>
      <c r="H3116" s="3" t="s">
        <v>10388</v>
      </c>
      <c r="I3116" s="3" t="s">
        <v>4303</v>
      </c>
      <c r="J3116" s="3" t="s">
        <v>363</v>
      </c>
      <c r="K3116" s="3" t="s">
        <v>28</v>
      </c>
      <c r="L3116" s="3" t="s">
        <v>28</v>
      </c>
      <c r="M3116" s="3" t="s">
        <v>27</v>
      </c>
      <c r="N3116" s="3" t="s">
        <v>28</v>
      </c>
      <c r="O3116" s="3" t="s">
        <v>27</v>
      </c>
      <c r="P3116" s="3" t="s">
        <v>28</v>
      </c>
      <c r="Q3116" s="3" t="s">
        <v>27</v>
      </c>
      <c r="R3116" s="3" t="s">
        <v>28</v>
      </c>
      <c r="S3116" s="3" t="s">
        <v>27</v>
      </c>
      <c r="T3116" s="3" t="s">
        <v>27</v>
      </c>
    </row>
    <row r="3117" spans="1:20" ht="409.6">
      <c r="A3117" s="3">
        <v>2674378</v>
      </c>
      <c r="B3117" s="3">
        <f>HYPERLINK("https://platform.v2.vetology.net/cases/2674378/screening-report/6?type=pdf&amp;v=v6&amp;scorecard=1&amp;secret_key=BX%25IJ%24%2F65ieZ%29f6", 2674378)</f>
        <v>2674378</v>
      </c>
      <c r="C3117" s="3">
        <f>HYPERLINK("https://platform.v2.vetology.net/report/v/final/"&amp;2674378, 2674378)</f>
        <v>2674378</v>
      </c>
      <c r="D3117" s="3" t="s">
        <v>10389</v>
      </c>
      <c r="E3117" s="3" t="s">
        <v>10390</v>
      </c>
      <c r="F3117" s="3" t="s">
        <v>10391</v>
      </c>
      <c r="G3117" s="3" t="s">
        <v>186</v>
      </c>
      <c r="H3117" s="3" t="s">
        <v>4735</v>
      </c>
      <c r="I3117" s="3" t="s">
        <v>2771</v>
      </c>
      <c r="J3117" s="3" t="s">
        <v>2772</v>
      </c>
      <c r="K3117" s="3" t="s">
        <v>28</v>
      </c>
      <c r="L3117" s="3" t="s">
        <v>27</v>
      </c>
      <c r="M3117" s="3" t="s">
        <v>28</v>
      </c>
      <c r="N3117" s="3" t="s">
        <v>27</v>
      </c>
      <c r="O3117" s="3" t="s">
        <v>28</v>
      </c>
      <c r="P3117" s="3" t="s">
        <v>28</v>
      </c>
      <c r="Q3117" s="3" t="s">
        <v>28</v>
      </c>
      <c r="R3117" s="3" t="s">
        <v>27</v>
      </c>
      <c r="S3117" s="3" t="s">
        <v>27</v>
      </c>
      <c r="T3117" s="3" t="s">
        <v>27</v>
      </c>
    </row>
    <row r="3118" spans="1:20" ht="259.5">
      <c r="A3118" s="3">
        <v>2674350</v>
      </c>
      <c r="B3118" s="3">
        <f>HYPERLINK("https://platform.v2.vetology.net/cases/2674350/screening-report/6?type=pdf&amp;v=v6&amp;scorecard=1&amp;secret_key=BX%25IJ%24%2F65ieZ%29f6", 2674350)</f>
        <v>2674350</v>
      </c>
      <c r="C3118" s="3">
        <f>HYPERLINK("https://platform.v2.vetology.net/report/v/final/"&amp;2674350, 2674350)</f>
        <v>2674350</v>
      </c>
      <c r="D3118" s="3" t="s">
        <v>10392</v>
      </c>
      <c r="E3118" s="3" t="s">
        <v>10393</v>
      </c>
      <c r="F3118" s="3" t="s">
        <v>1377</v>
      </c>
      <c r="G3118" s="3" t="s">
        <v>186</v>
      </c>
      <c r="H3118" s="3" t="s">
        <v>10394</v>
      </c>
      <c r="I3118" s="3" t="s">
        <v>7903</v>
      </c>
      <c r="J3118" s="3" t="s">
        <v>7904</v>
      </c>
      <c r="K3118" s="3" t="s">
        <v>28</v>
      </c>
      <c r="L3118" s="3" t="s">
        <v>28</v>
      </c>
      <c r="M3118" s="3" t="s">
        <v>27</v>
      </c>
      <c r="N3118" s="3" t="s">
        <v>28</v>
      </c>
      <c r="O3118" s="3" t="s">
        <v>27</v>
      </c>
      <c r="P3118" s="3" t="s">
        <v>28</v>
      </c>
      <c r="Q3118" s="3" t="s">
        <v>27</v>
      </c>
      <c r="R3118" s="3" t="s">
        <v>28</v>
      </c>
      <c r="S3118" s="3" t="s">
        <v>28</v>
      </c>
      <c r="T3118" s="3" t="s">
        <v>28</v>
      </c>
    </row>
    <row r="3119" spans="1:20" ht="290.25">
      <c r="A3119" s="3">
        <v>2674303</v>
      </c>
      <c r="B3119" s="3">
        <f>HYPERLINK("https://platform.v2.vetology.net/cases/2674303/screening-report/6?type=pdf&amp;v=v6&amp;scorecard=1&amp;secret_key=BX%25IJ%24%2F65ieZ%29f6", 2674303)</f>
        <v>2674303</v>
      </c>
      <c r="C3119" s="3">
        <f>HYPERLINK("https://platform.v2.vetology.net/report/v/final/"&amp;2674303, 2674303)</f>
        <v>2674303</v>
      </c>
      <c r="D3119" s="3" t="s">
        <v>10395</v>
      </c>
      <c r="E3119" s="3" t="s">
        <v>10396</v>
      </c>
      <c r="F3119" s="3" t="s">
        <v>10397</v>
      </c>
      <c r="G3119" s="3" t="s">
        <v>186</v>
      </c>
      <c r="H3119" s="3" t="s">
        <v>141</v>
      </c>
      <c r="I3119" s="3" t="s">
        <v>142</v>
      </c>
      <c r="J3119" s="3" t="s">
        <v>143</v>
      </c>
      <c r="K3119" s="3" t="s">
        <v>28</v>
      </c>
      <c r="L3119" s="3" t="s">
        <v>28</v>
      </c>
      <c r="M3119" s="3" t="s">
        <v>27</v>
      </c>
      <c r="N3119" s="3" t="s">
        <v>28</v>
      </c>
      <c r="O3119" s="3" t="s">
        <v>27</v>
      </c>
      <c r="P3119" s="3" t="s">
        <v>28</v>
      </c>
      <c r="Q3119" s="3" t="s">
        <v>28</v>
      </c>
      <c r="R3119" s="3" t="s">
        <v>28</v>
      </c>
      <c r="S3119" s="3" t="s">
        <v>28</v>
      </c>
      <c r="T3119" s="3" t="s">
        <v>27</v>
      </c>
    </row>
    <row r="3120" spans="1:20" ht="290.25">
      <c r="A3120" s="3">
        <v>2674264</v>
      </c>
      <c r="B3120" s="3">
        <f>HYPERLINK("https://platform.v2.vetology.net/cases/2674264/screening-report/6?type=pdf&amp;v=v6&amp;scorecard=1&amp;secret_key=BX%25IJ%24%2F65ieZ%29f6", 2674264)</f>
        <v>2674264</v>
      </c>
      <c r="C3120" s="3">
        <f>HYPERLINK("https://platform.v2.vetology.net/report/v/final/"&amp;2674264, 2674264)</f>
        <v>2674264</v>
      </c>
      <c r="D3120" s="3" t="s">
        <v>10398</v>
      </c>
      <c r="E3120" s="3" t="s">
        <v>10399</v>
      </c>
      <c r="F3120" s="3" t="s">
        <v>10400</v>
      </c>
      <c r="G3120" s="3" t="s">
        <v>23</v>
      </c>
      <c r="H3120" s="3" t="s">
        <v>315</v>
      </c>
      <c r="I3120" s="3" t="s">
        <v>316</v>
      </c>
      <c r="J3120" s="3" t="s">
        <v>317</v>
      </c>
      <c r="K3120" s="3" t="s">
        <v>27</v>
      </c>
      <c r="L3120" s="3" t="s">
        <v>28</v>
      </c>
      <c r="M3120" s="3" t="s">
        <v>28</v>
      </c>
      <c r="N3120" s="3" t="s">
        <v>28</v>
      </c>
      <c r="O3120" s="3" t="s">
        <v>27</v>
      </c>
      <c r="P3120" s="3" t="s">
        <v>28</v>
      </c>
      <c r="Q3120" s="3" t="s">
        <v>28</v>
      </c>
      <c r="R3120" s="3" t="s">
        <v>28</v>
      </c>
      <c r="S3120" s="3" t="s">
        <v>28</v>
      </c>
      <c r="T3120" s="3" t="s">
        <v>28</v>
      </c>
    </row>
    <row r="3121" spans="1:20" ht="409.6">
      <c r="A3121" s="3">
        <v>2674259</v>
      </c>
      <c r="B3121" s="3">
        <f>HYPERLINK("https://platform.v2.vetology.net/cases/2674259/screening-report/6?type=pdf&amp;v=v6&amp;scorecard=1&amp;secret_key=BX%25IJ%24%2F65ieZ%29f6", 2674259)</f>
        <v>2674259</v>
      </c>
      <c r="C3121" s="3">
        <f>HYPERLINK("https://platform.v2.vetology.net/report/v/final/"&amp;2674259, 2674259)</f>
        <v>2674259</v>
      </c>
      <c r="D3121" s="3" t="s">
        <v>10401</v>
      </c>
      <c r="E3121" s="3" t="s">
        <v>10402</v>
      </c>
      <c r="F3121" s="3" t="s">
        <v>22</v>
      </c>
      <c r="G3121" s="3" t="s">
        <v>372</v>
      </c>
      <c r="H3121" s="3" t="s">
        <v>877</v>
      </c>
      <c r="I3121" s="3" t="s">
        <v>878</v>
      </c>
      <c r="J3121" s="3" t="s">
        <v>879</v>
      </c>
      <c r="K3121" s="3" t="s">
        <v>28</v>
      </c>
      <c r="L3121" s="3" t="s">
        <v>27</v>
      </c>
      <c r="M3121" s="3" t="s">
        <v>28</v>
      </c>
      <c r="N3121" s="3" t="s">
        <v>27</v>
      </c>
      <c r="O3121" s="3" t="s">
        <v>27</v>
      </c>
      <c r="P3121" s="3" t="s">
        <v>28</v>
      </c>
      <c r="Q3121" s="3" t="s">
        <v>27</v>
      </c>
      <c r="R3121" s="3" t="s">
        <v>27</v>
      </c>
      <c r="S3121" s="3" t="s">
        <v>27</v>
      </c>
      <c r="T3121" s="3" t="s">
        <v>27</v>
      </c>
    </row>
    <row r="3122" spans="1:20" ht="409.6">
      <c r="A3122" s="3">
        <v>2674247</v>
      </c>
      <c r="B3122" s="3">
        <f>HYPERLINK("https://platform.v2.vetology.net/cases/2674247/screening-report/6?type=pdf&amp;v=v6&amp;scorecard=1&amp;secret_key=BX%25IJ%24%2F65ieZ%29f6", 2674247)</f>
        <v>2674247</v>
      </c>
      <c r="C3122" s="3">
        <f>HYPERLINK("https://platform.v2.vetology.net/report/v/final/"&amp;2674247, 2674247)</f>
        <v>2674247</v>
      </c>
      <c r="D3122" s="3" t="s">
        <v>10403</v>
      </c>
      <c r="E3122" s="3" t="s">
        <v>10404</v>
      </c>
      <c r="F3122" s="3" t="s">
        <v>22</v>
      </c>
      <c r="G3122" s="3" t="s">
        <v>372</v>
      </c>
      <c r="H3122" s="3" t="s">
        <v>571</v>
      </c>
      <c r="I3122" s="3" t="s">
        <v>572</v>
      </c>
      <c r="J3122" s="3" t="s">
        <v>573</v>
      </c>
      <c r="K3122" s="3" t="s">
        <v>28</v>
      </c>
      <c r="L3122" s="3" t="s">
        <v>28</v>
      </c>
      <c r="M3122" s="3" t="s">
        <v>27</v>
      </c>
      <c r="N3122" s="3" t="s">
        <v>28</v>
      </c>
      <c r="O3122" s="3" t="s">
        <v>27</v>
      </c>
      <c r="P3122" s="3" t="s">
        <v>28</v>
      </c>
      <c r="Q3122" s="3" t="s">
        <v>28</v>
      </c>
      <c r="R3122" s="3" t="s">
        <v>28</v>
      </c>
      <c r="S3122" s="3" t="s">
        <v>28</v>
      </c>
      <c r="T3122" s="3" t="s">
        <v>28</v>
      </c>
    </row>
    <row r="3123" spans="1:20" ht="351">
      <c r="A3123" s="3">
        <v>2674204</v>
      </c>
      <c r="B3123" s="3">
        <f>HYPERLINK("https://platform.v2.vetology.net/cases/2674204/screening-report/6?type=pdf&amp;v=v6&amp;scorecard=1&amp;secret_key=BX%25IJ%24%2F65ieZ%29f6", 2674204)</f>
        <v>2674204</v>
      </c>
      <c r="C3123" s="3">
        <f>HYPERLINK("https://platform.v2.vetology.net/report/v/final/"&amp;2674204, 2674204)</f>
        <v>2674204</v>
      </c>
      <c r="D3123" s="3" t="s">
        <v>10405</v>
      </c>
      <c r="E3123" s="3" t="s">
        <v>1089</v>
      </c>
      <c r="F3123" s="3" t="s">
        <v>1090</v>
      </c>
      <c r="G3123" s="3" t="s">
        <v>100</v>
      </c>
      <c r="H3123" s="3" t="s">
        <v>2064</v>
      </c>
      <c r="I3123" s="3" t="s">
        <v>1472</v>
      </c>
      <c r="J3123" s="3" t="s">
        <v>1374</v>
      </c>
      <c r="K3123" s="3" t="s">
        <v>27</v>
      </c>
      <c r="L3123" s="3" t="s">
        <v>28</v>
      </c>
      <c r="M3123" s="3" t="s">
        <v>27</v>
      </c>
      <c r="N3123" s="3" t="s">
        <v>28</v>
      </c>
      <c r="O3123" s="3" t="s">
        <v>27</v>
      </c>
      <c r="P3123" s="3" t="s">
        <v>28</v>
      </c>
      <c r="Q3123" s="3" t="s">
        <v>28</v>
      </c>
      <c r="R3123" s="3" t="s">
        <v>28</v>
      </c>
      <c r="S3123" s="3" t="s">
        <v>28</v>
      </c>
      <c r="T3123" s="3" t="s">
        <v>28</v>
      </c>
    </row>
    <row r="3124" spans="1:20" ht="351">
      <c r="A3124" s="3">
        <v>2674109</v>
      </c>
      <c r="B3124" s="3">
        <f>HYPERLINK("https://platform.v2.vetology.net/cases/2674109/screening-report/6?type=pdf&amp;v=v6&amp;scorecard=1&amp;secret_key=BX%25IJ%24%2F65ieZ%29f6", 2674109)</f>
        <v>2674109</v>
      </c>
      <c r="C3124" s="3">
        <f>HYPERLINK("https://platform.v2.vetology.net/report/v/final/"&amp;2674109, 2674109)</f>
        <v>2674109</v>
      </c>
      <c r="D3124" s="3" t="s">
        <v>10406</v>
      </c>
      <c r="E3124" s="3" t="s">
        <v>10407</v>
      </c>
      <c r="F3124" s="3" t="s">
        <v>22</v>
      </c>
      <c r="G3124" s="3" t="s">
        <v>372</v>
      </c>
      <c r="H3124" s="3" t="s">
        <v>864</v>
      </c>
      <c r="I3124" s="3" t="s">
        <v>865</v>
      </c>
      <c r="J3124" s="3" t="s">
        <v>866</v>
      </c>
      <c r="K3124" s="3" t="s">
        <v>27</v>
      </c>
      <c r="L3124" s="3" t="s">
        <v>28</v>
      </c>
      <c r="M3124" s="3" t="s">
        <v>28</v>
      </c>
      <c r="N3124" s="3" t="s">
        <v>27</v>
      </c>
      <c r="O3124" s="3" t="s">
        <v>27</v>
      </c>
      <c r="P3124" s="3" t="s">
        <v>28</v>
      </c>
      <c r="Q3124" s="3" t="s">
        <v>28</v>
      </c>
      <c r="R3124" s="3" t="s">
        <v>28</v>
      </c>
      <c r="S3124" s="3" t="s">
        <v>28</v>
      </c>
      <c r="T3124" s="3" t="s">
        <v>28</v>
      </c>
    </row>
    <row r="3125" spans="1:20" ht="409.6">
      <c r="A3125" s="3">
        <v>2674098</v>
      </c>
      <c r="B3125" s="3">
        <f>HYPERLINK("https://platform.v2.vetology.net/cases/2674098/screening-report/6?type=pdf&amp;v=v6&amp;scorecard=1&amp;secret_key=BX%25IJ%24%2F65ieZ%29f6", 2674098)</f>
        <v>2674098</v>
      </c>
      <c r="C3125" s="3">
        <f>HYPERLINK("https://platform.v2.vetology.net/report/v/final/"&amp;2674098, 2674098)</f>
        <v>2674098</v>
      </c>
      <c r="D3125" s="3" t="s">
        <v>10408</v>
      </c>
      <c r="E3125" s="3" t="s">
        <v>10409</v>
      </c>
      <c r="F3125" s="3" t="s">
        <v>10410</v>
      </c>
      <c r="G3125" s="3" t="s">
        <v>57</v>
      </c>
      <c r="H3125" s="3" t="s">
        <v>10411</v>
      </c>
      <c r="I3125" s="3" t="s">
        <v>2625</v>
      </c>
      <c r="J3125" s="3" t="s">
        <v>2626</v>
      </c>
      <c r="K3125" s="3" t="s">
        <v>28</v>
      </c>
      <c r="L3125" s="3" t="s">
        <v>28</v>
      </c>
      <c r="M3125" s="3" t="s">
        <v>28</v>
      </c>
      <c r="N3125" s="3" t="s">
        <v>28</v>
      </c>
      <c r="O3125" s="3" t="s">
        <v>27</v>
      </c>
      <c r="P3125" s="3" t="s">
        <v>28</v>
      </c>
      <c r="Q3125" s="3" t="s">
        <v>28</v>
      </c>
      <c r="R3125" s="3" t="s">
        <v>27</v>
      </c>
      <c r="S3125" s="3" t="s">
        <v>28</v>
      </c>
      <c r="T3125" s="3" t="s">
        <v>27</v>
      </c>
    </row>
    <row r="3126" spans="1:20" ht="381.75">
      <c r="A3126" s="3">
        <v>2674073</v>
      </c>
      <c r="B3126" s="3">
        <f>HYPERLINK("https://platform.v2.vetology.net/cases/2674073/screening-report/6?type=pdf&amp;v=v6&amp;scorecard=1&amp;secret_key=BX%25IJ%24%2F65ieZ%29f6", 2674073)</f>
        <v>2674073</v>
      </c>
      <c r="C3126" s="3">
        <f>HYPERLINK("https://platform.v2.vetology.net/report/v/final/"&amp;2674073, 2674073)</f>
        <v>2674073</v>
      </c>
      <c r="D3126" s="3" t="s">
        <v>10412</v>
      </c>
      <c r="E3126" s="3" t="s">
        <v>10413</v>
      </c>
      <c r="F3126" s="3" t="s">
        <v>1668</v>
      </c>
      <c r="G3126" s="3" t="s">
        <v>122</v>
      </c>
      <c r="H3126" s="3" t="s">
        <v>1478</v>
      </c>
      <c r="I3126" s="3" t="s">
        <v>279</v>
      </c>
      <c r="J3126" s="3" t="s">
        <v>280</v>
      </c>
      <c r="K3126" s="3" t="s">
        <v>28</v>
      </c>
      <c r="L3126" s="3" t="s">
        <v>28</v>
      </c>
      <c r="M3126" s="3" t="s">
        <v>28</v>
      </c>
      <c r="N3126" s="3" t="s">
        <v>28</v>
      </c>
      <c r="O3126" s="3" t="s">
        <v>28</v>
      </c>
      <c r="P3126" s="3" t="s">
        <v>28</v>
      </c>
      <c r="Q3126" s="3" t="s">
        <v>28</v>
      </c>
      <c r="R3126" s="3" t="s">
        <v>28</v>
      </c>
      <c r="S3126" s="3" t="s">
        <v>28</v>
      </c>
      <c r="T3126" s="3" t="s">
        <v>27</v>
      </c>
    </row>
    <row r="3127" spans="1:20" ht="336">
      <c r="A3127" s="3">
        <v>2674060</v>
      </c>
      <c r="B3127" s="3">
        <f>HYPERLINK("https://platform.v2.vetology.net/cases/2674060/screening-report/6?type=pdf&amp;v=v6&amp;scorecard=1&amp;secret_key=BX%25IJ%24%2F65ieZ%29f6", 2674060)</f>
        <v>2674060</v>
      </c>
      <c r="C3127" s="3">
        <f>HYPERLINK("https://platform.v2.vetology.net/report/v/final/"&amp;2674060, 2674060)</f>
        <v>2674060</v>
      </c>
      <c r="D3127" s="3" t="s">
        <v>3898</v>
      </c>
      <c r="E3127" s="3" t="s">
        <v>10414</v>
      </c>
      <c r="F3127" s="3" t="s">
        <v>3900</v>
      </c>
      <c r="G3127" s="3" t="s">
        <v>100</v>
      </c>
      <c r="H3127" s="3" t="s">
        <v>5481</v>
      </c>
      <c r="I3127" s="3" t="s">
        <v>2226</v>
      </c>
      <c r="J3127" s="3" t="s">
        <v>2227</v>
      </c>
      <c r="K3127" s="3" t="s">
        <v>27</v>
      </c>
      <c r="L3127" s="3" t="s">
        <v>28</v>
      </c>
      <c r="M3127" s="3" t="s">
        <v>27</v>
      </c>
      <c r="N3127" s="3" t="s">
        <v>28</v>
      </c>
      <c r="O3127" s="3" t="s">
        <v>27</v>
      </c>
      <c r="P3127" s="3" t="s">
        <v>28</v>
      </c>
      <c r="Q3127" s="3" t="s">
        <v>27</v>
      </c>
      <c r="R3127" s="3" t="s">
        <v>28</v>
      </c>
      <c r="S3127" s="3" t="s">
        <v>27</v>
      </c>
      <c r="T3127" s="3" t="s">
        <v>27</v>
      </c>
    </row>
    <row r="3128" spans="1:20" ht="396.75">
      <c r="A3128" s="3">
        <v>2674038</v>
      </c>
      <c r="B3128" s="3">
        <f>HYPERLINK("https://platform.v2.vetology.net/cases/2674038/screening-report/6?type=pdf&amp;v=v6&amp;scorecard=1&amp;secret_key=BX%25IJ%24%2F65ieZ%29f6", 2674038)</f>
        <v>2674038</v>
      </c>
      <c r="C3128" s="3">
        <f>HYPERLINK("https://platform.v2.vetology.net/report/v/final/"&amp;2674038, 2674038)</f>
        <v>2674038</v>
      </c>
      <c r="D3128" s="3" t="s">
        <v>10415</v>
      </c>
      <c r="E3128" s="3" t="s">
        <v>10416</v>
      </c>
      <c r="F3128" s="3" t="s">
        <v>22</v>
      </c>
      <c r="G3128" s="3" t="s">
        <v>372</v>
      </c>
      <c r="H3128" s="3" t="s">
        <v>4302</v>
      </c>
      <c r="I3128" s="3" t="s">
        <v>4303</v>
      </c>
      <c r="J3128" s="3" t="s">
        <v>363</v>
      </c>
      <c r="K3128" s="3" t="s">
        <v>27</v>
      </c>
      <c r="L3128" s="3" t="s">
        <v>27</v>
      </c>
      <c r="M3128" s="3" t="s">
        <v>27</v>
      </c>
      <c r="N3128" s="3" t="s">
        <v>28</v>
      </c>
      <c r="O3128" s="3" t="s">
        <v>27</v>
      </c>
      <c r="P3128" s="3" t="s">
        <v>28</v>
      </c>
      <c r="Q3128" s="3" t="s">
        <v>27</v>
      </c>
      <c r="R3128" s="3" t="s">
        <v>28</v>
      </c>
      <c r="S3128" s="3" t="s">
        <v>28</v>
      </c>
      <c r="T3128" s="3" t="s">
        <v>27</v>
      </c>
    </row>
    <row r="3129" spans="1:20" ht="290.25">
      <c r="A3129" s="3">
        <v>2674035</v>
      </c>
      <c r="B3129" s="3">
        <f>HYPERLINK("https://platform.v2.vetology.net/cases/2674035/screening-report/6?type=pdf&amp;v=v6&amp;scorecard=1&amp;secret_key=BX%25IJ%24%2F65ieZ%29f6", 2674035)</f>
        <v>2674035</v>
      </c>
      <c r="C3129" s="3">
        <f>HYPERLINK("https://platform.v2.vetology.net/report/v/final/"&amp;2674035, 2674035)</f>
        <v>2674035</v>
      </c>
      <c r="D3129" s="3" t="s">
        <v>10417</v>
      </c>
      <c r="E3129" s="3" t="s">
        <v>5903</v>
      </c>
      <c r="F3129" s="3" t="s">
        <v>5904</v>
      </c>
      <c r="G3129" s="3" t="s">
        <v>100</v>
      </c>
      <c r="H3129" s="3" t="s">
        <v>10418</v>
      </c>
      <c r="I3129" s="3" t="s">
        <v>5235</v>
      </c>
      <c r="J3129" s="3" t="s">
        <v>2626</v>
      </c>
      <c r="K3129" s="3" t="s">
        <v>28</v>
      </c>
      <c r="L3129" s="3" t="s">
        <v>28</v>
      </c>
      <c r="M3129" s="3" t="s">
        <v>28</v>
      </c>
      <c r="N3129" s="3" t="s">
        <v>28</v>
      </c>
      <c r="O3129" s="3" t="s">
        <v>27</v>
      </c>
      <c r="P3129" s="3" t="s">
        <v>28</v>
      </c>
      <c r="Q3129" s="3" t="s">
        <v>28</v>
      </c>
      <c r="R3129" s="3" t="s">
        <v>27</v>
      </c>
      <c r="S3129" s="3" t="s">
        <v>28</v>
      </c>
      <c r="T3129" s="3" t="s">
        <v>27</v>
      </c>
    </row>
    <row r="3130" spans="1:20" ht="409.6">
      <c r="A3130" s="3">
        <v>2674029</v>
      </c>
      <c r="B3130" s="3">
        <f>HYPERLINK("https://platform.v2.vetology.net/cases/2674029/screening-report/6?type=pdf&amp;v=v6&amp;scorecard=1&amp;secret_key=BX%25IJ%24%2F65ieZ%29f6", 2674029)</f>
        <v>2674029</v>
      </c>
      <c r="C3130" s="3">
        <f>HYPERLINK("https://platform.v2.vetology.net/report/v/final/"&amp;2674029, 2674029)</f>
        <v>2674029</v>
      </c>
      <c r="D3130" s="3" t="s">
        <v>10419</v>
      </c>
      <c r="E3130" s="3" t="s">
        <v>10420</v>
      </c>
      <c r="F3130" s="3" t="s">
        <v>9891</v>
      </c>
      <c r="G3130" s="3" t="s">
        <v>179</v>
      </c>
      <c r="H3130" s="3" t="s">
        <v>10421</v>
      </c>
      <c r="I3130" s="3" t="s">
        <v>5431</v>
      </c>
      <c r="J3130" s="3" t="s">
        <v>10422</v>
      </c>
      <c r="K3130" s="3" t="s">
        <v>28</v>
      </c>
      <c r="L3130" s="3" t="s">
        <v>27</v>
      </c>
      <c r="M3130" s="3" t="s">
        <v>28</v>
      </c>
      <c r="N3130" s="3" t="s">
        <v>27</v>
      </c>
      <c r="O3130" s="3" t="s">
        <v>27</v>
      </c>
      <c r="P3130" s="3" t="s">
        <v>27</v>
      </c>
      <c r="Q3130" s="3" t="s">
        <v>27</v>
      </c>
      <c r="R3130" s="3" t="s">
        <v>27</v>
      </c>
      <c r="S3130" s="3" t="s">
        <v>27</v>
      </c>
      <c r="T3130" s="3" t="s">
        <v>27</v>
      </c>
    </row>
    <row r="3131" spans="1:20" ht="366">
      <c r="A3131" s="3">
        <v>2674013</v>
      </c>
      <c r="B3131" s="3">
        <f>HYPERLINK("https://platform.v2.vetology.net/cases/2674013/screening-report/6?type=pdf&amp;v=v6&amp;scorecard=1&amp;secret_key=BX%25IJ%24%2F65ieZ%29f6", 2674013)</f>
        <v>2674013</v>
      </c>
      <c r="C3131" s="3">
        <f>HYPERLINK("https://platform.v2.vetology.net/report/v/final/"&amp;2674013, 2674013)</f>
        <v>2674013</v>
      </c>
      <c r="D3131" s="3" t="s">
        <v>10423</v>
      </c>
      <c r="E3131" s="3" t="s">
        <v>10424</v>
      </c>
      <c r="F3131" s="3" t="s">
        <v>5023</v>
      </c>
      <c r="G3131" s="3" t="s">
        <v>100</v>
      </c>
      <c r="H3131" s="3" t="s">
        <v>3559</v>
      </c>
      <c r="I3131" s="3" t="s">
        <v>993</v>
      </c>
      <c r="J3131" s="3" t="s">
        <v>994</v>
      </c>
      <c r="K3131" s="3" t="s">
        <v>28</v>
      </c>
      <c r="L3131" s="3" t="s">
        <v>28</v>
      </c>
      <c r="M3131" s="3" t="s">
        <v>28</v>
      </c>
      <c r="N3131" s="3" t="s">
        <v>28</v>
      </c>
      <c r="O3131" s="3" t="s">
        <v>27</v>
      </c>
      <c r="P3131" s="3" t="s">
        <v>28</v>
      </c>
      <c r="Q3131" s="3" t="s">
        <v>28</v>
      </c>
      <c r="R3131" s="3" t="s">
        <v>28</v>
      </c>
      <c r="S3131" s="3" t="s">
        <v>28</v>
      </c>
      <c r="T3131" s="3" t="s">
        <v>28</v>
      </c>
    </row>
    <row r="3132" spans="1:20" ht="409.6">
      <c r="A3132" s="3">
        <v>2673973</v>
      </c>
      <c r="B3132" s="3">
        <f>HYPERLINK("https://platform.v2.vetology.net/cases/2673973/screening-report/6?type=pdf&amp;v=v6&amp;scorecard=1&amp;secret_key=BX%25IJ%24%2F65ieZ%29f6", 2673973)</f>
        <v>2673973</v>
      </c>
      <c r="C3132" s="3">
        <f>HYPERLINK("https://platform.v2.vetology.net/report/v/final/"&amp;2673973, 2673973)</f>
        <v>2673973</v>
      </c>
      <c r="D3132" s="3" t="s">
        <v>10425</v>
      </c>
      <c r="E3132" s="3" t="s">
        <v>10426</v>
      </c>
      <c r="F3132" s="3" t="s">
        <v>10427</v>
      </c>
      <c r="G3132" s="3" t="s">
        <v>64</v>
      </c>
      <c r="H3132" s="3" t="s">
        <v>3286</v>
      </c>
      <c r="I3132" s="3" t="s">
        <v>484</v>
      </c>
      <c r="J3132" s="3" t="s">
        <v>53</v>
      </c>
      <c r="K3132" s="3" t="s">
        <v>28</v>
      </c>
      <c r="L3132" s="3" t="s">
        <v>28</v>
      </c>
      <c r="M3132" s="3" t="s">
        <v>28</v>
      </c>
      <c r="N3132" s="3" t="s">
        <v>28</v>
      </c>
      <c r="O3132" s="3" t="s">
        <v>28</v>
      </c>
      <c r="P3132" s="3" t="s">
        <v>28</v>
      </c>
      <c r="Q3132" s="3" t="s">
        <v>28</v>
      </c>
      <c r="R3132" s="3" t="s">
        <v>28</v>
      </c>
      <c r="S3132" s="3" t="s">
        <v>28</v>
      </c>
      <c r="T3132" s="3" t="s">
        <v>28</v>
      </c>
    </row>
    <row r="3133" spans="1:20" ht="229.5">
      <c r="A3133" s="3">
        <v>2673916</v>
      </c>
      <c r="B3133" s="3">
        <f>HYPERLINK("https://platform.v2.vetology.net/cases/2673916/screening-report/6?type=pdf&amp;v=v6&amp;scorecard=1&amp;secret_key=BX%25IJ%24%2F65ieZ%29f6", 2673916)</f>
        <v>2673916</v>
      </c>
      <c r="C3133" s="3">
        <f>HYPERLINK("https://platform.v2.vetology.net/report/v/final/"&amp;2673916, 2673916)</f>
        <v>2673916</v>
      </c>
      <c r="D3133" s="3" t="s">
        <v>10428</v>
      </c>
      <c r="E3133" s="3" t="s">
        <v>10429</v>
      </c>
      <c r="F3133" s="3" t="s">
        <v>10430</v>
      </c>
      <c r="G3133" s="3" t="s">
        <v>100</v>
      </c>
      <c r="H3133" s="3" t="s">
        <v>944</v>
      </c>
      <c r="I3133" s="3" t="s">
        <v>32</v>
      </c>
      <c r="J3133" s="3" t="s">
        <v>119</v>
      </c>
      <c r="K3133" s="3" t="s">
        <v>28</v>
      </c>
      <c r="L3133" s="3" t="s">
        <v>28</v>
      </c>
      <c r="M3133" s="3" t="s">
        <v>28</v>
      </c>
      <c r="N3133" s="3" t="s">
        <v>28</v>
      </c>
      <c r="O3133" s="3" t="s">
        <v>27</v>
      </c>
      <c r="P3133" s="3" t="s">
        <v>28</v>
      </c>
      <c r="Q3133" s="3" t="s">
        <v>28</v>
      </c>
      <c r="R3133" s="3" t="s">
        <v>28</v>
      </c>
      <c r="S3133" s="3" t="s">
        <v>28</v>
      </c>
      <c r="T3133" s="3" t="s">
        <v>28</v>
      </c>
    </row>
    <row r="3134" spans="1:20" ht="409.6">
      <c r="A3134" s="3">
        <v>2673816</v>
      </c>
      <c r="B3134" s="3">
        <f>HYPERLINK("https://platform.v2.vetology.net/cases/2673816/screening-report/6?type=pdf&amp;v=v6&amp;scorecard=1&amp;secret_key=BX%25IJ%24%2F65ieZ%29f6", 2673816)</f>
        <v>2673816</v>
      </c>
      <c r="C3134" s="3">
        <f>HYPERLINK("https://platform.v2.vetology.net/report/v/final/"&amp;2673816, 2673816)</f>
        <v>2673816</v>
      </c>
      <c r="D3134" s="3" t="s">
        <v>10431</v>
      </c>
      <c r="E3134" s="3" t="s">
        <v>10432</v>
      </c>
      <c r="F3134" s="3" t="s">
        <v>22</v>
      </c>
      <c r="G3134" s="3" t="s">
        <v>372</v>
      </c>
      <c r="H3134" s="3" t="s">
        <v>193</v>
      </c>
      <c r="I3134" s="3" t="s">
        <v>194</v>
      </c>
      <c r="J3134" s="3" t="s">
        <v>195</v>
      </c>
      <c r="K3134" s="3" t="s">
        <v>28</v>
      </c>
      <c r="L3134" s="3" t="s">
        <v>28</v>
      </c>
      <c r="M3134" s="3" t="s">
        <v>28</v>
      </c>
      <c r="N3134" s="3" t="s">
        <v>27</v>
      </c>
      <c r="O3134" s="3" t="s">
        <v>27</v>
      </c>
      <c r="P3134" s="3" t="s">
        <v>28</v>
      </c>
      <c r="Q3134" s="3" t="s">
        <v>28</v>
      </c>
      <c r="R3134" s="3" t="s">
        <v>27</v>
      </c>
      <c r="S3134" s="3" t="s">
        <v>27</v>
      </c>
      <c r="T3134" s="3" t="s">
        <v>27</v>
      </c>
    </row>
    <row r="3135" spans="1:20" ht="213">
      <c r="A3135" s="3">
        <v>2673769</v>
      </c>
      <c r="B3135" s="3">
        <f>HYPERLINK("https://platform.v2.vetology.net/cases/2673769/screening-report/6?type=pdf&amp;v=v6&amp;scorecard=1&amp;secret_key=BX%25IJ%24%2F65ieZ%29f6", 2673769)</f>
        <v>2673769</v>
      </c>
      <c r="C3135" s="3">
        <f>HYPERLINK("https://platform.v2.vetology.net/report/v/final/"&amp;2673769, 2673769)</f>
        <v>2673769</v>
      </c>
      <c r="D3135" s="3" t="s">
        <v>10433</v>
      </c>
      <c r="E3135" s="3" t="s">
        <v>10434</v>
      </c>
      <c r="F3135" s="3"/>
      <c r="G3135" s="3" t="s">
        <v>122</v>
      </c>
      <c r="H3135" s="3" t="s">
        <v>10435</v>
      </c>
      <c r="I3135" s="3" t="s">
        <v>305</v>
      </c>
      <c r="J3135" s="3" t="s">
        <v>2419</v>
      </c>
      <c r="K3135" s="3" t="s">
        <v>27</v>
      </c>
      <c r="L3135" s="3" t="s">
        <v>27</v>
      </c>
      <c r="M3135" s="3" t="s">
        <v>27</v>
      </c>
      <c r="N3135" s="3" t="s">
        <v>28</v>
      </c>
      <c r="O3135" s="3" t="s">
        <v>27</v>
      </c>
      <c r="P3135" s="3" t="s">
        <v>27</v>
      </c>
      <c r="Q3135" s="3" t="s">
        <v>27</v>
      </c>
      <c r="R3135" s="3" t="s">
        <v>28</v>
      </c>
      <c r="S3135" s="3" t="s">
        <v>27</v>
      </c>
      <c r="T3135" s="3" t="s">
        <v>28</v>
      </c>
    </row>
    <row r="3136" spans="1:20" ht="366">
      <c r="A3136" s="3">
        <v>2673766</v>
      </c>
      <c r="B3136" s="3">
        <f>HYPERLINK("https://platform.v2.vetology.net/cases/2673766/screening-report/6?type=pdf&amp;v=v6&amp;scorecard=1&amp;secret_key=BX%25IJ%24%2F65ieZ%29f6", 2673766)</f>
        <v>2673766</v>
      </c>
      <c r="C3136" s="3">
        <f>HYPERLINK("https://platform.v2.vetology.net/report/v/final/"&amp;2673766, 2673766)</f>
        <v>2673766</v>
      </c>
      <c r="D3136" s="3" t="s">
        <v>10436</v>
      </c>
      <c r="E3136" s="3" t="s">
        <v>10437</v>
      </c>
      <c r="F3136" s="3" t="s">
        <v>6805</v>
      </c>
      <c r="G3136" s="3" t="s">
        <v>186</v>
      </c>
      <c r="H3136" s="3" t="s">
        <v>10438</v>
      </c>
      <c r="I3136" s="3" t="s">
        <v>768</v>
      </c>
      <c r="J3136" s="3" t="s">
        <v>769</v>
      </c>
      <c r="K3136" s="3" t="s">
        <v>28</v>
      </c>
      <c r="L3136" s="3" t="s">
        <v>28</v>
      </c>
      <c r="M3136" s="3" t="s">
        <v>28</v>
      </c>
      <c r="N3136" s="3" t="s">
        <v>28</v>
      </c>
      <c r="O3136" s="3" t="s">
        <v>27</v>
      </c>
      <c r="P3136" s="3" t="s">
        <v>27</v>
      </c>
      <c r="Q3136" s="3" t="s">
        <v>28</v>
      </c>
      <c r="R3136" s="3" t="s">
        <v>28</v>
      </c>
      <c r="S3136" s="3" t="s">
        <v>28</v>
      </c>
      <c r="T3136" s="3" t="s">
        <v>27</v>
      </c>
    </row>
    <row r="3137" spans="1:20" ht="229.5">
      <c r="A3137" s="3">
        <v>2673739</v>
      </c>
      <c r="B3137" s="3">
        <f>HYPERLINK("https://platform.v2.vetology.net/cases/2673739/screening-report/6?type=pdf&amp;v=v6&amp;scorecard=1&amp;secret_key=BX%25IJ%24%2F65ieZ%29f6", 2673739)</f>
        <v>2673739</v>
      </c>
      <c r="C3137" s="3">
        <f>HYPERLINK("https://platform.v2.vetology.net/report/v/final/"&amp;2673739, 2673739)</f>
        <v>2673739</v>
      </c>
      <c r="D3137" s="3" t="s">
        <v>10439</v>
      </c>
      <c r="E3137" s="3" t="s">
        <v>10440</v>
      </c>
      <c r="F3137" s="3" t="s">
        <v>1049</v>
      </c>
      <c r="G3137" s="3" t="s">
        <v>100</v>
      </c>
      <c r="H3137" s="3" t="s">
        <v>31</v>
      </c>
      <c r="I3137" s="3" t="s">
        <v>2041</v>
      </c>
      <c r="J3137" s="3" t="s">
        <v>297</v>
      </c>
      <c r="K3137" s="3" t="s">
        <v>28</v>
      </c>
      <c r="L3137" s="3" t="s">
        <v>28</v>
      </c>
      <c r="M3137" s="3" t="s">
        <v>28</v>
      </c>
      <c r="N3137" s="3" t="s">
        <v>28</v>
      </c>
      <c r="O3137" s="3" t="s">
        <v>27</v>
      </c>
      <c r="P3137" s="3" t="s">
        <v>28</v>
      </c>
      <c r="Q3137" s="3" t="s">
        <v>28</v>
      </c>
      <c r="R3137" s="3" t="s">
        <v>28</v>
      </c>
      <c r="S3137" s="3" t="s">
        <v>28</v>
      </c>
      <c r="T3137" s="3" t="s">
        <v>28</v>
      </c>
    </row>
    <row r="3138" spans="1:20" ht="381.75">
      <c r="A3138" s="3">
        <v>2673718</v>
      </c>
      <c r="B3138" s="3">
        <f>HYPERLINK("https://platform.v2.vetology.net/cases/2673718/screening-report/6?type=pdf&amp;v=v6&amp;scorecard=1&amp;secret_key=BX%25IJ%24%2F65ieZ%29f6", 2673718)</f>
        <v>2673718</v>
      </c>
      <c r="C3138" s="3">
        <f>HYPERLINK("https://platform.v2.vetology.net/report/v/final/"&amp;2673718, 2673718)</f>
        <v>2673718</v>
      </c>
      <c r="D3138" s="3" t="s">
        <v>10441</v>
      </c>
      <c r="E3138" s="3" t="s">
        <v>10442</v>
      </c>
      <c r="F3138" s="3" t="s">
        <v>10443</v>
      </c>
      <c r="G3138" s="3" t="s">
        <v>179</v>
      </c>
      <c r="H3138" s="3" t="s">
        <v>10444</v>
      </c>
      <c r="I3138" s="3" t="s">
        <v>856</v>
      </c>
      <c r="J3138" s="3" t="s">
        <v>857</v>
      </c>
      <c r="K3138" s="3" t="s">
        <v>27</v>
      </c>
      <c r="L3138" s="3" t="s">
        <v>28</v>
      </c>
      <c r="M3138" s="3" t="s">
        <v>28</v>
      </c>
      <c r="N3138" s="3" t="s">
        <v>28</v>
      </c>
      <c r="O3138" s="3" t="s">
        <v>27</v>
      </c>
      <c r="P3138" s="3" t="s">
        <v>28</v>
      </c>
      <c r="Q3138" s="3" t="s">
        <v>28</v>
      </c>
      <c r="R3138" s="3" t="s">
        <v>28</v>
      </c>
      <c r="S3138" s="3" t="s">
        <v>28</v>
      </c>
      <c r="T3138" s="3" t="s">
        <v>28</v>
      </c>
    </row>
    <row r="3139" spans="1:20" ht="366">
      <c r="A3139" s="3">
        <v>2673704</v>
      </c>
      <c r="B3139" s="3">
        <f>HYPERLINK("https://platform.v2.vetology.net/cases/2673704/screening-report/6?type=pdf&amp;v=v6&amp;scorecard=1&amp;secret_key=BX%25IJ%24%2F65ieZ%29f6", 2673704)</f>
        <v>2673704</v>
      </c>
      <c r="C3139" s="3">
        <f>HYPERLINK("https://platform.v2.vetology.net/report/v/final/"&amp;2673704, 2673704)</f>
        <v>2673704</v>
      </c>
      <c r="D3139" s="3" t="s">
        <v>10445</v>
      </c>
      <c r="E3139" s="3" t="s">
        <v>8767</v>
      </c>
      <c r="F3139" s="3" t="s">
        <v>1061</v>
      </c>
      <c r="G3139" s="3" t="s">
        <v>100</v>
      </c>
      <c r="H3139" s="3" t="s">
        <v>338</v>
      </c>
      <c r="I3139" s="3" t="s">
        <v>339</v>
      </c>
      <c r="J3139" s="3" t="s">
        <v>4606</v>
      </c>
      <c r="K3139" s="3" t="s">
        <v>28</v>
      </c>
      <c r="L3139" s="3" t="s">
        <v>28</v>
      </c>
      <c r="M3139" s="3" t="s">
        <v>28</v>
      </c>
      <c r="N3139" s="3" t="s">
        <v>28</v>
      </c>
      <c r="O3139" s="3" t="s">
        <v>27</v>
      </c>
      <c r="P3139" s="3" t="s">
        <v>28</v>
      </c>
      <c r="Q3139" s="3" t="s">
        <v>28</v>
      </c>
      <c r="R3139" s="3" t="s">
        <v>28</v>
      </c>
      <c r="S3139" s="3" t="s">
        <v>28</v>
      </c>
      <c r="T3139" s="3" t="s">
        <v>28</v>
      </c>
    </row>
    <row r="3140" spans="1:20" ht="259.5">
      <c r="A3140" s="3">
        <v>2673693</v>
      </c>
      <c r="B3140" s="3">
        <f>HYPERLINK("https://platform.v2.vetology.net/cases/2673693/screening-report/6?type=pdf&amp;v=v6&amp;scorecard=1&amp;secret_key=BX%25IJ%24%2F65ieZ%29f6", 2673693)</f>
        <v>2673693</v>
      </c>
      <c r="C3140" s="3">
        <f>HYPERLINK("https://platform.v2.vetology.net/report/v/final/"&amp;2673693, 2673693)</f>
        <v>2673693</v>
      </c>
      <c r="D3140" s="3" t="s">
        <v>10446</v>
      </c>
      <c r="E3140" s="3" t="s">
        <v>10447</v>
      </c>
      <c r="F3140" s="3" t="s">
        <v>10448</v>
      </c>
      <c r="G3140" s="3" t="s">
        <v>186</v>
      </c>
      <c r="H3140" s="3" t="s">
        <v>3094</v>
      </c>
      <c r="I3140" s="3" t="s">
        <v>261</v>
      </c>
      <c r="J3140" s="3" t="s">
        <v>262</v>
      </c>
      <c r="K3140" s="3" t="s">
        <v>27</v>
      </c>
      <c r="L3140" s="3" t="s">
        <v>28</v>
      </c>
      <c r="M3140" s="3" t="s">
        <v>27</v>
      </c>
      <c r="N3140" s="3" t="s">
        <v>28</v>
      </c>
      <c r="O3140" s="3" t="s">
        <v>27</v>
      </c>
      <c r="P3140" s="3" t="s">
        <v>28</v>
      </c>
      <c r="Q3140" s="3" t="s">
        <v>28</v>
      </c>
      <c r="R3140" s="3" t="s">
        <v>28</v>
      </c>
      <c r="S3140" s="3" t="s">
        <v>28</v>
      </c>
      <c r="T3140" s="3" t="s">
        <v>28</v>
      </c>
    </row>
    <row r="3141" spans="1:20" ht="305.25">
      <c r="A3141" s="3">
        <v>2673620</v>
      </c>
      <c r="B3141" s="3">
        <f>HYPERLINK("https://platform.v2.vetology.net/cases/2673620/screening-report/6?type=pdf&amp;v=v6&amp;scorecard=1&amp;secret_key=BX%25IJ%24%2F65ieZ%29f6", 2673620)</f>
        <v>2673620</v>
      </c>
      <c r="C3141" s="3">
        <f>HYPERLINK("https://platform.v2.vetology.net/report/v/final/"&amp;2673620, 2673620)</f>
        <v>2673620</v>
      </c>
      <c r="D3141" s="3" t="s">
        <v>10449</v>
      </c>
      <c r="E3141" s="3" t="s">
        <v>10450</v>
      </c>
      <c r="F3141" s="3" t="s">
        <v>10451</v>
      </c>
      <c r="G3141" s="3" t="s">
        <v>100</v>
      </c>
      <c r="H3141" s="3" t="s">
        <v>702</v>
      </c>
      <c r="I3141" s="3" t="s">
        <v>32</v>
      </c>
      <c r="J3141" s="3" t="s">
        <v>33</v>
      </c>
      <c r="K3141" s="3" t="s">
        <v>28</v>
      </c>
      <c r="L3141" s="3" t="s">
        <v>28</v>
      </c>
      <c r="M3141" s="3" t="s">
        <v>28</v>
      </c>
      <c r="N3141" s="3" t="s">
        <v>28</v>
      </c>
      <c r="O3141" s="3" t="s">
        <v>28</v>
      </c>
      <c r="P3141" s="3" t="s">
        <v>28</v>
      </c>
      <c r="Q3141" s="3" t="s">
        <v>28</v>
      </c>
      <c r="R3141" s="3" t="s">
        <v>28</v>
      </c>
      <c r="S3141" s="3" t="s">
        <v>28</v>
      </c>
      <c r="T3141" s="3" t="s">
        <v>28</v>
      </c>
    </row>
    <row r="3142" spans="1:20" ht="409.6">
      <c r="A3142" s="3">
        <v>2673579</v>
      </c>
      <c r="B3142" s="3">
        <f>HYPERLINK("https://platform.v2.vetology.net/cases/2673579/screening-report/6?type=pdf&amp;v=v6&amp;scorecard=1&amp;secret_key=BX%25IJ%24%2F65ieZ%29f6", 2673579)</f>
        <v>2673579</v>
      </c>
      <c r="C3142" s="3">
        <f>HYPERLINK("https://platform.v2.vetology.net/report/v/final/"&amp;2673579, 2673579)</f>
        <v>2673579</v>
      </c>
      <c r="D3142" s="3" t="s">
        <v>10452</v>
      </c>
      <c r="E3142" s="3" t="s">
        <v>10453</v>
      </c>
      <c r="F3142" s="3" t="s">
        <v>10454</v>
      </c>
      <c r="G3142" s="3" t="s">
        <v>64</v>
      </c>
      <c r="H3142" s="3" t="s">
        <v>9733</v>
      </c>
      <c r="I3142" s="3" t="s">
        <v>108</v>
      </c>
      <c r="J3142" s="3" t="s">
        <v>109</v>
      </c>
      <c r="K3142" s="3" t="s">
        <v>28</v>
      </c>
      <c r="L3142" s="3" t="s">
        <v>27</v>
      </c>
      <c r="M3142" s="3" t="s">
        <v>28</v>
      </c>
      <c r="N3142" s="3" t="s">
        <v>28</v>
      </c>
      <c r="O3142" s="3" t="s">
        <v>27</v>
      </c>
      <c r="P3142" s="3" t="s">
        <v>28</v>
      </c>
      <c r="Q3142" s="3" t="s">
        <v>28</v>
      </c>
      <c r="R3142" s="3" t="s">
        <v>27</v>
      </c>
      <c r="S3142" s="3" t="s">
        <v>27</v>
      </c>
      <c r="T3142" s="3" t="s">
        <v>27</v>
      </c>
    </row>
    <row r="3143" spans="1:20" ht="409.6">
      <c r="A3143" s="3">
        <v>2673567</v>
      </c>
      <c r="B3143" s="3">
        <f>HYPERLINK("https://platform.v2.vetology.net/cases/2673567/screening-report/6?type=pdf&amp;v=v6&amp;scorecard=1&amp;secret_key=BX%25IJ%24%2F65ieZ%29f6", 2673567)</f>
        <v>2673567</v>
      </c>
      <c r="C3143" s="3">
        <f>HYPERLINK("https://platform.v2.vetology.net/report/v/final/"&amp;2673567, 2673567)</f>
        <v>2673567</v>
      </c>
      <c r="D3143" s="3" t="s">
        <v>10455</v>
      </c>
      <c r="E3143" s="3" t="s">
        <v>10456</v>
      </c>
      <c r="F3143" s="3" t="s">
        <v>10457</v>
      </c>
      <c r="G3143" s="3" t="s">
        <v>64</v>
      </c>
      <c r="H3143" s="3" t="s">
        <v>2709</v>
      </c>
      <c r="I3143" s="3" t="s">
        <v>1082</v>
      </c>
      <c r="J3143" s="3" t="s">
        <v>1083</v>
      </c>
      <c r="K3143" s="3" t="s">
        <v>27</v>
      </c>
      <c r="L3143" s="3" t="s">
        <v>27</v>
      </c>
      <c r="M3143" s="3" t="s">
        <v>27</v>
      </c>
      <c r="N3143" s="3" t="s">
        <v>28</v>
      </c>
      <c r="O3143" s="3" t="s">
        <v>27</v>
      </c>
      <c r="P3143" s="3" t="s">
        <v>28</v>
      </c>
      <c r="Q3143" s="3" t="s">
        <v>28</v>
      </c>
      <c r="R3143" s="3" t="s">
        <v>28</v>
      </c>
      <c r="S3143" s="3" t="s">
        <v>28</v>
      </c>
      <c r="T3143" s="3" t="s">
        <v>28</v>
      </c>
    </row>
    <row r="3144" spans="1:20" ht="336">
      <c r="A3144" s="3">
        <v>2673560</v>
      </c>
      <c r="B3144" s="3">
        <f>HYPERLINK("https://platform.v2.vetology.net/cases/2673560/screening-report/6?type=pdf&amp;v=v6&amp;scorecard=1&amp;secret_key=BX%25IJ%24%2F65ieZ%29f6", 2673560)</f>
        <v>2673560</v>
      </c>
      <c r="C3144" s="3">
        <f>HYPERLINK("https://platform.v2.vetology.net/report/v/final/"&amp;2673560, 2673560)</f>
        <v>2673560</v>
      </c>
      <c r="D3144" s="3" t="s">
        <v>10458</v>
      </c>
      <c r="E3144" s="3" t="s">
        <v>10459</v>
      </c>
      <c r="F3144" s="3" t="s">
        <v>609</v>
      </c>
      <c r="G3144" s="3" t="s">
        <v>179</v>
      </c>
      <c r="H3144" s="3" t="s">
        <v>10460</v>
      </c>
      <c r="I3144" s="3" t="s">
        <v>124</v>
      </c>
      <c r="J3144" s="3" t="s">
        <v>125</v>
      </c>
      <c r="K3144" s="3" t="s">
        <v>27</v>
      </c>
      <c r="L3144" s="3" t="s">
        <v>28</v>
      </c>
      <c r="M3144" s="3" t="s">
        <v>27</v>
      </c>
      <c r="N3144" s="3" t="s">
        <v>28</v>
      </c>
      <c r="O3144" s="3" t="s">
        <v>27</v>
      </c>
      <c r="P3144" s="3" t="s">
        <v>28</v>
      </c>
      <c r="Q3144" s="3" t="s">
        <v>27</v>
      </c>
      <c r="R3144" s="3" t="s">
        <v>28</v>
      </c>
      <c r="S3144" s="3" t="s">
        <v>28</v>
      </c>
      <c r="T3144" s="3" t="s">
        <v>28</v>
      </c>
    </row>
    <row r="3145" spans="1:20" ht="409.6">
      <c r="A3145" s="3">
        <v>2673550</v>
      </c>
      <c r="B3145" s="3">
        <f>HYPERLINK("https://platform.v2.vetology.net/cases/2673550/screening-report/6?type=pdf&amp;v=v6&amp;scorecard=1&amp;secret_key=BX%25IJ%24%2F65ieZ%29f6", 2673550)</f>
        <v>2673550</v>
      </c>
      <c r="C3145" s="3">
        <f>HYPERLINK("https://platform.v2.vetology.net/report/v/final/"&amp;2673550, 2673550)</f>
        <v>2673550</v>
      </c>
      <c r="D3145" s="3" t="s">
        <v>10461</v>
      </c>
      <c r="E3145" s="3" t="s">
        <v>10462</v>
      </c>
      <c r="F3145" s="3" t="s">
        <v>10463</v>
      </c>
      <c r="G3145" s="3" t="s">
        <v>186</v>
      </c>
      <c r="H3145" s="3" t="s">
        <v>7669</v>
      </c>
      <c r="I3145" s="3" t="s">
        <v>3788</v>
      </c>
      <c r="J3145" s="3" t="s">
        <v>3789</v>
      </c>
      <c r="K3145" s="3" t="s">
        <v>27</v>
      </c>
      <c r="L3145" s="3" t="s">
        <v>27</v>
      </c>
      <c r="M3145" s="3" t="s">
        <v>27</v>
      </c>
      <c r="N3145" s="3" t="s">
        <v>27</v>
      </c>
      <c r="O3145" s="3" t="s">
        <v>27</v>
      </c>
      <c r="P3145" s="3" t="s">
        <v>28</v>
      </c>
      <c r="Q3145" s="3" t="s">
        <v>27</v>
      </c>
      <c r="R3145" s="3" t="s">
        <v>28</v>
      </c>
      <c r="S3145" s="3" t="s">
        <v>27</v>
      </c>
      <c r="T3145" s="3" t="s">
        <v>28</v>
      </c>
    </row>
    <row r="3146" spans="1:20" ht="213">
      <c r="A3146" s="3">
        <v>2673540</v>
      </c>
      <c r="B3146" s="3">
        <f>HYPERLINK("https://platform.v2.vetology.net/cases/2673540/screening-report/6?type=pdf&amp;v=v6&amp;scorecard=1&amp;secret_key=BX%25IJ%24%2F65ieZ%29f6", 2673540)</f>
        <v>2673540</v>
      </c>
      <c r="C3146" s="3">
        <f>HYPERLINK("https://platform.v2.vetology.net/report/v/final/"&amp;2673540, 2673540)</f>
        <v>2673540</v>
      </c>
      <c r="D3146" s="3" t="s">
        <v>10464</v>
      </c>
      <c r="E3146" s="3" t="s">
        <v>10465</v>
      </c>
      <c r="F3146" s="3" t="s">
        <v>260</v>
      </c>
      <c r="G3146" s="3" t="s">
        <v>186</v>
      </c>
      <c r="H3146" s="3" t="s">
        <v>3588</v>
      </c>
      <c r="I3146" s="3" t="s">
        <v>305</v>
      </c>
      <c r="J3146" s="3" t="s">
        <v>2419</v>
      </c>
      <c r="K3146" s="3" t="s">
        <v>27</v>
      </c>
      <c r="L3146" s="3" t="s">
        <v>27</v>
      </c>
      <c r="M3146" s="3" t="s">
        <v>28</v>
      </c>
      <c r="N3146" s="3" t="s">
        <v>28</v>
      </c>
      <c r="O3146" s="3" t="s">
        <v>27</v>
      </c>
      <c r="P3146" s="3" t="s">
        <v>28</v>
      </c>
      <c r="Q3146" s="3" t="s">
        <v>27</v>
      </c>
      <c r="R3146" s="3" t="s">
        <v>28</v>
      </c>
      <c r="S3146" s="3" t="s">
        <v>28</v>
      </c>
      <c r="T3146" s="3" t="s">
        <v>27</v>
      </c>
    </row>
    <row r="3147" spans="1:20" ht="409.6">
      <c r="A3147" s="3">
        <v>2673514</v>
      </c>
      <c r="B3147" s="3">
        <f>HYPERLINK("https://platform.v2.vetology.net/cases/2673514/screening-report/6?type=pdf&amp;v=v6&amp;scorecard=1&amp;secret_key=BX%25IJ%24%2F65ieZ%29f6", 2673514)</f>
        <v>2673514</v>
      </c>
      <c r="C3147" s="3">
        <f>HYPERLINK("https://platform.v2.vetology.net/report/v/final/"&amp;2673514, 2673514)</f>
        <v>2673514</v>
      </c>
      <c r="D3147" s="3" t="s">
        <v>10466</v>
      </c>
      <c r="E3147" s="3" t="s">
        <v>10467</v>
      </c>
      <c r="F3147" s="3" t="s">
        <v>10468</v>
      </c>
      <c r="G3147" s="3" t="s">
        <v>186</v>
      </c>
      <c r="H3147" s="3" t="s">
        <v>10469</v>
      </c>
      <c r="I3147" s="3" t="s">
        <v>6981</v>
      </c>
      <c r="J3147" s="3" t="s">
        <v>6982</v>
      </c>
      <c r="K3147" s="3" t="s">
        <v>27</v>
      </c>
      <c r="L3147" s="3" t="s">
        <v>27</v>
      </c>
      <c r="M3147" s="3" t="s">
        <v>27</v>
      </c>
      <c r="N3147" s="3" t="s">
        <v>28</v>
      </c>
      <c r="O3147" s="3" t="s">
        <v>27</v>
      </c>
      <c r="P3147" s="3" t="s">
        <v>28</v>
      </c>
      <c r="Q3147" s="3" t="s">
        <v>27</v>
      </c>
      <c r="R3147" s="3" t="s">
        <v>28</v>
      </c>
      <c r="S3147" s="3" t="s">
        <v>28</v>
      </c>
      <c r="T3147" s="3" t="s">
        <v>28</v>
      </c>
    </row>
    <row r="3148" spans="1:20" ht="396.75">
      <c r="A3148" s="3">
        <v>2673502</v>
      </c>
      <c r="B3148" s="3">
        <f>HYPERLINK("https://platform.v2.vetology.net/cases/2673502/screening-report/6?type=pdf&amp;v=v6&amp;scorecard=1&amp;secret_key=BX%25IJ%24%2F65ieZ%29f6", 2673502)</f>
        <v>2673502</v>
      </c>
      <c r="C3148" s="3">
        <f>HYPERLINK("https://platform.v2.vetology.net/report/v/final/"&amp;2673502, 2673502)</f>
        <v>2673502</v>
      </c>
      <c r="D3148" s="3" t="s">
        <v>10470</v>
      </c>
      <c r="E3148" s="3" t="s">
        <v>10471</v>
      </c>
      <c r="F3148" s="3" t="s">
        <v>10472</v>
      </c>
      <c r="G3148" s="3" t="s">
        <v>186</v>
      </c>
      <c r="H3148" s="3" t="s">
        <v>10473</v>
      </c>
      <c r="I3148" s="3" t="s">
        <v>10474</v>
      </c>
      <c r="J3148" s="3" t="s">
        <v>10475</v>
      </c>
      <c r="K3148" s="3" t="s">
        <v>27</v>
      </c>
      <c r="L3148" s="3" t="s">
        <v>27</v>
      </c>
      <c r="M3148" s="3" t="s">
        <v>27</v>
      </c>
      <c r="N3148" s="3" t="s">
        <v>28</v>
      </c>
      <c r="O3148" s="3" t="s">
        <v>27</v>
      </c>
      <c r="P3148" s="3" t="s">
        <v>28</v>
      </c>
      <c r="Q3148" s="3" t="s">
        <v>27</v>
      </c>
      <c r="R3148" s="3" t="s">
        <v>28</v>
      </c>
      <c r="S3148" s="3" t="s">
        <v>27</v>
      </c>
      <c r="T3148" s="3" t="s">
        <v>28</v>
      </c>
    </row>
    <row r="3149" spans="1:20" ht="259.5">
      <c r="A3149" s="3">
        <v>2673409</v>
      </c>
      <c r="B3149" s="3">
        <f>HYPERLINK("https://platform.v2.vetology.net/cases/2673409/screening-report/6?type=pdf&amp;v=v6&amp;scorecard=1&amp;secret_key=BX%25IJ%24%2F65ieZ%29f6", 2673409)</f>
        <v>2673409</v>
      </c>
      <c r="C3149" s="3">
        <f>HYPERLINK("https://platform.v2.vetology.net/report/v/final/"&amp;2673409, 2673409)</f>
        <v>2673409</v>
      </c>
      <c r="D3149" s="3" t="s">
        <v>954</v>
      </c>
      <c r="E3149" s="3" t="s">
        <v>1230</v>
      </c>
      <c r="F3149" s="3" t="s">
        <v>1049</v>
      </c>
      <c r="G3149" s="3" t="s">
        <v>100</v>
      </c>
      <c r="H3149" s="3" t="s">
        <v>2125</v>
      </c>
      <c r="I3149" s="3" t="s">
        <v>1373</v>
      </c>
      <c r="J3149" s="3" t="s">
        <v>1374</v>
      </c>
      <c r="K3149" s="3" t="s">
        <v>27</v>
      </c>
      <c r="L3149" s="3" t="s">
        <v>28</v>
      </c>
      <c r="M3149" s="3" t="s">
        <v>27</v>
      </c>
      <c r="N3149" s="3" t="s">
        <v>28</v>
      </c>
      <c r="O3149" s="3" t="s">
        <v>27</v>
      </c>
      <c r="P3149" s="3" t="s">
        <v>28</v>
      </c>
      <c r="Q3149" s="3" t="s">
        <v>28</v>
      </c>
      <c r="R3149" s="3" t="s">
        <v>28</v>
      </c>
      <c r="S3149" s="3" t="s">
        <v>27</v>
      </c>
      <c r="T3149" s="3" t="s">
        <v>27</v>
      </c>
    </row>
    <row r="3150" spans="1:20" ht="381.75">
      <c r="A3150" s="3">
        <v>2673327</v>
      </c>
      <c r="B3150" s="3">
        <f>HYPERLINK("https://platform.v2.vetology.net/cases/2673327/screening-report/6?type=pdf&amp;v=v6&amp;scorecard=1&amp;secret_key=BX%25IJ%24%2F65ieZ%29f6", 2673327)</f>
        <v>2673327</v>
      </c>
      <c r="C3150" s="3">
        <f>HYPERLINK("https://platform.v2.vetology.net/report/v/final/"&amp;2673327, 2673327)</f>
        <v>2673327</v>
      </c>
      <c r="D3150" s="3" t="s">
        <v>10476</v>
      </c>
      <c r="E3150" s="3" t="s">
        <v>1089</v>
      </c>
      <c r="F3150" s="3" t="s">
        <v>1090</v>
      </c>
      <c r="G3150" s="3" t="s">
        <v>100</v>
      </c>
      <c r="H3150" s="3" t="s">
        <v>10477</v>
      </c>
      <c r="I3150" s="3" t="s">
        <v>856</v>
      </c>
      <c r="J3150" s="3" t="s">
        <v>857</v>
      </c>
      <c r="K3150" s="3" t="s">
        <v>28</v>
      </c>
      <c r="L3150" s="3" t="s">
        <v>28</v>
      </c>
      <c r="M3150" s="3" t="s">
        <v>28</v>
      </c>
      <c r="N3150" s="3" t="s">
        <v>28</v>
      </c>
      <c r="O3150" s="3" t="s">
        <v>27</v>
      </c>
      <c r="P3150" s="3" t="s">
        <v>28</v>
      </c>
      <c r="Q3150" s="3" t="s">
        <v>28</v>
      </c>
      <c r="R3150" s="3" t="s">
        <v>28</v>
      </c>
      <c r="S3150" s="3" t="s">
        <v>28</v>
      </c>
      <c r="T3150" s="3" t="s">
        <v>28</v>
      </c>
    </row>
    <row r="3151" spans="1:20" ht="275.25">
      <c r="A3151" s="3">
        <v>2673324</v>
      </c>
      <c r="B3151" s="3">
        <f>HYPERLINK("https://platform.v2.vetology.net/cases/2673324/screening-report/6?type=pdf&amp;v=v6&amp;scorecard=1&amp;secret_key=BX%25IJ%24%2F65ieZ%29f6", 2673324)</f>
        <v>2673324</v>
      </c>
      <c r="C3151" s="3">
        <f>HYPERLINK("https://platform.v2.vetology.net/report/v/final/"&amp;2673324, 2673324)</f>
        <v>2673324</v>
      </c>
      <c r="D3151" s="3" t="s">
        <v>10478</v>
      </c>
      <c r="E3151" s="3" t="s">
        <v>10479</v>
      </c>
      <c r="F3151" s="3" t="s">
        <v>22</v>
      </c>
      <c r="G3151" s="3" t="s">
        <v>23</v>
      </c>
      <c r="H3151" s="3" t="s">
        <v>828</v>
      </c>
      <c r="I3151" s="3" t="s">
        <v>829</v>
      </c>
      <c r="J3151" s="3" t="s">
        <v>830</v>
      </c>
      <c r="K3151" s="3" t="s">
        <v>27</v>
      </c>
      <c r="L3151" s="3" t="s">
        <v>27</v>
      </c>
      <c r="M3151" s="3" t="s">
        <v>27</v>
      </c>
      <c r="N3151" s="3" t="s">
        <v>27</v>
      </c>
      <c r="O3151" s="3" t="s">
        <v>27</v>
      </c>
      <c r="P3151" s="3" t="s">
        <v>28</v>
      </c>
      <c r="Q3151" s="3" t="s">
        <v>27</v>
      </c>
      <c r="R3151" s="3" t="s">
        <v>27</v>
      </c>
      <c r="S3151" s="3" t="s">
        <v>27</v>
      </c>
      <c r="T3151" s="3" t="s">
        <v>27</v>
      </c>
    </row>
    <row r="3152" spans="1:20" ht="381.75">
      <c r="A3152" s="3">
        <v>2673316</v>
      </c>
      <c r="B3152" s="3">
        <f>HYPERLINK("https://platform.v2.vetology.net/cases/2673316/screening-report/6?type=pdf&amp;v=v6&amp;scorecard=1&amp;secret_key=BX%25IJ%24%2F65ieZ%29f6", 2673316)</f>
        <v>2673316</v>
      </c>
      <c r="C3152" s="3">
        <f>HYPERLINK("https://platform.v2.vetology.net/report/v/final/"&amp;2673316, 2673316)</f>
        <v>2673316</v>
      </c>
      <c r="D3152" s="3" t="s">
        <v>10480</v>
      </c>
      <c r="E3152" s="3" t="s">
        <v>10481</v>
      </c>
      <c r="F3152" s="3" t="s">
        <v>10482</v>
      </c>
      <c r="G3152" s="3" t="s">
        <v>1772</v>
      </c>
      <c r="H3152" s="3" t="s">
        <v>8077</v>
      </c>
      <c r="I3152" s="3" t="s">
        <v>856</v>
      </c>
      <c r="J3152" s="3" t="s">
        <v>857</v>
      </c>
      <c r="K3152" s="3" t="s">
        <v>28</v>
      </c>
      <c r="L3152" s="3" t="s">
        <v>28</v>
      </c>
      <c r="M3152" s="3" t="s">
        <v>28</v>
      </c>
      <c r="N3152" s="3" t="s">
        <v>28</v>
      </c>
      <c r="O3152" s="3" t="s">
        <v>27</v>
      </c>
      <c r="P3152" s="3" t="s">
        <v>28</v>
      </c>
      <c r="Q3152" s="3" t="s">
        <v>28</v>
      </c>
      <c r="R3152" s="3" t="s">
        <v>28</v>
      </c>
      <c r="S3152" s="3" t="s">
        <v>28</v>
      </c>
      <c r="T3152" s="3" t="s">
        <v>28</v>
      </c>
    </row>
    <row r="3153" spans="1:20" ht="244.5">
      <c r="A3153" s="3">
        <v>2673295</v>
      </c>
      <c r="B3153" s="3">
        <f>HYPERLINK("https://platform.v2.vetology.net/cases/2673295/screening-report/6?type=pdf&amp;v=v6&amp;scorecard=1&amp;secret_key=BX%25IJ%24%2F65ieZ%29f6", 2673295)</f>
        <v>2673295</v>
      </c>
      <c r="C3153" s="3">
        <f>HYPERLINK("https://platform.v2.vetology.net/report/v/final/"&amp;2673295, 2673295)</f>
        <v>2673295</v>
      </c>
      <c r="D3153" s="3" t="s">
        <v>10483</v>
      </c>
      <c r="E3153" s="3" t="s">
        <v>10484</v>
      </c>
      <c r="F3153" s="3" t="s">
        <v>10485</v>
      </c>
      <c r="G3153" s="3" t="s">
        <v>186</v>
      </c>
      <c r="H3153" s="3" t="s">
        <v>10486</v>
      </c>
      <c r="I3153" s="3" t="s">
        <v>2024</v>
      </c>
      <c r="J3153" s="3" t="s">
        <v>207</v>
      </c>
      <c r="K3153" s="3" t="s">
        <v>27</v>
      </c>
      <c r="L3153" s="3" t="s">
        <v>28</v>
      </c>
      <c r="M3153" s="3" t="s">
        <v>28</v>
      </c>
      <c r="N3153" s="3" t="s">
        <v>28</v>
      </c>
      <c r="O3153" s="3" t="s">
        <v>27</v>
      </c>
      <c r="P3153" s="3" t="s">
        <v>28</v>
      </c>
      <c r="Q3153" s="3" t="s">
        <v>27</v>
      </c>
      <c r="R3153" s="3" t="s">
        <v>28</v>
      </c>
      <c r="S3153" s="3" t="s">
        <v>28</v>
      </c>
      <c r="T3153" s="3" t="s">
        <v>28</v>
      </c>
    </row>
    <row r="3154" spans="1:20" ht="409.6">
      <c r="A3154" s="3">
        <v>2673235</v>
      </c>
      <c r="B3154" s="3">
        <f>HYPERLINK("https://platform.v2.vetology.net/cases/2673235/screening-report/6?type=pdf&amp;v=v6&amp;scorecard=1&amp;secret_key=BX%25IJ%24%2F65ieZ%29f6", 2673235)</f>
        <v>2673235</v>
      </c>
      <c r="C3154" s="3">
        <f>HYPERLINK("https://platform.v2.vetology.net/report/v/final/"&amp;2673235, 2673235)</f>
        <v>2673235</v>
      </c>
      <c r="D3154" s="3" t="s">
        <v>10487</v>
      </c>
      <c r="E3154" s="3" t="s">
        <v>10488</v>
      </c>
      <c r="F3154" s="3" t="s">
        <v>10489</v>
      </c>
      <c r="G3154" s="3" t="s">
        <v>64</v>
      </c>
      <c r="H3154" s="3" t="s">
        <v>10490</v>
      </c>
      <c r="I3154" s="3" t="s">
        <v>1034</v>
      </c>
      <c r="J3154" s="3" t="s">
        <v>1035</v>
      </c>
      <c r="K3154" s="3" t="s">
        <v>28</v>
      </c>
      <c r="L3154" s="3" t="s">
        <v>28</v>
      </c>
      <c r="M3154" s="3" t="s">
        <v>28</v>
      </c>
      <c r="N3154" s="3" t="s">
        <v>27</v>
      </c>
      <c r="O3154" s="3" t="s">
        <v>27</v>
      </c>
      <c r="P3154" s="3" t="s">
        <v>28</v>
      </c>
      <c r="Q3154" s="3" t="s">
        <v>28</v>
      </c>
      <c r="R3154" s="3" t="s">
        <v>27</v>
      </c>
      <c r="S3154" s="3" t="s">
        <v>28</v>
      </c>
      <c r="T3154" s="3" t="s">
        <v>27</v>
      </c>
    </row>
    <row r="3155" spans="1:20" ht="366">
      <c r="A3155" s="3">
        <v>2673206</v>
      </c>
      <c r="B3155" s="3">
        <f>HYPERLINK("https://platform.v2.vetology.net/cases/2673206/screening-report/6?type=pdf&amp;v=v6&amp;scorecard=1&amp;secret_key=BX%25IJ%24%2F65ieZ%29f6", 2673206)</f>
        <v>2673206</v>
      </c>
      <c r="C3155" s="3">
        <f>HYPERLINK("https://platform.v2.vetology.net/report/v/final/"&amp;2673206, 2673206)</f>
        <v>2673206</v>
      </c>
      <c r="D3155" s="3" t="s">
        <v>10491</v>
      </c>
      <c r="E3155" s="3" t="s">
        <v>1089</v>
      </c>
      <c r="F3155" s="3" t="s">
        <v>1090</v>
      </c>
      <c r="G3155" s="3" t="s">
        <v>100</v>
      </c>
      <c r="H3155" s="3" t="s">
        <v>1271</v>
      </c>
      <c r="I3155" s="3" t="s">
        <v>883</v>
      </c>
      <c r="J3155" s="3" t="s">
        <v>884</v>
      </c>
      <c r="K3155" s="3" t="s">
        <v>28</v>
      </c>
      <c r="L3155" s="3" t="s">
        <v>28</v>
      </c>
      <c r="M3155" s="3" t="s">
        <v>28</v>
      </c>
      <c r="N3155" s="3" t="s">
        <v>28</v>
      </c>
      <c r="O3155" s="3" t="s">
        <v>28</v>
      </c>
      <c r="P3155" s="3" t="s">
        <v>28</v>
      </c>
      <c r="Q3155" s="3" t="s">
        <v>28</v>
      </c>
      <c r="R3155" s="3" t="s">
        <v>28</v>
      </c>
      <c r="S3155" s="3" t="s">
        <v>28</v>
      </c>
      <c r="T3155" s="3" t="s">
        <v>28</v>
      </c>
    </row>
    <row r="3156" spans="1:20" ht="259.5">
      <c r="A3156" s="3">
        <v>2673168</v>
      </c>
      <c r="B3156" s="3">
        <f>HYPERLINK("https://platform.v2.vetology.net/cases/2673168/screening-report/6?type=pdf&amp;v=v6&amp;scorecard=1&amp;secret_key=BX%25IJ%24%2F65ieZ%29f6", 2673168)</f>
        <v>2673168</v>
      </c>
      <c r="C3156" s="3">
        <f>HYPERLINK("https://platform.v2.vetology.net/report/v/final/"&amp;2673168, 2673168)</f>
        <v>2673168</v>
      </c>
      <c r="D3156" s="3" t="s">
        <v>10492</v>
      </c>
      <c r="E3156" s="3" t="s">
        <v>10493</v>
      </c>
      <c r="F3156" s="3" t="s">
        <v>10494</v>
      </c>
      <c r="G3156" s="3" t="s">
        <v>186</v>
      </c>
      <c r="H3156" s="3" t="s">
        <v>5439</v>
      </c>
      <c r="I3156" s="3" t="s">
        <v>3369</v>
      </c>
      <c r="J3156" s="3" t="s">
        <v>207</v>
      </c>
      <c r="K3156" s="3" t="s">
        <v>28</v>
      </c>
      <c r="L3156" s="3" t="s">
        <v>28</v>
      </c>
      <c r="M3156" s="3" t="s">
        <v>28</v>
      </c>
      <c r="N3156" s="3" t="s">
        <v>28</v>
      </c>
      <c r="O3156" s="3" t="s">
        <v>27</v>
      </c>
      <c r="P3156" s="3" t="s">
        <v>28</v>
      </c>
      <c r="Q3156" s="3" t="s">
        <v>28</v>
      </c>
      <c r="R3156" s="3" t="s">
        <v>28</v>
      </c>
      <c r="S3156" s="3" t="s">
        <v>27</v>
      </c>
      <c r="T3156" s="3" t="s">
        <v>28</v>
      </c>
    </row>
    <row r="3157" spans="1:20" ht="409.6">
      <c r="A3157" s="3">
        <v>2673161</v>
      </c>
      <c r="B3157" s="3">
        <f>HYPERLINK("https://platform.v2.vetology.net/cases/2673161/screening-report/6?type=pdf&amp;v=v6&amp;scorecard=1&amp;secret_key=BX%25IJ%24%2F65ieZ%29f6", 2673161)</f>
        <v>2673161</v>
      </c>
      <c r="C3157" s="3">
        <f>HYPERLINK("https://platform.v2.vetology.net/report/v/final/"&amp;2673161, 2673161)</f>
        <v>2673161</v>
      </c>
      <c r="D3157" s="3" t="s">
        <v>10495</v>
      </c>
      <c r="E3157" s="3" t="s">
        <v>7087</v>
      </c>
      <c r="F3157" s="3" t="s">
        <v>1291</v>
      </c>
      <c r="G3157" s="3" t="s">
        <v>100</v>
      </c>
      <c r="H3157" s="3" t="s">
        <v>10496</v>
      </c>
      <c r="I3157" s="3" t="s">
        <v>2686</v>
      </c>
      <c r="J3157" s="3" t="s">
        <v>2687</v>
      </c>
      <c r="K3157" s="3" t="s">
        <v>27</v>
      </c>
      <c r="L3157" s="3" t="s">
        <v>27</v>
      </c>
      <c r="M3157" s="3" t="s">
        <v>27</v>
      </c>
      <c r="N3157" s="3" t="s">
        <v>27</v>
      </c>
      <c r="O3157" s="3" t="s">
        <v>27</v>
      </c>
      <c r="P3157" s="3" t="s">
        <v>28</v>
      </c>
      <c r="Q3157" s="3" t="s">
        <v>28</v>
      </c>
      <c r="R3157" s="3" t="s">
        <v>27</v>
      </c>
      <c r="S3157" s="3" t="s">
        <v>27</v>
      </c>
      <c r="T3157" s="3" t="s">
        <v>27</v>
      </c>
    </row>
    <row r="3158" spans="1:20" ht="229.5">
      <c r="A3158" s="3">
        <v>2673145</v>
      </c>
      <c r="B3158" s="3">
        <f>HYPERLINK("https://platform.v2.vetology.net/cases/2673145/screening-report/6?type=pdf&amp;v=v6&amp;scorecard=1&amp;secret_key=BX%25IJ%24%2F65ieZ%29f6", 2673145)</f>
        <v>2673145</v>
      </c>
      <c r="C3158" s="3">
        <f>HYPERLINK("https://platform.v2.vetology.net/report/v/final/"&amp;2673145, 2673145)</f>
        <v>2673145</v>
      </c>
      <c r="D3158" s="3" t="s">
        <v>10497</v>
      </c>
      <c r="E3158" s="3" t="s">
        <v>10498</v>
      </c>
      <c r="F3158" s="3" t="s">
        <v>10499</v>
      </c>
      <c r="G3158" s="3" t="s">
        <v>100</v>
      </c>
      <c r="H3158" s="3" t="s">
        <v>31</v>
      </c>
      <c r="I3158" s="3" t="s">
        <v>32</v>
      </c>
      <c r="J3158" s="3" t="s">
        <v>847</v>
      </c>
      <c r="K3158" s="3" t="s">
        <v>27</v>
      </c>
      <c r="L3158" s="3" t="s">
        <v>28</v>
      </c>
      <c r="M3158" s="3" t="s">
        <v>28</v>
      </c>
      <c r="N3158" s="3" t="s">
        <v>28</v>
      </c>
      <c r="O3158" s="3" t="s">
        <v>27</v>
      </c>
      <c r="P3158" s="3" t="s">
        <v>28</v>
      </c>
      <c r="Q3158" s="3" t="s">
        <v>28</v>
      </c>
      <c r="R3158" s="3" t="s">
        <v>28</v>
      </c>
      <c r="S3158" s="3" t="s">
        <v>28</v>
      </c>
      <c r="T3158" s="3" t="s">
        <v>27</v>
      </c>
    </row>
    <row r="3159" spans="1:20" ht="336">
      <c r="A3159" s="3">
        <v>2673135</v>
      </c>
      <c r="B3159" s="3">
        <f>HYPERLINK("https://platform.v2.vetology.net/cases/2673135/screening-report/6?type=pdf&amp;v=v6&amp;scorecard=1&amp;secret_key=BX%25IJ%24%2F65ieZ%29f6", 2673135)</f>
        <v>2673135</v>
      </c>
      <c r="C3159" s="3">
        <f>HYPERLINK("https://platform.v2.vetology.net/report/v/final/"&amp;2673135, 2673135)</f>
        <v>2673135</v>
      </c>
      <c r="D3159" s="3" t="s">
        <v>10500</v>
      </c>
      <c r="E3159" s="3" t="s">
        <v>10501</v>
      </c>
      <c r="F3159" s="3" t="s">
        <v>10502</v>
      </c>
      <c r="G3159" s="3" t="s">
        <v>100</v>
      </c>
      <c r="H3159" s="3" t="s">
        <v>454</v>
      </c>
      <c r="I3159" s="3" t="s">
        <v>124</v>
      </c>
      <c r="J3159" s="3" t="s">
        <v>125</v>
      </c>
      <c r="K3159" s="3" t="s">
        <v>27</v>
      </c>
      <c r="L3159" s="3" t="s">
        <v>28</v>
      </c>
      <c r="M3159" s="3" t="s">
        <v>27</v>
      </c>
      <c r="N3159" s="3" t="s">
        <v>28</v>
      </c>
      <c r="O3159" s="3" t="s">
        <v>27</v>
      </c>
      <c r="P3159" s="3" t="s">
        <v>28</v>
      </c>
      <c r="Q3159" s="3" t="s">
        <v>27</v>
      </c>
      <c r="R3159" s="3" t="s">
        <v>28</v>
      </c>
      <c r="S3159" s="3" t="s">
        <v>28</v>
      </c>
      <c r="T3159" s="3" t="s">
        <v>28</v>
      </c>
    </row>
    <row r="3160" spans="1:20" ht="244.5">
      <c r="A3160" s="3">
        <v>2673064</v>
      </c>
      <c r="B3160" s="3">
        <f>HYPERLINK("https://platform.v2.vetology.net/cases/2673064/screening-report/6?type=pdf&amp;v=v6&amp;scorecard=1&amp;secret_key=BX%25IJ%24%2F65ieZ%29f6", 2673064)</f>
        <v>2673064</v>
      </c>
      <c r="C3160" s="3">
        <f>HYPERLINK("https://platform.v2.vetology.net/report/v/final/"&amp;2673064, 2673064)</f>
        <v>2673064</v>
      </c>
      <c r="D3160" s="3" t="s">
        <v>10503</v>
      </c>
      <c r="E3160" s="3" t="s">
        <v>1054</v>
      </c>
      <c r="F3160" s="3" t="s">
        <v>10504</v>
      </c>
      <c r="G3160" s="3" t="s">
        <v>100</v>
      </c>
      <c r="H3160" s="3" t="s">
        <v>9450</v>
      </c>
      <c r="I3160" s="3" t="s">
        <v>291</v>
      </c>
      <c r="J3160" s="3" t="s">
        <v>292</v>
      </c>
      <c r="K3160" s="3" t="s">
        <v>28</v>
      </c>
      <c r="L3160" s="3" t="s">
        <v>28</v>
      </c>
      <c r="M3160" s="3" t="s">
        <v>28</v>
      </c>
      <c r="N3160" s="3" t="s">
        <v>28</v>
      </c>
      <c r="O3160" s="3" t="s">
        <v>27</v>
      </c>
      <c r="P3160" s="3" t="s">
        <v>28</v>
      </c>
      <c r="Q3160" s="3" t="s">
        <v>28</v>
      </c>
      <c r="R3160" s="3" t="s">
        <v>28</v>
      </c>
      <c r="S3160" s="3" t="s">
        <v>28</v>
      </c>
      <c r="T3160" s="3" t="s">
        <v>27</v>
      </c>
    </row>
    <row r="3161" spans="1:20" ht="366">
      <c r="A3161" s="3">
        <v>2673041</v>
      </c>
      <c r="B3161" s="3">
        <f>HYPERLINK("https://platform.v2.vetology.net/cases/2673041/screening-report/6?type=pdf&amp;v=v6&amp;scorecard=1&amp;secret_key=BX%25IJ%24%2F65ieZ%29f6", 2673041)</f>
        <v>2673041</v>
      </c>
      <c r="C3161" s="3">
        <f>HYPERLINK("https://platform.v2.vetology.net/report/v/final/"&amp;2673041, 2673041)</f>
        <v>2673041</v>
      </c>
      <c r="D3161" s="3" t="s">
        <v>10505</v>
      </c>
      <c r="E3161" s="3" t="s">
        <v>10506</v>
      </c>
      <c r="F3161" s="3" t="s">
        <v>10507</v>
      </c>
      <c r="G3161" s="3" t="s">
        <v>179</v>
      </c>
      <c r="H3161" s="3" t="s">
        <v>212</v>
      </c>
      <c r="I3161" s="3" t="s">
        <v>213</v>
      </c>
      <c r="J3161" s="3" t="s">
        <v>214</v>
      </c>
      <c r="K3161" s="3" t="s">
        <v>28</v>
      </c>
      <c r="L3161" s="3" t="s">
        <v>28</v>
      </c>
      <c r="M3161" s="3" t="s">
        <v>28</v>
      </c>
      <c r="N3161" s="3" t="s">
        <v>28</v>
      </c>
      <c r="O3161" s="3" t="s">
        <v>28</v>
      </c>
      <c r="P3161" s="3" t="s">
        <v>28</v>
      </c>
      <c r="Q3161" s="3" t="s">
        <v>28</v>
      </c>
      <c r="R3161" s="3" t="s">
        <v>28</v>
      </c>
      <c r="S3161" s="3" t="s">
        <v>28</v>
      </c>
      <c r="T3161" s="3" t="s">
        <v>28</v>
      </c>
    </row>
    <row r="3162" spans="1:20" ht="409.6">
      <c r="A3162" s="3">
        <v>2672937</v>
      </c>
      <c r="B3162" s="3">
        <f>HYPERLINK("https://platform.v2.vetology.net/cases/2672937/screening-report/6?type=pdf&amp;v=v6&amp;scorecard=1&amp;secret_key=BX%25IJ%24%2F65ieZ%29f6", 2672937)</f>
        <v>2672937</v>
      </c>
      <c r="C3162" s="3">
        <f>HYPERLINK("https://platform.v2.vetology.net/report/v/final/"&amp;2672937, 2672937)</f>
        <v>2672937</v>
      </c>
      <c r="D3162" s="3" t="s">
        <v>10508</v>
      </c>
      <c r="E3162" s="3" t="s">
        <v>10509</v>
      </c>
      <c r="F3162" s="3" t="s">
        <v>10510</v>
      </c>
      <c r="G3162" s="3" t="s">
        <v>736</v>
      </c>
      <c r="H3162" s="3" t="s">
        <v>1905</v>
      </c>
      <c r="I3162" s="3" t="s">
        <v>37</v>
      </c>
      <c r="J3162" s="3" t="s">
        <v>38</v>
      </c>
      <c r="K3162" s="3" t="s">
        <v>28</v>
      </c>
      <c r="L3162" s="3" t="s">
        <v>28</v>
      </c>
      <c r="M3162" s="3" t="s">
        <v>28</v>
      </c>
      <c r="N3162" s="3" t="s">
        <v>28</v>
      </c>
      <c r="O3162" s="3" t="s">
        <v>27</v>
      </c>
      <c r="P3162" s="3" t="s">
        <v>28</v>
      </c>
      <c r="Q3162" s="3" t="s">
        <v>28</v>
      </c>
      <c r="R3162" s="3" t="s">
        <v>28</v>
      </c>
      <c r="S3162" s="3" t="s">
        <v>28</v>
      </c>
      <c r="T3162" s="3" t="s">
        <v>28</v>
      </c>
    </row>
    <row r="3163" spans="1:20" ht="409.6">
      <c r="A3163" s="3">
        <v>2672931</v>
      </c>
      <c r="B3163" s="3">
        <f>HYPERLINK("https://platform.v2.vetology.net/cases/2672931/screening-report/6?type=pdf&amp;v=v6&amp;scorecard=1&amp;secret_key=BX%25IJ%24%2F65ieZ%29f6", 2672931)</f>
        <v>2672931</v>
      </c>
      <c r="C3163" s="3">
        <f>HYPERLINK("https://platform.v2.vetology.net/report/v/final/"&amp;2672931, 2672931)</f>
        <v>2672931</v>
      </c>
      <c r="D3163" s="3" t="s">
        <v>10511</v>
      </c>
      <c r="E3163" s="3" t="s">
        <v>10512</v>
      </c>
      <c r="F3163" s="3" t="s">
        <v>10513</v>
      </c>
      <c r="G3163" s="3" t="s">
        <v>186</v>
      </c>
      <c r="H3163" s="3" t="s">
        <v>10514</v>
      </c>
      <c r="I3163" s="3" t="s">
        <v>1592</v>
      </c>
      <c r="J3163" s="3" t="s">
        <v>1593</v>
      </c>
      <c r="K3163" s="3" t="s">
        <v>28</v>
      </c>
      <c r="L3163" s="3" t="s">
        <v>28</v>
      </c>
      <c r="M3163" s="3" t="s">
        <v>27</v>
      </c>
      <c r="N3163" s="3" t="s">
        <v>28</v>
      </c>
      <c r="O3163" s="3" t="s">
        <v>27</v>
      </c>
      <c r="P3163" s="3" t="s">
        <v>28</v>
      </c>
      <c r="Q3163" s="3" t="s">
        <v>27</v>
      </c>
      <c r="R3163" s="3" t="s">
        <v>28</v>
      </c>
      <c r="S3163" s="3" t="s">
        <v>27</v>
      </c>
      <c r="T3163" s="3" t="s">
        <v>28</v>
      </c>
    </row>
    <row r="3164" spans="1:20" ht="409.6">
      <c r="A3164" s="3">
        <v>2672885</v>
      </c>
      <c r="B3164" s="3">
        <f>HYPERLINK("https://platform.v2.vetology.net/cases/2672885/screening-report/6?type=pdf&amp;v=v6&amp;scorecard=1&amp;secret_key=BX%25IJ%24%2F65ieZ%29f6", 2672885)</f>
        <v>2672885</v>
      </c>
      <c r="C3164" s="3">
        <f>HYPERLINK("https://platform.v2.vetology.net/report/v/final/"&amp;2672885, 2672885)</f>
        <v>2672885</v>
      </c>
      <c r="D3164" s="3" t="s">
        <v>10515</v>
      </c>
      <c r="E3164" s="3" t="s">
        <v>10516</v>
      </c>
      <c r="F3164" s="3" t="s">
        <v>10517</v>
      </c>
      <c r="G3164" s="3" t="s">
        <v>64</v>
      </c>
      <c r="H3164" s="3" t="s">
        <v>10518</v>
      </c>
      <c r="I3164" s="3" t="s">
        <v>464</v>
      </c>
      <c r="J3164" s="3" t="s">
        <v>297</v>
      </c>
      <c r="K3164" s="3" t="s">
        <v>28</v>
      </c>
      <c r="L3164" s="3" t="s">
        <v>27</v>
      </c>
      <c r="M3164" s="3" t="s">
        <v>28</v>
      </c>
      <c r="N3164" s="3" t="s">
        <v>28</v>
      </c>
      <c r="O3164" s="3" t="s">
        <v>27</v>
      </c>
      <c r="P3164" s="3" t="s">
        <v>28</v>
      </c>
      <c r="Q3164" s="3" t="s">
        <v>27</v>
      </c>
      <c r="R3164" s="3" t="s">
        <v>28</v>
      </c>
      <c r="S3164" s="3" t="s">
        <v>28</v>
      </c>
      <c r="T3164" s="3" t="s">
        <v>28</v>
      </c>
    </row>
    <row r="3165" spans="1:20" ht="409.6">
      <c r="A3165" s="3">
        <v>2672841</v>
      </c>
      <c r="B3165" s="3">
        <f>HYPERLINK("https://platform.v2.vetology.net/cases/2672841/screening-report/6?type=pdf&amp;v=v6&amp;scorecard=1&amp;secret_key=BX%25IJ%24%2F65ieZ%29f6", 2672841)</f>
        <v>2672841</v>
      </c>
      <c r="C3165" s="3">
        <f>HYPERLINK("https://platform.v2.vetology.net/report/v/final/"&amp;2672841, 2672841)</f>
        <v>2672841</v>
      </c>
      <c r="D3165" s="3" t="s">
        <v>10519</v>
      </c>
      <c r="E3165" s="3" t="s">
        <v>10520</v>
      </c>
      <c r="F3165" s="3" t="s">
        <v>10521</v>
      </c>
      <c r="G3165" s="3" t="s">
        <v>57</v>
      </c>
      <c r="H3165" s="3" t="s">
        <v>10522</v>
      </c>
      <c r="I3165" s="3" t="s">
        <v>4571</v>
      </c>
      <c r="J3165" s="3" t="s">
        <v>4572</v>
      </c>
      <c r="K3165" s="3" t="s">
        <v>28</v>
      </c>
      <c r="L3165" s="3" t="s">
        <v>28</v>
      </c>
      <c r="M3165" s="3" t="s">
        <v>28</v>
      </c>
      <c r="N3165" s="3" t="s">
        <v>28</v>
      </c>
      <c r="O3165" s="3" t="s">
        <v>27</v>
      </c>
      <c r="P3165" s="3" t="s">
        <v>27</v>
      </c>
      <c r="Q3165" s="3" t="s">
        <v>27</v>
      </c>
      <c r="R3165" s="3" t="s">
        <v>28</v>
      </c>
      <c r="S3165" s="3" t="s">
        <v>28</v>
      </c>
      <c r="T3165" s="3" t="s">
        <v>28</v>
      </c>
    </row>
    <row r="3166" spans="1:20" ht="409.6">
      <c r="A3166" s="3">
        <v>2672776</v>
      </c>
      <c r="B3166" s="3">
        <f>HYPERLINK("https://platform.v2.vetology.net/cases/2672776/screening-report/6?type=pdf&amp;v=v6&amp;scorecard=1&amp;secret_key=BX%25IJ%24%2F65ieZ%29f6", 2672776)</f>
        <v>2672776</v>
      </c>
      <c r="C3166" s="3">
        <f>HYPERLINK("https://platform.v2.vetology.net/report/v/final/"&amp;2672776, 2672776)</f>
        <v>2672776</v>
      </c>
      <c r="D3166" s="3" t="s">
        <v>10523</v>
      </c>
      <c r="E3166" s="3" t="s">
        <v>10524</v>
      </c>
      <c r="F3166" s="3" t="s">
        <v>10525</v>
      </c>
      <c r="G3166" s="3" t="s">
        <v>1772</v>
      </c>
      <c r="H3166" s="3" t="s">
        <v>10526</v>
      </c>
      <c r="I3166" s="3" t="s">
        <v>632</v>
      </c>
      <c r="J3166" s="3" t="s">
        <v>633</v>
      </c>
      <c r="K3166" s="3" t="s">
        <v>28</v>
      </c>
      <c r="L3166" s="3" t="s">
        <v>28</v>
      </c>
      <c r="M3166" s="3" t="s">
        <v>28</v>
      </c>
      <c r="N3166" s="3" t="s">
        <v>28</v>
      </c>
      <c r="O3166" s="3" t="s">
        <v>27</v>
      </c>
      <c r="P3166" s="3" t="s">
        <v>28</v>
      </c>
      <c r="Q3166" s="3" t="s">
        <v>28</v>
      </c>
      <c r="R3166" s="3" t="s">
        <v>27</v>
      </c>
      <c r="S3166" s="3" t="s">
        <v>27</v>
      </c>
      <c r="T3166" s="3" t="s">
        <v>27</v>
      </c>
    </row>
    <row r="3167" spans="1:20" ht="336">
      <c r="A3167" s="3">
        <v>2672741</v>
      </c>
      <c r="B3167" s="3">
        <f>HYPERLINK("https://platform.v2.vetology.net/cases/2672741/screening-report/6?type=pdf&amp;v=v6&amp;scorecard=1&amp;secret_key=BX%25IJ%24%2F65ieZ%29f6", 2672741)</f>
        <v>2672741</v>
      </c>
      <c r="C3167" s="3">
        <f>HYPERLINK("https://platform.v2.vetology.net/report/v/final/"&amp;2672741, 2672741)</f>
        <v>2672741</v>
      </c>
      <c r="D3167" s="3" t="s">
        <v>10527</v>
      </c>
      <c r="E3167" s="3" t="s">
        <v>10528</v>
      </c>
      <c r="F3167" s="3" t="s">
        <v>10529</v>
      </c>
      <c r="G3167" s="3" t="s">
        <v>179</v>
      </c>
      <c r="H3167" s="3" t="s">
        <v>123</v>
      </c>
      <c r="I3167" s="3" t="s">
        <v>124</v>
      </c>
      <c r="J3167" s="3" t="s">
        <v>125</v>
      </c>
      <c r="K3167" s="3" t="s">
        <v>28</v>
      </c>
      <c r="L3167" s="3" t="s">
        <v>28</v>
      </c>
      <c r="M3167" s="3" t="s">
        <v>27</v>
      </c>
      <c r="N3167" s="3" t="s">
        <v>28</v>
      </c>
      <c r="O3167" s="3" t="s">
        <v>27</v>
      </c>
      <c r="P3167" s="3" t="s">
        <v>28</v>
      </c>
      <c r="Q3167" s="3" t="s">
        <v>28</v>
      </c>
      <c r="R3167" s="3" t="s">
        <v>28</v>
      </c>
      <c r="S3167" s="3" t="s">
        <v>28</v>
      </c>
      <c r="T3167" s="3" t="s">
        <v>28</v>
      </c>
    </row>
    <row r="3168" spans="1:20" ht="336">
      <c r="A3168" s="3">
        <v>2672710</v>
      </c>
      <c r="B3168" s="3">
        <f>HYPERLINK("https://platform.v2.vetology.net/cases/2672710/screening-report/6?type=pdf&amp;v=v6&amp;scorecard=1&amp;secret_key=BX%25IJ%24%2F65ieZ%29f6", 2672710)</f>
        <v>2672710</v>
      </c>
      <c r="C3168" s="3">
        <f>HYPERLINK("https://platform.v2.vetology.net/report/v/final/"&amp;2672710, 2672710)</f>
        <v>2672710</v>
      </c>
      <c r="D3168" s="3" t="s">
        <v>10530</v>
      </c>
      <c r="E3168" s="3" t="s">
        <v>10531</v>
      </c>
      <c r="F3168" s="3" t="s">
        <v>10532</v>
      </c>
      <c r="G3168" s="3" t="s">
        <v>186</v>
      </c>
      <c r="H3168" s="3" t="s">
        <v>10533</v>
      </c>
      <c r="I3168" s="3" t="s">
        <v>626</v>
      </c>
      <c r="J3168" s="3" t="s">
        <v>627</v>
      </c>
      <c r="K3168" s="3" t="s">
        <v>28</v>
      </c>
      <c r="L3168" s="3" t="s">
        <v>28</v>
      </c>
      <c r="M3168" s="3" t="s">
        <v>27</v>
      </c>
      <c r="N3168" s="3" t="s">
        <v>28</v>
      </c>
      <c r="O3168" s="3" t="s">
        <v>27</v>
      </c>
      <c r="P3168" s="3" t="s">
        <v>28</v>
      </c>
      <c r="Q3168" s="3" t="s">
        <v>28</v>
      </c>
      <c r="R3168" s="3" t="s">
        <v>28</v>
      </c>
      <c r="S3168" s="3" t="s">
        <v>28</v>
      </c>
      <c r="T3168" s="3" t="s">
        <v>27</v>
      </c>
    </row>
    <row r="3169" spans="1:20" ht="409.6">
      <c r="A3169" s="3">
        <v>2672704</v>
      </c>
      <c r="B3169" s="3">
        <f>HYPERLINK("https://platform.v2.vetology.net/cases/2672704/screening-report/6?type=pdf&amp;v=v6&amp;scorecard=1&amp;secret_key=BX%25IJ%24%2F65ieZ%29f6", 2672704)</f>
        <v>2672704</v>
      </c>
      <c r="C3169" s="3">
        <f>HYPERLINK("https://platform.v2.vetology.net/report/v/final/"&amp;2672704, 2672704)</f>
        <v>2672704</v>
      </c>
      <c r="D3169" s="3" t="s">
        <v>10534</v>
      </c>
      <c r="E3169" s="3" t="s">
        <v>10535</v>
      </c>
      <c r="F3169" s="3" t="s">
        <v>10536</v>
      </c>
      <c r="G3169" s="3" t="s">
        <v>736</v>
      </c>
      <c r="H3169" s="3" t="s">
        <v>855</v>
      </c>
      <c r="I3169" s="3" t="s">
        <v>856</v>
      </c>
      <c r="J3169" s="3" t="s">
        <v>857</v>
      </c>
      <c r="K3169" s="3" t="s">
        <v>28</v>
      </c>
      <c r="L3169" s="3" t="s">
        <v>28</v>
      </c>
      <c r="M3169" s="3" t="s">
        <v>28</v>
      </c>
      <c r="N3169" s="3" t="s">
        <v>28</v>
      </c>
      <c r="O3169" s="3" t="s">
        <v>27</v>
      </c>
      <c r="P3169" s="3" t="s">
        <v>28</v>
      </c>
      <c r="Q3169" s="3" t="s">
        <v>28</v>
      </c>
      <c r="R3169" s="3" t="s">
        <v>28</v>
      </c>
      <c r="S3169" s="3" t="s">
        <v>28</v>
      </c>
      <c r="T3169" s="3" t="s">
        <v>28</v>
      </c>
    </row>
    <row r="3170" spans="1:20" ht="409.6">
      <c r="A3170" s="3">
        <v>2672696</v>
      </c>
      <c r="B3170" s="3">
        <f>HYPERLINK("https://platform.v2.vetology.net/cases/2672696/screening-report/6?type=pdf&amp;v=v6&amp;scorecard=1&amp;secret_key=BX%25IJ%24%2F65ieZ%29f6", 2672696)</f>
        <v>2672696</v>
      </c>
      <c r="C3170" s="3">
        <f>HYPERLINK("https://platform.v2.vetology.net/report/v/final/"&amp;2672696, 2672696)</f>
        <v>2672696</v>
      </c>
      <c r="D3170" s="3" t="s">
        <v>10537</v>
      </c>
      <c r="E3170" s="3" t="s">
        <v>10538</v>
      </c>
      <c r="F3170" s="3" t="s">
        <v>10539</v>
      </c>
      <c r="G3170" s="3" t="s">
        <v>64</v>
      </c>
      <c r="H3170" s="3" t="s">
        <v>10540</v>
      </c>
      <c r="I3170" s="3" t="s">
        <v>4462</v>
      </c>
      <c r="J3170" s="3" t="s">
        <v>6045</v>
      </c>
      <c r="K3170" s="3" t="s">
        <v>27</v>
      </c>
      <c r="L3170" s="3" t="s">
        <v>27</v>
      </c>
      <c r="M3170" s="3" t="s">
        <v>28</v>
      </c>
      <c r="N3170" s="3" t="s">
        <v>27</v>
      </c>
      <c r="O3170" s="3" t="s">
        <v>27</v>
      </c>
      <c r="P3170" s="3" t="s">
        <v>28</v>
      </c>
      <c r="Q3170" s="3" t="s">
        <v>28</v>
      </c>
      <c r="R3170" s="3" t="s">
        <v>27</v>
      </c>
      <c r="S3170" s="3" t="s">
        <v>27</v>
      </c>
      <c r="T3170" s="3" t="s">
        <v>27</v>
      </c>
    </row>
    <row r="3171" spans="1:20" ht="381.75">
      <c r="A3171" s="3">
        <v>2672676</v>
      </c>
      <c r="B3171" s="3">
        <f>HYPERLINK("https://platform.v2.vetology.net/cases/2672676/screening-report/6?type=pdf&amp;v=v6&amp;scorecard=1&amp;secret_key=BX%25IJ%24%2F65ieZ%29f6", 2672676)</f>
        <v>2672676</v>
      </c>
      <c r="C3171" s="3">
        <f>HYPERLINK("https://platform.v2.vetology.net/report/v/final/"&amp;2672676, 2672676)</f>
        <v>2672676</v>
      </c>
      <c r="D3171" s="3" t="s">
        <v>10541</v>
      </c>
      <c r="E3171" s="3" t="s">
        <v>10542</v>
      </c>
      <c r="F3171" s="3" t="s">
        <v>22</v>
      </c>
      <c r="G3171" s="3" t="s">
        <v>372</v>
      </c>
      <c r="H3171" s="3" t="s">
        <v>10543</v>
      </c>
      <c r="I3171" s="3" t="s">
        <v>233</v>
      </c>
      <c r="J3171" s="3" t="s">
        <v>502</v>
      </c>
      <c r="K3171" s="3" t="s">
        <v>28</v>
      </c>
      <c r="L3171" s="3" t="s">
        <v>28</v>
      </c>
      <c r="M3171" s="3" t="s">
        <v>28</v>
      </c>
      <c r="N3171" s="3" t="s">
        <v>28</v>
      </c>
      <c r="O3171" s="3" t="s">
        <v>27</v>
      </c>
      <c r="P3171" s="3" t="s">
        <v>28</v>
      </c>
      <c r="Q3171" s="3" t="s">
        <v>27</v>
      </c>
      <c r="R3171" s="3" t="s">
        <v>28</v>
      </c>
      <c r="S3171" s="3" t="s">
        <v>28</v>
      </c>
      <c r="T3171" s="3" t="s">
        <v>28</v>
      </c>
    </row>
    <row r="3172" spans="1:20" ht="409.6">
      <c r="A3172" s="3">
        <v>2672488</v>
      </c>
      <c r="B3172" s="3">
        <f>HYPERLINK("https://platform.v2.vetology.net/cases/2672488/screening-report/6?type=pdf&amp;v=v6&amp;scorecard=1&amp;secret_key=BX%25IJ%24%2F65ieZ%29f6", 2672488)</f>
        <v>2672488</v>
      </c>
      <c r="C3172" s="3">
        <f>HYPERLINK("https://platform.v2.vetology.net/report/v/final/"&amp;2672488, 2672488)</f>
        <v>2672488</v>
      </c>
      <c r="D3172" s="3" t="s">
        <v>10544</v>
      </c>
      <c r="E3172" s="3" t="s">
        <v>10545</v>
      </c>
      <c r="F3172" s="3" t="s">
        <v>10546</v>
      </c>
      <c r="G3172" s="3" t="s">
        <v>179</v>
      </c>
      <c r="H3172" s="3" t="s">
        <v>10547</v>
      </c>
      <c r="I3172" s="3" t="s">
        <v>2816</v>
      </c>
      <c r="J3172" s="3" t="s">
        <v>60</v>
      </c>
      <c r="K3172" s="3" t="s">
        <v>28</v>
      </c>
      <c r="L3172" s="3" t="s">
        <v>27</v>
      </c>
      <c r="M3172" s="3" t="s">
        <v>28</v>
      </c>
      <c r="N3172" s="3" t="s">
        <v>27</v>
      </c>
      <c r="O3172" s="3" t="s">
        <v>27</v>
      </c>
      <c r="P3172" s="3" t="s">
        <v>27</v>
      </c>
      <c r="Q3172" s="3" t="s">
        <v>27</v>
      </c>
      <c r="R3172" s="3" t="s">
        <v>27</v>
      </c>
      <c r="S3172" s="3" t="s">
        <v>27</v>
      </c>
      <c r="T3172" s="3" t="s">
        <v>27</v>
      </c>
    </row>
    <row r="3173" spans="1:20" ht="366">
      <c r="A3173" s="3">
        <v>2672486</v>
      </c>
      <c r="B3173" s="3">
        <f>HYPERLINK("https://platform.v2.vetology.net/cases/2672486/screening-report/6?type=pdf&amp;v=v6&amp;scorecard=1&amp;secret_key=BX%25IJ%24%2F65ieZ%29f6", 2672486)</f>
        <v>2672486</v>
      </c>
      <c r="C3173" s="3">
        <f>HYPERLINK("https://platform.v2.vetology.net/report/v/final/"&amp;2672486, 2672486)</f>
        <v>2672486</v>
      </c>
      <c r="D3173" s="3" t="s">
        <v>10548</v>
      </c>
      <c r="E3173" s="3" t="s">
        <v>10549</v>
      </c>
      <c r="F3173" s="3" t="s">
        <v>10550</v>
      </c>
      <c r="G3173" s="3" t="s">
        <v>566</v>
      </c>
      <c r="H3173" s="3" t="s">
        <v>10551</v>
      </c>
      <c r="I3173" s="3" t="s">
        <v>1497</v>
      </c>
      <c r="J3173" s="3" t="s">
        <v>207</v>
      </c>
      <c r="K3173" s="3" t="s">
        <v>28</v>
      </c>
      <c r="L3173" s="3" t="s">
        <v>28</v>
      </c>
      <c r="M3173" s="3" t="s">
        <v>28</v>
      </c>
      <c r="N3173" s="3" t="s">
        <v>28</v>
      </c>
      <c r="O3173" s="3" t="s">
        <v>28</v>
      </c>
      <c r="P3173" s="3" t="s">
        <v>27</v>
      </c>
      <c r="Q3173" s="3" t="s">
        <v>28</v>
      </c>
      <c r="R3173" s="3" t="s">
        <v>28</v>
      </c>
      <c r="S3173" s="3" t="s">
        <v>28</v>
      </c>
      <c r="T3173" s="3" t="s">
        <v>28</v>
      </c>
    </row>
    <row r="3174" spans="1:20" ht="381.75">
      <c r="A3174" s="3">
        <v>2672473</v>
      </c>
      <c r="B3174" s="3">
        <f>HYPERLINK("https://platform.v2.vetology.net/cases/2672473/screening-report/6?type=pdf&amp;v=v6&amp;scorecard=1&amp;secret_key=BX%25IJ%24%2F65ieZ%29f6", 2672473)</f>
        <v>2672473</v>
      </c>
      <c r="C3174" s="3">
        <f>HYPERLINK("https://platform.v2.vetology.net/report/v/final/"&amp;2672473, 2672473)</f>
        <v>2672473</v>
      </c>
      <c r="D3174" s="3" t="s">
        <v>10552</v>
      </c>
      <c r="E3174" s="3" t="s">
        <v>10553</v>
      </c>
      <c r="F3174" s="3" t="s">
        <v>22</v>
      </c>
      <c r="G3174" s="3" t="s">
        <v>372</v>
      </c>
      <c r="H3174" s="3" t="s">
        <v>118</v>
      </c>
      <c r="I3174" s="3" t="s">
        <v>32</v>
      </c>
      <c r="J3174" s="3" t="s">
        <v>119</v>
      </c>
      <c r="K3174" s="3" t="s">
        <v>28</v>
      </c>
      <c r="L3174" s="3" t="s">
        <v>28</v>
      </c>
      <c r="M3174" s="3" t="s">
        <v>28</v>
      </c>
      <c r="N3174" s="3" t="s">
        <v>28</v>
      </c>
      <c r="O3174" s="3" t="s">
        <v>28</v>
      </c>
      <c r="P3174" s="3" t="s">
        <v>28</v>
      </c>
      <c r="Q3174" s="3" t="s">
        <v>28</v>
      </c>
      <c r="R3174" s="3" t="s">
        <v>28</v>
      </c>
      <c r="S3174" s="3" t="s">
        <v>28</v>
      </c>
      <c r="T3174" s="3" t="s">
        <v>28</v>
      </c>
    </row>
    <row r="3175" spans="1:20" ht="305.25">
      <c r="A3175" s="3">
        <v>2672450</v>
      </c>
      <c r="B3175" s="3">
        <f>HYPERLINK("https://platform.v2.vetology.net/cases/2672450/screening-report/6?type=pdf&amp;v=v6&amp;scorecard=1&amp;secret_key=BX%25IJ%24%2F65ieZ%29f6", 2672450)</f>
        <v>2672450</v>
      </c>
      <c r="C3175" s="3">
        <f>HYPERLINK("https://platform.v2.vetology.net/report/v/final/"&amp;2672450, 2672450)</f>
        <v>2672450</v>
      </c>
      <c r="D3175" s="3" t="s">
        <v>10554</v>
      </c>
      <c r="E3175" s="3" t="s">
        <v>10555</v>
      </c>
      <c r="F3175" s="3" t="s">
        <v>10556</v>
      </c>
      <c r="G3175" s="3" t="s">
        <v>186</v>
      </c>
      <c r="H3175" s="3" t="s">
        <v>10557</v>
      </c>
      <c r="I3175" s="3" t="s">
        <v>464</v>
      </c>
      <c r="J3175" s="3" t="s">
        <v>688</v>
      </c>
      <c r="K3175" s="3" t="s">
        <v>27</v>
      </c>
      <c r="L3175" s="3" t="s">
        <v>28</v>
      </c>
      <c r="M3175" s="3" t="s">
        <v>28</v>
      </c>
      <c r="N3175" s="3" t="s">
        <v>28</v>
      </c>
      <c r="O3175" s="3" t="s">
        <v>28</v>
      </c>
      <c r="P3175" s="3" t="s">
        <v>28</v>
      </c>
      <c r="Q3175" s="3" t="s">
        <v>28</v>
      </c>
      <c r="R3175" s="3" t="s">
        <v>28</v>
      </c>
      <c r="S3175" s="3" t="s">
        <v>28</v>
      </c>
      <c r="T3175" s="3" t="s">
        <v>28</v>
      </c>
    </row>
    <row r="3176" spans="1:20" ht="321">
      <c r="A3176" s="3">
        <v>2672420</v>
      </c>
      <c r="B3176" s="3">
        <f>HYPERLINK("https://platform.v2.vetology.net/cases/2672420/screening-report/6?type=pdf&amp;v=v6&amp;scorecard=1&amp;secret_key=BX%25IJ%24%2F65ieZ%29f6", 2672420)</f>
        <v>2672420</v>
      </c>
      <c r="C3176" s="3">
        <f>HYPERLINK("https://platform.v2.vetology.net/report/v/final/"&amp;2672420, 2672420)</f>
        <v>2672420</v>
      </c>
      <c r="D3176" s="3" t="s">
        <v>10558</v>
      </c>
      <c r="E3176" s="3" t="s">
        <v>10559</v>
      </c>
      <c r="F3176" s="3" t="s">
        <v>10560</v>
      </c>
      <c r="G3176" s="3" t="s">
        <v>186</v>
      </c>
      <c r="H3176" s="3" t="s">
        <v>4341</v>
      </c>
      <c r="I3176" s="3" t="s">
        <v>706</v>
      </c>
      <c r="J3176" s="3" t="s">
        <v>707</v>
      </c>
      <c r="K3176" s="3" t="s">
        <v>28</v>
      </c>
      <c r="L3176" s="3" t="s">
        <v>28</v>
      </c>
      <c r="M3176" s="3" t="s">
        <v>28</v>
      </c>
      <c r="N3176" s="3" t="s">
        <v>28</v>
      </c>
      <c r="O3176" s="3" t="s">
        <v>28</v>
      </c>
      <c r="P3176" s="3" t="s">
        <v>28</v>
      </c>
      <c r="Q3176" s="3" t="s">
        <v>28</v>
      </c>
      <c r="R3176" s="3" t="s">
        <v>28</v>
      </c>
      <c r="S3176" s="3" t="s">
        <v>28</v>
      </c>
      <c r="T3176" s="3" t="s">
        <v>27</v>
      </c>
    </row>
    <row r="3177" spans="1:20" ht="409.6">
      <c r="A3177" s="3">
        <v>2672410</v>
      </c>
      <c r="B3177" s="3">
        <f>HYPERLINK("https://platform.v2.vetology.net/cases/2672410/screening-report/6?type=pdf&amp;v=v6&amp;scorecard=1&amp;secret_key=BX%25IJ%24%2F65ieZ%29f6", 2672410)</f>
        <v>2672410</v>
      </c>
      <c r="C3177" s="3">
        <f>HYPERLINK("https://platform.v2.vetology.net/report/v/final/"&amp;2672410, 2672410)</f>
        <v>2672410</v>
      </c>
      <c r="D3177" s="3" t="s">
        <v>10561</v>
      </c>
      <c r="E3177" s="3" t="s">
        <v>10562</v>
      </c>
      <c r="F3177" s="3" t="s">
        <v>10563</v>
      </c>
      <c r="G3177" s="3" t="s">
        <v>64</v>
      </c>
      <c r="H3177" s="3" t="s">
        <v>10564</v>
      </c>
      <c r="I3177" s="3" t="s">
        <v>285</v>
      </c>
      <c r="J3177" s="3" t="s">
        <v>286</v>
      </c>
      <c r="K3177" s="3" t="s">
        <v>28</v>
      </c>
      <c r="L3177" s="3" t="s">
        <v>28</v>
      </c>
      <c r="M3177" s="3" t="s">
        <v>28</v>
      </c>
      <c r="N3177" s="3" t="s">
        <v>28</v>
      </c>
      <c r="O3177" s="3" t="s">
        <v>27</v>
      </c>
      <c r="P3177" s="3" t="s">
        <v>28</v>
      </c>
      <c r="Q3177" s="3" t="s">
        <v>28</v>
      </c>
      <c r="R3177" s="3" t="s">
        <v>28</v>
      </c>
      <c r="S3177" s="3" t="s">
        <v>27</v>
      </c>
      <c r="T3177" s="3" t="s">
        <v>28</v>
      </c>
    </row>
    <row r="3178" spans="1:20" ht="409.6">
      <c r="A3178" s="3">
        <v>2672341</v>
      </c>
      <c r="B3178" s="3">
        <f>HYPERLINK("https://platform.v2.vetology.net/cases/2672341/screening-report/6?type=pdf&amp;v=v6&amp;scorecard=1&amp;secret_key=BX%25IJ%24%2F65ieZ%29f6", 2672341)</f>
        <v>2672341</v>
      </c>
      <c r="C3178" s="3">
        <f>HYPERLINK("https://platform.v2.vetology.net/report/v/final/"&amp;2672341, 2672341)</f>
        <v>2672341</v>
      </c>
      <c r="D3178" s="3" t="s">
        <v>10565</v>
      </c>
      <c r="E3178" s="3" t="s">
        <v>10566</v>
      </c>
      <c r="F3178" s="3" t="s">
        <v>10567</v>
      </c>
      <c r="G3178" s="3" t="s">
        <v>186</v>
      </c>
      <c r="H3178" s="3" t="s">
        <v>10568</v>
      </c>
      <c r="I3178" s="3" t="s">
        <v>1404</v>
      </c>
      <c r="J3178" s="3" t="s">
        <v>1405</v>
      </c>
      <c r="K3178" s="3" t="s">
        <v>27</v>
      </c>
      <c r="L3178" s="3" t="s">
        <v>28</v>
      </c>
      <c r="M3178" s="3" t="s">
        <v>27</v>
      </c>
      <c r="N3178" s="3" t="s">
        <v>28</v>
      </c>
      <c r="O3178" s="3" t="s">
        <v>27</v>
      </c>
      <c r="P3178" s="3" t="s">
        <v>28</v>
      </c>
      <c r="Q3178" s="3" t="s">
        <v>27</v>
      </c>
      <c r="R3178" s="3" t="s">
        <v>28</v>
      </c>
      <c r="S3178" s="3" t="s">
        <v>28</v>
      </c>
      <c r="T3178" s="3" t="s">
        <v>28</v>
      </c>
    </row>
    <row r="3179" spans="1:20" ht="305.25">
      <c r="A3179" s="3">
        <v>2672336</v>
      </c>
      <c r="B3179" s="3">
        <f>HYPERLINK("https://platform.v2.vetology.net/cases/2672336/screening-report/6?type=pdf&amp;v=v6&amp;scorecard=1&amp;secret_key=BX%25IJ%24%2F65ieZ%29f6", 2672336)</f>
        <v>2672336</v>
      </c>
      <c r="C3179" s="3">
        <f>HYPERLINK("https://platform.v2.vetology.net/report/v/final/"&amp;2672336, 2672336)</f>
        <v>2672336</v>
      </c>
      <c r="D3179" s="3" t="s">
        <v>10569</v>
      </c>
      <c r="E3179" s="3" t="s">
        <v>1884</v>
      </c>
      <c r="F3179" s="3" t="s">
        <v>10570</v>
      </c>
      <c r="G3179" s="3" t="s">
        <v>186</v>
      </c>
      <c r="H3179" s="3" t="s">
        <v>5366</v>
      </c>
      <c r="I3179" s="3" t="s">
        <v>1082</v>
      </c>
      <c r="J3179" s="3" t="s">
        <v>1083</v>
      </c>
      <c r="K3179" s="3" t="s">
        <v>28</v>
      </c>
      <c r="L3179" s="3" t="s">
        <v>28</v>
      </c>
      <c r="M3179" s="3" t="s">
        <v>27</v>
      </c>
      <c r="N3179" s="3" t="s">
        <v>28</v>
      </c>
      <c r="O3179" s="3" t="s">
        <v>27</v>
      </c>
      <c r="P3179" s="3" t="s">
        <v>28</v>
      </c>
      <c r="Q3179" s="3" t="s">
        <v>28</v>
      </c>
      <c r="R3179" s="3" t="s">
        <v>28</v>
      </c>
      <c r="S3179" s="3" t="s">
        <v>28</v>
      </c>
      <c r="T3179" s="3" t="s">
        <v>27</v>
      </c>
    </row>
    <row r="3180" spans="1:20" ht="381.75">
      <c r="A3180" s="3">
        <v>2672329</v>
      </c>
      <c r="B3180" s="3">
        <f>HYPERLINK("https://platform.v2.vetology.net/cases/2672329/screening-report/6?type=pdf&amp;v=v6&amp;scorecard=1&amp;secret_key=BX%25IJ%24%2F65ieZ%29f6", 2672329)</f>
        <v>2672329</v>
      </c>
      <c r="C3180" s="3">
        <f>HYPERLINK("https://platform.v2.vetology.net/report/v/final/"&amp;2672329, 2672329)</f>
        <v>2672329</v>
      </c>
      <c r="D3180" s="3" t="s">
        <v>10571</v>
      </c>
      <c r="E3180" s="3" t="s">
        <v>10572</v>
      </c>
      <c r="F3180" s="3" t="s">
        <v>4473</v>
      </c>
      <c r="G3180" s="3" t="s">
        <v>186</v>
      </c>
      <c r="H3180" s="3" t="s">
        <v>193</v>
      </c>
      <c r="I3180" s="3" t="s">
        <v>194</v>
      </c>
      <c r="J3180" s="3" t="s">
        <v>195</v>
      </c>
      <c r="K3180" s="3" t="s">
        <v>28</v>
      </c>
      <c r="L3180" s="3" t="s">
        <v>28</v>
      </c>
      <c r="M3180" s="3" t="s">
        <v>28</v>
      </c>
      <c r="N3180" s="3" t="s">
        <v>27</v>
      </c>
      <c r="O3180" s="3" t="s">
        <v>27</v>
      </c>
      <c r="P3180" s="3" t="s">
        <v>28</v>
      </c>
      <c r="Q3180" s="3" t="s">
        <v>28</v>
      </c>
      <c r="R3180" s="3" t="s">
        <v>27</v>
      </c>
      <c r="S3180" s="3" t="s">
        <v>27</v>
      </c>
      <c r="T3180" s="3" t="s">
        <v>27</v>
      </c>
    </row>
    <row r="3181" spans="1:20" ht="366">
      <c r="A3181" s="3">
        <v>2672241</v>
      </c>
      <c r="B3181" s="3">
        <f>HYPERLINK("https://platform.v2.vetology.net/cases/2672241/screening-report/6?type=pdf&amp;v=v6&amp;scorecard=1&amp;secret_key=BX%25IJ%24%2F65ieZ%29f6", 2672241)</f>
        <v>2672241</v>
      </c>
      <c r="C3181" s="3">
        <f>HYPERLINK("https://platform.v2.vetology.net/report/v/final/"&amp;2672241, 2672241)</f>
        <v>2672241</v>
      </c>
      <c r="D3181" s="3" t="s">
        <v>10573</v>
      </c>
      <c r="E3181" s="3" t="s">
        <v>10574</v>
      </c>
      <c r="F3181" s="3" t="s">
        <v>10575</v>
      </c>
      <c r="G3181" s="3" t="s">
        <v>186</v>
      </c>
      <c r="H3181" s="3" t="s">
        <v>10576</v>
      </c>
      <c r="I3181" s="3" t="s">
        <v>1809</v>
      </c>
      <c r="J3181" s="3" t="s">
        <v>1810</v>
      </c>
      <c r="K3181" s="3" t="s">
        <v>28</v>
      </c>
      <c r="L3181" s="3" t="s">
        <v>28</v>
      </c>
      <c r="M3181" s="3" t="s">
        <v>28</v>
      </c>
      <c r="N3181" s="3" t="s">
        <v>28</v>
      </c>
      <c r="O3181" s="3" t="s">
        <v>28</v>
      </c>
      <c r="P3181" s="3" t="s">
        <v>28</v>
      </c>
      <c r="Q3181" s="3" t="s">
        <v>28</v>
      </c>
      <c r="R3181" s="3" t="s">
        <v>28</v>
      </c>
      <c r="S3181" s="3" t="s">
        <v>28</v>
      </c>
      <c r="T3181" s="3" t="s">
        <v>28</v>
      </c>
    </row>
    <row r="3182" spans="1:20" ht="259.5">
      <c r="A3182" s="3">
        <v>2672225</v>
      </c>
      <c r="B3182" s="3">
        <f>HYPERLINK("https://platform.v2.vetology.net/cases/2672225/screening-report/6?type=pdf&amp;v=v6&amp;scorecard=1&amp;secret_key=BX%25IJ%24%2F65ieZ%29f6", 2672225)</f>
        <v>2672225</v>
      </c>
      <c r="C3182" s="3">
        <f>HYPERLINK("https://platform.v2.vetology.net/report/v/final/"&amp;2672225, 2672225)</f>
        <v>2672225</v>
      </c>
      <c r="D3182" s="3" t="s">
        <v>10577</v>
      </c>
      <c r="E3182" s="3" t="s">
        <v>10578</v>
      </c>
      <c r="F3182" s="3" t="s">
        <v>10579</v>
      </c>
      <c r="G3182" s="3" t="s">
        <v>186</v>
      </c>
      <c r="H3182" s="3" t="s">
        <v>10580</v>
      </c>
      <c r="I3182" s="3" t="s">
        <v>9965</v>
      </c>
      <c r="J3182" s="3" t="s">
        <v>9966</v>
      </c>
      <c r="K3182" s="3" t="s">
        <v>28</v>
      </c>
      <c r="L3182" s="3" t="s">
        <v>28</v>
      </c>
      <c r="M3182" s="3" t="s">
        <v>28</v>
      </c>
      <c r="N3182" s="3" t="s">
        <v>28</v>
      </c>
      <c r="O3182" s="3" t="s">
        <v>27</v>
      </c>
      <c r="P3182" s="3" t="s">
        <v>28</v>
      </c>
      <c r="Q3182" s="3" t="s">
        <v>27</v>
      </c>
      <c r="R3182" s="3" t="s">
        <v>28</v>
      </c>
      <c r="S3182" s="3" t="s">
        <v>28</v>
      </c>
      <c r="T3182" s="3" t="s">
        <v>28</v>
      </c>
    </row>
    <row r="3183" spans="1:20" ht="409.6">
      <c r="A3183" s="3">
        <v>2672195</v>
      </c>
      <c r="B3183" s="3">
        <f>HYPERLINK("https://platform.v2.vetology.net/cases/2672195/screening-report/6?type=pdf&amp;v=v6&amp;scorecard=1&amp;secret_key=BX%25IJ%24%2F65ieZ%29f6", 2672195)</f>
        <v>2672195</v>
      </c>
      <c r="C3183" s="3">
        <f>HYPERLINK("https://platform.v2.vetology.net/report/v/final/"&amp;2672195, 2672195)</f>
        <v>2672195</v>
      </c>
      <c r="D3183" s="3" t="s">
        <v>10581</v>
      </c>
      <c r="E3183" s="3" t="s">
        <v>10582</v>
      </c>
      <c r="F3183" s="3" t="s">
        <v>10583</v>
      </c>
      <c r="G3183" s="3" t="s">
        <v>186</v>
      </c>
      <c r="H3183" s="3" t="s">
        <v>5213</v>
      </c>
      <c r="I3183" s="3" t="s">
        <v>5214</v>
      </c>
      <c r="J3183" s="3" t="s">
        <v>5215</v>
      </c>
      <c r="K3183" s="3" t="s">
        <v>27</v>
      </c>
      <c r="L3183" s="3" t="s">
        <v>27</v>
      </c>
      <c r="M3183" s="3" t="s">
        <v>27</v>
      </c>
      <c r="N3183" s="3" t="s">
        <v>27</v>
      </c>
      <c r="O3183" s="3" t="s">
        <v>27</v>
      </c>
      <c r="P3183" s="3" t="s">
        <v>28</v>
      </c>
      <c r="Q3183" s="3" t="s">
        <v>27</v>
      </c>
      <c r="R3183" s="3" t="s">
        <v>28</v>
      </c>
      <c r="S3183" s="3" t="s">
        <v>27</v>
      </c>
      <c r="T3183" s="3" t="s">
        <v>27</v>
      </c>
    </row>
    <row r="3184" spans="1:20" ht="409.6">
      <c r="A3184" s="3">
        <v>2672073</v>
      </c>
      <c r="B3184" s="3">
        <f>HYPERLINK("https://platform.v2.vetology.net/cases/2672073/screening-report/6?type=pdf&amp;v=v6&amp;scorecard=1&amp;secret_key=BX%25IJ%24%2F65ieZ%29f6", 2672073)</f>
        <v>2672073</v>
      </c>
      <c r="C3184" s="3">
        <f>HYPERLINK("https://platform.v2.vetology.net/report/v/final/"&amp;2672073, 2672073)</f>
        <v>2672073</v>
      </c>
      <c r="D3184" s="3" t="s">
        <v>10584</v>
      </c>
      <c r="E3184" s="3" t="s">
        <v>10585</v>
      </c>
      <c r="F3184" s="3" t="s">
        <v>10586</v>
      </c>
      <c r="G3184" s="3" t="s">
        <v>64</v>
      </c>
      <c r="H3184" s="3" t="s">
        <v>1874</v>
      </c>
      <c r="I3184" s="3" t="s">
        <v>1344</v>
      </c>
      <c r="J3184" s="3" t="s">
        <v>33</v>
      </c>
      <c r="K3184" s="3" t="s">
        <v>28</v>
      </c>
      <c r="L3184" s="3" t="s">
        <v>28</v>
      </c>
      <c r="M3184" s="3" t="s">
        <v>28</v>
      </c>
      <c r="N3184" s="3" t="s">
        <v>28</v>
      </c>
      <c r="O3184" s="3" t="s">
        <v>28</v>
      </c>
      <c r="P3184" s="3" t="s">
        <v>28</v>
      </c>
      <c r="Q3184" s="3" t="s">
        <v>27</v>
      </c>
      <c r="R3184" s="3" t="s">
        <v>28</v>
      </c>
      <c r="S3184" s="3" t="s">
        <v>28</v>
      </c>
      <c r="T3184" s="3" t="s">
        <v>28</v>
      </c>
    </row>
    <row r="3185" spans="1:20" ht="396.75">
      <c r="A3185" s="3">
        <v>2672069</v>
      </c>
      <c r="B3185" s="3">
        <f>HYPERLINK("https://platform.v2.vetology.net/cases/2672069/screening-report/6?type=pdf&amp;v=v6&amp;scorecard=1&amp;secret_key=BX%25IJ%24%2F65ieZ%29f6", 2672069)</f>
        <v>2672069</v>
      </c>
      <c r="C3185" s="3">
        <f>HYPERLINK("https://platform.v2.vetology.net/report/v/final/"&amp;2672069, 2672069)</f>
        <v>2672069</v>
      </c>
      <c r="D3185" s="3" t="s">
        <v>10587</v>
      </c>
      <c r="E3185" s="3" t="s">
        <v>10588</v>
      </c>
      <c r="F3185" s="3" t="s">
        <v>22</v>
      </c>
      <c r="G3185" s="3" t="s">
        <v>372</v>
      </c>
      <c r="H3185" s="3" t="s">
        <v>10589</v>
      </c>
      <c r="I3185" s="3"/>
      <c r="J3185" s="3" t="s">
        <v>207</v>
      </c>
      <c r="K3185" s="3" t="s">
        <v>28</v>
      </c>
      <c r="L3185" s="3" t="s">
        <v>28</v>
      </c>
      <c r="M3185" s="3" t="s">
        <v>28</v>
      </c>
      <c r="N3185" s="3" t="s">
        <v>28</v>
      </c>
      <c r="O3185" s="3" t="s">
        <v>27</v>
      </c>
      <c r="P3185" s="3" t="s">
        <v>28</v>
      </c>
      <c r="Q3185" s="3" t="s">
        <v>28</v>
      </c>
      <c r="R3185" s="3" t="s">
        <v>28</v>
      </c>
      <c r="S3185" s="3" t="s">
        <v>28</v>
      </c>
      <c r="T3185" s="3" t="s">
        <v>27</v>
      </c>
    </row>
    <row r="3186" spans="1:20" ht="409.6">
      <c r="A3186" s="3">
        <v>2672037</v>
      </c>
      <c r="B3186" s="3">
        <f>HYPERLINK("https://platform.v2.vetology.net/cases/2672037/screening-report/6?type=pdf&amp;v=v6&amp;scorecard=1&amp;secret_key=BX%25IJ%24%2F65ieZ%29f6", 2672037)</f>
        <v>2672037</v>
      </c>
      <c r="C3186" s="3">
        <f>HYPERLINK("https://platform.v2.vetology.net/report/v/final/"&amp;2672037, 2672037)</f>
        <v>2672037</v>
      </c>
      <c r="D3186" s="3" t="s">
        <v>10590</v>
      </c>
      <c r="E3186" s="3" t="s">
        <v>10591</v>
      </c>
      <c r="F3186" s="3" t="s">
        <v>10592</v>
      </c>
      <c r="G3186" s="3" t="s">
        <v>57</v>
      </c>
      <c r="H3186" s="3" t="s">
        <v>5935</v>
      </c>
      <c r="I3186" s="3" t="s">
        <v>1057</v>
      </c>
      <c r="J3186" s="3" t="s">
        <v>1058</v>
      </c>
      <c r="K3186" s="3" t="s">
        <v>28</v>
      </c>
      <c r="L3186" s="3" t="s">
        <v>28</v>
      </c>
      <c r="M3186" s="3" t="s">
        <v>28</v>
      </c>
      <c r="N3186" s="3" t="s">
        <v>28</v>
      </c>
      <c r="O3186" s="3" t="s">
        <v>28</v>
      </c>
      <c r="P3186" s="3" t="s">
        <v>28</v>
      </c>
      <c r="Q3186" s="3" t="s">
        <v>28</v>
      </c>
      <c r="R3186" s="3" t="s">
        <v>28</v>
      </c>
      <c r="S3186" s="3" t="s">
        <v>28</v>
      </c>
      <c r="T3186" s="3" t="s">
        <v>27</v>
      </c>
    </row>
    <row r="3187" spans="1:20" ht="351">
      <c r="A3187" s="3">
        <v>2672017</v>
      </c>
      <c r="B3187" s="3">
        <f>HYPERLINK("https://platform.v2.vetology.net/cases/2672017/screening-report/6?type=pdf&amp;v=v6&amp;scorecard=1&amp;secret_key=BX%25IJ%24%2F65ieZ%29f6", 2672017)</f>
        <v>2672017</v>
      </c>
      <c r="C3187" s="3">
        <f>HYPERLINK("https://platform.v2.vetology.net/report/v/final/"&amp;2672017, 2672017)</f>
        <v>2672017</v>
      </c>
      <c r="D3187" s="3" t="s">
        <v>10593</v>
      </c>
      <c r="E3187" s="3" t="s">
        <v>10594</v>
      </c>
      <c r="F3187" s="3" t="s">
        <v>10595</v>
      </c>
      <c r="G3187" s="3" t="s">
        <v>57</v>
      </c>
      <c r="H3187" s="3" t="s">
        <v>9607</v>
      </c>
      <c r="I3187" s="3" t="s">
        <v>273</v>
      </c>
      <c r="J3187" s="3" t="s">
        <v>274</v>
      </c>
      <c r="K3187" s="3" t="s">
        <v>28</v>
      </c>
      <c r="L3187" s="3" t="s">
        <v>28</v>
      </c>
      <c r="M3187" s="3" t="s">
        <v>28</v>
      </c>
      <c r="N3187" s="3" t="s">
        <v>27</v>
      </c>
      <c r="O3187" s="3" t="s">
        <v>27</v>
      </c>
      <c r="P3187" s="3" t="s">
        <v>28</v>
      </c>
      <c r="Q3187" s="3" t="s">
        <v>28</v>
      </c>
      <c r="R3187" s="3" t="s">
        <v>27</v>
      </c>
      <c r="S3187" s="3" t="s">
        <v>27</v>
      </c>
      <c r="T3187" s="3" t="s">
        <v>27</v>
      </c>
    </row>
    <row r="3188" spans="1:20" ht="321">
      <c r="A3188" s="3">
        <v>2672015</v>
      </c>
      <c r="B3188" s="3">
        <f>HYPERLINK("https://platform.v2.vetology.net/cases/2672015/screening-report/6?type=pdf&amp;v=v6&amp;scorecard=1&amp;secret_key=BX%25IJ%24%2F65ieZ%29f6", 2672015)</f>
        <v>2672015</v>
      </c>
      <c r="C3188" s="3">
        <f>HYPERLINK("https://platform.v2.vetology.net/report/v/final/"&amp;2672015, 2672015)</f>
        <v>2672015</v>
      </c>
      <c r="D3188" s="3" t="s">
        <v>10596</v>
      </c>
      <c r="E3188" s="3" t="s">
        <v>10597</v>
      </c>
      <c r="F3188" s="3" t="s">
        <v>22</v>
      </c>
      <c r="G3188" s="3" t="s">
        <v>23</v>
      </c>
      <c r="H3188" s="3" t="s">
        <v>10598</v>
      </c>
      <c r="I3188" s="3" t="s">
        <v>6905</v>
      </c>
      <c r="J3188" s="3" t="s">
        <v>6906</v>
      </c>
      <c r="K3188" s="3" t="s">
        <v>28</v>
      </c>
      <c r="L3188" s="3" t="s">
        <v>28</v>
      </c>
      <c r="M3188" s="3" t="s">
        <v>28</v>
      </c>
      <c r="N3188" s="3" t="s">
        <v>28</v>
      </c>
      <c r="O3188" s="3" t="s">
        <v>28</v>
      </c>
      <c r="P3188" s="3" t="s">
        <v>28</v>
      </c>
      <c r="Q3188" s="3" t="s">
        <v>28</v>
      </c>
      <c r="R3188" s="3" t="s">
        <v>28</v>
      </c>
      <c r="S3188" s="3" t="s">
        <v>28</v>
      </c>
      <c r="T3188" s="3" t="s">
        <v>28</v>
      </c>
    </row>
    <row r="3189" spans="1:20" ht="259.5">
      <c r="A3189" s="3">
        <v>2672012</v>
      </c>
      <c r="B3189" s="3">
        <f>HYPERLINK("https://platform.v2.vetology.net/cases/2672012/screening-report/6?type=pdf&amp;v=v6&amp;scorecard=1&amp;secret_key=BX%25IJ%24%2F65ieZ%29f6", 2672012)</f>
        <v>2672012</v>
      </c>
      <c r="C3189" s="3">
        <f>HYPERLINK("https://platform.v2.vetology.net/report/v/final/"&amp;2672012, 2672012)</f>
        <v>2672012</v>
      </c>
      <c r="D3189" s="3" t="s">
        <v>10599</v>
      </c>
      <c r="E3189" s="3" t="s">
        <v>7678</v>
      </c>
      <c r="F3189" s="3" t="s">
        <v>10600</v>
      </c>
      <c r="G3189" s="3" t="s">
        <v>23</v>
      </c>
      <c r="H3189" s="3" t="s">
        <v>2615</v>
      </c>
      <c r="I3189" s="3" t="s">
        <v>793</v>
      </c>
      <c r="J3189" s="3" t="s">
        <v>1439</v>
      </c>
      <c r="K3189" s="3" t="s">
        <v>27</v>
      </c>
      <c r="L3189" s="3" t="s">
        <v>28</v>
      </c>
      <c r="M3189" s="3" t="s">
        <v>28</v>
      </c>
      <c r="N3189" s="3" t="s">
        <v>28</v>
      </c>
      <c r="O3189" s="3" t="s">
        <v>28</v>
      </c>
      <c r="P3189" s="3" t="s">
        <v>28</v>
      </c>
      <c r="Q3189" s="3" t="s">
        <v>28</v>
      </c>
      <c r="R3189" s="3" t="s">
        <v>28</v>
      </c>
      <c r="S3189" s="3" t="s">
        <v>28</v>
      </c>
      <c r="T3189" s="3" t="s">
        <v>28</v>
      </c>
    </row>
    <row r="3190" spans="1:20" ht="336">
      <c r="A3190" s="3">
        <v>2671999</v>
      </c>
      <c r="B3190" s="3">
        <f>HYPERLINK("https://platform.v2.vetology.net/cases/2671999/screening-report/6?type=pdf&amp;v=v6&amp;scorecard=1&amp;secret_key=BX%25IJ%24%2F65ieZ%29f6", 2671999)</f>
        <v>2671999</v>
      </c>
      <c r="C3190" s="3">
        <f>HYPERLINK("https://platform.v2.vetology.net/report/v/final/"&amp;2671999, 2671999)</f>
        <v>2671999</v>
      </c>
      <c r="D3190" s="3" t="s">
        <v>10601</v>
      </c>
      <c r="E3190" s="3" t="s">
        <v>10602</v>
      </c>
      <c r="F3190" s="3" t="s">
        <v>10603</v>
      </c>
      <c r="G3190" s="3" t="s">
        <v>179</v>
      </c>
      <c r="H3190" s="3" t="s">
        <v>2077</v>
      </c>
      <c r="I3190" s="3" t="s">
        <v>2078</v>
      </c>
      <c r="J3190" s="3" t="s">
        <v>2079</v>
      </c>
      <c r="K3190" s="3" t="s">
        <v>28</v>
      </c>
      <c r="L3190" s="3" t="s">
        <v>28</v>
      </c>
      <c r="M3190" s="3" t="s">
        <v>28</v>
      </c>
      <c r="N3190" s="3" t="s">
        <v>28</v>
      </c>
      <c r="O3190" s="3" t="s">
        <v>27</v>
      </c>
      <c r="P3190" s="3" t="s">
        <v>28</v>
      </c>
      <c r="Q3190" s="3" t="s">
        <v>28</v>
      </c>
      <c r="R3190" s="3" t="s">
        <v>28</v>
      </c>
      <c r="S3190" s="3" t="s">
        <v>28</v>
      </c>
      <c r="T3190" s="3" t="s">
        <v>28</v>
      </c>
    </row>
    <row r="3191" spans="1:20" ht="259.5">
      <c r="A3191" s="3">
        <v>2671993</v>
      </c>
      <c r="B3191" s="3">
        <f>HYPERLINK("https://platform.v2.vetology.net/cases/2671993/screening-report/6?type=pdf&amp;v=v6&amp;scorecard=1&amp;secret_key=BX%25IJ%24%2F65ieZ%29f6", 2671993)</f>
        <v>2671993</v>
      </c>
      <c r="C3191" s="3">
        <f>HYPERLINK("https://platform.v2.vetology.net/report/v/final/"&amp;2671993, 2671993)</f>
        <v>2671993</v>
      </c>
      <c r="D3191" s="3" t="s">
        <v>10604</v>
      </c>
      <c r="E3191" s="3" t="s">
        <v>10605</v>
      </c>
      <c r="F3191" s="3" t="s">
        <v>10606</v>
      </c>
      <c r="G3191" s="3" t="s">
        <v>186</v>
      </c>
      <c r="H3191" s="3" t="s">
        <v>10607</v>
      </c>
      <c r="I3191" s="3" t="s">
        <v>1373</v>
      </c>
      <c r="J3191" s="3" t="s">
        <v>207</v>
      </c>
      <c r="K3191" s="3" t="s">
        <v>27</v>
      </c>
      <c r="L3191" s="3" t="s">
        <v>28</v>
      </c>
      <c r="M3191" s="3" t="s">
        <v>27</v>
      </c>
      <c r="N3191" s="3" t="s">
        <v>28</v>
      </c>
      <c r="O3191" s="3" t="s">
        <v>27</v>
      </c>
      <c r="P3191" s="3" t="s">
        <v>28</v>
      </c>
      <c r="Q3191" s="3" t="s">
        <v>27</v>
      </c>
      <c r="R3191" s="3" t="s">
        <v>28</v>
      </c>
      <c r="S3191" s="3" t="s">
        <v>28</v>
      </c>
      <c r="T3191" s="3" t="s">
        <v>27</v>
      </c>
    </row>
    <row r="3192" spans="1:20" ht="409.6">
      <c r="A3192" s="3">
        <v>2671987</v>
      </c>
      <c r="B3192" s="3">
        <f>HYPERLINK("https://platform.v2.vetology.net/cases/2671987/screening-report/6?type=pdf&amp;v=v6&amp;scorecard=1&amp;secret_key=BX%25IJ%24%2F65ieZ%29f6", 2671987)</f>
        <v>2671987</v>
      </c>
      <c r="C3192" s="3">
        <f>HYPERLINK("https://platform.v2.vetology.net/report/v/final/"&amp;2671987, 2671987)</f>
        <v>2671987</v>
      </c>
      <c r="D3192" s="3" t="s">
        <v>10608</v>
      </c>
      <c r="E3192" s="3" t="s">
        <v>10609</v>
      </c>
      <c r="F3192" s="3" t="s">
        <v>10610</v>
      </c>
      <c r="G3192" s="3" t="s">
        <v>1772</v>
      </c>
      <c r="H3192" s="3" t="s">
        <v>31</v>
      </c>
      <c r="I3192" s="3" t="s">
        <v>32</v>
      </c>
      <c r="J3192" s="3" t="s">
        <v>119</v>
      </c>
      <c r="K3192" s="3" t="s">
        <v>28</v>
      </c>
      <c r="L3192" s="3" t="s">
        <v>28</v>
      </c>
      <c r="M3192" s="3" t="s">
        <v>28</v>
      </c>
      <c r="N3192" s="3" t="s">
        <v>28</v>
      </c>
      <c r="O3192" s="3" t="s">
        <v>27</v>
      </c>
      <c r="P3192" s="3" t="s">
        <v>28</v>
      </c>
      <c r="Q3192" s="3" t="s">
        <v>28</v>
      </c>
      <c r="R3192" s="3" t="s">
        <v>28</v>
      </c>
      <c r="S3192" s="3" t="s">
        <v>28</v>
      </c>
      <c r="T3192" s="3" t="s">
        <v>28</v>
      </c>
    </row>
    <row r="3193" spans="1:20" ht="396.75">
      <c r="A3193" s="3">
        <v>2671917</v>
      </c>
      <c r="B3193" s="3">
        <f>HYPERLINK("https://platform.v2.vetology.net/cases/2671917/screening-report/6?type=pdf&amp;v=v6&amp;scorecard=1&amp;secret_key=BX%25IJ%24%2F65ieZ%29f6", 2671917)</f>
        <v>2671917</v>
      </c>
      <c r="C3193" s="3">
        <f>HYPERLINK("https://platform.v2.vetology.net/report/v/final/"&amp;2671917, 2671917)</f>
        <v>2671917</v>
      </c>
      <c r="D3193" s="3" t="s">
        <v>10611</v>
      </c>
      <c r="E3193" s="3" t="s">
        <v>10612</v>
      </c>
      <c r="F3193" s="3" t="s">
        <v>10613</v>
      </c>
      <c r="G3193" s="3" t="s">
        <v>186</v>
      </c>
      <c r="H3193" s="3" t="s">
        <v>1097</v>
      </c>
      <c r="I3193" s="3" t="s">
        <v>469</v>
      </c>
      <c r="J3193" s="3" t="s">
        <v>470</v>
      </c>
      <c r="K3193" s="3" t="s">
        <v>28</v>
      </c>
      <c r="L3193" s="3" t="s">
        <v>28</v>
      </c>
      <c r="M3193" s="3" t="s">
        <v>28</v>
      </c>
      <c r="N3193" s="3" t="s">
        <v>28</v>
      </c>
      <c r="O3193" s="3" t="s">
        <v>27</v>
      </c>
      <c r="P3193" s="3" t="s">
        <v>28</v>
      </c>
      <c r="Q3193" s="3" t="s">
        <v>28</v>
      </c>
      <c r="R3193" s="3" t="s">
        <v>28</v>
      </c>
      <c r="S3193" s="3" t="s">
        <v>28</v>
      </c>
      <c r="T3193" s="3" t="s">
        <v>28</v>
      </c>
    </row>
    <row r="3194" spans="1:20" ht="409.6">
      <c r="A3194" s="3">
        <v>2671880</v>
      </c>
      <c r="B3194" s="3">
        <f>HYPERLINK("https://platform.v2.vetology.net/cases/2671880/screening-report/6?type=pdf&amp;v=v6&amp;scorecard=1&amp;secret_key=BX%25IJ%24%2F65ieZ%29f6", 2671880)</f>
        <v>2671880</v>
      </c>
      <c r="C3194" s="3">
        <f>HYPERLINK("https://platform.v2.vetology.net/report/v/final/"&amp;2671880, 2671880)</f>
        <v>2671880</v>
      </c>
      <c r="D3194" s="3" t="s">
        <v>10614</v>
      </c>
      <c r="E3194" s="3" t="s">
        <v>10615</v>
      </c>
      <c r="F3194" s="3" t="s">
        <v>10616</v>
      </c>
      <c r="G3194" s="3" t="s">
        <v>566</v>
      </c>
      <c r="H3194" s="3" t="s">
        <v>3696</v>
      </c>
      <c r="I3194" s="3" t="s">
        <v>1529</v>
      </c>
      <c r="J3194" s="3" t="s">
        <v>1530</v>
      </c>
      <c r="K3194" s="3" t="s">
        <v>27</v>
      </c>
      <c r="L3194" s="3" t="s">
        <v>27</v>
      </c>
      <c r="M3194" s="3" t="s">
        <v>27</v>
      </c>
      <c r="N3194" s="3" t="s">
        <v>28</v>
      </c>
      <c r="O3194" s="3" t="s">
        <v>28</v>
      </c>
      <c r="P3194" s="3" t="s">
        <v>28</v>
      </c>
      <c r="Q3194" s="3" t="s">
        <v>27</v>
      </c>
      <c r="R3194" s="3" t="s">
        <v>28</v>
      </c>
      <c r="S3194" s="3" t="s">
        <v>28</v>
      </c>
      <c r="T3194" s="3" t="s">
        <v>28</v>
      </c>
    </row>
    <row r="3195" spans="1:20" ht="244.5">
      <c r="A3195" s="3">
        <v>2671838</v>
      </c>
      <c r="B3195" s="3">
        <f>HYPERLINK("https://platform.v2.vetology.net/cases/2671838/screening-report/6?type=pdf&amp;v=v6&amp;scorecard=1&amp;secret_key=BX%25IJ%24%2F65ieZ%29f6", 2671838)</f>
        <v>2671838</v>
      </c>
      <c r="C3195" s="3">
        <f>HYPERLINK("https://platform.v2.vetology.net/report/v/final/"&amp;2671838, 2671838)</f>
        <v>2671838</v>
      </c>
      <c r="D3195" s="3" t="s">
        <v>10617</v>
      </c>
      <c r="E3195" s="3" t="s">
        <v>10618</v>
      </c>
      <c r="F3195" s="3" t="s">
        <v>10619</v>
      </c>
      <c r="G3195" s="3" t="s">
        <v>100</v>
      </c>
      <c r="H3195" s="3" t="s">
        <v>8860</v>
      </c>
      <c r="I3195" s="3" t="s">
        <v>829</v>
      </c>
      <c r="J3195" s="3" t="s">
        <v>830</v>
      </c>
      <c r="K3195" s="3" t="s">
        <v>27</v>
      </c>
      <c r="L3195" s="3" t="s">
        <v>27</v>
      </c>
      <c r="M3195" s="3" t="s">
        <v>28</v>
      </c>
      <c r="N3195" s="3" t="s">
        <v>27</v>
      </c>
      <c r="O3195" s="3" t="s">
        <v>27</v>
      </c>
      <c r="P3195" s="3" t="s">
        <v>28</v>
      </c>
      <c r="Q3195" s="3" t="s">
        <v>27</v>
      </c>
      <c r="R3195" s="3" t="s">
        <v>27</v>
      </c>
      <c r="S3195" s="3" t="s">
        <v>27</v>
      </c>
      <c r="T3195" s="3" t="s">
        <v>27</v>
      </c>
    </row>
    <row r="3196" spans="1:20" ht="409.6">
      <c r="A3196" s="3">
        <v>2671824</v>
      </c>
      <c r="B3196" s="3">
        <f>HYPERLINK("https://platform.v2.vetology.net/cases/2671824/screening-report/6?type=pdf&amp;v=v6&amp;scorecard=1&amp;secret_key=BX%25IJ%24%2F65ieZ%29f6", 2671824)</f>
        <v>2671824</v>
      </c>
      <c r="C3196" s="3">
        <f>HYPERLINK("https://platform.v2.vetology.net/report/v/final/"&amp;2671824, 2671824)</f>
        <v>2671824</v>
      </c>
      <c r="D3196" s="3" t="s">
        <v>10620</v>
      </c>
      <c r="E3196" s="3" t="s">
        <v>10621</v>
      </c>
      <c r="F3196" s="3" t="s">
        <v>10622</v>
      </c>
      <c r="G3196" s="3" t="s">
        <v>736</v>
      </c>
      <c r="H3196" s="3" t="s">
        <v>10623</v>
      </c>
      <c r="I3196" s="3" t="s">
        <v>10624</v>
      </c>
      <c r="J3196" s="3" t="s">
        <v>207</v>
      </c>
      <c r="K3196" s="3" t="s">
        <v>27</v>
      </c>
      <c r="L3196" s="3" t="s">
        <v>27</v>
      </c>
      <c r="M3196" s="3" t="s">
        <v>27</v>
      </c>
      <c r="N3196" s="3" t="s">
        <v>27</v>
      </c>
      <c r="O3196" s="3" t="s">
        <v>27</v>
      </c>
      <c r="P3196" s="3" t="s">
        <v>28</v>
      </c>
      <c r="Q3196" s="3" t="s">
        <v>27</v>
      </c>
      <c r="R3196" s="3" t="s">
        <v>27</v>
      </c>
      <c r="S3196" s="3" t="s">
        <v>27</v>
      </c>
      <c r="T3196" s="3" t="s">
        <v>27</v>
      </c>
    </row>
    <row r="3197" spans="1:20" ht="290.25">
      <c r="A3197" s="3">
        <v>2671753</v>
      </c>
      <c r="B3197" s="3">
        <f>HYPERLINK("https://platform.v2.vetology.net/cases/2671753/screening-report/6?type=pdf&amp;v=v6&amp;scorecard=1&amp;secret_key=BX%25IJ%24%2F65ieZ%29f6", 2671753)</f>
        <v>2671753</v>
      </c>
      <c r="C3197" s="3">
        <f>HYPERLINK("https://platform.v2.vetology.net/report/v/final/"&amp;2671753, 2671753)</f>
        <v>2671753</v>
      </c>
      <c r="D3197" s="3" t="s">
        <v>10625</v>
      </c>
      <c r="E3197" s="3" t="s">
        <v>10626</v>
      </c>
      <c r="F3197" s="3" t="s">
        <v>10627</v>
      </c>
      <c r="G3197" s="3" t="s">
        <v>186</v>
      </c>
      <c r="H3197" s="3" t="s">
        <v>10628</v>
      </c>
      <c r="I3197" s="3" t="s">
        <v>142</v>
      </c>
      <c r="J3197" s="3" t="s">
        <v>143</v>
      </c>
      <c r="K3197" s="3" t="s">
        <v>28</v>
      </c>
      <c r="L3197" s="3" t="s">
        <v>28</v>
      </c>
      <c r="M3197" s="3" t="s">
        <v>27</v>
      </c>
      <c r="N3197" s="3" t="s">
        <v>28</v>
      </c>
      <c r="O3197" s="3" t="s">
        <v>27</v>
      </c>
      <c r="P3197" s="3" t="s">
        <v>28</v>
      </c>
      <c r="Q3197" s="3" t="s">
        <v>28</v>
      </c>
      <c r="R3197" s="3" t="s">
        <v>28</v>
      </c>
      <c r="S3197" s="3" t="s">
        <v>28</v>
      </c>
      <c r="T3197" s="3" t="s">
        <v>27</v>
      </c>
    </row>
    <row r="3198" spans="1:20" ht="409.6">
      <c r="A3198" s="3">
        <v>2671723</v>
      </c>
      <c r="B3198" s="3">
        <f>HYPERLINK("https://platform.v2.vetology.net/cases/2671723/screening-report/6?type=pdf&amp;v=v6&amp;scorecard=1&amp;secret_key=BX%25IJ%24%2F65ieZ%29f6", 2671723)</f>
        <v>2671723</v>
      </c>
      <c r="C3198" s="3">
        <f>HYPERLINK("https://platform.v2.vetology.net/report/v/final/"&amp;2671723, 2671723)</f>
        <v>2671723</v>
      </c>
      <c r="D3198" s="3" t="s">
        <v>10629</v>
      </c>
      <c r="E3198" s="3" t="s">
        <v>10630</v>
      </c>
      <c r="F3198" s="3" t="s">
        <v>10631</v>
      </c>
      <c r="G3198" s="3" t="s">
        <v>57</v>
      </c>
      <c r="H3198" s="3" t="s">
        <v>3343</v>
      </c>
      <c r="I3198" s="3" t="s">
        <v>136</v>
      </c>
      <c r="J3198" s="3" t="s">
        <v>137</v>
      </c>
      <c r="K3198" s="3" t="s">
        <v>28</v>
      </c>
      <c r="L3198" s="3" t="s">
        <v>27</v>
      </c>
      <c r="M3198" s="3" t="s">
        <v>28</v>
      </c>
      <c r="N3198" s="3" t="s">
        <v>27</v>
      </c>
      <c r="O3198" s="3" t="s">
        <v>27</v>
      </c>
      <c r="P3198" s="3" t="s">
        <v>28</v>
      </c>
      <c r="Q3198" s="3" t="s">
        <v>28</v>
      </c>
      <c r="R3198" s="3" t="s">
        <v>28</v>
      </c>
      <c r="S3198" s="3" t="s">
        <v>28</v>
      </c>
      <c r="T3198" s="3" t="s">
        <v>27</v>
      </c>
    </row>
    <row r="3199" spans="1:20" ht="409.6">
      <c r="A3199" s="3">
        <v>2671692</v>
      </c>
      <c r="B3199" s="3">
        <f>HYPERLINK("https://platform.v2.vetology.net/cases/2671692/screening-report/6?type=pdf&amp;v=v6&amp;scorecard=1&amp;secret_key=BX%25IJ%24%2F65ieZ%29f6", 2671692)</f>
        <v>2671692</v>
      </c>
      <c r="C3199" s="3">
        <f>HYPERLINK("https://platform.v2.vetology.net/report/v/final/"&amp;2671692, 2671692)</f>
        <v>2671692</v>
      </c>
      <c r="D3199" s="3" t="s">
        <v>10632</v>
      </c>
      <c r="E3199" s="3" t="s">
        <v>6741</v>
      </c>
      <c r="F3199" s="3" t="s">
        <v>10633</v>
      </c>
      <c r="G3199" s="3" t="s">
        <v>23</v>
      </c>
      <c r="H3199" s="3" t="s">
        <v>10634</v>
      </c>
      <c r="I3199" s="3" t="s">
        <v>1444</v>
      </c>
      <c r="J3199" s="3" t="s">
        <v>1445</v>
      </c>
      <c r="K3199" s="3" t="s">
        <v>27</v>
      </c>
      <c r="L3199" s="3" t="s">
        <v>28</v>
      </c>
      <c r="M3199" s="3" t="s">
        <v>28</v>
      </c>
      <c r="N3199" s="3" t="s">
        <v>28</v>
      </c>
      <c r="O3199" s="3" t="s">
        <v>27</v>
      </c>
      <c r="P3199" s="3" t="s">
        <v>28</v>
      </c>
      <c r="Q3199" s="3" t="s">
        <v>28</v>
      </c>
      <c r="R3199" s="3" t="s">
        <v>28</v>
      </c>
      <c r="S3199" s="3" t="s">
        <v>28</v>
      </c>
      <c r="T3199" s="3" t="s">
        <v>28</v>
      </c>
    </row>
    <row r="3200" spans="1:20" ht="409.6">
      <c r="A3200" s="3">
        <v>2671660</v>
      </c>
      <c r="B3200" s="3">
        <f>HYPERLINK("https://platform.v2.vetology.net/cases/2671660/screening-report/6?type=pdf&amp;v=v6&amp;scorecard=1&amp;secret_key=BX%25IJ%24%2F65ieZ%29f6", 2671660)</f>
        <v>2671660</v>
      </c>
      <c r="C3200" s="3">
        <f>HYPERLINK("https://platform.v2.vetology.net/report/v/final/"&amp;2671660, 2671660)</f>
        <v>2671660</v>
      </c>
      <c r="D3200" s="3" t="s">
        <v>10635</v>
      </c>
      <c r="E3200" s="3" t="s">
        <v>10636</v>
      </c>
      <c r="F3200" s="3" t="s">
        <v>10637</v>
      </c>
      <c r="G3200" s="3" t="s">
        <v>186</v>
      </c>
      <c r="H3200" s="3" t="s">
        <v>88</v>
      </c>
      <c r="I3200" s="3" t="s">
        <v>89</v>
      </c>
      <c r="J3200" s="3" t="s">
        <v>90</v>
      </c>
      <c r="K3200" s="3" t="s">
        <v>27</v>
      </c>
      <c r="L3200" s="3" t="s">
        <v>28</v>
      </c>
      <c r="M3200" s="3" t="s">
        <v>28</v>
      </c>
      <c r="N3200" s="3" t="s">
        <v>28</v>
      </c>
      <c r="O3200" s="3" t="s">
        <v>27</v>
      </c>
      <c r="P3200" s="3" t="s">
        <v>28</v>
      </c>
      <c r="Q3200" s="3" t="s">
        <v>28</v>
      </c>
      <c r="R3200" s="3" t="s">
        <v>28</v>
      </c>
      <c r="S3200" s="3" t="s">
        <v>28</v>
      </c>
      <c r="T3200" s="3" t="s">
        <v>28</v>
      </c>
    </row>
    <row r="3201" spans="1:20" ht="409.6">
      <c r="A3201" s="3">
        <v>2671657</v>
      </c>
      <c r="B3201" s="3">
        <f>HYPERLINK("https://platform.v2.vetology.net/cases/2671657/screening-report/6?type=pdf&amp;v=v6&amp;scorecard=1&amp;secret_key=BX%25IJ%24%2F65ieZ%29f6", 2671657)</f>
        <v>2671657</v>
      </c>
      <c r="C3201" s="3">
        <f>HYPERLINK("https://platform.v2.vetology.net/report/v/final/"&amp;2671657, 2671657)</f>
        <v>2671657</v>
      </c>
      <c r="D3201" s="3" t="s">
        <v>10638</v>
      </c>
      <c r="E3201" s="3" t="s">
        <v>10639</v>
      </c>
      <c r="F3201" s="3" t="s">
        <v>10640</v>
      </c>
      <c r="G3201" s="3" t="s">
        <v>186</v>
      </c>
      <c r="H3201" s="3" t="s">
        <v>10641</v>
      </c>
      <c r="I3201" s="3" t="s">
        <v>2825</v>
      </c>
      <c r="J3201" s="3" t="s">
        <v>2826</v>
      </c>
      <c r="K3201" s="3" t="s">
        <v>27</v>
      </c>
      <c r="L3201" s="3" t="s">
        <v>28</v>
      </c>
      <c r="M3201" s="3" t="s">
        <v>27</v>
      </c>
      <c r="N3201" s="3" t="s">
        <v>28</v>
      </c>
      <c r="O3201" s="3" t="s">
        <v>27</v>
      </c>
      <c r="P3201" s="3" t="s">
        <v>28</v>
      </c>
      <c r="Q3201" s="3" t="s">
        <v>27</v>
      </c>
      <c r="R3201" s="3" t="s">
        <v>28</v>
      </c>
      <c r="S3201" s="3" t="s">
        <v>28</v>
      </c>
      <c r="T3201" s="3" t="s">
        <v>28</v>
      </c>
    </row>
    <row r="3202" spans="1:20" ht="409.6">
      <c r="A3202" s="3">
        <v>2671605</v>
      </c>
      <c r="B3202" s="3">
        <f>HYPERLINK("https://platform.v2.vetology.net/cases/2671605/screening-report/6?type=pdf&amp;v=v6&amp;scorecard=1&amp;secret_key=BX%25IJ%24%2F65ieZ%29f6", 2671605)</f>
        <v>2671605</v>
      </c>
      <c r="C3202" s="3">
        <f>HYPERLINK("https://platform.v2.vetology.net/report/v/final/"&amp;2671605, 2671605)</f>
        <v>2671605</v>
      </c>
      <c r="D3202" s="3" t="s">
        <v>10642</v>
      </c>
      <c r="E3202" s="3" t="s">
        <v>1023</v>
      </c>
      <c r="F3202" s="3" t="s">
        <v>10643</v>
      </c>
      <c r="G3202" s="3" t="s">
        <v>179</v>
      </c>
      <c r="H3202" s="3" t="s">
        <v>1443</v>
      </c>
      <c r="I3202" s="3" t="s">
        <v>1444</v>
      </c>
      <c r="J3202" s="3" t="s">
        <v>1445</v>
      </c>
      <c r="K3202" s="3" t="s">
        <v>27</v>
      </c>
      <c r="L3202" s="3" t="s">
        <v>28</v>
      </c>
      <c r="M3202" s="3" t="s">
        <v>28</v>
      </c>
      <c r="N3202" s="3" t="s">
        <v>28</v>
      </c>
      <c r="O3202" s="3" t="s">
        <v>27</v>
      </c>
      <c r="P3202" s="3" t="s">
        <v>28</v>
      </c>
      <c r="Q3202" s="3" t="s">
        <v>27</v>
      </c>
      <c r="R3202" s="3" t="s">
        <v>28</v>
      </c>
      <c r="S3202" s="3" t="s">
        <v>28</v>
      </c>
      <c r="T3202" s="3" t="s">
        <v>28</v>
      </c>
    </row>
    <row r="3203" spans="1:20" ht="351">
      <c r="A3203" s="3">
        <v>2671576</v>
      </c>
      <c r="B3203" s="3">
        <f>HYPERLINK("https://platform.v2.vetology.net/cases/2671576/screening-report/6?type=pdf&amp;v=v6&amp;scorecard=1&amp;secret_key=BX%25IJ%24%2F65ieZ%29f6", 2671576)</f>
        <v>2671576</v>
      </c>
      <c r="C3203" s="3">
        <f>HYPERLINK("https://platform.v2.vetology.net/report/v/final/"&amp;2671576, 2671576)</f>
        <v>2671576</v>
      </c>
      <c r="D3203" s="3" t="s">
        <v>10644</v>
      </c>
      <c r="E3203" s="3" t="s">
        <v>10645</v>
      </c>
      <c r="F3203" s="3" t="s">
        <v>10646</v>
      </c>
      <c r="G3203" s="3" t="s">
        <v>179</v>
      </c>
      <c r="H3203" s="3" t="s">
        <v>4341</v>
      </c>
      <c r="I3203" s="3" t="s">
        <v>706</v>
      </c>
      <c r="J3203" s="3" t="s">
        <v>707</v>
      </c>
      <c r="K3203" s="3" t="s">
        <v>28</v>
      </c>
      <c r="L3203" s="3" t="s">
        <v>28</v>
      </c>
      <c r="M3203" s="3" t="s">
        <v>28</v>
      </c>
      <c r="N3203" s="3" t="s">
        <v>28</v>
      </c>
      <c r="O3203" s="3" t="s">
        <v>27</v>
      </c>
      <c r="P3203" s="3" t="s">
        <v>28</v>
      </c>
      <c r="Q3203" s="3" t="s">
        <v>28</v>
      </c>
      <c r="R3203" s="3" t="s">
        <v>28</v>
      </c>
      <c r="S3203" s="3" t="s">
        <v>28</v>
      </c>
      <c r="T3203" s="3" t="s">
        <v>27</v>
      </c>
    </row>
    <row r="3204" spans="1:20" ht="409.6">
      <c r="A3204" s="3">
        <v>2671574</v>
      </c>
      <c r="B3204" s="3">
        <f>HYPERLINK("https://platform.v2.vetology.net/cases/2671574/screening-report/6?type=pdf&amp;v=v6&amp;scorecard=1&amp;secret_key=BX%25IJ%24%2F65ieZ%29f6", 2671574)</f>
        <v>2671574</v>
      </c>
      <c r="C3204" s="3">
        <f>HYPERLINK("https://platform.v2.vetology.net/report/v/final/"&amp;2671574, 2671574)</f>
        <v>2671574</v>
      </c>
      <c r="D3204" s="3" t="s">
        <v>10647</v>
      </c>
      <c r="E3204" s="3" t="s">
        <v>10648</v>
      </c>
      <c r="F3204" s="3" t="s">
        <v>10649</v>
      </c>
      <c r="G3204" s="3" t="s">
        <v>736</v>
      </c>
      <c r="H3204" s="3" t="s">
        <v>4069</v>
      </c>
      <c r="I3204" s="3" t="s">
        <v>37</v>
      </c>
      <c r="J3204" s="3" t="s">
        <v>38</v>
      </c>
      <c r="K3204" s="3" t="s">
        <v>28</v>
      </c>
      <c r="L3204" s="3" t="s">
        <v>28</v>
      </c>
      <c r="M3204" s="3" t="s">
        <v>28</v>
      </c>
      <c r="N3204" s="3" t="s">
        <v>28</v>
      </c>
      <c r="O3204" s="3" t="s">
        <v>27</v>
      </c>
      <c r="P3204" s="3" t="s">
        <v>28</v>
      </c>
      <c r="Q3204" s="3" t="s">
        <v>28</v>
      </c>
      <c r="R3204" s="3" t="s">
        <v>28</v>
      </c>
      <c r="S3204" s="3" t="s">
        <v>28</v>
      </c>
      <c r="T3204" s="3" t="s">
        <v>28</v>
      </c>
    </row>
    <row r="3205" spans="1:20" ht="305.25">
      <c r="A3205" s="3">
        <v>2671561</v>
      </c>
      <c r="B3205" s="3">
        <f>HYPERLINK("https://platform.v2.vetology.net/cases/2671561/screening-report/6?type=pdf&amp;v=v6&amp;scorecard=1&amp;secret_key=BX%25IJ%24%2F65ieZ%29f6", 2671561)</f>
        <v>2671561</v>
      </c>
      <c r="C3205" s="3">
        <f>HYPERLINK("https://platform.v2.vetology.net/report/v/final/"&amp;2671561, 2671561)</f>
        <v>2671561</v>
      </c>
      <c r="D3205" s="3" t="s">
        <v>10650</v>
      </c>
      <c r="E3205" s="3" t="s">
        <v>10651</v>
      </c>
      <c r="F3205" s="3" t="s">
        <v>1717</v>
      </c>
      <c r="G3205" s="3" t="s">
        <v>186</v>
      </c>
      <c r="H3205" s="3" t="s">
        <v>519</v>
      </c>
      <c r="I3205" s="3" t="s">
        <v>1344</v>
      </c>
      <c r="J3205" s="3" t="s">
        <v>33</v>
      </c>
      <c r="K3205" s="3" t="s">
        <v>28</v>
      </c>
      <c r="L3205" s="3" t="s">
        <v>28</v>
      </c>
      <c r="M3205" s="3" t="s">
        <v>28</v>
      </c>
      <c r="N3205" s="3" t="s">
        <v>28</v>
      </c>
      <c r="O3205" s="3" t="s">
        <v>27</v>
      </c>
      <c r="P3205" s="3" t="s">
        <v>28</v>
      </c>
      <c r="Q3205" s="3" t="s">
        <v>27</v>
      </c>
      <c r="R3205" s="3" t="s">
        <v>28</v>
      </c>
      <c r="S3205" s="3" t="s">
        <v>28</v>
      </c>
      <c r="T3205" s="3" t="s">
        <v>28</v>
      </c>
    </row>
    <row r="3206" spans="1:20" ht="351">
      <c r="A3206" s="3">
        <v>2671552</v>
      </c>
      <c r="B3206" s="3">
        <f>HYPERLINK("https://platform.v2.vetology.net/cases/2671552/screening-report/6?type=pdf&amp;v=v6&amp;scorecard=1&amp;secret_key=BX%25IJ%24%2F65ieZ%29f6", 2671552)</f>
        <v>2671552</v>
      </c>
      <c r="C3206" s="3">
        <f>HYPERLINK("https://platform.v2.vetology.net/report/v/final/"&amp;2671552, 2671552)</f>
        <v>2671552</v>
      </c>
      <c r="D3206" s="3" t="s">
        <v>10652</v>
      </c>
      <c r="E3206" s="3" t="s">
        <v>10653</v>
      </c>
      <c r="F3206" s="3" t="s">
        <v>10654</v>
      </c>
      <c r="G3206" s="3" t="s">
        <v>179</v>
      </c>
      <c r="H3206" s="3" t="s">
        <v>10655</v>
      </c>
      <c r="I3206" s="3" t="s">
        <v>1472</v>
      </c>
      <c r="J3206" s="3" t="s">
        <v>1374</v>
      </c>
      <c r="K3206" s="3" t="s">
        <v>28</v>
      </c>
      <c r="L3206" s="3" t="s">
        <v>28</v>
      </c>
      <c r="M3206" s="3" t="s">
        <v>27</v>
      </c>
      <c r="N3206" s="3" t="s">
        <v>28</v>
      </c>
      <c r="O3206" s="3" t="s">
        <v>28</v>
      </c>
      <c r="P3206" s="3" t="s">
        <v>28</v>
      </c>
      <c r="Q3206" s="3" t="s">
        <v>28</v>
      </c>
      <c r="R3206" s="3" t="s">
        <v>28</v>
      </c>
      <c r="S3206" s="3" t="s">
        <v>28</v>
      </c>
      <c r="T3206" s="3" t="s">
        <v>28</v>
      </c>
    </row>
    <row r="3207" spans="1:20" ht="409.6">
      <c r="A3207" s="3">
        <v>2671551</v>
      </c>
      <c r="B3207" s="3">
        <f>HYPERLINK("https://platform.v2.vetology.net/cases/2671551/screening-report/6?type=pdf&amp;v=v6&amp;scorecard=1&amp;secret_key=BX%25IJ%24%2F65ieZ%29f6", 2671551)</f>
        <v>2671551</v>
      </c>
      <c r="C3207" s="3">
        <f>HYPERLINK("https://platform.v2.vetology.net/report/v/final/"&amp;2671551, 2671551)</f>
        <v>2671551</v>
      </c>
      <c r="D3207" s="3" t="s">
        <v>10656</v>
      </c>
      <c r="E3207" s="3" t="s">
        <v>10657</v>
      </c>
      <c r="F3207" s="3" t="s">
        <v>10658</v>
      </c>
      <c r="G3207" s="3" t="s">
        <v>1772</v>
      </c>
      <c r="H3207" s="3" t="s">
        <v>152</v>
      </c>
      <c r="I3207" s="3" t="s">
        <v>153</v>
      </c>
      <c r="J3207" s="3" t="s">
        <v>154</v>
      </c>
      <c r="K3207" s="3" t="s">
        <v>27</v>
      </c>
      <c r="L3207" s="3" t="s">
        <v>27</v>
      </c>
      <c r="M3207" s="3" t="s">
        <v>28</v>
      </c>
      <c r="N3207" s="3" t="s">
        <v>28</v>
      </c>
      <c r="O3207" s="3" t="s">
        <v>27</v>
      </c>
      <c r="P3207" s="3" t="s">
        <v>27</v>
      </c>
      <c r="Q3207" s="3" t="s">
        <v>28</v>
      </c>
      <c r="R3207" s="3" t="s">
        <v>28</v>
      </c>
      <c r="S3207" s="3" t="s">
        <v>28</v>
      </c>
      <c r="T3207" s="3" t="s">
        <v>28</v>
      </c>
    </row>
    <row r="3208" spans="1:20" ht="409.6">
      <c r="A3208" s="3">
        <v>2671545</v>
      </c>
      <c r="B3208" s="3">
        <f>HYPERLINK("https://platform.v2.vetology.net/cases/2671545/screening-report/6?type=pdf&amp;v=v6&amp;scorecard=1&amp;secret_key=BX%25IJ%24%2F65ieZ%29f6", 2671545)</f>
        <v>2671545</v>
      </c>
      <c r="C3208" s="3">
        <f>HYPERLINK("https://platform.v2.vetology.net/report/v/final/"&amp;2671545, 2671545)</f>
        <v>2671545</v>
      </c>
      <c r="D3208" s="3" t="s">
        <v>10659</v>
      </c>
      <c r="E3208" s="3" t="s">
        <v>10660</v>
      </c>
      <c r="F3208" s="3" t="s">
        <v>10661</v>
      </c>
      <c r="G3208" s="3" t="s">
        <v>179</v>
      </c>
      <c r="H3208" s="3" t="s">
        <v>10662</v>
      </c>
      <c r="I3208" s="3" t="s">
        <v>667</v>
      </c>
      <c r="J3208" s="3" t="s">
        <v>668</v>
      </c>
      <c r="K3208" s="3" t="s">
        <v>28</v>
      </c>
      <c r="L3208" s="3" t="s">
        <v>28</v>
      </c>
      <c r="M3208" s="3" t="s">
        <v>28</v>
      </c>
      <c r="N3208" s="3" t="s">
        <v>28</v>
      </c>
      <c r="O3208" s="3" t="s">
        <v>27</v>
      </c>
      <c r="P3208" s="3" t="s">
        <v>28</v>
      </c>
      <c r="Q3208" s="3" t="s">
        <v>28</v>
      </c>
      <c r="R3208" s="3" t="s">
        <v>28</v>
      </c>
      <c r="S3208" s="3" t="s">
        <v>28</v>
      </c>
      <c r="T3208" s="3" t="s">
        <v>27</v>
      </c>
    </row>
    <row r="3209" spans="1:20" ht="409.6">
      <c r="A3209" s="3">
        <v>2671536</v>
      </c>
      <c r="B3209" s="3">
        <f>HYPERLINK("https://platform.v2.vetology.net/cases/2671536/screening-report/6?type=pdf&amp;v=v6&amp;scorecard=1&amp;secret_key=BX%25IJ%24%2F65ieZ%29f6", 2671536)</f>
        <v>2671536</v>
      </c>
      <c r="C3209" s="3">
        <f>HYPERLINK("https://platform.v2.vetology.net/report/v/final/"&amp;2671536, 2671536)</f>
        <v>2671536</v>
      </c>
      <c r="D3209" s="3" t="s">
        <v>10663</v>
      </c>
      <c r="E3209" s="3" t="s">
        <v>10664</v>
      </c>
      <c r="F3209" s="3" t="s">
        <v>10665</v>
      </c>
      <c r="G3209" s="3" t="s">
        <v>186</v>
      </c>
      <c r="H3209" s="3" t="s">
        <v>10666</v>
      </c>
      <c r="I3209" s="3" t="s">
        <v>89</v>
      </c>
      <c r="J3209" s="3" t="s">
        <v>90</v>
      </c>
      <c r="K3209" s="3" t="s">
        <v>27</v>
      </c>
      <c r="L3209" s="3" t="s">
        <v>28</v>
      </c>
      <c r="M3209" s="3" t="s">
        <v>28</v>
      </c>
      <c r="N3209" s="3" t="s">
        <v>28</v>
      </c>
      <c r="O3209" s="3" t="s">
        <v>27</v>
      </c>
      <c r="P3209" s="3" t="s">
        <v>28</v>
      </c>
      <c r="Q3209" s="3" t="s">
        <v>28</v>
      </c>
      <c r="R3209" s="3" t="s">
        <v>28</v>
      </c>
      <c r="S3209" s="3" t="s">
        <v>28</v>
      </c>
      <c r="T3209" s="3" t="s">
        <v>28</v>
      </c>
    </row>
    <row r="3210" spans="1:20" ht="409.6">
      <c r="A3210" s="3">
        <v>2671527</v>
      </c>
      <c r="B3210" s="3">
        <f>HYPERLINK("https://platform.v2.vetology.net/cases/2671527/screening-report/6?type=pdf&amp;v=v6&amp;scorecard=1&amp;secret_key=BX%25IJ%24%2F65ieZ%29f6", 2671527)</f>
        <v>2671527</v>
      </c>
      <c r="C3210" s="3">
        <f>HYPERLINK("https://platform.v2.vetology.net/report/v/final/"&amp;2671527, 2671527)</f>
        <v>2671527</v>
      </c>
      <c r="D3210" s="3" t="s">
        <v>10667</v>
      </c>
      <c r="E3210" s="3" t="s">
        <v>10668</v>
      </c>
      <c r="F3210" s="3" t="s">
        <v>10669</v>
      </c>
      <c r="G3210" s="3" t="s">
        <v>57</v>
      </c>
      <c r="H3210" s="3" t="s">
        <v>10670</v>
      </c>
      <c r="I3210" s="3" t="s">
        <v>852</v>
      </c>
      <c r="J3210" s="3" t="s">
        <v>713</v>
      </c>
      <c r="K3210" s="3" t="s">
        <v>28</v>
      </c>
      <c r="L3210" s="3" t="s">
        <v>28</v>
      </c>
      <c r="M3210" s="3" t="s">
        <v>28</v>
      </c>
      <c r="N3210" s="3" t="s">
        <v>28</v>
      </c>
      <c r="O3210" s="3" t="s">
        <v>27</v>
      </c>
      <c r="P3210" s="3" t="s">
        <v>28</v>
      </c>
      <c r="Q3210" s="3" t="s">
        <v>28</v>
      </c>
      <c r="R3210" s="3" t="s">
        <v>28</v>
      </c>
      <c r="S3210" s="3" t="s">
        <v>27</v>
      </c>
      <c r="T3210" s="3" t="s">
        <v>28</v>
      </c>
    </row>
    <row r="3211" spans="1:20" ht="409.6">
      <c r="A3211" s="3">
        <v>2671439</v>
      </c>
      <c r="B3211" s="3">
        <f>HYPERLINK("https://platform.v2.vetology.net/cases/2671439/screening-report/6?type=pdf&amp;v=v6&amp;scorecard=1&amp;secret_key=BX%25IJ%24%2F65ieZ%29f6", 2671439)</f>
        <v>2671439</v>
      </c>
      <c r="C3211" s="3">
        <f>HYPERLINK("https://platform.v2.vetology.net/report/v/final/"&amp;2671439, 2671439)</f>
        <v>2671439</v>
      </c>
      <c r="D3211" s="3" t="s">
        <v>10671</v>
      </c>
      <c r="E3211" s="3" t="s">
        <v>10672</v>
      </c>
      <c r="F3211" s="3" t="s">
        <v>10673</v>
      </c>
      <c r="G3211" s="3" t="s">
        <v>100</v>
      </c>
      <c r="H3211" s="3" t="s">
        <v>10674</v>
      </c>
      <c r="I3211" s="3" t="s">
        <v>1987</v>
      </c>
      <c r="J3211" s="3" t="s">
        <v>1988</v>
      </c>
      <c r="K3211" s="3" t="s">
        <v>27</v>
      </c>
      <c r="L3211" s="3" t="s">
        <v>27</v>
      </c>
      <c r="M3211" s="3" t="s">
        <v>28</v>
      </c>
      <c r="N3211" s="3" t="s">
        <v>27</v>
      </c>
      <c r="O3211" s="3" t="s">
        <v>27</v>
      </c>
      <c r="P3211" s="3" t="s">
        <v>28</v>
      </c>
      <c r="Q3211" s="3" t="s">
        <v>28</v>
      </c>
      <c r="R3211" s="3" t="s">
        <v>28</v>
      </c>
      <c r="S3211" s="3" t="s">
        <v>28</v>
      </c>
      <c r="T3211" s="3" t="s">
        <v>28</v>
      </c>
    </row>
    <row r="3212" spans="1:20" ht="409.6">
      <c r="A3212" s="3">
        <v>2671345</v>
      </c>
      <c r="B3212" s="3">
        <f>HYPERLINK("https://platform.v2.vetology.net/cases/2671345/screening-report/6?type=pdf&amp;v=v6&amp;scorecard=1&amp;secret_key=BX%25IJ%24%2F65ieZ%29f6", 2671345)</f>
        <v>2671345</v>
      </c>
      <c r="C3212" s="3">
        <f>HYPERLINK("https://platform.v2.vetology.net/report/v/final/"&amp;2671345, 2671345)</f>
        <v>2671345</v>
      </c>
      <c r="D3212" s="3" t="s">
        <v>10675</v>
      </c>
      <c r="E3212" s="3" t="s">
        <v>10676</v>
      </c>
      <c r="F3212" s="3" t="s">
        <v>10677</v>
      </c>
      <c r="G3212" s="3" t="s">
        <v>736</v>
      </c>
      <c r="H3212" s="3" t="s">
        <v>1874</v>
      </c>
      <c r="I3212" s="3" t="s">
        <v>520</v>
      </c>
      <c r="J3212" s="3" t="s">
        <v>335</v>
      </c>
      <c r="K3212" s="3" t="s">
        <v>28</v>
      </c>
      <c r="L3212" s="3" t="s">
        <v>28</v>
      </c>
      <c r="M3212" s="3" t="s">
        <v>27</v>
      </c>
      <c r="N3212" s="3" t="s">
        <v>28</v>
      </c>
      <c r="O3212" s="3" t="s">
        <v>27</v>
      </c>
      <c r="P3212" s="3" t="s">
        <v>28</v>
      </c>
      <c r="Q3212" s="3" t="s">
        <v>28</v>
      </c>
      <c r="R3212" s="3" t="s">
        <v>28</v>
      </c>
      <c r="S3212" s="3" t="s">
        <v>28</v>
      </c>
      <c r="T3212" s="3" t="s">
        <v>28</v>
      </c>
    </row>
    <row r="3213" spans="1:20" ht="409.6">
      <c r="A3213" s="3">
        <v>2671333</v>
      </c>
      <c r="B3213" s="3">
        <f>HYPERLINK("https://platform.v2.vetology.net/cases/2671333/screening-report/6?type=pdf&amp;v=v6&amp;scorecard=1&amp;secret_key=BX%25IJ%24%2F65ieZ%29f6", 2671333)</f>
        <v>2671333</v>
      </c>
      <c r="C3213" s="3">
        <f>HYPERLINK("https://platform.v2.vetology.net/report/v/final/"&amp;2671333, 2671333)</f>
        <v>2671333</v>
      </c>
      <c r="D3213" s="3" t="s">
        <v>10678</v>
      </c>
      <c r="E3213" s="3" t="s">
        <v>10679</v>
      </c>
      <c r="F3213" s="3" t="s">
        <v>10680</v>
      </c>
      <c r="G3213" s="3" t="s">
        <v>1772</v>
      </c>
      <c r="H3213" s="3" t="s">
        <v>10681</v>
      </c>
      <c r="I3213" s="3" t="s">
        <v>72</v>
      </c>
      <c r="J3213" s="3" t="s">
        <v>363</v>
      </c>
      <c r="K3213" s="3" t="s">
        <v>28</v>
      </c>
      <c r="L3213" s="3" t="s">
        <v>28</v>
      </c>
      <c r="M3213" s="3" t="s">
        <v>28</v>
      </c>
      <c r="N3213" s="3" t="s">
        <v>28</v>
      </c>
      <c r="O3213" s="3" t="s">
        <v>27</v>
      </c>
      <c r="P3213" s="3" t="s">
        <v>28</v>
      </c>
      <c r="Q3213" s="3" t="s">
        <v>28</v>
      </c>
      <c r="R3213" s="3" t="s">
        <v>28</v>
      </c>
      <c r="S3213" s="3" t="s">
        <v>28</v>
      </c>
      <c r="T3213" s="3" t="s">
        <v>27</v>
      </c>
    </row>
    <row r="3214" spans="1:20" ht="167.25">
      <c r="A3214" s="3">
        <v>2671241</v>
      </c>
      <c r="B3214" s="3">
        <f>HYPERLINK("https://platform.v2.vetology.net/cases/2671241/screening-report/6?type=pdf&amp;v=v6&amp;scorecard=1&amp;secret_key=BX%25IJ%24%2F65ieZ%29f6", 2671241)</f>
        <v>2671241</v>
      </c>
      <c r="C3214" s="3">
        <f>HYPERLINK("https://platform.v2.vetology.net/report/v/final/"&amp;2671241, 2671241)</f>
        <v>2671241</v>
      </c>
      <c r="D3214" s="3" t="s">
        <v>10682</v>
      </c>
      <c r="E3214" s="3" t="s">
        <v>10683</v>
      </c>
      <c r="F3214" s="3" t="s">
        <v>10684</v>
      </c>
      <c r="G3214" s="3" t="s">
        <v>186</v>
      </c>
      <c r="H3214" s="3" t="s">
        <v>2331</v>
      </c>
      <c r="I3214" s="3" t="s">
        <v>305</v>
      </c>
      <c r="J3214" s="3" t="s">
        <v>799</v>
      </c>
      <c r="K3214" s="3" t="s">
        <v>28</v>
      </c>
      <c r="L3214" s="3" t="s">
        <v>28</v>
      </c>
      <c r="M3214" s="3" t="s">
        <v>28</v>
      </c>
      <c r="N3214" s="3" t="s">
        <v>28</v>
      </c>
      <c r="O3214" s="3" t="s">
        <v>28</v>
      </c>
      <c r="P3214" s="3" t="s">
        <v>28</v>
      </c>
      <c r="Q3214" s="3" t="s">
        <v>28</v>
      </c>
      <c r="R3214" s="3" t="s">
        <v>28</v>
      </c>
      <c r="S3214" s="3" t="s">
        <v>28</v>
      </c>
      <c r="T3214" s="3" t="s">
        <v>28</v>
      </c>
    </row>
    <row r="3215" spans="1:20" ht="409.6">
      <c r="A3215" s="3">
        <v>2671196</v>
      </c>
      <c r="B3215" s="3">
        <f>HYPERLINK("https://platform.v2.vetology.net/cases/2671196/screening-report/6?type=pdf&amp;v=v6&amp;scorecard=1&amp;secret_key=BX%25IJ%24%2F65ieZ%29f6", 2671196)</f>
        <v>2671196</v>
      </c>
      <c r="C3215" s="3">
        <f>HYPERLINK("https://platform.v2.vetology.net/report/v/final/"&amp;2671196, 2671196)</f>
        <v>2671196</v>
      </c>
      <c r="D3215" s="3" t="s">
        <v>10685</v>
      </c>
      <c r="E3215" s="3" t="s">
        <v>10686</v>
      </c>
      <c r="F3215" s="3" t="s">
        <v>10687</v>
      </c>
      <c r="G3215" s="3" t="s">
        <v>186</v>
      </c>
      <c r="H3215" s="3" t="s">
        <v>1123</v>
      </c>
      <c r="I3215" s="3" t="s">
        <v>1124</v>
      </c>
      <c r="J3215" s="3" t="s">
        <v>1125</v>
      </c>
      <c r="K3215" s="3" t="s">
        <v>28</v>
      </c>
      <c r="L3215" s="3" t="s">
        <v>27</v>
      </c>
      <c r="M3215" s="3" t="s">
        <v>27</v>
      </c>
      <c r="N3215" s="3" t="s">
        <v>28</v>
      </c>
      <c r="O3215" s="3" t="s">
        <v>27</v>
      </c>
      <c r="P3215" s="3" t="s">
        <v>28</v>
      </c>
      <c r="Q3215" s="3" t="s">
        <v>27</v>
      </c>
      <c r="R3215" s="3" t="s">
        <v>27</v>
      </c>
      <c r="S3215" s="3" t="s">
        <v>27</v>
      </c>
      <c r="T3215" s="3" t="s">
        <v>27</v>
      </c>
    </row>
    <row r="3216" spans="1:20" ht="366">
      <c r="A3216" s="3">
        <v>2671170</v>
      </c>
      <c r="B3216" s="3">
        <f>HYPERLINK("https://platform.v2.vetology.net/cases/2671170/screening-report/6?type=pdf&amp;v=v6&amp;scorecard=1&amp;secret_key=BX%25IJ%24%2F65ieZ%29f6", 2671170)</f>
        <v>2671170</v>
      </c>
      <c r="C3216" s="3">
        <f>HYPERLINK("https://platform.v2.vetology.net/report/v/final/"&amp;2671170, 2671170)</f>
        <v>2671170</v>
      </c>
      <c r="D3216" s="3" t="s">
        <v>10688</v>
      </c>
      <c r="E3216" s="3" t="s">
        <v>10689</v>
      </c>
      <c r="F3216" s="3"/>
      <c r="G3216" s="3" t="s">
        <v>100</v>
      </c>
      <c r="H3216" s="3" t="s">
        <v>10690</v>
      </c>
      <c r="I3216" s="3" t="s">
        <v>8505</v>
      </c>
      <c r="J3216" s="3" t="s">
        <v>154</v>
      </c>
      <c r="K3216" s="3" t="s">
        <v>27</v>
      </c>
      <c r="L3216" s="3" t="s">
        <v>28</v>
      </c>
      <c r="M3216" s="3" t="s">
        <v>27</v>
      </c>
      <c r="N3216" s="3" t="s">
        <v>28</v>
      </c>
      <c r="O3216" s="3" t="s">
        <v>27</v>
      </c>
      <c r="P3216" s="3" t="s">
        <v>28</v>
      </c>
      <c r="Q3216" s="3" t="s">
        <v>27</v>
      </c>
      <c r="R3216" s="3" t="s">
        <v>28</v>
      </c>
      <c r="S3216" s="3" t="s">
        <v>28</v>
      </c>
      <c r="T3216" s="3" t="s">
        <v>28</v>
      </c>
    </row>
    <row r="3217" spans="1:20" ht="409.6">
      <c r="A3217" s="3">
        <v>2671127</v>
      </c>
      <c r="B3217" s="3">
        <f>HYPERLINK("https://platform.v2.vetology.net/cases/2671127/screening-report/6?type=pdf&amp;v=v6&amp;scorecard=1&amp;secret_key=BX%25IJ%24%2F65ieZ%29f6", 2671127)</f>
        <v>2671127</v>
      </c>
      <c r="C3217" s="3">
        <f>HYPERLINK("https://platform.v2.vetology.net/report/v/final/"&amp;2671127, 2671127)</f>
        <v>2671127</v>
      </c>
      <c r="D3217" s="3" t="s">
        <v>10691</v>
      </c>
      <c r="E3217" s="3" t="s">
        <v>10692</v>
      </c>
      <c r="F3217" s="3" t="s">
        <v>10693</v>
      </c>
      <c r="G3217" s="3" t="s">
        <v>736</v>
      </c>
      <c r="H3217" s="3" t="s">
        <v>10694</v>
      </c>
      <c r="I3217" s="3" t="s">
        <v>856</v>
      </c>
      <c r="J3217" s="3" t="s">
        <v>857</v>
      </c>
      <c r="K3217" s="3" t="s">
        <v>28</v>
      </c>
      <c r="L3217" s="3" t="s">
        <v>28</v>
      </c>
      <c r="M3217" s="3" t="s">
        <v>28</v>
      </c>
      <c r="N3217" s="3" t="s">
        <v>28</v>
      </c>
      <c r="O3217" s="3" t="s">
        <v>27</v>
      </c>
      <c r="P3217" s="3" t="s">
        <v>28</v>
      </c>
      <c r="Q3217" s="3" t="s">
        <v>28</v>
      </c>
      <c r="R3217" s="3" t="s">
        <v>28</v>
      </c>
      <c r="S3217" s="3" t="s">
        <v>28</v>
      </c>
      <c r="T3217" s="3" t="s">
        <v>28</v>
      </c>
    </row>
    <row r="3218" spans="1:20" ht="409.6">
      <c r="A3218" s="3">
        <v>2671087</v>
      </c>
      <c r="B3218" s="3">
        <f>HYPERLINK("https://platform.v2.vetology.net/cases/2671087/screening-report/6?type=pdf&amp;v=v6&amp;scorecard=1&amp;secret_key=BX%25IJ%24%2F65ieZ%29f6", 2671087)</f>
        <v>2671087</v>
      </c>
      <c r="C3218" s="3">
        <f>HYPERLINK("https://platform.v2.vetology.net/report/v/final/"&amp;2671087, 2671087)</f>
        <v>2671087</v>
      </c>
      <c r="D3218" s="3" t="s">
        <v>10695</v>
      </c>
      <c r="E3218" s="3" t="s">
        <v>10696</v>
      </c>
      <c r="F3218" s="3" t="s">
        <v>10697</v>
      </c>
      <c r="G3218" s="3" t="s">
        <v>1772</v>
      </c>
      <c r="H3218" s="3" t="s">
        <v>10698</v>
      </c>
      <c r="I3218" s="3" t="s">
        <v>2068</v>
      </c>
      <c r="J3218" s="3" t="s">
        <v>2069</v>
      </c>
      <c r="K3218" s="3" t="s">
        <v>28</v>
      </c>
      <c r="L3218" s="3" t="s">
        <v>27</v>
      </c>
      <c r="M3218" s="3" t="s">
        <v>28</v>
      </c>
      <c r="N3218" s="3" t="s">
        <v>27</v>
      </c>
      <c r="O3218" s="3" t="s">
        <v>27</v>
      </c>
      <c r="P3218" s="3" t="s">
        <v>28</v>
      </c>
      <c r="Q3218" s="3" t="s">
        <v>27</v>
      </c>
      <c r="R3218" s="3" t="s">
        <v>27</v>
      </c>
      <c r="S3218" s="3" t="s">
        <v>27</v>
      </c>
      <c r="T3218" s="3" t="s">
        <v>27</v>
      </c>
    </row>
    <row r="3219" spans="1:20" ht="351">
      <c r="A3219" s="3">
        <v>2671048</v>
      </c>
      <c r="B3219" s="3">
        <f>HYPERLINK("https://platform.v2.vetology.net/cases/2671048/screening-report/6?type=pdf&amp;v=v6&amp;scorecard=1&amp;secret_key=BX%25IJ%24%2F65ieZ%29f6", 2671048)</f>
        <v>2671048</v>
      </c>
      <c r="C3219" s="3">
        <f>HYPERLINK("https://platform.v2.vetology.net/report/v/final/"&amp;2671048, 2671048)</f>
        <v>2671048</v>
      </c>
      <c r="D3219" s="3" t="s">
        <v>10699</v>
      </c>
      <c r="E3219" s="3" t="s">
        <v>10700</v>
      </c>
      <c r="F3219" s="3" t="s">
        <v>10701</v>
      </c>
      <c r="G3219" s="3" t="s">
        <v>186</v>
      </c>
      <c r="H3219" s="3" t="s">
        <v>10702</v>
      </c>
      <c r="I3219" s="3" t="s">
        <v>1611</v>
      </c>
      <c r="J3219" s="3" t="s">
        <v>1612</v>
      </c>
      <c r="K3219" s="3" t="s">
        <v>27</v>
      </c>
      <c r="L3219" s="3" t="s">
        <v>28</v>
      </c>
      <c r="M3219" s="3" t="s">
        <v>28</v>
      </c>
      <c r="N3219" s="3" t="s">
        <v>28</v>
      </c>
      <c r="O3219" s="3" t="s">
        <v>28</v>
      </c>
      <c r="P3219" s="3" t="s">
        <v>28</v>
      </c>
      <c r="Q3219" s="3" t="s">
        <v>28</v>
      </c>
      <c r="R3219" s="3" t="s">
        <v>28</v>
      </c>
      <c r="S3219" s="3" t="s">
        <v>27</v>
      </c>
      <c r="T3219" s="3" t="s">
        <v>28</v>
      </c>
    </row>
    <row r="3220" spans="1:20" ht="290.25">
      <c r="A3220" s="3">
        <v>2670929</v>
      </c>
      <c r="B3220" s="3">
        <f>HYPERLINK("https://platform.v2.vetology.net/cases/2670929/screening-report/6?type=pdf&amp;v=v6&amp;scorecard=1&amp;secret_key=BX%25IJ%24%2F65ieZ%29f6", 2670929)</f>
        <v>2670929</v>
      </c>
      <c r="C3220" s="3">
        <f>HYPERLINK("https://platform.v2.vetology.net/report/v/final/"&amp;2670929, 2670929)</f>
        <v>2670929</v>
      </c>
      <c r="D3220" s="3" t="s">
        <v>10703</v>
      </c>
      <c r="E3220" s="3" t="s">
        <v>10704</v>
      </c>
      <c r="F3220" s="3" t="s">
        <v>10705</v>
      </c>
      <c r="G3220" s="3" t="s">
        <v>179</v>
      </c>
      <c r="H3220" s="3" t="s">
        <v>10706</v>
      </c>
      <c r="I3220" s="3" t="s">
        <v>10707</v>
      </c>
      <c r="J3220" s="3" t="s">
        <v>10708</v>
      </c>
      <c r="K3220" s="3" t="s">
        <v>28</v>
      </c>
      <c r="L3220" s="3" t="s">
        <v>28</v>
      </c>
      <c r="M3220" s="3" t="s">
        <v>28</v>
      </c>
      <c r="N3220" s="3" t="s">
        <v>28</v>
      </c>
      <c r="O3220" s="3" t="s">
        <v>28</v>
      </c>
      <c r="P3220" s="3" t="s">
        <v>28</v>
      </c>
      <c r="Q3220" s="3" t="s">
        <v>28</v>
      </c>
      <c r="R3220" s="3" t="s">
        <v>28</v>
      </c>
      <c r="S3220" s="3" t="s">
        <v>28</v>
      </c>
      <c r="T3220" s="3" t="s">
        <v>27</v>
      </c>
    </row>
    <row r="3221" spans="1:20" ht="409.6">
      <c r="A3221" s="3">
        <v>2670924</v>
      </c>
      <c r="B3221" s="3">
        <f>HYPERLINK("https://platform.v2.vetology.net/cases/2670924/screening-report/6?type=pdf&amp;v=v6&amp;scorecard=1&amp;secret_key=BX%25IJ%24%2F65ieZ%29f6", 2670924)</f>
        <v>2670924</v>
      </c>
      <c r="C3221" s="3">
        <f>HYPERLINK("https://platform.v2.vetology.net/report/v/final/"&amp;2670924, 2670924)</f>
        <v>2670924</v>
      </c>
      <c r="D3221" s="3" t="s">
        <v>10709</v>
      </c>
      <c r="E3221" s="3" t="s">
        <v>10710</v>
      </c>
      <c r="F3221" s="3" t="s">
        <v>10711</v>
      </c>
      <c r="G3221" s="3" t="s">
        <v>57</v>
      </c>
      <c r="H3221" s="3" t="s">
        <v>739</v>
      </c>
      <c r="I3221" s="3" t="s">
        <v>72</v>
      </c>
      <c r="J3221" s="3" t="s">
        <v>363</v>
      </c>
      <c r="K3221" s="3" t="s">
        <v>28</v>
      </c>
      <c r="L3221" s="3" t="s">
        <v>28</v>
      </c>
      <c r="M3221" s="3" t="s">
        <v>28</v>
      </c>
      <c r="N3221" s="3" t="s">
        <v>28</v>
      </c>
      <c r="O3221" s="3" t="s">
        <v>28</v>
      </c>
      <c r="P3221" s="3" t="s">
        <v>28</v>
      </c>
      <c r="Q3221" s="3" t="s">
        <v>28</v>
      </c>
      <c r="R3221" s="3" t="s">
        <v>28</v>
      </c>
      <c r="S3221" s="3" t="s">
        <v>28</v>
      </c>
      <c r="T3221" s="3" t="s">
        <v>27</v>
      </c>
    </row>
    <row r="3222" spans="1:20" ht="336">
      <c r="A3222" s="3">
        <v>2670913</v>
      </c>
      <c r="B3222" s="3">
        <f>HYPERLINK("https://platform.v2.vetology.net/cases/2670913/screening-report/6?type=pdf&amp;v=v6&amp;scorecard=1&amp;secret_key=BX%25IJ%24%2F65ieZ%29f6", 2670913)</f>
        <v>2670913</v>
      </c>
      <c r="C3222" s="3">
        <f>HYPERLINK("https://platform.v2.vetology.net/report/v/final/"&amp;2670913, 2670913)</f>
        <v>2670913</v>
      </c>
      <c r="D3222" s="3" t="s">
        <v>10712</v>
      </c>
      <c r="E3222" s="3" t="s">
        <v>10713</v>
      </c>
      <c r="F3222" s="3" t="s">
        <v>10714</v>
      </c>
      <c r="G3222" s="3" t="s">
        <v>1772</v>
      </c>
      <c r="H3222" s="3" t="s">
        <v>10715</v>
      </c>
      <c r="I3222" s="3" t="s">
        <v>305</v>
      </c>
      <c r="J3222" s="3" t="s">
        <v>799</v>
      </c>
      <c r="K3222" s="3" t="s">
        <v>27</v>
      </c>
      <c r="L3222" s="3" t="s">
        <v>27</v>
      </c>
      <c r="M3222" s="3" t="s">
        <v>27</v>
      </c>
      <c r="N3222" s="3" t="s">
        <v>28</v>
      </c>
      <c r="O3222" s="3" t="s">
        <v>28</v>
      </c>
      <c r="P3222" s="3" t="s">
        <v>28</v>
      </c>
      <c r="Q3222" s="3" t="s">
        <v>28</v>
      </c>
      <c r="R3222" s="3" t="s">
        <v>28</v>
      </c>
      <c r="S3222" s="3" t="s">
        <v>28</v>
      </c>
      <c r="T3222" s="3" t="s">
        <v>27</v>
      </c>
    </row>
    <row r="3223" spans="1:20" ht="409.6">
      <c r="A3223" s="3">
        <v>2670900</v>
      </c>
      <c r="B3223" s="3">
        <f>HYPERLINK("https://platform.v2.vetology.net/cases/2670900/screening-report/6?type=pdf&amp;v=v6&amp;scorecard=1&amp;secret_key=BX%25IJ%24%2F65ieZ%29f6", 2670900)</f>
        <v>2670900</v>
      </c>
      <c r="C3223" s="3">
        <f>HYPERLINK("https://platform.v2.vetology.net/report/v/final/"&amp;2670900, 2670900)</f>
        <v>2670900</v>
      </c>
      <c r="D3223" s="3" t="s">
        <v>10716</v>
      </c>
      <c r="E3223" s="3" t="s">
        <v>10717</v>
      </c>
      <c r="F3223" s="3" t="s">
        <v>10718</v>
      </c>
      <c r="G3223" s="3" t="s">
        <v>1772</v>
      </c>
      <c r="H3223" s="3" t="s">
        <v>158</v>
      </c>
      <c r="I3223" s="3" t="s">
        <v>129</v>
      </c>
      <c r="J3223" s="3" t="s">
        <v>119</v>
      </c>
      <c r="K3223" s="3" t="s">
        <v>28</v>
      </c>
      <c r="L3223" s="3" t="s">
        <v>28</v>
      </c>
      <c r="M3223" s="3" t="s">
        <v>28</v>
      </c>
      <c r="N3223" s="3" t="s">
        <v>28</v>
      </c>
      <c r="O3223" s="3" t="s">
        <v>27</v>
      </c>
      <c r="P3223" s="3" t="s">
        <v>28</v>
      </c>
      <c r="Q3223" s="3" t="s">
        <v>28</v>
      </c>
      <c r="R3223" s="3" t="s">
        <v>28</v>
      </c>
      <c r="S3223" s="3" t="s">
        <v>28</v>
      </c>
      <c r="T3223" s="3" t="s">
        <v>28</v>
      </c>
    </row>
    <row r="3224" spans="1:20" ht="409.6">
      <c r="A3224" s="3">
        <v>2670887</v>
      </c>
      <c r="B3224" s="3">
        <f>HYPERLINK("https://platform.v2.vetology.net/cases/2670887/screening-report/6?type=pdf&amp;v=v6&amp;scorecard=1&amp;secret_key=BX%25IJ%24%2F65ieZ%29f6", 2670887)</f>
        <v>2670887</v>
      </c>
      <c r="C3224" s="3">
        <f>HYPERLINK("https://platform.v2.vetology.net/report/v/final/"&amp;2670887, 2670887)</f>
        <v>2670887</v>
      </c>
      <c r="D3224" s="3" t="s">
        <v>10719</v>
      </c>
      <c r="E3224" s="3" t="s">
        <v>10720</v>
      </c>
      <c r="F3224" s="3" t="s">
        <v>10721</v>
      </c>
      <c r="G3224" s="3" t="s">
        <v>566</v>
      </c>
      <c r="H3224" s="3" t="s">
        <v>677</v>
      </c>
      <c r="I3224" s="3" t="s">
        <v>678</v>
      </c>
      <c r="J3224" s="3" t="s">
        <v>1264</v>
      </c>
      <c r="K3224" s="3" t="s">
        <v>28</v>
      </c>
      <c r="L3224" s="3" t="s">
        <v>27</v>
      </c>
      <c r="M3224" s="3" t="s">
        <v>28</v>
      </c>
      <c r="N3224" s="3" t="s">
        <v>27</v>
      </c>
      <c r="O3224" s="3" t="s">
        <v>28</v>
      </c>
      <c r="P3224" s="3" t="s">
        <v>28</v>
      </c>
      <c r="Q3224" s="3" t="s">
        <v>28</v>
      </c>
      <c r="R3224" s="3" t="s">
        <v>27</v>
      </c>
      <c r="S3224" s="3" t="s">
        <v>27</v>
      </c>
      <c r="T3224" s="3" t="s">
        <v>27</v>
      </c>
    </row>
    <row r="3225" spans="1:20" ht="409.6">
      <c r="A3225" s="3">
        <v>2670864</v>
      </c>
      <c r="B3225" s="3">
        <f>HYPERLINK("https://platform.v2.vetology.net/cases/2670864/screening-report/6?type=pdf&amp;v=v6&amp;scorecard=1&amp;secret_key=BX%25IJ%24%2F65ieZ%29f6", 2670864)</f>
        <v>2670864</v>
      </c>
      <c r="C3225" s="3">
        <f>HYPERLINK("https://platform.v2.vetology.net/report/v/final/"&amp;2670864, 2670864)</f>
        <v>2670864</v>
      </c>
      <c r="D3225" s="3" t="s">
        <v>10722</v>
      </c>
      <c r="E3225" s="3" t="s">
        <v>10723</v>
      </c>
      <c r="F3225" s="3" t="s">
        <v>3245</v>
      </c>
      <c r="G3225" s="3" t="s">
        <v>57</v>
      </c>
      <c r="H3225" s="3" t="s">
        <v>10724</v>
      </c>
      <c r="I3225" s="3" t="s">
        <v>939</v>
      </c>
      <c r="J3225" s="3" t="s">
        <v>940</v>
      </c>
      <c r="K3225" s="3" t="s">
        <v>27</v>
      </c>
      <c r="L3225" s="3" t="s">
        <v>28</v>
      </c>
      <c r="M3225" s="3" t="s">
        <v>28</v>
      </c>
      <c r="N3225" s="3" t="s">
        <v>28</v>
      </c>
      <c r="O3225" s="3" t="s">
        <v>27</v>
      </c>
      <c r="P3225" s="3" t="s">
        <v>27</v>
      </c>
      <c r="Q3225" s="3" t="s">
        <v>28</v>
      </c>
      <c r="R3225" s="3" t="s">
        <v>28</v>
      </c>
      <c r="S3225" s="3" t="s">
        <v>28</v>
      </c>
      <c r="T3225" s="3" t="s">
        <v>28</v>
      </c>
    </row>
    <row r="3226" spans="1:20" ht="336">
      <c r="A3226" s="3">
        <v>2670815</v>
      </c>
      <c r="B3226" s="3">
        <f>HYPERLINK("https://platform.v2.vetology.net/cases/2670815/screening-report/6?type=pdf&amp;v=v6&amp;scorecard=1&amp;secret_key=BX%25IJ%24%2F65ieZ%29f6", 2670815)</f>
        <v>2670815</v>
      </c>
      <c r="C3226" s="3">
        <f>HYPERLINK("https://platform.v2.vetology.net/report/v/final/"&amp;2670815, 2670815)</f>
        <v>2670815</v>
      </c>
      <c r="D3226" s="3" t="s">
        <v>10725</v>
      </c>
      <c r="E3226" s="3" t="s">
        <v>10726</v>
      </c>
      <c r="F3226" s="3" t="s">
        <v>22</v>
      </c>
      <c r="G3226" s="3" t="s">
        <v>372</v>
      </c>
      <c r="H3226" s="3" t="s">
        <v>10727</v>
      </c>
      <c r="I3226" s="3" t="s">
        <v>2506</v>
      </c>
      <c r="J3226" s="3" t="s">
        <v>2507</v>
      </c>
      <c r="K3226" s="3" t="s">
        <v>27</v>
      </c>
      <c r="L3226" s="3" t="s">
        <v>28</v>
      </c>
      <c r="M3226" s="3" t="s">
        <v>27</v>
      </c>
      <c r="N3226" s="3" t="s">
        <v>28</v>
      </c>
      <c r="O3226" s="3" t="s">
        <v>27</v>
      </c>
      <c r="P3226" s="3" t="s">
        <v>27</v>
      </c>
      <c r="Q3226" s="3" t="s">
        <v>27</v>
      </c>
      <c r="R3226" s="3" t="s">
        <v>28</v>
      </c>
      <c r="S3226" s="3" t="s">
        <v>27</v>
      </c>
      <c r="T3226" s="3" t="s">
        <v>28</v>
      </c>
    </row>
    <row r="3227" spans="1:20" ht="396.75">
      <c r="A3227" s="3">
        <v>2670806</v>
      </c>
      <c r="B3227" s="3">
        <f>HYPERLINK("https://platform.v2.vetology.net/cases/2670806/screening-report/6?type=pdf&amp;v=v6&amp;scorecard=1&amp;secret_key=BX%25IJ%24%2F65ieZ%29f6", 2670806)</f>
        <v>2670806</v>
      </c>
      <c r="C3227" s="3">
        <f>HYPERLINK("https://platform.v2.vetology.net/report/v/final/"&amp;2670806, 2670806)</f>
        <v>2670806</v>
      </c>
      <c r="D3227" s="3" t="s">
        <v>10728</v>
      </c>
      <c r="E3227" s="3" t="s">
        <v>10729</v>
      </c>
      <c r="F3227" s="3" t="s">
        <v>10730</v>
      </c>
      <c r="G3227" s="3" t="s">
        <v>57</v>
      </c>
      <c r="H3227" s="3" t="s">
        <v>10731</v>
      </c>
      <c r="I3227" s="3" t="s">
        <v>1483</v>
      </c>
      <c r="J3227" s="3" t="s">
        <v>5778</v>
      </c>
      <c r="K3227" s="3" t="s">
        <v>28</v>
      </c>
      <c r="L3227" s="3" t="s">
        <v>28</v>
      </c>
      <c r="M3227" s="3" t="s">
        <v>28</v>
      </c>
      <c r="N3227" s="3" t="s">
        <v>28</v>
      </c>
      <c r="O3227" s="3" t="s">
        <v>27</v>
      </c>
      <c r="P3227" s="3" t="s">
        <v>28</v>
      </c>
      <c r="Q3227" s="3" t="s">
        <v>28</v>
      </c>
      <c r="R3227" s="3" t="s">
        <v>28</v>
      </c>
      <c r="S3227" s="3" t="s">
        <v>28</v>
      </c>
      <c r="T3227" s="3" t="s">
        <v>27</v>
      </c>
    </row>
    <row r="3228" spans="1:20" ht="336">
      <c r="A3228" s="3">
        <v>2670785</v>
      </c>
      <c r="B3228" s="3">
        <f>HYPERLINK("https://platform.v2.vetology.net/cases/2670785/screening-report/6?type=pdf&amp;v=v6&amp;scorecard=1&amp;secret_key=BX%25IJ%24%2F65ieZ%29f6", 2670785)</f>
        <v>2670785</v>
      </c>
      <c r="C3228" s="3">
        <f>HYPERLINK("https://platform.v2.vetology.net/report/v/final/"&amp;2670785, 2670785)</f>
        <v>2670785</v>
      </c>
      <c r="D3228" s="3" t="s">
        <v>10732</v>
      </c>
      <c r="E3228" s="3" t="s">
        <v>10733</v>
      </c>
      <c r="F3228" s="3" t="s">
        <v>10734</v>
      </c>
      <c r="G3228" s="3" t="s">
        <v>57</v>
      </c>
      <c r="H3228" s="3" t="s">
        <v>5990</v>
      </c>
      <c r="I3228" s="3" t="s">
        <v>718</v>
      </c>
      <c r="J3228" s="3" t="s">
        <v>719</v>
      </c>
      <c r="K3228" s="3" t="s">
        <v>28</v>
      </c>
      <c r="L3228" s="3" t="s">
        <v>28</v>
      </c>
      <c r="M3228" s="3" t="s">
        <v>28</v>
      </c>
      <c r="N3228" s="3" t="s">
        <v>28</v>
      </c>
      <c r="O3228" s="3" t="s">
        <v>27</v>
      </c>
      <c r="P3228" s="3" t="s">
        <v>28</v>
      </c>
      <c r="Q3228" s="3" t="s">
        <v>28</v>
      </c>
      <c r="R3228" s="3" t="s">
        <v>28</v>
      </c>
      <c r="S3228" s="3" t="s">
        <v>27</v>
      </c>
      <c r="T3228" s="3" t="s">
        <v>28</v>
      </c>
    </row>
    <row r="3229" spans="1:20" ht="409.6">
      <c r="A3229" s="3">
        <v>2670777</v>
      </c>
      <c r="B3229" s="3">
        <f>HYPERLINK("https://platform.v2.vetology.net/cases/2670777/screening-report/6?type=pdf&amp;v=v6&amp;scorecard=1&amp;secret_key=BX%25IJ%24%2F65ieZ%29f6", 2670777)</f>
        <v>2670777</v>
      </c>
      <c r="C3229" s="3">
        <f>HYPERLINK("https://platform.v2.vetology.net/report/v/final/"&amp;2670777, 2670777)</f>
        <v>2670777</v>
      </c>
      <c r="D3229" s="3" t="s">
        <v>10735</v>
      </c>
      <c r="E3229" s="3" t="s">
        <v>7073</v>
      </c>
      <c r="F3229" s="3" t="s">
        <v>3245</v>
      </c>
      <c r="G3229" s="3" t="s">
        <v>57</v>
      </c>
      <c r="H3229" s="3" t="s">
        <v>10736</v>
      </c>
      <c r="I3229" s="3" t="s">
        <v>3492</v>
      </c>
      <c r="J3229" s="3" t="s">
        <v>154</v>
      </c>
      <c r="K3229" s="3" t="s">
        <v>28</v>
      </c>
      <c r="L3229" s="3" t="s">
        <v>28</v>
      </c>
      <c r="M3229" s="3" t="s">
        <v>27</v>
      </c>
      <c r="N3229" s="3" t="s">
        <v>28</v>
      </c>
      <c r="O3229" s="3" t="s">
        <v>27</v>
      </c>
      <c r="P3229" s="3" t="s">
        <v>28</v>
      </c>
      <c r="Q3229" s="3" t="s">
        <v>27</v>
      </c>
      <c r="R3229" s="3" t="s">
        <v>28</v>
      </c>
      <c r="S3229" s="3" t="s">
        <v>27</v>
      </c>
      <c r="T3229" s="3" t="s">
        <v>28</v>
      </c>
    </row>
    <row r="3230" spans="1:20" ht="409.6">
      <c r="A3230" s="3">
        <v>2670764</v>
      </c>
      <c r="B3230" s="3">
        <f>HYPERLINK("https://platform.v2.vetology.net/cases/2670764/screening-report/6?type=pdf&amp;v=v6&amp;scorecard=1&amp;secret_key=BX%25IJ%24%2F65ieZ%29f6", 2670764)</f>
        <v>2670764</v>
      </c>
      <c r="C3230" s="3">
        <f>HYPERLINK("https://platform.v2.vetology.net/report/v/final/"&amp;2670764, 2670764)</f>
        <v>2670764</v>
      </c>
      <c r="D3230" s="3" t="s">
        <v>10737</v>
      </c>
      <c r="E3230" s="3" t="s">
        <v>10738</v>
      </c>
      <c r="F3230" s="3" t="s">
        <v>10739</v>
      </c>
      <c r="G3230" s="3" t="s">
        <v>57</v>
      </c>
      <c r="H3230" s="3" t="s">
        <v>10740</v>
      </c>
      <c r="I3230" s="3" t="s">
        <v>4591</v>
      </c>
      <c r="J3230" s="3" t="s">
        <v>4592</v>
      </c>
      <c r="K3230" s="3" t="s">
        <v>27</v>
      </c>
      <c r="L3230" s="3" t="s">
        <v>28</v>
      </c>
      <c r="M3230" s="3" t="s">
        <v>28</v>
      </c>
      <c r="N3230" s="3" t="s">
        <v>28</v>
      </c>
      <c r="O3230" s="3" t="s">
        <v>27</v>
      </c>
      <c r="P3230" s="3" t="s">
        <v>28</v>
      </c>
      <c r="Q3230" s="3" t="s">
        <v>28</v>
      </c>
      <c r="R3230" s="3" t="s">
        <v>28</v>
      </c>
      <c r="S3230" s="3" t="s">
        <v>27</v>
      </c>
      <c r="T3230" s="3" t="s">
        <v>28</v>
      </c>
    </row>
    <row r="3231" spans="1:20" ht="409.6">
      <c r="A3231" s="3">
        <v>2670659</v>
      </c>
      <c r="B3231" s="3">
        <f>HYPERLINK("https://platform.v2.vetology.net/cases/2670659/screening-report/6?type=pdf&amp;v=v6&amp;scorecard=1&amp;secret_key=BX%25IJ%24%2F65ieZ%29f6", 2670659)</f>
        <v>2670659</v>
      </c>
      <c r="C3231" s="3">
        <f>HYPERLINK("https://platform.v2.vetology.net/report/v/final/"&amp;2670659, 2670659)</f>
        <v>2670659</v>
      </c>
      <c r="D3231" s="3" t="s">
        <v>10741</v>
      </c>
      <c r="E3231" s="3" t="s">
        <v>10742</v>
      </c>
      <c r="F3231" s="3" t="s">
        <v>10743</v>
      </c>
      <c r="G3231" s="3" t="s">
        <v>57</v>
      </c>
      <c r="H3231" s="3" t="s">
        <v>10744</v>
      </c>
      <c r="I3231" s="3" t="s">
        <v>484</v>
      </c>
      <c r="J3231" s="3" t="s">
        <v>53</v>
      </c>
      <c r="K3231" s="3" t="s">
        <v>28</v>
      </c>
      <c r="L3231" s="3" t="s">
        <v>28</v>
      </c>
      <c r="M3231" s="3" t="s">
        <v>28</v>
      </c>
      <c r="N3231" s="3" t="s">
        <v>28</v>
      </c>
      <c r="O3231" s="3" t="s">
        <v>27</v>
      </c>
      <c r="P3231" s="3" t="s">
        <v>28</v>
      </c>
      <c r="Q3231" s="3" t="s">
        <v>28</v>
      </c>
      <c r="R3231" s="3" t="s">
        <v>28</v>
      </c>
      <c r="S3231" s="3" t="s">
        <v>28</v>
      </c>
      <c r="T3231" s="3" t="s">
        <v>28</v>
      </c>
    </row>
    <row r="3232" spans="1:20" ht="290.25">
      <c r="A3232" s="3">
        <v>2670630</v>
      </c>
      <c r="B3232" s="3">
        <f>HYPERLINK("https://platform.v2.vetology.net/cases/2670630/screening-report/6?type=pdf&amp;v=v6&amp;scorecard=1&amp;secret_key=BX%25IJ%24%2F65ieZ%29f6", 2670630)</f>
        <v>2670630</v>
      </c>
      <c r="C3232" s="3">
        <f>HYPERLINK("https://platform.v2.vetology.net/report/v/final/"&amp;2670630, 2670630)</f>
        <v>2670630</v>
      </c>
      <c r="D3232" s="3" t="s">
        <v>10745</v>
      </c>
      <c r="E3232" s="3" t="s">
        <v>10746</v>
      </c>
      <c r="F3232" s="3" t="s">
        <v>22</v>
      </c>
      <c r="G3232" s="3" t="s">
        <v>372</v>
      </c>
      <c r="H3232" s="3" t="s">
        <v>10486</v>
      </c>
      <c r="I3232" s="3" t="s">
        <v>2024</v>
      </c>
      <c r="J3232" s="3" t="s">
        <v>207</v>
      </c>
      <c r="K3232" s="3" t="s">
        <v>28</v>
      </c>
      <c r="L3232" s="3" t="s">
        <v>28</v>
      </c>
      <c r="M3232" s="3" t="s">
        <v>28</v>
      </c>
      <c r="N3232" s="3" t="s">
        <v>28</v>
      </c>
      <c r="O3232" s="3" t="s">
        <v>27</v>
      </c>
      <c r="P3232" s="3" t="s">
        <v>28</v>
      </c>
      <c r="Q3232" s="3" t="s">
        <v>27</v>
      </c>
      <c r="R3232" s="3" t="s">
        <v>28</v>
      </c>
      <c r="S3232" s="3" t="s">
        <v>28</v>
      </c>
      <c r="T3232" s="3" t="s">
        <v>28</v>
      </c>
    </row>
    <row r="3233" spans="1:20" ht="409.6">
      <c r="A3233" s="3">
        <v>2670612</v>
      </c>
      <c r="B3233" s="3">
        <f>HYPERLINK("https://platform.v2.vetology.net/cases/2670612/screening-report/6?type=pdf&amp;v=v6&amp;scorecard=1&amp;secret_key=BX%25IJ%24%2F65ieZ%29f6", 2670612)</f>
        <v>2670612</v>
      </c>
      <c r="C3233" s="3">
        <f>HYPERLINK("https://platform.v2.vetology.net/report/v/final/"&amp;2670612, 2670612)</f>
        <v>2670612</v>
      </c>
      <c r="D3233" s="3" t="s">
        <v>10747</v>
      </c>
      <c r="E3233" s="3" t="s">
        <v>10748</v>
      </c>
      <c r="F3233" s="3" t="s">
        <v>10749</v>
      </c>
      <c r="G3233" s="3" t="s">
        <v>1772</v>
      </c>
      <c r="H3233" s="3" t="s">
        <v>10750</v>
      </c>
      <c r="I3233" s="3" t="s">
        <v>952</v>
      </c>
      <c r="J3233" s="3" t="s">
        <v>953</v>
      </c>
      <c r="K3233" s="3" t="s">
        <v>27</v>
      </c>
      <c r="L3233" s="3" t="s">
        <v>28</v>
      </c>
      <c r="M3233" s="3" t="s">
        <v>28</v>
      </c>
      <c r="N3233" s="3" t="s">
        <v>28</v>
      </c>
      <c r="O3233" s="3" t="s">
        <v>27</v>
      </c>
      <c r="P3233" s="3" t="s">
        <v>27</v>
      </c>
      <c r="Q3233" s="3" t="s">
        <v>28</v>
      </c>
      <c r="R3233" s="3" t="s">
        <v>28</v>
      </c>
      <c r="S3233" s="3" t="s">
        <v>28</v>
      </c>
      <c r="T3233" s="3" t="s">
        <v>27</v>
      </c>
    </row>
    <row r="3234" spans="1:20" ht="336">
      <c r="A3234" s="3">
        <v>2670412</v>
      </c>
      <c r="B3234" s="3">
        <f>HYPERLINK("https://platform.v2.vetology.net/cases/2670412/screening-report/6?type=pdf&amp;v=v6&amp;scorecard=1&amp;secret_key=BX%25IJ%24%2F65ieZ%29f6", 2670412)</f>
        <v>2670412</v>
      </c>
      <c r="C3234" s="3">
        <f>HYPERLINK("https://platform.v2.vetology.net/report/v/final/"&amp;2670412, 2670412)</f>
        <v>2670412</v>
      </c>
      <c r="D3234" s="3" t="s">
        <v>10751</v>
      </c>
      <c r="E3234" s="3" t="s">
        <v>10752</v>
      </c>
      <c r="F3234" s="3" t="s">
        <v>10753</v>
      </c>
      <c r="G3234" s="3" t="s">
        <v>372</v>
      </c>
      <c r="H3234" s="3" t="s">
        <v>7688</v>
      </c>
      <c r="I3234" s="3" t="s">
        <v>7689</v>
      </c>
      <c r="J3234" s="3" t="s">
        <v>7690</v>
      </c>
      <c r="K3234" s="3" t="s">
        <v>27</v>
      </c>
      <c r="L3234" s="3" t="s">
        <v>27</v>
      </c>
      <c r="M3234" s="3" t="s">
        <v>28</v>
      </c>
      <c r="N3234" s="3" t="s">
        <v>27</v>
      </c>
      <c r="O3234" s="3" t="s">
        <v>27</v>
      </c>
      <c r="P3234" s="3" t="s">
        <v>28</v>
      </c>
      <c r="Q3234" s="3" t="s">
        <v>27</v>
      </c>
      <c r="R3234" s="3" t="s">
        <v>28</v>
      </c>
      <c r="S3234" s="3" t="s">
        <v>27</v>
      </c>
      <c r="T3234" s="3" t="s">
        <v>28</v>
      </c>
    </row>
    <row r="3235" spans="1:20" ht="381.75">
      <c r="A3235" s="3">
        <v>2670407</v>
      </c>
      <c r="B3235" s="3">
        <f>HYPERLINK("https://platform.v2.vetology.net/cases/2670407/screening-report/6?type=pdf&amp;v=v6&amp;scorecard=1&amp;secret_key=BX%25IJ%24%2F65ieZ%29f6", 2670407)</f>
        <v>2670407</v>
      </c>
      <c r="C3235" s="3">
        <f>HYPERLINK("https://platform.v2.vetology.net/report/v/final/"&amp;2670407, 2670407)</f>
        <v>2670407</v>
      </c>
      <c r="D3235" s="3" t="s">
        <v>10754</v>
      </c>
      <c r="E3235" s="3" t="s">
        <v>10755</v>
      </c>
      <c r="F3235" s="3" t="s">
        <v>22</v>
      </c>
      <c r="G3235" s="3" t="s">
        <v>372</v>
      </c>
      <c r="H3235" s="3" t="s">
        <v>10756</v>
      </c>
      <c r="I3235" s="3" t="s">
        <v>1070</v>
      </c>
      <c r="J3235" s="3" t="s">
        <v>207</v>
      </c>
      <c r="K3235" s="3" t="s">
        <v>27</v>
      </c>
      <c r="L3235" s="3" t="s">
        <v>28</v>
      </c>
      <c r="M3235" s="3" t="s">
        <v>28</v>
      </c>
      <c r="N3235" s="3" t="s">
        <v>28</v>
      </c>
      <c r="O3235" s="3" t="s">
        <v>27</v>
      </c>
      <c r="P3235" s="3" t="s">
        <v>27</v>
      </c>
      <c r="Q3235" s="3" t="s">
        <v>28</v>
      </c>
      <c r="R3235" s="3" t="s">
        <v>28</v>
      </c>
      <c r="S3235" s="3" t="s">
        <v>28</v>
      </c>
      <c r="T3235" s="3" t="s">
        <v>28</v>
      </c>
    </row>
    <row r="3236" spans="1:20" ht="229.5">
      <c r="A3236" s="3">
        <v>2670346</v>
      </c>
      <c r="B3236" s="3">
        <f>HYPERLINK("https://platform.v2.vetology.net/cases/2670346/screening-report/6?type=pdf&amp;v=v6&amp;scorecard=1&amp;secret_key=BX%25IJ%24%2F65ieZ%29f6", 2670346)</f>
        <v>2670346</v>
      </c>
      <c r="C3236" s="3">
        <f>HYPERLINK("https://platform.v2.vetology.net/report/v/final/"&amp;2670346, 2670346)</f>
        <v>2670346</v>
      </c>
      <c r="D3236" s="3" t="s">
        <v>10757</v>
      </c>
      <c r="E3236" s="3" t="s">
        <v>10758</v>
      </c>
      <c r="F3236" s="3" t="s">
        <v>8863</v>
      </c>
      <c r="G3236" s="3" t="s">
        <v>186</v>
      </c>
      <c r="H3236" s="3" t="s">
        <v>31</v>
      </c>
      <c r="I3236" s="3" t="s">
        <v>2041</v>
      </c>
      <c r="J3236" s="3" t="s">
        <v>2042</v>
      </c>
      <c r="K3236" s="3" t="s">
        <v>28</v>
      </c>
      <c r="L3236" s="3" t="s">
        <v>28</v>
      </c>
      <c r="M3236" s="3" t="s">
        <v>28</v>
      </c>
      <c r="N3236" s="3" t="s">
        <v>28</v>
      </c>
      <c r="O3236" s="3" t="s">
        <v>27</v>
      </c>
      <c r="P3236" s="3" t="s">
        <v>28</v>
      </c>
      <c r="Q3236" s="3" t="s">
        <v>28</v>
      </c>
      <c r="R3236" s="3" t="s">
        <v>28</v>
      </c>
      <c r="S3236" s="3" t="s">
        <v>28</v>
      </c>
      <c r="T3236" s="3" t="s">
        <v>28</v>
      </c>
    </row>
    <row r="3237" spans="1:20" ht="409.6">
      <c r="A3237" s="3">
        <v>2670330</v>
      </c>
      <c r="B3237" s="3">
        <f>HYPERLINK("https://platform.v2.vetology.net/cases/2670330/screening-report/6?type=pdf&amp;v=v6&amp;scorecard=1&amp;secret_key=BX%25IJ%24%2F65ieZ%29f6", 2670330)</f>
        <v>2670330</v>
      </c>
      <c r="C3237" s="3">
        <f>HYPERLINK("https://platform.v2.vetology.net/report/v/final/"&amp;2670330, 2670330)</f>
        <v>2670330</v>
      </c>
      <c r="D3237" s="3" t="s">
        <v>10759</v>
      </c>
      <c r="E3237" s="3" t="s">
        <v>10760</v>
      </c>
      <c r="F3237" s="3" t="s">
        <v>10761</v>
      </c>
      <c r="G3237" s="3" t="s">
        <v>211</v>
      </c>
      <c r="H3237" s="3" t="s">
        <v>10762</v>
      </c>
      <c r="I3237" s="3" t="s">
        <v>10763</v>
      </c>
      <c r="J3237" s="3" t="s">
        <v>2398</v>
      </c>
      <c r="K3237" s="3" t="s">
        <v>27</v>
      </c>
      <c r="L3237" s="3" t="s">
        <v>27</v>
      </c>
      <c r="M3237" s="3" t="s">
        <v>27</v>
      </c>
      <c r="N3237" s="3" t="s">
        <v>27</v>
      </c>
      <c r="O3237" s="3" t="s">
        <v>27</v>
      </c>
      <c r="P3237" s="3" t="s">
        <v>27</v>
      </c>
      <c r="Q3237" s="3" t="s">
        <v>27</v>
      </c>
      <c r="R3237" s="3" t="s">
        <v>27</v>
      </c>
      <c r="S3237" s="3" t="s">
        <v>27</v>
      </c>
      <c r="T3237" s="3" t="s">
        <v>27</v>
      </c>
    </row>
    <row r="3238" spans="1:20" ht="396.75">
      <c r="A3238" s="3">
        <v>2670318</v>
      </c>
      <c r="B3238" s="3">
        <f>HYPERLINK("https://platform.v2.vetology.net/cases/2670318/screening-report/6?type=pdf&amp;v=v6&amp;scorecard=1&amp;secret_key=BX%25IJ%24%2F65ieZ%29f6", 2670318)</f>
        <v>2670318</v>
      </c>
      <c r="C3238" s="3">
        <f>HYPERLINK("https://platform.v2.vetology.net/report/v/final/"&amp;2670318, 2670318)</f>
        <v>2670318</v>
      </c>
      <c r="D3238" s="3" t="s">
        <v>10764</v>
      </c>
      <c r="E3238" s="3" t="s">
        <v>10765</v>
      </c>
      <c r="F3238" s="3" t="s">
        <v>772</v>
      </c>
      <c r="G3238" s="3" t="s">
        <v>57</v>
      </c>
      <c r="H3238" s="3" t="s">
        <v>2267</v>
      </c>
      <c r="I3238" s="3" t="s">
        <v>305</v>
      </c>
      <c r="J3238" s="3" t="s">
        <v>119</v>
      </c>
      <c r="K3238" s="3" t="s">
        <v>28</v>
      </c>
      <c r="L3238" s="3" t="s">
        <v>28</v>
      </c>
      <c r="M3238" s="3" t="s">
        <v>28</v>
      </c>
      <c r="N3238" s="3" t="s">
        <v>28</v>
      </c>
      <c r="O3238" s="3" t="s">
        <v>28</v>
      </c>
      <c r="P3238" s="3" t="s">
        <v>28</v>
      </c>
      <c r="Q3238" s="3" t="s">
        <v>28</v>
      </c>
      <c r="R3238" s="3" t="s">
        <v>28</v>
      </c>
      <c r="S3238" s="3" t="s">
        <v>28</v>
      </c>
      <c r="T3238" s="3" t="s">
        <v>28</v>
      </c>
    </row>
    <row r="3239" spans="1:20" ht="366">
      <c r="A3239" s="3">
        <v>2670316</v>
      </c>
      <c r="B3239" s="3">
        <f>HYPERLINK("https://platform.v2.vetology.net/cases/2670316/screening-report/6?type=pdf&amp;v=v6&amp;scorecard=1&amp;secret_key=BX%25IJ%24%2F65ieZ%29f6", 2670316)</f>
        <v>2670316</v>
      </c>
      <c r="C3239" s="3">
        <f>HYPERLINK("https://platform.v2.vetology.net/report/v/final/"&amp;2670316, 2670316)</f>
        <v>2670316</v>
      </c>
      <c r="D3239" s="3" t="s">
        <v>10766</v>
      </c>
      <c r="E3239" s="3" t="s">
        <v>10767</v>
      </c>
      <c r="F3239" s="3" t="s">
        <v>10768</v>
      </c>
      <c r="G3239" s="3" t="s">
        <v>211</v>
      </c>
      <c r="H3239" s="3" t="s">
        <v>10769</v>
      </c>
      <c r="I3239" s="3" t="s">
        <v>1483</v>
      </c>
      <c r="J3239" s="3" t="s">
        <v>5778</v>
      </c>
      <c r="K3239" s="3" t="s">
        <v>28</v>
      </c>
      <c r="L3239" s="3" t="s">
        <v>28</v>
      </c>
      <c r="M3239" s="3" t="s">
        <v>28</v>
      </c>
      <c r="N3239" s="3" t="s">
        <v>28</v>
      </c>
      <c r="O3239" s="3" t="s">
        <v>27</v>
      </c>
      <c r="P3239" s="3" t="s">
        <v>28</v>
      </c>
      <c r="Q3239" s="3" t="s">
        <v>28</v>
      </c>
      <c r="R3239" s="3" t="s">
        <v>28</v>
      </c>
      <c r="S3239" s="3" t="s">
        <v>28</v>
      </c>
      <c r="T3239" s="3" t="s">
        <v>28</v>
      </c>
    </row>
    <row r="3240" spans="1:20" ht="409.6">
      <c r="A3240" s="3">
        <v>2670280</v>
      </c>
      <c r="B3240" s="3">
        <f>HYPERLINK("https://platform.v2.vetology.net/cases/2670280/screening-report/6?type=pdf&amp;v=v6&amp;scorecard=1&amp;secret_key=BX%25IJ%24%2F65ieZ%29f6", 2670280)</f>
        <v>2670280</v>
      </c>
      <c r="C3240" s="3">
        <f>HYPERLINK("https://platform.v2.vetology.net/report/v/final/"&amp;2670280, 2670280)</f>
        <v>2670280</v>
      </c>
      <c r="D3240" s="3" t="s">
        <v>10770</v>
      </c>
      <c r="E3240" s="3" t="s">
        <v>10771</v>
      </c>
      <c r="F3240" s="3"/>
      <c r="G3240" s="3" t="s">
        <v>122</v>
      </c>
      <c r="H3240" s="3" t="s">
        <v>3232</v>
      </c>
      <c r="I3240" s="3" t="s">
        <v>3233</v>
      </c>
      <c r="J3240" s="3" t="s">
        <v>3234</v>
      </c>
      <c r="K3240" s="3" t="s">
        <v>28</v>
      </c>
      <c r="L3240" s="3" t="s">
        <v>27</v>
      </c>
      <c r="M3240" s="3" t="s">
        <v>27</v>
      </c>
      <c r="N3240" s="3" t="s">
        <v>27</v>
      </c>
      <c r="O3240" s="3" t="s">
        <v>27</v>
      </c>
      <c r="P3240" s="3" t="s">
        <v>28</v>
      </c>
      <c r="Q3240" s="3" t="s">
        <v>27</v>
      </c>
      <c r="R3240" s="3" t="s">
        <v>27</v>
      </c>
      <c r="S3240" s="3" t="s">
        <v>27</v>
      </c>
      <c r="T3240" s="3" t="s">
        <v>27</v>
      </c>
    </row>
    <row r="3241" spans="1:20" ht="244.5">
      <c r="A3241" s="3">
        <v>2670242</v>
      </c>
      <c r="B3241" s="3">
        <f>HYPERLINK("https://platform.v2.vetology.net/cases/2670242/screening-report/6?type=pdf&amp;v=v6&amp;scorecard=1&amp;secret_key=BX%25IJ%24%2F65ieZ%29f6", 2670242)</f>
        <v>2670242</v>
      </c>
      <c r="C3241" s="3">
        <f>HYPERLINK("https://platform.v2.vetology.net/report/v/final/"&amp;2670242, 2670242)</f>
        <v>2670242</v>
      </c>
      <c r="D3241" s="3" t="s">
        <v>10772</v>
      </c>
      <c r="E3241" s="3" t="s">
        <v>10773</v>
      </c>
      <c r="F3241" s="3" t="s">
        <v>10774</v>
      </c>
      <c r="G3241" s="3" t="s">
        <v>186</v>
      </c>
      <c r="H3241" s="3" t="s">
        <v>10775</v>
      </c>
      <c r="I3241" s="3" t="s">
        <v>2170</v>
      </c>
      <c r="J3241" s="3" t="s">
        <v>2171</v>
      </c>
      <c r="K3241" s="3" t="s">
        <v>28</v>
      </c>
      <c r="L3241" s="3" t="s">
        <v>28</v>
      </c>
      <c r="M3241" s="3" t="s">
        <v>28</v>
      </c>
      <c r="N3241" s="3" t="s">
        <v>28</v>
      </c>
      <c r="O3241" s="3" t="s">
        <v>27</v>
      </c>
      <c r="P3241" s="3" t="s">
        <v>28</v>
      </c>
      <c r="Q3241" s="3" t="s">
        <v>28</v>
      </c>
      <c r="R3241" s="3" t="s">
        <v>27</v>
      </c>
      <c r="S3241" s="3" t="s">
        <v>27</v>
      </c>
      <c r="T3241" s="3" t="s">
        <v>27</v>
      </c>
    </row>
    <row r="3242" spans="1:20" ht="409.6">
      <c r="A3242" s="3">
        <v>2670207</v>
      </c>
      <c r="B3242" s="3">
        <f>HYPERLINK("https://platform.v2.vetology.net/cases/2670207/screening-report/6?type=pdf&amp;v=v6&amp;scorecard=1&amp;secret_key=BX%25IJ%24%2F65ieZ%29f6", 2670207)</f>
        <v>2670207</v>
      </c>
      <c r="C3242" s="3">
        <f>HYPERLINK("https://platform.v2.vetology.net/report/v/final/"&amp;2670207, 2670207)</f>
        <v>2670207</v>
      </c>
      <c r="D3242" s="3" t="s">
        <v>10776</v>
      </c>
      <c r="E3242" s="3" t="s">
        <v>10777</v>
      </c>
      <c r="F3242" s="3" t="s">
        <v>22</v>
      </c>
      <c r="G3242" s="3" t="s">
        <v>372</v>
      </c>
      <c r="H3242" s="3" t="s">
        <v>10778</v>
      </c>
      <c r="I3242" s="3" t="s">
        <v>1574</v>
      </c>
      <c r="J3242" s="3" t="s">
        <v>1083</v>
      </c>
      <c r="K3242" s="3" t="s">
        <v>27</v>
      </c>
      <c r="L3242" s="3" t="s">
        <v>28</v>
      </c>
      <c r="M3242" s="3" t="s">
        <v>27</v>
      </c>
      <c r="N3242" s="3" t="s">
        <v>28</v>
      </c>
      <c r="O3242" s="3" t="s">
        <v>27</v>
      </c>
      <c r="P3242" s="3" t="s">
        <v>28</v>
      </c>
      <c r="Q3242" s="3" t="s">
        <v>28</v>
      </c>
      <c r="R3242" s="3" t="s">
        <v>28</v>
      </c>
      <c r="S3242" s="3" t="s">
        <v>27</v>
      </c>
      <c r="T3242" s="3" t="s">
        <v>28</v>
      </c>
    </row>
    <row r="3243" spans="1:20" ht="409.6">
      <c r="A3243" s="3">
        <v>2670172</v>
      </c>
      <c r="B3243" s="3">
        <f>HYPERLINK("https://platform.v2.vetology.net/cases/2670172/screening-report/6?type=pdf&amp;v=v6&amp;scorecard=1&amp;secret_key=BX%25IJ%24%2F65ieZ%29f6", 2670172)</f>
        <v>2670172</v>
      </c>
      <c r="C3243" s="3">
        <f>HYPERLINK("https://platform.v2.vetology.net/report/v/final/"&amp;2670172, 2670172)</f>
        <v>2670172</v>
      </c>
      <c r="D3243" s="3" t="s">
        <v>10779</v>
      </c>
      <c r="E3243" s="3" t="s">
        <v>10780</v>
      </c>
      <c r="F3243" s="3" t="s">
        <v>1765</v>
      </c>
      <c r="G3243" s="3" t="s">
        <v>57</v>
      </c>
      <c r="H3243" s="3" t="s">
        <v>10781</v>
      </c>
      <c r="I3243" s="3" t="s">
        <v>4591</v>
      </c>
      <c r="J3243" s="3" t="s">
        <v>4592</v>
      </c>
      <c r="K3243" s="3" t="s">
        <v>27</v>
      </c>
      <c r="L3243" s="3" t="s">
        <v>27</v>
      </c>
      <c r="M3243" s="3" t="s">
        <v>28</v>
      </c>
      <c r="N3243" s="3" t="s">
        <v>28</v>
      </c>
      <c r="O3243" s="3" t="s">
        <v>28</v>
      </c>
      <c r="P3243" s="3" t="s">
        <v>28</v>
      </c>
      <c r="Q3243" s="3" t="s">
        <v>28</v>
      </c>
      <c r="R3243" s="3" t="s">
        <v>28</v>
      </c>
      <c r="S3243" s="3" t="s">
        <v>27</v>
      </c>
      <c r="T3243" s="3" t="s">
        <v>28</v>
      </c>
    </row>
    <row r="3244" spans="1:20" ht="409.6">
      <c r="A3244" s="3">
        <v>2670152</v>
      </c>
      <c r="B3244" s="3">
        <f>HYPERLINK("https://platform.v2.vetology.net/cases/2670152/screening-report/6?type=pdf&amp;v=v6&amp;scorecard=1&amp;secret_key=BX%25IJ%24%2F65ieZ%29f6", 2670152)</f>
        <v>2670152</v>
      </c>
      <c r="C3244" s="3">
        <f>HYPERLINK("https://platform.v2.vetology.net/report/v/final/"&amp;2670152, 2670152)</f>
        <v>2670152</v>
      </c>
      <c r="D3244" s="3" t="s">
        <v>10782</v>
      </c>
      <c r="E3244" s="3" t="s">
        <v>10783</v>
      </c>
      <c r="F3244" s="3" t="s">
        <v>10784</v>
      </c>
      <c r="G3244" s="3" t="s">
        <v>186</v>
      </c>
      <c r="H3244" s="3" t="s">
        <v>6289</v>
      </c>
      <c r="I3244" s="3" t="s">
        <v>3391</v>
      </c>
      <c r="J3244" s="3" t="s">
        <v>3392</v>
      </c>
      <c r="K3244" s="3" t="s">
        <v>28</v>
      </c>
      <c r="L3244" s="3" t="s">
        <v>28</v>
      </c>
      <c r="M3244" s="3" t="s">
        <v>27</v>
      </c>
      <c r="N3244" s="3" t="s">
        <v>28</v>
      </c>
      <c r="O3244" s="3" t="s">
        <v>27</v>
      </c>
      <c r="P3244" s="3" t="s">
        <v>28</v>
      </c>
      <c r="Q3244" s="3" t="s">
        <v>27</v>
      </c>
      <c r="R3244" s="3" t="s">
        <v>28</v>
      </c>
      <c r="S3244" s="3" t="s">
        <v>27</v>
      </c>
      <c r="T3244" s="3" t="s">
        <v>28</v>
      </c>
    </row>
    <row r="3245" spans="1:20" ht="396.75">
      <c r="A3245" s="3">
        <v>2670049</v>
      </c>
      <c r="B3245" s="3">
        <f>HYPERLINK("https://platform.v2.vetology.net/cases/2670049/screening-report/6?type=pdf&amp;v=v6&amp;scorecard=1&amp;secret_key=BX%25IJ%24%2F65ieZ%29f6", 2670049)</f>
        <v>2670049</v>
      </c>
      <c r="C3245" s="3">
        <f>HYPERLINK("https://platform.v2.vetology.net/report/v/final/"&amp;2670049, 2670049)</f>
        <v>2670049</v>
      </c>
      <c r="D3245" s="3" t="s">
        <v>10785</v>
      </c>
      <c r="E3245" s="3" t="s">
        <v>10786</v>
      </c>
      <c r="F3245" s="3" t="s">
        <v>10787</v>
      </c>
      <c r="G3245" s="3" t="s">
        <v>186</v>
      </c>
      <c r="H3245" s="3" t="s">
        <v>1508</v>
      </c>
      <c r="I3245" s="3" t="s">
        <v>351</v>
      </c>
      <c r="J3245" s="3" t="s">
        <v>352</v>
      </c>
      <c r="K3245" s="3" t="s">
        <v>28</v>
      </c>
      <c r="L3245" s="3" t="s">
        <v>28</v>
      </c>
      <c r="M3245" s="3" t="s">
        <v>28</v>
      </c>
      <c r="N3245" s="3" t="s">
        <v>28</v>
      </c>
      <c r="O3245" s="3" t="s">
        <v>28</v>
      </c>
      <c r="P3245" s="3" t="s">
        <v>28</v>
      </c>
      <c r="Q3245" s="3" t="s">
        <v>28</v>
      </c>
      <c r="R3245" s="3" t="s">
        <v>28</v>
      </c>
      <c r="S3245" s="3" t="s">
        <v>28</v>
      </c>
      <c r="T3245" s="3" t="s">
        <v>27</v>
      </c>
    </row>
    <row r="3246" spans="1:20" ht="305.25">
      <c r="A3246" s="3">
        <v>2670024</v>
      </c>
      <c r="B3246" s="3">
        <f>HYPERLINK("https://platform.v2.vetology.net/cases/2670024/screening-report/6?type=pdf&amp;v=v6&amp;scorecard=1&amp;secret_key=BX%25IJ%24%2F65ieZ%29f6", 2670024)</f>
        <v>2670024</v>
      </c>
      <c r="C3246" s="3">
        <f>HYPERLINK("https://platform.v2.vetology.net/report/v/final/"&amp;2670024, 2670024)</f>
        <v>2670024</v>
      </c>
      <c r="D3246" s="3" t="s">
        <v>10788</v>
      </c>
      <c r="E3246" s="3" t="s">
        <v>5903</v>
      </c>
      <c r="F3246" s="3" t="s">
        <v>5904</v>
      </c>
      <c r="G3246" s="3" t="s">
        <v>100</v>
      </c>
      <c r="H3246" s="3" t="s">
        <v>908</v>
      </c>
      <c r="I3246" s="3" t="s">
        <v>32</v>
      </c>
      <c r="J3246" s="3" t="s">
        <v>33</v>
      </c>
      <c r="K3246" s="3" t="s">
        <v>28</v>
      </c>
      <c r="L3246" s="3" t="s">
        <v>28</v>
      </c>
      <c r="M3246" s="3" t="s">
        <v>28</v>
      </c>
      <c r="N3246" s="3" t="s">
        <v>28</v>
      </c>
      <c r="O3246" s="3" t="s">
        <v>28</v>
      </c>
      <c r="P3246" s="3" t="s">
        <v>28</v>
      </c>
      <c r="Q3246" s="3" t="s">
        <v>28</v>
      </c>
      <c r="R3246" s="3" t="s">
        <v>28</v>
      </c>
      <c r="S3246" s="3" t="s">
        <v>28</v>
      </c>
      <c r="T3246" s="3" t="s">
        <v>28</v>
      </c>
    </row>
    <row r="3247" spans="1:20" ht="275.25">
      <c r="A3247" s="3">
        <v>2669992</v>
      </c>
      <c r="B3247" s="3">
        <f>HYPERLINK("https://platform.v2.vetology.net/cases/2669992/screening-report/6?type=pdf&amp;v=v6&amp;scorecard=1&amp;secret_key=BX%25IJ%24%2F65ieZ%29f6", 2669992)</f>
        <v>2669992</v>
      </c>
      <c r="C3247" s="3">
        <f>HYPERLINK("https://platform.v2.vetology.net/report/v/final/"&amp;2669992, 2669992)</f>
        <v>2669992</v>
      </c>
      <c r="D3247" s="3" t="s">
        <v>10789</v>
      </c>
      <c r="E3247" s="3" t="s">
        <v>10790</v>
      </c>
      <c r="F3247" s="3" t="s">
        <v>22</v>
      </c>
      <c r="G3247" s="3" t="s">
        <v>372</v>
      </c>
      <c r="H3247" s="3" t="s">
        <v>31</v>
      </c>
      <c r="I3247" s="3" t="s">
        <v>32</v>
      </c>
      <c r="J3247" s="3" t="s">
        <v>847</v>
      </c>
      <c r="K3247" s="3" t="s">
        <v>28</v>
      </c>
      <c r="L3247" s="3" t="s">
        <v>28</v>
      </c>
      <c r="M3247" s="3" t="s">
        <v>28</v>
      </c>
      <c r="N3247" s="3" t="s">
        <v>28</v>
      </c>
      <c r="O3247" s="3" t="s">
        <v>27</v>
      </c>
      <c r="P3247" s="3" t="s">
        <v>28</v>
      </c>
      <c r="Q3247" s="3" t="s">
        <v>28</v>
      </c>
      <c r="R3247" s="3" t="s">
        <v>28</v>
      </c>
      <c r="S3247" s="3" t="s">
        <v>28</v>
      </c>
      <c r="T3247" s="3" t="s">
        <v>28</v>
      </c>
    </row>
    <row r="3248" spans="1:20" ht="336">
      <c r="A3248" s="3">
        <v>2669966</v>
      </c>
      <c r="B3248" s="3">
        <f>HYPERLINK("https://platform.v2.vetology.net/cases/2669966/screening-report/6?type=pdf&amp;v=v6&amp;scorecard=1&amp;secret_key=BX%25IJ%24%2F65ieZ%29f6", 2669966)</f>
        <v>2669966</v>
      </c>
      <c r="C3248" s="3">
        <f>HYPERLINK("https://platform.v2.vetology.net/report/v/final/"&amp;2669966, 2669966)</f>
        <v>2669966</v>
      </c>
      <c r="D3248" s="3" t="s">
        <v>10791</v>
      </c>
      <c r="E3248" s="3" t="s">
        <v>10792</v>
      </c>
      <c r="F3248" s="3" t="s">
        <v>22</v>
      </c>
      <c r="G3248" s="3" t="s">
        <v>372</v>
      </c>
      <c r="H3248" s="3" t="s">
        <v>7988</v>
      </c>
      <c r="I3248" s="3" t="s">
        <v>124</v>
      </c>
      <c r="J3248" s="3" t="s">
        <v>125</v>
      </c>
      <c r="K3248" s="3" t="s">
        <v>27</v>
      </c>
      <c r="L3248" s="3" t="s">
        <v>28</v>
      </c>
      <c r="M3248" s="3" t="s">
        <v>28</v>
      </c>
      <c r="N3248" s="3" t="s">
        <v>28</v>
      </c>
      <c r="O3248" s="3" t="s">
        <v>27</v>
      </c>
      <c r="P3248" s="3" t="s">
        <v>28</v>
      </c>
      <c r="Q3248" s="3" t="s">
        <v>27</v>
      </c>
      <c r="R3248" s="3" t="s">
        <v>28</v>
      </c>
      <c r="S3248" s="3" t="s">
        <v>28</v>
      </c>
      <c r="T3248" s="3" t="s">
        <v>28</v>
      </c>
    </row>
    <row r="3249" spans="1:20" ht="409.6">
      <c r="A3249" s="3">
        <v>2669922</v>
      </c>
      <c r="B3249" s="3">
        <f>HYPERLINK("https://platform.v2.vetology.net/cases/2669922/screening-report/6?type=pdf&amp;v=v6&amp;scorecard=1&amp;secret_key=BX%25IJ%24%2F65ieZ%29f6", 2669922)</f>
        <v>2669922</v>
      </c>
      <c r="C3249" s="3">
        <f>HYPERLINK("https://platform.v2.vetology.net/report/v/final/"&amp;2669922, 2669922)</f>
        <v>2669922</v>
      </c>
      <c r="D3249" s="3" t="s">
        <v>10793</v>
      </c>
      <c r="E3249" s="3" t="s">
        <v>10794</v>
      </c>
      <c r="F3249" s="3" t="s">
        <v>10795</v>
      </c>
      <c r="G3249" s="3" t="s">
        <v>211</v>
      </c>
      <c r="H3249" s="3" t="s">
        <v>10796</v>
      </c>
      <c r="I3249" s="3" t="s">
        <v>1135</v>
      </c>
      <c r="J3249" s="3" t="s">
        <v>1136</v>
      </c>
      <c r="K3249" s="3" t="s">
        <v>28</v>
      </c>
      <c r="L3249" s="3" t="s">
        <v>27</v>
      </c>
      <c r="M3249" s="3" t="s">
        <v>28</v>
      </c>
      <c r="N3249" s="3" t="s">
        <v>27</v>
      </c>
      <c r="O3249" s="3" t="s">
        <v>27</v>
      </c>
      <c r="P3249" s="3" t="s">
        <v>28</v>
      </c>
      <c r="Q3249" s="3" t="s">
        <v>27</v>
      </c>
      <c r="R3249" s="3" t="s">
        <v>27</v>
      </c>
      <c r="S3249" s="3" t="s">
        <v>27</v>
      </c>
      <c r="T3249" s="3" t="s">
        <v>27</v>
      </c>
    </row>
    <row r="3250" spans="1:20" ht="381.75">
      <c r="A3250" s="3">
        <v>2669913</v>
      </c>
      <c r="B3250" s="3">
        <f>HYPERLINK("https://platform.v2.vetology.net/cases/2669913/screening-report/6?type=pdf&amp;v=v6&amp;scorecard=1&amp;secret_key=BX%25IJ%24%2F65ieZ%29f6", 2669913)</f>
        <v>2669913</v>
      </c>
      <c r="C3250" s="3">
        <f>HYPERLINK("https://platform.v2.vetology.net/report/v/final/"&amp;2669913, 2669913)</f>
        <v>2669913</v>
      </c>
      <c r="D3250" s="3" t="s">
        <v>10797</v>
      </c>
      <c r="E3250" s="3" t="s">
        <v>10798</v>
      </c>
      <c r="F3250" s="3" t="s">
        <v>10799</v>
      </c>
      <c r="G3250" s="3" t="s">
        <v>496</v>
      </c>
      <c r="H3250" s="3" t="s">
        <v>590</v>
      </c>
      <c r="I3250" s="3" t="s">
        <v>291</v>
      </c>
      <c r="J3250" s="3" t="s">
        <v>225</v>
      </c>
      <c r="K3250" s="3" t="s">
        <v>28</v>
      </c>
      <c r="L3250" s="3" t="s">
        <v>28</v>
      </c>
      <c r="M3250" s="3" t="s">
        <v>28</v>
      </c>
      <c r="N3250" s="3" t="s">
        <v>27</v>
      </c>
      <c r="O3250" s="3" t="s">
        <v>27</v>
      </c>
      <c r="P3250" s="3" t="s">
        <v>28</v>
      </c>
      <c r="Q3250" s="3" t="s">
        <v>28</v>
      </c>
      <c r="R3250" s="3" t="s">
        <v>27</v>
      </c>
      <c r="S3250" s="3" t="s">
        <v>27</v>
      </c>
      <c r="T3250" s="3" t="s">
        <v>27</v>
      </c>
    </row>
    <row r="3251" spans="1:20" ht="409.6">
      <c r="A3251" s="3">
        <v>2669907</v>
      </c>
      <c r="B3251" s="3">
        <f>HYPERLINK("https://platform.v2.vetology.net/cases/2669907/screening-report/6?type=pdf&amp;v=v6&amp;scorecard=1&amp;secret_key=BX%25IJ%24%2F65ieZ%29f6", 2669907)</f>
        <v>2669907</v>
      </c>
      <c r="C3251" s="3">
        <f>HYPERLINK("https://platform.v2.vetology.net/report/v/final/"&amp;2669907, 2669907)</f>
        <v>2669907</v>
      </c>
      <c r="D3251" s="3" t="s">
        <v>10800</v>
      </c>
      <c r="E3251" s="3" t="s">
        <v>10801</v>
      </c>
      <c r="F3251" s="3" t="s">
        <v>10802</v>
      </c>
      <c r="G3251" s="3" t="s">
        <v>211</v>
      </c>
      <c r="H3251" s="3" t="s">
        <v>10803</v>
      </c>
      <c r="I3251" s="3" t="s">
        <v>1352</v>
      </c>
      <c r="J3251" s="3" t="s">
        <v>1353</v>
      </c>
      <c r="K3251" s="3" t="s">
        <v>28</v>
      </c>
      <c r="L3251" s="3" t="s">
        <v>27</v>
      </c>
      <c r="M3251" s="3" t="s">
        <v>28</v>
      </c>
      <c r="N3251" s="3" t="s">
        <v>27</v>
      </c>
      <c r="O3251" s="3" t="s">
        <v>27</v>
      </c>
      <c r="P3251" s="3" t="s">
        <v>28</v>
      </c>
      <c r="Q3251" s="3" t="s">
        <v>28</v>
      </c>
      <c r="R3251" s="3" t="s">
        <v>27</v>
      </c>
      <c r="S3251" s="3" t="s">
        <v>28</v>
      </c>
      <c r="T3251" s="3" t="s">
        <v>27</v>
      </c>
    </row>
    <row r="3252" spans="1:20" ht="167.25">
      <c r="A3252" s="3">
        <v>2669904</v>
      </c>
      <c r="B3252" s="3">
        <f>HYPERLINK("https://platform.v2.vetology.net/cases/2669904/screening-report/6?type=pdf&amp;v=v6&amp;scorecard=1&amp;secret_key=BX%25IJ%24%2F65ieZ%29f6", 2669904)</f>
        <v>2669904</v>
      </c>
      <c r="C3252" s="3">
        <f>HYPERLINK("https://platform.v2.vetology.net/report/v/final/"&amp;2669904, 2669904)</f>
        <v>2669904</v>
      </c>
      <c r="D3252" s="3" t="s">
        <v>10804</v>
      </c>
      <c r="E3252" s="3" t="s">
        <v>10805</v>
      </c>
      <c r="F3252" s="3"/>
      <c r="G3252" s="3" t="s">
        <v>122</v>
      </c>
      <c r="H3252" s="3" t="s">
        <v>10806</v>
      </c>
      <c r="I3252" s="3" t="s">
        <v>305</v>
      </c>
      <c r="J3252" s="3" t="s">
        <v>847</v>
      </c>
      <c r="K3252" s="3" t="s">
        <v>28</v>
      </c>
      <c r="L3252" s="3" t="s">
        <v>28</v>
      </c>
      <c r="M3252" s="3" t="s">
        <v>28</v>
      </c>
      <c r="N3252" s="3" t="s">
        <v>28</v>
      </c>
      <c r="O3252" s="3" t="s">
        <v>28</v>
      </c>
      <c r="P3252" s="3" t="s">
        <v>27</v>
      </c>
      <c r="Q3252" s="3" t="s">
        <v>28</v>
      </c>
      <c r="R3252" s="3" t="s">
        <v>28</v>
      </c>
      <c r="S3252" s="3" t="s">
        <v>28</v>
      </c>
      <c r="T3252" s="3" t="s">
        <v>28</v>
      </c>
    </row>
    <row r="3253" spans="1:20" ht="409.6">
      <c r="A3253" s="3">
        <v>2669893</v>
      </c>
      <c r="B3253" s="3">
        <f>HYPERLINK("https://platform.v2.vetology.net/cases/2669893/screening-report/6?type=pdf&amp;v=v6&amp;scorecard=1&amp;secret_key=BX%25IJ%24%2F65ieZ%29f6", 2669893)</f>
        <v>2669893</v>
      </c>
      <c r="C3253" s="3">
        <f>HYPERLINK("https://platform.v2.vetology.net/report/v/final/"&amp;2669893, 2669893)</f>
        <v>2669893</v>
      </c>
      <c r="D3253" s="3" t="s">
        <v>10807</v>
      </c>
      <c r="E3253" s="3" t="s">
        <v>10808</v>
      </c>
      <c r="F3253" s="3" t="s">
        <v>22</v>
      </c>
      <c r="G3253" s="3" t="s">
        <v>372</v>
      </c>
      <c r="H3253" s="3" t="s">
        <v>10809</v>
      </c>
      <c r="I3253" s="3" t="s">
        <v>1417</v>
      </c>
      <c r="J3253" s="3" t="s">
        <v>1418</v>
      </c>
      <c r="K3253" s="3" t="s">
        <v>27</v>
      </c>
      <c r="L3253" s="3" t="s">
        <v>28</v>
      </c>
      <c r="M3253" s="3" t="s">
        <v>27</v>
      </c>
      <c r="N3253" s="3" t="s">
        <v>28</v>
      </c>
      <c r="O3253" s="3" t="s">
        <v>27</v>
      </c>
      <c r="P3253" s="3" t="s">
        <v>27</v>
      </c>
      <c r="Q3253" s="3" t="s">
        <v>27</v>
      </c>
      <c r="R3253" s="3" t="s">
        <v>28</v>
      </c>
      <c r="S3253" s="3" t="s">
        <v>28</v>
      </c>
      <c r="T3253" s="3" t="s">
        <v>28</v>
      </c>
    </row>
    <row r="3254" spans="1:20" ht="409.6">
      <c r="A3254" s="3">
        <v>2669863</v>
      </c>
      <c r="B3254" s="3">
        <f>HYPERLINK("https://platform.v2.vetology.net/cases/2669863/screening-report/6?type=pdf&amp;v=v6&amp;scorecard=1&amp;secret_key=BX%25IJ%24%2F65ieZ%29f6", 2669863)</f>
        <v>2669863</v>
      </c>
      <c r="C3254" s="3">
        <f>HYPERLINK("https://platform.v2.vetology.net/report/v/final/"&amp;2669863, 2669863)</f>
        <v>2669863</v>
      </c>
      <c r="D3254" s="3" t="s">
        <v>10810</v>
      </c>
      <c r="E3254" s="3" t="s">
        <v>10811</v>
      </c>
      <c r="F3254" s="3" t="s">
        <v>10812</v>
      </c>
      <c r="G3254" s="3" t="s">
        <v>736</v>
      </c>
      <c r="H3254" s="3" t="s">
        <v>10813</v>
      </c>
      <c r="I3254" s="3" t="s">
        <v>1592</v>
      </c>
      <c r="J3254" s="3" t="s">
        <v>4188</v>
      </c>
      <c r="K3254" s="3" t="s">
        <v>27</v>
      </c>
      <c r="L3254" s="3" t="s">
        <v>27</v>
      </c>
      <c r="M3254" s="3" t="s">
        <v>28</v>
      </c>
      <c r="N3254" s="3" t="s">
        <v>28</v>
      </c>
      <c r="O3254" s="3" t="s">
        <v>27</v>
      </c>
      <c r="P3254" s="3" t="s">
        <v>28</v>
      </c>
      <c r="Q3254" s="3" t="s">
        <v>28</v>
      </c>
      <c r="R3254" s="3" t="s">
        <v>27</v>
      </c>
      <c r="S3254" s="3" t="s">
        <v>27</v>
      </c>
      <c r="T3254" s="3" t="s">
        <v>28</v>
      </c>
    </row>
    <row r="3255" spans="1:20" ht="229.5">
      <c r="A3255" s="3">
        <v>2669859</v>
      </c>
      <c r="B3255" s="3">
        <f>HYPERLINK("https://platform.v2.vetology.net/cases/2669859/screening-report/6?type=pdf&amp;v=v6&amp;scorecard=1&amp;secret_key=BX%25IJ%24%2F65ieZ%29f6", 2669859)</f>
        <v>2669859</v>
      </c>
      <c r="C3255" s="3">
        <f>HYPERLINK("https://platform.v2.vetology.net/report/v/final/"&amp;2669859, 2669859)</f>
        <v>2669859</v>
      </c>
      <c r="D3255" s="3" t="s">
        <v>10814</v>
      </c>
      <c r="E3255" s="3" t="s">
        <v>10815</v>
      </c>
      <c r="F3255" s="3" t="s">
        <v>10816</v>
      </c>
      <c r="G3255" s="3" t="s">
        <v>211</v>
      </c>
      <c r="H3255" s="3" t="s">
        <v>31</v>
      </c>
      <c r="I3255" s="3" t="s">
        <v>32</v>
      </c>
      <c r="J3255" s="3" t="s">
        <v>119</v>
      </c>
      <c r="K3255" s="3" t="s">
        <v>28</v>
      </c>
      <c r="L3255" s="3" t="s">
        <v>28</v>
      </c>
      <c r="M3255" s="3" t="s">
        <v>28</v>
      </c>
      <c r="N3255" s="3" t="s">
        <v>28</v>
      </c>
      <c r="O3255" s="3" t="s">
        <v>28</v>
      </c>
      <c r="P3255" s="3" t="s">
        <v>28</v>
      </c>
      <c r="Q3255" s="3" t="s">
        <v>28</v>
      </c>
      <c r="R3255" s="3" t="s">
        <v>28</v>
      </c>
      <c r="S3255" s="3" t="s">
        <v>28</v>
      </c>
      <c r="T3255" s="3" t="s">
        <v>28</v>
      </c>
    </row>
    <row r="3256" spans="1:20" ht="409.6">
      <c r="A3256" s="3">
        <v>2669785</v>
      </c>
      <c r="B3256" s="3">
        <f>HYPERLINK("https://platform.v2.vetology.net/cases/2669785/screening-report/6?type=pdf&amp;v=v6&amp;scorecard=1&amp;secret_key=BX%25IJ%24%2F65ieZ%29f6", 2669785)</f>
        <v>2669785</v>
      </c>
      <c r="C3256" s="3">
        <f>HYPERLINK("https://platform.v2.vetology.net/report/v/final/"&amp;2669785, 2669785)</f>
        <v>2669785</v>
      </c>
      <c r="D3256" s="3" t="s">
        <v>10817</v>
      </c>
      <c r="E3256" s="3" t="s">
        <v>10818</v>
      </c>
      <c r="F3256" s="3" t="s">
        <v>10819</v>
      </c>
      <c r="G3256" s="3" t="s">
        <v>100</v>
      </c>
      <c r="H3256" s="3" t="s">
        <v>1591</v>
      </c>
      <c r="I3256" s="3" t="s">
        <v>1592</v>
      </c>
      <c r="J3256" s="3" t="s">
        <v>1593</v>
      </c>
      <c r="K3256" s="3" t="s">
        <v>28</v>
      </c>
      <c r="L3256" s="3" t="s">
        <v>28</v>
      </c>
      <c r="M3256" s="3" t="s">
        <v>27</v>
      </c>
      <c r="N3256" s="3" t="s">
        <v>28</v>
      </c>
      <c r="O3256" s="3" t="s">
        <v>27</v>
      </c>
      <c r="P3256" s="3" t="s">
        <v>28</v>
      </c>
      <c r="Q3256" s="3" t="s">
        <v>27</v>
      </c>
      <c r="R3256" s="3" t="s">
        <v>28</v>
      </c>
      <c r="S3256" s="3" t="s">
        <v>27</v>
      </c>
      <c r="T3256" s="3" t="s">
        <v>28</v>
      </c>
    </row>
    <row r="3257" spans="1:20" ht="336">
      <c r="A3257" s="3">
        <v>2669758</v>
      </c>
      <c r="B3257" s="3">
        <f>HYPERLINK("https://platform.v2.vetology.net/cases/2669758/screening-report/6?type=pdf&amp;v=v6&amp;scorecard=1&amp;secret_key=BX%25IJ%24%2F65ieZ%29f6", 2669758)</f>
        <v>2669758</v>
      </c>
      <c r="C3257" s="3">
        <f>HYPERLINK("https://platform.v2.vetology.net/report/v/final/"&amp;2669758, 2669758)</f>
        <v>2669758</v>
      </c>
      <c r="D3257" s="3" t="s">
        <v>10820</v>
      </c>
      <c r="E3257" s="3" t="s">
        <v>10821</v>
      </c>
      <c r="F3257" s="3" t="s">
        <v>10822</v>
      </c>
      <c r="G3257" s="3" t="s">
        <v>179</v>
      </c>
      <c r="H3257" s="3" t="s">
        <v>10823</v>
      </c>
      <c r="I3257" s="3" t="s">
        <v>124</v>
      </c>
      <c r="J3257" s="3" t="s">
        <v>125</v>
      </c>
      <c r="K3257" s="3" t="s">
        <v>28</v>
      </c>
      <c r="L3257" s="3" t="s">
        <v>28</v>
      </c>
      <c r="M3257" s="3" t="s">
        <v>28</v>
      </c>
      <c r="N3257" s="3" t="s">
        <v>28</v>
      </c>
      <c r="O3257" s="3" t="s">
        <v>27</v>
      </c>
      <c r="P3257" s="3" t="s">
        <v>28</v>
      </c>
      <c r="Q3257" s="3" t="s">
        <v>27</v>
      </c>
      <c r="R3257" s="3" t="s">
        <v>28</v>
      </c>
      <c r="S3257" s="3" t="s">
        <v>28</v>
      </c>
      <c r="T3257" s="3" t="s">
        <v>28</v>
      </c>
    </row>
    <row r="3258" spans="1:20" ht="229.5">
      <c r="A3258" s="3">
        <v>2669754</v>
      </c>
      <c r="B3258" s="3">
        <f>HYPERLINK("https://platform.v2.vetology.net/cases/2669754/screening-report/6?type=pdf&amp;v=v6&amp;scorecard=1&amp;secret_key=BX%25IJ%24%2F65ieZ%29f6", 2669754)</f>
        <v>2669754</v>
      </c>
      <c r="C3258" s="3">
        <f>HYPERLINK("https://platform.v2.vetology.net/report/v/final/"&amp;2669754, 2669754)</f>
        <v>2669754</v>
      </c>
      <c r="D3258" s="3" t="s">
        <v>10824</v>
      </c>
      <c r="E3258" s="3" t="s">
        <v>10825</v>
      </c>
      <c r="F3258" s="3" t="s">
        <v>22</v>
      </c>
      <c r="G3258" s="3" t="s">
        <v>23</v>
      </c>
      <c r="H3258" s="3" t="s">
        <v>1158</v>
      </c>
      <c r="I3258" s="3" t="s">
        <v>32</v>
      </c>
      <c r="J3258" s="3" t="s">
        <v>119</v>
      </c>
      <c r="K3258" s="3" t="s">
        <v>28</v>
      </c>
      <c r="L3258" s="3" t="s">
        <v>28</v>
      </c>
      <c r="M3258" s="3" t="s">
        <v>28</v>
      </c>
      <c r="N3258" s="3" t="s">
        <v>28</v>
      </c>
      <c r="O3258" s="3" t="s">
        <v>28</v>
      </c>
      <c r="P3258" s="3" t="s">
        <v>28</v>
      </c>
      <c r="Q3258" s="3" t="s">
        <v>28</v>
      </c>
      <c r="R3258" s="3" t="s">
        <v>28</v>
      </c>
      <c r="S3258" s="3" t="s">
        <v>28</v>
      </c>
      <c r="T3258" s="3" t="s">
        <v>28</v>
      </c>
    </row>
    <row r="3259" spans="1:20" ht="409.6">
      <c r="A3259" s="3">
        <v>2669721</v>
      </c>
      <c r="B3259" s="3">
        <f>HYPERLINK("https://platform.v2.vetology.net/cases/2669721/screening-report/6?type=pdf&amp;v=v6&amp;scorecard=1&amp;secret_key=BX%25IJ%24%2F65ieZ%29f6", 2669721)</f>
        <v>2669721</v>
      </c>
      <c r="C3259" s="3">
        <f>HYPERLINK("https://platform.v2.vetology.net/report/v/final/"&amp;2669721, 2669721)</f>
        <v>2669721</v>
      </c>
      <c r="D3259" s="3" t="s">
        <v>10826</v>
      </c>
      <c r="E3259" s="3" t="s">
        <v>10827</v>
      </c>
      <c r="F3259" s="3" t="s">
        <v>10828</v>
      </c>
      <c r="G3259" s="3" t="s">
        <v>64</v>
      </c>
      <c r="H3259" s="3" t="s">
        <v>1734</v>
      </c>
      <c r="I3259" s="3" t="s">
        <v>305</v>
      </c>
      <c r="J3259" s="3" t="s">
        <v>119</v>
      </c>
      <c r="K3259" s="3" t="s">
        <v>28</v>
      </c>
      <c r="L3259" s="3" t="s">
        <v>28</v>
      </c>
      <c r="M3259" s="3" t="s">
        <v>28</v>
      </c>
      <c r="N3259" s="3" t="s">
        <v>28</v>
      </c>
      <c r="O3259" s="3" t="s">
        <v>28</v>
      </c>
      <c r="P3259" s="3" t="s">
        <v>28</v>
      </c>
      <c r="Q3259" s="3" t="s">
        <v>28</v>
      </c>
      <c r="R3259" s="3" t="s">
        <v>28</v>
      </c>
      <c r="S3259" s="3" t="s">
        <v>28</v>
      </c>
      <c r="T3259" s="3" t="s">
        <v>28</v>
      </c>
    </row>
    <row r="3260" spans="1:20" ht="290.25">
      <c r="A3260" s="3">
        <v>2669599</v>
      </c>
      <c r="B3260" s="3">
        <f>HYPERLINK("https://platform.v2.vetology.net/cases/2669599/screening-report/6?type=pdf&amp;v=v6&amp;scorecard=1&amp;secret_key=BX%25IJ%24%2F65ieZ%29f6", 2669599)</f>
        <v>2669599</v>
      </c>
      <c r="C3260" s="3">
        <f>HYPERLINK("https://platform.v2.vetology.net/report/v/final/"&amp;2669599, 2669599)</f>
        <v>2669599</v>
      </c>
      <c r="D3260" s="3" t="s">
        <v>6002</v>
      </c>
      <c r="E3260" s="3" t="s">
        <v>10829</v>
      </c>
      <c r="F3260" s="3" t="s">
        <v>8081</v>
      </c>
      <c r="G3260" s="3" t="s">
        <v>211</v>
      </c>
      <c r="H3260" s="3" t="s">
        <v>419</v>
      </c>
      <c r="I3260" s="3" t="s">
        <v>316</v>
      </c>
      <c r="J3260" s="3" t="s">
        <v>317</v>
      </c>
      <c r="K3260" s="3" t="s">
        <v>28</v>
      </c>
      <c r="L3260" s="3" t="s">
        <v>28</v>
      </c>
      <c r="M3260" s="3" t="s">
        <v>28</v>
      </c>
      <c r="N3260" s="3" t="s">
        <v>28</v>
      </c>
      <c r="O3260" s="3" t="s">
        <v>27</v>
      </c>
      <c r="P3260" s="3" t="s">
        <v>28</v>
      </c>
      <c r="Q3260" s="3" t="s">
        <v>28</v>
      </c>
      <c r="R3260" s="3" t="s">
        <v>28</v>
      </c>
      <c r="S3260" s="3" t="s">
        <v>28</v>
      </c>
      <c r="T3260" s="3" t="s">
        <v>28</v>
      </c>
    </row>
    <row r="3261" spans="1:20" ht="396.75">
      <c r="A3261" s="3">
        <v>2669581</v>
      </c>
      <c r="B3261" s="3">
        <f>HYPERLINK("https://platform.v2.vetology.net/cases/2669581/screening-report/6?type=pdf&amp;v=v6&amp;scorecard=1&amp;secret_key=BX%25IJ%24%2F65ieZ%29f6", 2669581)</f>
        <v>2669581</v>
      </c>
      <c r="C3261" s="3">
        <f>HYPERLINK("https://platform.v2.vetology.net/report/v/final/"&amp;2669581, 2669581)</f>
        <v>2669581</v>
      </c>
      <c r="D3261" s="3" t="s">
        <v>10830</v>
      </c>
      <c r="E3261" s="3" t="s">
        <v>10831</v>
      </c>
      <c r="F3261" s="3"/>
      <c r="G3261" s="3" t="s">
        <v>100</v>
      </c>
      <c r="H3261" s="3" t="s">
        <v>350</v>
      </c>
      <c r="I3261" s="3" t="s">
        <v>351</v>
      </c>
      <c r="J3261" s="3" t="s">
        <v>352</v>
      </c>
      <c r="K3261" s="3" t="s">
        <v>28</v>
      </c>
      <c r="L3261" s="3" t="s">
        <v>28</v>
      </c>
      <c r="M3261" s="3" t="s">
        <v>28</v>
      </c>
      <c r="N3261" s="3" t="s">
        <v>28</v>
      </c>
      <c r="O3261" s="3" t="s">
        <v>27</v>
      </c>
      <c r="P3261" s="3" t="s">
        <v>28</v>
      </c>
      <c r="Q3261" s="3" t="s">
        <v>28</v>
      </c>
      <c r="R3261" s="3" t="s">
        <v>28</v>
      </c>
      <c r="S3261" s="3" t="s">
        <v>28</v>
      </c>
      <c r="T3261" s="3" t="s">
        <v>27</v>
      </c>
    </row>
    <row r="3262" spans="1:20" ht="409.6">
      <c r="A3262" s="3">
        <v>2669561</v>
      </c>
      <c r="B3262" s="3">
        <f>HYPERLINK("https://platform.v2.vetology.net/cases/2669561/screening-report/6?type=pdf&amp;v=v6&amp;scorecard=1&amp;secret_key=BX%25IJ%24%2F65ieZ%29f6", 2669561)</f>
        <v>2669561</v>
      </c>
      <c r="C3262" s="3">
        <f>HYPERLINK("https://platform.v2.vetology.net/report/v/final/"&amp;2669561, 2669561)</f>
        <v>2669561</v>
      </c>
      <c r="D3262" s="3" t="s">
        <v>10832</v>
      </c>
      <c r="E3262" s="3" t="s">
        <v>10833</v>
      </c>
      <c r="F3262" s="3" t="s">
        <v>10834</v>
      </c>
      <c r="G3262" s="3" t="s">
        <v>64</v>
      </c>
      <c r="H3262" s="3" t="s">
        <v>10091</v>
      </c>
      <c r="I3262" s="3" t="s">
        <v>961</v>
      </c>
      <c r="J3262" s="3" t="s">
        <v>962</v>
      </c>
      <c r="K3262" s="3" t="s">
        <v>27</v>
      </c>
      <c r="L3262" s="3" t="s">
        <v>28</v>
      </c>
      <c r="M3262" s="3" t="s">
        <v>27</v>
      </c>
      <c r="N3262" s="3" t="s">
        <v>28</v>
      </c>
      <c r="O3262" s="3" t="s">
        <v>27</v>
      </c>
      <c r="P3262" s="3" t="s">
        <v>27</v>
      </c>
      <c r="Q3262" s="3" t="s">
        <v>28</v>
      </c>
      <c r="R3262" s="3" t="s">
        <v>28</v>
      </c>
      <c r="S3262" s="3" t="s">
        <v>28</v>
      </c>
      <c r="T3262" s="3" t="s">
        <v>28</v>
      </c>
    </row>
    <row r="3263" spans="1:20" ht="396.75">
      <c r="A3263" s="3">
        <v>2669550</v>
      </c>
      <c r="B3263" s="3">
        <f>HYPERLINK("https://platform.v2.vetology.net/cases/2669550/screening-report/6?type=pdf&amp;v=v6&amp;scorecard=1&amp;secret_key=BX%25IJ%24%2F65ieZ%29f6", 2669550)</f>
        <v>2669550</v>
      </c>
      <c r="C3263" s="3">
        <f>HYPERLINK("https://platform.v2.vetology.net/report/v/final/"&amp;2669550, 2669550)</f>
        <v>2669550</v>
      </c>
      <c r="D3263" s="3" t="s">
        <v>10835</v>
      </c>
      <c r="E3263" s="3" t="s">
        <v>10836</v>
      </c>
      <c r="F3263" s="3" t="s">
        <v>22</v>
      </c>
      <c r="G3263" s="3" t="s">
        <v>372</v>
      </c>
      <c r="H3263" s="3" t="s">
        <v>944</v>
      </c>
      <c r="I3263" s="3" t="s">
        <v>32</v>
      </c>
      <c r="J3263" s="3" t="s">
        <v>119</v>
      </c>
      <c r="K3263" s="3" t="s">
        <v>28</v>
      </c>
      <c r="L3263" s="3" t="s">
        <v>28</v>
      </c>
      <c r="M3263" s="3" t="s">
        <v>28</v>
      </c>
      <c r="N3263" s="3" t="s">
        <v>28</v>
      </c>
      <c r="O3263" s="3" t="s">
        <v>28</v>
      </c>
      <c r="P3263" s="3" t="s">
        <v>28</v>
      </c>
      <c r="Q3263" s="3" t="s">
        <v>28</v>
      </c>
      <c r="R3263" s="3" t="s">
        <v>28</v>
      </c>
      <c r="S3263" s="3" t="s">
        <v>28</v>
      </c>
      <c r="T3263" s="3" t="s">
        <v>28</v>
      </c>
    </row>
    <row r="3264" spans="1:20" ht="409.6">
      <c r="A3264" s="3">
        <v>2669495</v>
      </c>
      <c r="B3264" s="3">
        <f>HYPERLINK("https://platform.v2.vetology.net/cases/2669495/screening-report/6?type=pdf&amp;v=v6&amp;scorecard=1&amp;secret_key=BX%25IJ%24%2F65ieZ%29f6", 2669495)</f>
        <v>2669495</v>
      </c>
      <c r="C3264" s="3">
        <f>HYPERLINK("https://platform.v2.vetology.net/report/v/final/"&amp;2669495, 2669495)</f>
        <v>2669495</v>
      </c>
      <c r="D3264" s="3" t="s">
        <v>10837</v>
      </c>
      <c r="E3264" s="3" t="s">
        <v>10838</v>
      </c>
      <c r="F3264" s="3" t="s">
        <v>22</v>
      </c>
      <c r="G3264" s="3" t="s">
        <v>372</v>
      </c>
      <c r="H3264" s="3" t="s">
        <v>7355</v>
      </c>
      <c r="I3264" s="3" t="s">
        <v>7356</v>
      </c>
      <c r="J3264" s="3" t="s">
        <v>7357</v>
      </c>
      <c r="K3264" s="3" t="s">
        <v>27</v>
      </c>
      <c r="L3264" s="3" t="s">
        <v>27</v>
      </c>
      <c r="M3264" s="3" t="s">
        <v>27</v>
      </c>
      <c r="N3264" s="3" t="s">
        <v>27</v>
      </c>
      <c r="O3264" s="3" t="s">
        <v>27</v>
      </c>
      <c r="P3264" s="3" t="s">
        <v>28</v>
      </c>
      <c r="Q3264" s="3" t="s">
        <v>27</v>
      </c>
      <c r="R3264" s="3" t="s">
        <v>27</v>
      </c>
      <c r="S3264" s="3" t="s">
        <v>27</v>
      </c>
      <c r="T3264" s="3" t="s">
        <v>27</v>
      </c>
    </row>
    <row r="3265" spans="1:20" ht="366">
      <c r="A3265" s="3">
        <v>2669479</v>
      </c>
      <c r="B3265" s="3">
        <f>HYPERLINK("https://platform.v2.vetology.net/cases/2669479/screening-report/6?type=pdf&amp;v=v6&amp;scorecard=1&amp;secret_key=BX%25IJ%24%2F65ieZ%29f6", 2669479)</f>
        <v>2669479</v>
      </c>
      <c r="C3265" s="3">
        <f>HYPERLINK("https://platform.v2.vetology.net/report/v/final/"&amp;2669479, 2669479)</f>
        <v>2669479</v>
      </c>
      <c r="D3265" s="3" t="s">
        <v>10839</v>
      </c>
      <c r="E3265" s="3" t="s">
        <v>10840</v>
      </c>
      <c r="F3265" s="3" t="s">
        <v>22</v>
      </c>
      <c r="G3265" s="3" t="s">
        <v>23</v>
      </c>
      <c r="H3265" s="3" t="s">
        <v>135</v>
      </c>
      <c r="I3265" s="3" t="s">
        <v>136</v>
      </c>
      <c r="J3265" s="3" t="s">
        <v>424</v>
      </c>
      <c r="K3265" s="3" t="s">
        <v>28</v>
      </c>
      <c r="L3265" s="3" t="s">
        <v>28</v>
      </c>
      <c r="M3265" s="3" t="s">
        <v>28</v>
      </c>
      <c r="N3265" s="3" t="s">
        <v>28</v>
      </c>
      <c r="O3265" s="3" t="s">
        <v>27</v>
      </c>
      <c r="P3265" s="3" t="s">
        <v>28</v>
      </c>
      <c r="Q3265" s="3" t="s">
        <v>28</v>
      </c>
      <c r="R3265" s="3" t="s">
        <v>28</v>
      </c>
      <c r="S3265" s="3" t="s">
        <v>28</v>
      </c>
      <c r="T3265" s="3" t="s">
        <v>27</v>
      </c>
    </row>
    <row r="3266" spans="1:20" ht="305.25">
      <c r="A3266" s="3">
        <v>2669475</v>
      </c>
      <c r="B3266" s="3">
        <f>HYPERLINK("https://platform.v2.vetology.net/cases/2669475/screening-report/6?type=pdf&amp;v=v6&amp;scorecard=1&amp;secret_key=BX%25IJ%24%2F65ieZ%29f6", 2669475)</f>
        <v>2669475</v>
      </c>
      <c r="C3266" s="3">
        <f>HYPERLINK("https://platform.v2.vetology.net/report/v/final/"&amp;2669475, 2669475)</f>
        <v>2669475</v>
      </c>
      <c r="D3266" s="3" t="s">
        <v>10841</v>
      </c>
      <c r="E3266" s="3" t="s">
        <v>10842</v>
      </c>
      <c r="F3266" s="3" t="s">
        <v>10843</v>
      </c>
      <c r="G3266" s="3" t="s">
        <v>179</v>
      </c>
      <c r="H3266" s="3" t="s">
        <v>118</v>
      </c>
      <c r="I3266" s="3" t="s">
        <v>32</v>
      </c>
      <c r="J3266" s="3" t="s">
        <v>33</v>
      </c>
      <c r="K3266" s="3" t="s">
        <v>28</v>
      </c>
      <c r="L3266" s="3" t="s">
        <v>28</v>
      </c>
      <c r="M3266" s="3" t="s">
        <v>28</v>
      </c>
      <c r="N3266" s="3" t="s">
        <v>28</v>
      </c>
      <c r="O3266" s="3" t="s">
        <v>28</v>
      </c>
      <c r="P3266" s="3" t="s">
        <v>28</v>
      </c>
      <c r="Q3266" s="3" t="s">
        <v>28</v>
      </c>
      <c r="R3266" s="3" t="s">
        <v>28</v>
      </c>
      <c r="S3266" s="3" t="s">
        <v>28</v>
      </c>
      <c r="T3266" s="3" t="s">
        <v>28</v>
      </c>
    </row>
    <row r="3267" spans="1:20" ht="409.6">
      <c r="A3267" s="3">
        <v>2669472</v>
      </c>
      <c r="B3267" s="3">
        <f>HYPERLINK("https://platform.v2.vetology.net/cases/2669472/screening-report/6?type=pdf&amp;v=v6&amp;scorecard=1&amp;secret_key=BX%25IJ%24%2F65ieZ%29f6", 2669472)</f>
        <v>2669472</v>
      </c>
      <c r="C3267" s="3">
        <f>HYPERLINK("https://platform.v2.vetology.net/report/v/final/"&amp;2669472, 2669472)</f>
        <v>2669472</v>
      </c>
      <c r="D3267" s="3" t="s">
        <v>10844</v>
      </c>
      <c r="E3267" s="3" t="s">
        <v>10845</v>
      </c>
      <c r="F3267" s="3" t="s">
        <v>10846</v>
      </c>
      <c r="G3267" s="3" t="s">
        <v>211</v>
      </c>
      <c r="H3267" s="3" t="s">
        <v>590</v>
      </c>
      <c r="I3267" s="3" t="s">
        <v>291</v>
      </c>
      <c r="J3267" s="3" t="s">
        <v>225</v>
      </c>
      <c r="K3267" s="3" t="s">
        <v>28</v>
      </c>
      <c r="L3267" s="3" t="s">
        <v>28</v>
      </c>
      <c r="M3267" s="3" t="s">
        <v>28</v>
      </c>
      <c r="N3267" s="3" t="s">
        <v>27</v>
      </c>
      <c r="O3267" s="3" t="s">
        <v>27</v>
      </c>
      <c r="P3267" s="3" t="s">
        <v>28</v>
      </c>
      <c r="Q3267" s="3" t="s">
        <v>28</v>
      </c>
      <c r="R3267" s="3" t="s">
        <v>27</v>
      </c>
      <c r="S3267" s="3" t="s">
        <v>27</v>
      </c>
      <c r="T3267" s="3" t="s">
        <v>27</v>
      </c>
    </row>
    <row r="3268" spans="1:20" ht="366">
      <c r="A3268" s="3">
        <v>2669428</v>
      </c>
      <c r="B3268" s="3">
        <f>HYPERLINK("https://platform.v2.vetology.net/cases/2669428/screening-report/6?type=pdf&amp;v=v6&amp;scorecard=1&amp;secret_key=BX%25IJ%24%2F65ieZ%29f6", 2669428)</f>
        <v>2669428</v>
      </c>
      <c r="C3268" s="3">
        <f>HYPERLINK("https://platform.v2.vetology.net/report/v/final/"&amp;2669428, 2669428)</f>
        <v>2669428</v>
      </c>
      <c r="D3268" s="3" t="s">
        <v>10847</v>
      </c>
      <c r="E3268" s="3" t="s">
        <v>10848</v>
      </c>
      <c r="F3268" s="3" t="s">
        <v>10849</v>
      </c>
      <c r="G3268" s="3" t="s">
        <v>57</v>
      </c>
      <c r="H3268" s="3" t="s">
        <v>158</v>
      </c>
      <c r="I3268" s="3" t="s">
        <v>32</v>
      </c>
      <c r="J3268" s="3" t="s">
        <v>33</v>
      </c>
      <c r="K3268" s="3" t="s">
        <v>28</v>
      </c>
      <c r="L3268" s="3" t="s">
        <v>28</v>
      </c>
      <c r="M3268" s="3" t="s">
        <v>28</v>
      </c>
      <c r="N3268" s="3" t="s">
        <v>28</v>
      </c>
      <c r="O3268" s="3" t="s">
        <v>28</v>
      </c>
      <c r="P3268" s="3" t="s">
        <v>28</v>
      </c>
      <c r="Q3268" s="3" t="s">
        <v>28</v>
      </c>
      <c r="R3268" s="3" t="s">
        <v>28</v>
      </c>
      <c r="S3268" s="3" t="s">
        <v>28</v>
      </c>
      <c r="T3268" s="3" t="s">
        <v>28</v>
      </c>
    </row>
    <row r="3269" spans="1:20" ht="336">
      <c r="A3269" s="3">
        <v>2669403</v>
      </c>
      <c r="B3269" s="3">
        <f>HYPERLINK("https://platform.v2.vetology.net/cases/2669403/screening-report/6?type=pdf&amp;v=v6&amp;scorecard=1&amp;secret_key=BX%25IJ%24%2F65ieZ%29f6", 2669403)</f>
        <v>2669403</v>
      </c>
      <c r="C3269" s="3">
        <f>HYPERLINK("https://platform.v2.vetology.net/report/v/final/"&amp;2669403, 2669403)</f>
        <v>2669403</v>
      </c>
      <c r="D3269" s="3" t="s">
        <v>10850</v>
      </c>
      <c r="E3269" s="3" t="s">
        <v>10851</v>
      </c>
      <c r="F3269" s="3" t="s">
        <v>10852</v>
      </c>
      <c r="G3269" s="3" t="s">
        <v>57</v>
      </c>
      <c r="H3269" s="3" t="s">
        <v>2314</v>
      </c>
      <c r="I3269" s="3" t="s">
        <v>25</v>
      </c>
      <c r="J3269" s="3" t="s">
        <v>26</v>
      </c>
      <c r="K3269" s="3" t="s">
        <v>27</v>
      </c>
      <c r="L3269" s="3" t="s">
        <v>28</v>
      </c>
      <c r="M3269" s="3" t="s">
        <v>28</v>
      </c>
      <c r="N3269" s="3" t="s">
        <v>28</v>
      </c>
      <c r="O3269" s="3" t="s">
        <v>27</v>
      </c>
      <c r="P3269" s="3" t="s">
        <v>28</v>
      </c>
      <c r="Q3269" s="3" t="s">
        <v>27</v>
      </c>
      <c r="R3269" s="3" t="s">
        <v>28</v>
      </c>
      <c r="S3269" s="3" t="s">
        <v>28</v>
      </c>
      <c r="T3269" s="3" t="s">
        <v>28</v>
      </c>
    </row>
    <row r="3270" spans="1:20" ht="275.25">
      <c r="A3270" s="3">
        <v>2669398</v>
      </c>
      <c r="B3270" s="3">
        <f>HYPERLINK("https://platform.v2.vetology.net/cases/2669398/screening-report/6?type=pdf&amp;v=v6&amp;scorecard=1&amp;secret_key=BX%25IJ%24%2F65ieZ%29f6", 2669398)</f>
        <v>2669398</v>
      </c>
      <c r="C3270" s="3">
        <f>HYPERLINK("https://platform.v2.vetology.net/report/v/final/"&amp;2669398, 2669398)</f>
        <v>2669398</v>
      </c>
      <c r="D3270" s="3" t="s">
        <v>10853</v>
      </c>
      <c r="E3270" s="3" t="s">
        <v>10854</v>
      </c>
      <c r="F3270" s="3" t="s">
        <v>22</v>
      </c>
      <c r="G3270" s="3" t="s">
        <v>23</v>
      </c>
      <c r="H3270" s="3" t="s">
        <v>8908</v>
      </c>
      <c r="I3270" s="3" t="s">
        <v>8909</v>
      </c>
      <c r="J3270" s="3" t="s">
        <v>297</v>
      </c>
      <c r="K3270" s="3" t="s">
        <v>27</v>
      </c>
      <c r="L3270" s="3" t="s">
        <v>28</v>
      </c>
      <c r="M3270" s="3" t="s">
        <v>28</v>
      </c>
      <c r="N3270" s="3" t="s">
        <v>28</v>
      </c>
      <c r="O3270" s="3" t="s">
        <v>28</v>
      </c>
      <c r="P3270" s="3" t="s">
        <v>27</v>
      </c>
      <c r="Q3270" s="3" t="s">
        <v>28</v>
      </c>
      <c r="R3270" s="3" t="s">
        <v>28</v>
      </c>
      <c r="S3270" s="3" t="s">
        <v>28</v>
      </c>
      <c r="T3270" s="3" t="s">
        <v>28</v>
      </c>
    </row>
    <row r="3271" spans="1:20" ht="409.6">
      <c r="A3271" s="3">
        <v>2669337</v>
      </c>
      <c r="B3271" s="3">
        <f>HYPERLINK("https://platform.v2.vetology.net/cases/2669337/screening-report/6?type=pdf&amp;v=v6&amp;scorecard=1&amp;secret_key=BX%25IJ%24%2F65ieZ%29f6", 2669337)</f>
        <v>2669337</v>
      </c>
      <c r="C3271" s="3">
        <f>HYPERLINK("https://platform.v2.vetology.net/report/v/final/"&amp;2669337, 2669337)</f>
        <v>2669337</v>
      </c>
      <c r="D3271" s="3" t="s">
        <v>10855</v>
      </c>
      <c r="E3271" s="3" t="s">
        <v>10856</v>
      </c>
      <c r="F3271" s="3" t="s">
        <v>10857</v>
      </c>
      <c r="G3271" s="3" t="s">
        <v>1772</v>
      </c>
      <c r="H3271" s="3" t="s">
        <v>5684</v>
      </c>
      <c r="I3271" s="3" t="s">
        <v>1916</v>
      </c>
      <c r="J3271" s="3" t="s">
        <v>1917</v>
      </c>
      <c r="K3271" s="3" t="s">
        <v>28</v>
      </c>
      <c r="L3271" s="3" t="s">
        <v>27</v>
      </c>
      <c r="M3271" s="3" t="s">
        <v>28</v>
      </c>
      <c r="N3271" s="3" t="s">
        <v>28</v>
      </c>
      <c r="O3271" s="3" t="s">
        <v>27</v>
      </c>
      <c r="P3271" s="3" t="s">
        <v>27</v>
      </c>
      <c r="Q3271" s="3" t="s">
        <v>28</v>
      </c>
      <c r="R3271" s="3" t="s">
        <v>28</v>
      </c>
      <c r="S3271" s="3" t="s">
        <v>28</v>
      </c>
      <c r="T3271" s="3" t="s">
        <v>28</v>
      </c>
    </row>
    <row r="3272" spans="1:20" ht="275.25">
      <c r="A3272" s="3">
        <v>2669321</v>
      </c>
      <c r="B3272" s="3">
        <f>HYPERLINK("https://platform.v2.vetology.net/cases/2669321/screening-report/6?type=pdf&amp;v=v6&amp;scorecard=1&amp;secret_key=BX%25IJ%24%2F65ieZ%29f6", 2669321)</f>
        <v>2669321</v>
      </c>
      <c r="C3272" s="3">
        <f>HYPERLINK("https://platform.v2.vetology.net/report/v/final/"&amp;2669321, 2669321)</f>
        <v>2669321</v>
      </c>
      <c r="D3272" s="3" t="s">
        <v>10858</v>
      </c>
      <c r="E3272" s="3" t="s">
        <v>10859</v>
      </c>
      <c r="F3272" s="3" t="s">
        <v>10860</v>
      </c>
      <c r="G3272" s="3" t="s">
        <v>186</v>
      </c>
      <c r="H3272" s="3" t="s">
        <v>10861</v>
      </c>
      <c r="I3272" s="3" t="s">
        <v>291</v>
      </c>
      <c r="J3272" s="3" t="s">
        <v>225</v>
      </c>
      <c r="K3272" s="3" t="s">
        <v>28</v>
      </c>
      <c r="L3272" s="3" t="s">
        <v>28</v>
      </c>
      <c r="M3272" s="3" t="s">
        <v>28</v>
      </c>
      <c r="N3272" s="3" t="s">
        <v>27</v>
      </c>
      <c r="O3272" s="3" t="s">
        <v>28</v>
      </c>
      <c r="P3272" s="3" t="s">
        <v>28</v>
      </c>
      <c r="Q3272" s="3" t="s">
        <v>28</v>
      </c>
      <c r="R3272" s="3" t="s">
        <v>27</v>
      </c>
      <c r="S3272" s="3" t="s">
        <v>27</v>
      </c>
      <c r="T3272" s="3" t="s">
        <v>27</v>
      </c>
    </row>
    <row r="3273" spans="1:20" ht="409.6">
      <c r="A3273" s="3">
        <v>2669265</v>
      </c>
      <c r="B3273" s="3">
        <f>HYPERLINK("https://platform.v2.vetology.net/cases/2669265/screening-report/6?type=pdf&amp;v=v6&amp;scorecard=1&amp;secret_key=BX%25IJ%24%2F65ieZ%29f6", 2669265)</f>
        <v>2669265</v>
      </c>
      <c r="C3273" s="3">
        <f>HYPERLINK("https://platform.v2.vetology.net/report/v/final/"&amp;2669265, 2669265)</f>
        <v>2669265</v>
      </c>
      <c r="D3273" s="3" t="s">
        <v>10862</v>
      </c>
      <c r="E3273" s="3" t="s">
        <v>10863</v>
      </c>
      <c r="F3273" s="3" t="s">
        <v>10864</v>
      </c>
      <c r="G3273" s="3" t="s">
        <v>186</v>
      </c>
      <c r="H3273" s="3" t="s">
        <v>31</v>
      </c>
      <c r="I3273" s="3" t="s">
        <v>32</v>
      </c>
      <c r="J3273" s="3" t="s">
        <v>33</v>
      </c>
      <c r="K3273" s="3" t="s">
        <v>28</v>
      </c>
      <c r="L3273" s="3" t="s">
        <v>28</v>
      </c>
      <c r="M3273" s="3" t="s">
        <v>28</v>
      </c>
      <c r="N3273" s="3" t="s">
        <v>28</v>
      </c>
      <c r="O3273" s="3" t="s">
        <v>28</v>
      </c>
      <c r="P3273" s="3" t="s">
        <v>28</v>
      </c>
      <c r="Q3273" s="3" t="s">
        <v>28</v>
      </c>
      <c r="R3273" s="3" t="s">
        <v>28</v>
      </c>
      <c r="S3273" s="3" t="s">
        <v>28</v>
      </c>
      <c r="T3273" s="3" t="s">
        <v>28</v>
      </c>
    </row>
    <row r="3274" spans="1:20" ht="409.6">
      <c r="A3274" s="3">
        <v>2669255</v>
      </c>
      <c r="B3274" s="3">
        <f>HYPERLINK("https://platform.v2.vetology.net/cases/2669255/screening-report/6?type=pdf&amp;v=v6&amp;scorecard=1&amp;secret_key=BX%25IJ%24%2F65ieZ%29f6", 2669255)</f>
        <v>2669255</v>
      </c>
      <c r="C3274" s="3">
        <f>HYPERLINK("https://platform.v2.vetology.net/report/v/final/"&amp;2669255, 2669255)</f>
        <v>2669255</v>
      </c>
      <c r="D3274" s="3" t="s">
        <v>10865</v>
      </c>
      <c r="E3274" s="3" t="s">
        <v>10866</v>
      </c>
      <c r="F3274" s="3" t="s">
        <v>10867</v>
      </c>
      <c r="G3274" s="3" t="s">
        <v>64</v>
      </c>
      <c r="H3274" s="3" t="s">
        <v>10868</v>
      </c>
      <c r="I3274" s="3" t="s">
        <v>10869</v>
      </c>
      <c r="J3274" s="3" t="s">
        <v>10870</v>
      </c>
      <c r="K3274" s="3" t="s">
        <v>28</v>
      </c>
      <c r="L3274" s="3" t="s">
        <v>28</v>
      </c>
      <c r="M3274" s="3" t="s">
        <v>28</v>
      </c>
      <c r="N3274" s="3" t="s">
        <v>28</v>
      </c>
      <c r="O3274" s="3" t="s">
        <v>28</v>
      </c>
      <c r="P3274" s="3" t="s">
        <v>28</v>
      </c>
      <c r="Q3274" s="3" t="s">
        <v>28</v>
      </c>
      <c r="R3274" s="3" t="s">
        <v>27</v>
      </c>
      <c r="S3274" s="3" t="s">
        <v>27</v>
      </c>
      <c r="T3274" s="3" t="s">
        <v>28</v>
      </c>
    </row>
    <row r="3275" spans="1:20" ht="409.6">
      <c r="A3275" s="3">
        <v>2669229</v>
      </c>
      <c r="B3275" s="3">
        <f>HYPERLINK("https://platform.v2.vetology.net/cases/2669229/screening-report/6?type=pdf&amp;v=v6&amp;scorecard=1&amp;secret_key=BX%25IJ%24%2F65ieZ%29f6", 2669229)</f>
        <v>2669229</v>
      </c>
      <c r="C3275" s="3">
        <f>HYPERLINK("https://platform.v2.vetology.net/report/v/final/"&amp;2669229, 2669229)</f>
        <v>2669229</v>
      </c>
      <c r="D3275" s="3" t="s">
        <v>10871</v>
      </c>
      <c r="E3275" s="3" t="s">
        <v>10872</v>
      </c>
      <c r="F3275" s="3" t="s">
        <v>10873</v>
      </c>
      <c r="G3275" s="3" t="s">
        <v>1772</v>
      </c>
      <c r="H3275" s="3" t="s">
        <v>118</v>
      </c>
      <c r="I3275" s="3" t="s">
        <v>32</v>
      </c>
      <c r="J3275" s="3" t="s">
        <v>119</v>
      </c>
      <c r="K3275" s="3" t="s">
        <v>28</v>
      </c>
      <c r="L3275" s="3" t="s">
        <v>28</v>
      </c>
      <c r="M3275" s="3" t="s">
        <v>28</v>
      </c>
      <c r="N3275" s="3" t="s">
        <v>28</v>
      </c>
      <c r="O3275" s="3" t="s">
        <v>28</v>
      </c>
      <c r="P3275" s="3" t="s">
        <v>28</v>
      </c>
      <c r="Q3275" s="3" t="s">
        <v>28</v>
      </c>
      <c r="R3275" s="3" t="s">
        <v>28</v>
      </c>
      <c r="S3275" s="3" t="s">
        <v>28</v>
      </c>
      <c r="T3275" s="3" t="s">
        <v>28</v>
      </c>
    </row>
    <row r="3276" spans="1:20" ht="351">
      <c r="A3276" s="3">
        <v>2669203</v>
      </c>
      <c r="B3276" s="3">
        <f>HYPERLINK("https://platform.v2.vetology.net/cases/2669203/screening-report/6?type=pdf&amp;v=v6&amp;scorecard=1&amp;secret_key=BX%25IJ%24%2F65ieZ%29f6", 2669203)</f>
        <v>2669203</v>
      </c>
      <c r="C3276" s="3">
        <f>HYPERLINK("https://platform.v2.vetology.net/report/v/final/"&amp;2669203, 2669203)</f>
        <v>2669203</v>
      </c>
      <c r="D3276" s="3" t="s">
        <v>4038</v>
      </c>
      <c r="E3276" s="3" t="s">
        <v>9053</v>
      </c>
      <c r="F3276" s="3" t="s">
        <v>10874</v>
      </c>
      <c r="G3276" s="3" t="s">
        <v>100</v>
      </c>
      <c r="H3276" s="3" t="s">
        <v>10875</v>
      </c>
      <c r="I3276" s="3" t="s">
        <v>888</v>
      </c>
      <c r="J3276" s="3" t="s">
        <v>889</v>
      </c>
      <c r="K3276" s="3" t="s">
        <v>27</v>
      </c>
      <c r="L3276" s="3" t="s">
        <v>28</v>
      </c>
      <c r="M3276" s="3" t="s">
        <v>28</v>
      </c>
      <c r="N3276" s="3" t="s">
        <v>28</v>
      </c>
      <c r="O3276" s="3" t="s">
        <v>27</v>
      </c>
      <c r="P3276" s="3" t="s">
        <v>28</v>
      </c>
      <c r="Q3276" s="3" t="s">
        <v>27</v>
      </c>
      <c r="R3276" s="3" t="s">
        <v>28</v>
      </c>
      <c r="S3276" s="3" t="s">
        <v>28</v>
      </c>
      <c r="T3276" s="3" t="s">
        <v>28</v>
      </c>
    </row>
    <row r="3277" spans="1:20" ht="244.5">
      <c r="A3277" s="3">
        <v>2669179</v>
      </c>
      <c r="B3277" s="3">
        <f>HYPERLINK("https://platform.v2.vetology.net/cases/2669179/screening-report/6?type=pdf&amp;v=v6&amp;scorecard=1&amp;secret_key=BX%25IJ%24%2F65ieZ%29f6", 2669179)</f>
        <v>2669179</v>
      </c>
      <c r="C3277" s="3">
        <f>HYPERLINK("https://platform.v2.vetology.net/report/v/final/"&amp;2669179, 2669179)</f>
        <v>2669179</v>
      </c>
      <c r="D3277" s="3" t="s">
        <v>10876</v>
      </c>
      <c r="E3277" s="3" t="s">
        <v>10877</v>
      </c>
      <c r="F3277" s="3" t="s">
        <v>7282</v>
      </c>
      <c r="G3277" s="3" t="s">
        <v>186</v>
      </c>
      <c r="H3277" s="3" t="s">
        <v>10878</v>
      </c>
      <c r="I3277" s="3" t="s">
        <v>2024</v>
      </c>
      <c r="J3277" s="3" t="s">
        <v>207</v>
      </c>
      <c r="K3277" s="3" t="s">
        <v>27</v>
      </c>
      <c r="L3277" s="3" t="s">
        <v>28</v>
      </c>
      <c r="M3277" s="3" t="s">
        <v>28</v>
      </c>
      <c r="N3277" s="3" t="s">
        <v>28</v>
      </c>
      <c r="O3277" s="3" t="s">
        <v>27</v>
      </c>
      <c r="P3277" s="3" t="s">
        <v>28</v>
      </c>
      <c r="Q3277" s="3" t="s">
        <v>27</v>
      </c>
      <c r="R3277" s="3" t="s">
        <v>28</v>
      </c>
      <c r="S3277" s="3" t="s">
        <v>28</v>
      </c>
      <c r="T3277" s="3" t="s">
        <v>28</v>
      </c>
    </row>
    <row r="3278" spans="1:20" ht="409.6">
      <c r="A3278" s="3">
        <v>2669139</v>
      </c>
      <c r="B3278" s="3">
        <f>HYPERLINK("https://platform.v2.vetology.net/cases/2669139/screening-report/6?type=pdf&amp;v=v6&amp;scorecard=1&amp;secret_key=BX%25IJ%24%2F65ieZ%29f6", 2669139)</f>
        <v>2669139</v>
      </c>
      <c r="C3278" s="3">
        <f>HYPERLINK("https://platform.v2.vetology.net/report/v/final/"&amp;2669139, 2669139)</f>
        <v>2669139</v>
      </c>
      <c r="D3278" s="3" t="s">
        <v>10879</v>
      </c>
      <c r="E3278" s="3" t="s">
        <v>10880</v>
      </c>
      <c r="F3278" s="3" t="s">
        <v>10881</v>
      </c>
      <c r="G3278" s="3" t="s">
        <v>1772</v>
      </c>
      <c r="H3278" s="3" t="s">
        <v>951</v>
      </c>
      <c r="I3278" s="3" t="s">
        <v>952</v>
      </c>
      <c r="J3278" s="3" t="s">
        <v>953</v>
      </c>
      <c r="K3278" s="3" t="s">
        <v>27</v>
      </c>
      <c r="L3278" s="3" t="s">
        <v>28</v>
      </c>
      <c r="M3278" s="3" t="s">
        <v>28</v>
      </c>
      <c r="N3278" s="3" t="s">
        <v>27</v>
      </c>
      <c r="O3278" s="3" t="s">
        <v>27</v>
      </c>
      <c r="P3278" s="3" t="s">
        <v>27</v>
      </c>
      <c r="Q3278" s="3" t="s">
        <v>28</v>
      </c>
      <c r="R3278" s="3" t="s">
        <v>28</v>
      </c>
      <c r="S3278" s="3" t="s">
        <v>28</v>
      </c>
      <c r="T3278" s="3" t="s">
        <v>27</v>
      </c>
    </row>
    <row r="3279" spans="1:20" ht="366">
      <c r="A3279" s="3">
        <v>2669122</v>
      </c>
      <c r="B3279" s="3">
        <f>HYPERLINK("https://platform.v2.vetology.net/cases/2669122/screening-report/6?type=pdf&amp;v=v6&amp;scorecard=1&amp;secret_key=BX%25IJ%24%2F65ieZ%29f6", 2669122)</f>
        <v>2669122</v>
      </c>
      <c r="C3279" s="3">
        <f>HYPERLINK("https://platform.v2.vetology.net/report/v/final/"&amp;2669122, 2669122)</f>
        <v>2669122</v>
      </c>
      <c r="D3279" s="3" t="s">
        <v>10882</v>
      </c>
      <c r="E3279" s="3" t="s">
        <v>1690</v>
      </c>
      <c r="F3279" s="3" t="s">
        <v>10883</v>
      </c>
      <c r="G3279" s="3" t="s">
        <v>100</v>
      </c>
      <c r="H3279" s="3" t="s">
        <v>10884</v>
      </c>
      <c r="I3279" s="3" t="s">
        <v>754</v>
      </c>
      <c r="J3279" s="3" t="s">
        <v>755</v>
      </c>
      <c r="K3279" s="3" t="s">
        <v>27</v>
      </c>
      <c r="L3279" s="3" t="s">
        <v>28</v>
      </c>
      <c r="M3279" s="3" t="s">
        <v>28</v>
      </c>
      <c r="N3279" s="3" t="s">
        <v>28</v>
      </c>
      <c r="O3279" s="3" t="s">
        <v>27</v>
      </c>
      <c r="P3279" s="3" t="s">
        <v>28</v>
      </c>
      <c r="Q3279" s="3" t="s">
        <v>28</v>
      </c>
      <c r="R3279" s="3" t="s">
        <v>28</v>
      </c>
      <c r="S3279" s="3" t="s">
        <v>28</v>
      </c>
      <c r="T3279" s="3" t="s">
        <v>28</v>
      </c>
    </row>
    <row r="3280" spans="1:20" ht="409.6">
      <c r="A3280" s="3">
        <v>2669105</v>
      </c>
      <c r="B3280" s="3">
        <f>HYPERLINK("https://platform.v2.vetology.net/cases/2669105/screening-report/6?type=pdf&amp;v=v6&amp;scorecard=1&amp;secret_key=BX%25IJ%24%2F65ieZ%29f6", 2669105)</f>
        <v>2669105</v>
      </c>
      <c r="C3280" s="3">
        <f>HYPERLINK("https://platform.v2.vetology.net/report/v/final/"&amp;2669105, 2669105)</f>
        <v>2669105</v>
      </c>
      <c r="D3280" s="3" t="s">
        <v>10885</v>
      </c>
      <c r="E3280" s="3" t="s">
        <v>10886</v>
      </c>
      <c r="F3280" s="3" t="s">
        <v>10887</v>
      </c>
      <c r="G3280" s="3" t="s">
        <v>1772</v>
      </c>
      <c r="H3280" s="3" t="s">
        <v>10888</v>
      </c>
      <c r="I3280" s="3" t="s">
        <v>10707</v>
      </c>
      <c r="J3280" s="3" t="s">
        <v>10708</v>
      </c>
      <c r="K3280" s="3" t="s">
        <v>28</v>
      </c>
      <c r="L3280" s="3" t="s">
        <v>28</v>
      </c>
      <c r="M3280" s="3" t="s">
        <v>28</v>
      </c>
      <c r="N3280" s="3" t="s">
        <v>28</v>
      </c>
      <c r="O3280" s="3" t="s">
        <v>28</v>
      </c>
      <c r="P3280" s="3" t="s">
        <v>28</v>
      </c>
      <c r="Q3280" s="3" t="s">
        <v>28</v>
      </c>
      <c r="R3280" s="3" t="s">
        <v>28</v>
      </c>
      <c r="S3280" s="3" t="s">
        <v>28</v>
      </c>
      <c r="T3280" s="3" t="s">
        <v>28</v>
      </c>
    </row>
    <row r="3281" spans="1:20" ht="229.5">
      <c r="A3281" s="3">
        <v>2669075</v>
      </c>
      <c r="B3281" s="3">
        <f>HYPERLINK("https://platform.v2.vetology.net/cases/2669075/screening-report/6?type=pdf&amp;v=v6&amp;scorecard=1&amp;secret_key=BX%25IJ%24%2F65ieZ%29f6", 2669075)</f>
        <v>2669075</v>
      </c>
      <c r="C3281" s="3">
        <f>HYPERLINK("https://platform.v2.vetology.net/report/v/final/"&amp;2669075, 2669075)</f>
        <v>2669075</v>
      </c>
      <c r="D3281" s="3" t="s">
        <v>10889</v>
      </c>
      <c r="E3281" s="3" t="s">
        <v>10890</v>
      </c>
      <c r="F3281" s="3" t="s">
        <v>10891</v>
      </c>
      <c r="G3281" s="3" t="s">
        <v>186</v>
      </c>
      <c r="H3281" s="3" t="s">
        <v>31</v>
      </c>
      <c r="I3281" s="3" t="s">
        <v>32</v>
      </c>
      <c r="J3281" s="3" t="s">
        <v>119</v>
      </c>
      <c r="K3281" s="3" t="s">
        <v>28</v>
      </c>
      <c r="L3281" s="3" t="s">
        <v>28</v>
      </c>
      <c r="M3281" s="3" t="s">
        <v>28</v>
      </c>
      <c r="N3281" s="3" t="s">
        <v>28</v>
      </c>
      <c r="O3281" s="3" t="s">
        <v>27</v>
      </c>
      <c r="P3281" s="3" t="s">
        <v>28</v>
      </c>
      <c r="Q3281" s="3" t="s">
        <v>28</v>
      </c>
      <c r="R3281" s="3" t="s">
        <v>28</v>
      </c>
      <c r="S3281" s="3" t="s">
        <v>28</v>
      </c>
      <c r="T3281" s="3" t="s">
        <v>28</v>
      </c>
    </row>
    <row r="3282" spans="1:20" ht="305.25">
      <c r="A3282" s="3">
        <v>2668905</v>
      </c>
      <c r="B3282" s="3">
        <f>HYPERLINK("https://platform.v2.vetology.net/cases/2668905/screening-report/6?type=pdf&amp;v=v6&amp;scorecard=1&amp;secret_key=BX%25IJ%24%2F65ieZ%29f6", 2668905)</f>
        <v>2668905</v>
      </c>
      <c r="C3282" s="3">
        <f>HYPERLINK("https://platform.v2.vetology.net/report/v/final/"&amp;2668905, 2668905)</f>
        <v>2668905</v>
      </c>
      <c r="D3282" s="3" t="s">
        <v>10892</v>
      </c>
      <c r="E3282" s="3" t="s">
        <v>10893</v>
      </c>
      <c r="F3282" s="3" t="s">
        <v>22</v>
      </c>
      <c r="G3282" s="3" t="s">
        <v>23</v>
      </c>
      <c r="H3282" s="3" t="s">
        <v>851</v>
      </c>
      <c r="I3282" s="3" t="s">
        <v>32</v>
      </c>
      <c r="J3282" s="3" t="s">
        <v>33</v>
      </c>
      <c r="K3282" s="3" t="s">
        <v>28</v>
      </c>
      <c r="L3282" s="3" t="s">
        <v>28</v>
      </c>
      <c r="M3282" s="3" t="s">
        <v>28</v>
      </c>
      <c r="N3282" s="3" t="s">
        <v>28</v>
      </c>
      <c r="O3282" s="3" t="s">
        <v>28</v>
      </c>
      <c r="P3282" s="3" t="s">
        <v>28</v>
      </c>
      <c r="Q3282" s="3" t="s">
        <v>28</v>
      </c>
      <c r="R3282" s="3" t="s">
        <v>28</v>
      </c>
      <c r="S3282" s="3" t="s">
        <v>28</v>
      </c>
      <c r="T3282" s="3" t="s">
        <v>27</v>
      </c>
    </row>
    <row r="3283" spans="1:20" ht="409.6">
      <c r="A3283" s="3">
        <v>2668864</v>
      </c>
      <c r="B3283" s="3">
        <f>HYPERLINK("https://platform.v2.vetology.net/cases/2668864/screening-report/6?type=pdf&amp;v=v6&amp;scorecard=1&amp;secret_key=BX%25IJ%24%2F65ieZ%29f6", 2668864)</f>
        <v>2668864</v>
      </c>
      <c r="C3283" s="3">
        <f>HYPERLINK("https://platform.v2.vetology.net/report/v/final/"&amp;2668864, 2668864)</f>
        <v>2668864</v>
      </c>
      <c r="D3283" s="3" t="s">
        <v>10894</v>
      </c>
      <c r="E3283" s="3" t="s">
        <v>10895</v>
      </c>
      <c r="F3283" s="3" t="s">
        <v>10896</v>
      </c>
      <c r="G3283" s="3" t="s">
        <v>179</v>
      </c>
      <c r="H3283" s="3" t="s">
        <v>10897</v>
      </c>
      <c r="I3283" s="3" t="s">
        <v>3857</v>
      </c>
      <c r="J3283" s="3" t="s">
        <v>3858</v>
      </c>
      <c r="K3283" s="3" t="s">
        <v>28</v>
      </c>
      <c r="L3283" s="3" t="s">
        <v>28</v>
      </c>
      <c r="M3283" s="3" t="s">
        <v>28</v>
      </c>
      <c r="N3283" s="3" t="s">
        <v>28</v>
      </c>
      <c r="O3283" s="3" t="s">
        <v>28</v>
      </c>
      <c r="P3283" s="3" t="s">
        <v>27</v>
      </c>
      <c r="Q3283" s="3" t="s">
        <v>28</v>
      </c>
      <c r="R3283" s="3" t="s">
        <v>28</v>
      </c>
      <c r="S3283" s="3" t="s">
        <v>28</v>
      </c>
      <c r="T3283" s="3" t="s">
        <v>28</v>
      </c>
    </row>
    <row r="3284" spans="1:20" ht="409.6">
      <c r="A3284" s="3">
        <v>2668832</v>
      </c>
      <c r="B3284" s="3">
        <f>HYPERLINK("https://platform.v2.vetology.net/cases/2668832/screening-report/6?type=pdf&amp;v=v6&amp;scorecard=1&amp;secret_key=BX%25IJ%24%2F65ieZ%29f6", 2668832)</f>
        <v>2668832</v>
      </c>
      <c r="C3284" s="3">
        <f>HYPERLINK("https://platform.v2.vetology.net/report/v/final/"&amp;2668832, 2668832)</f>
        <v>2668832</v>
      </c>
      <c r="D3284" s="3" t="s">
        <v>10898</v>
      </c>
      <c r="E3284" s="3" t="s">
        <v>10899</v>
      </c>
      <c r="F3284" s="3" t="s">
        <v>10900</v>
      </c>
      <c r="G3284" s="3" t="s">
        <v>566</v>
      </c>
      <c r="H3284" s="3" t="s">
        <v>4750</v>
      </c>
      <c r="I3284" s="3" t="s">
        <v>469</v>
      </c>
      <c r="J3284" s="3" t="s">
        <v>470</v>
      </c>
      <c r="K3284" s="3" t="s">
        <v>28</v>
      </c>
      <c r="L3284" s="3" t="s">
        <v>28</v>
      </c>
      <c r="M3284" s="3" t="s">
        <v>28</v>
      </c>
      <c r="N3284" s="3" t="s">
        <v>28</v>
      </c>
      <c r="O3284" s="3" t="s">
        <v>27</v>
      </c>
      <c r="P3284" s="3" t="s">
        <v>28</v>
      </c>
      <c r="Q3284" s="3" t="s">
        <v>28</v>
      </c>
      <c r="R3284" s="3" t="s">
        <v>28</v>
      </c>
      <c r="S3284" s="3" t="s">
        <v>28</v>
      </c>
      <c r="T3284" s="3" t="s">
        <v>28</v>
      </c>
    </row>
    <row r="3285" spans="1:20" ht="409.6">
      <c r="A3285" s="3">
        <v>2668810</v>
      </c>
      <c r="B3285" s="3">
        <f>HYPERLINK("https://platform.v2.vetology.net/cases/2668810/screening-report/6?type=pdf&amp;v=v6&amp;scorecard=1&amp;secret_key=BX%25IJ%24%2F65ieZ%29f6", 2668810)</f>
        <v>2668810</v>
      </c>
      <c r="C3285" s="3">
        <f>HYPERLINK("https://platform.v2.vetology.net/report/v/final/"&amp;2668810, 2668810)</f>
        <v>2668810</v>
      </c>
      <c r="D3285" s="3" t="s">
        <v>10901</v>
      </c>
      <c r="E3285" s="3" t="s">
        <v>10902</v>
      </c>
      <c r="F3285" s="3" t="s">
        <v>10903</v>
      </c>
      <c r="G3285" s="3" t="s">
        <v>566</v>
      </c>
      <c r="H3285" s="3" t="s">
        <v>10904</v>
      </c>
      <c r="I3285" s="3" t="s">
        <v>2524</v>
      </c>
      <c r="J3285" s="3" t="s">
        <v>1374</v>
      </c>
      <c r="K3285" s="3" t="s">
        <v>28</v>
      </c>
      <c r="L3285" s="3" t="s">
        <v>27</v>
      </c>
      <c r="M3285" s="3" t="s">
        <v>27</v>
      </c>
      <c r="N3285" s="3" t="s">
        <v>27</v>
      </c>
      <c r="O3285" s="3" t="s">
        <v>27</v>
      </c>
      <c r="P3285" s="3" t="s">
        <v>28</v>
      </c>
      <c r="Q3285" s="3" t="s">
        <v>27</v>
      </c>
      <c r="R3285" s="3" t="s">
        <v>27</v>
      </c>
      <c r="S3285" s="3" t="s">
        <v>27</v>
      </c>
      <c r="T3285" s="3" t="s">
        <v>27</v>
      </c>
    </row>
    <row r="3286" spans="1:20" ht="409.6">
      <c r="A3286" s="3">
        <v>2668809</v>
      </c>
      <c r="B3286" s="3">
        <f>HYPERLINK("https://platform.v2.vetology.net/cases/2668809/screening-report/6?type=pdf&amp;v=v6&amp;scorecard=1&amp;secret_key=BX%25IJ%24%2F65ieZ%29f6", 2668809)</f>
        <v>2668809</v>
      </c>
      <c r="C3286" s="3">
        <f>HYPERLINK("https://platform.v2.vetology.net/report/v/final/"&amp;2668809, 2668809)</f>
        <v>2668809</v>
      </c>
      <c r="D3286" s="3" t="s">
        <v>10905</v>
      </c>
      <c r="E3286" s="3" t="s">
        <v>10906</v>
      </c>
      <c r="F3286" s="3" t="s">
        <v>10907</v>
      </c>
      <c r="G3286" s="3" t="s">
        <v>179</v>
      </c>
      <c r="H3286" s="3" t="s">
        <v>1443</v>
      </c>
      <c r="I3286" s="3" t="s">
        <v>1444</v>
      </c>
      <c r="J3286" s="3" t="s">
        <v>1445</v>
      </c>
      <c r="K3286" s="3" t="s">
        <v>28</v>
      </c>
      <c r="L3286" s="3" t="s">
        <v>28</v>
      </c>
      <c r="M3286" s="3" t="s">
        <v>28</v>
      </c>
      <c r="N3286" s="3" t="s">
        <v>28</v>
      </c>
      <c r="O3286" s="3" t="s">
        <v>27</v>
      </c>
      <c r="P3286" s="3" t="s">
        <v>28</v>
      </c>
      <c r="Q3286" s="3" t="s">
        <v>28</v>
      </c>
      <c r="R3286" s="3" t="s">
        <v>28</v>
      </c>
      <c r="S3286" s="3" t="s">
        <v>28</v>
      </c>
      <c r="T3286" s="3" t="s">
        <v>28</v>
      </c>
    </row>
    <row r="3287" spans="1:20" ht="321">
      <c r="A3287" s="3">
        <v>2668806</v>
      </c>
      <c r="B3287" s="3">
        <f>HYPERLINK("https://platform.v2.vetology.net/cases/2668806/screening-report/6?type=pdf&amp;v=v6&amp;scorecard=1&amp;secret_key=BX%25IJ%24%2F65ieZ%29f6", 2668806)</f>
        <v>2668806</v>
      </c>
      <c r="C3287" s="3">
        <f>HYPERLINK("https://platform.v2.vetology.net/report/v/final/"&amp;2668806, 2668806)</f>
        <v>2668806</v>
      </c>
      <c r="D3287" s="3" t="s">
        <v>10908</v>
      </c>
      <c r="E3287" s="3" t="s">
        <v>10909</v>
      </c>
      <c r="F3287" s="3" t="s">
        <v>10910</v>
      </c>
      <c r="G3287" s="3" t="s">
        <v>57</v>
      </c>
      <c r="H3287" s="3" t="s">
        <v>403</v>
      </c>
      <c r="I3287" s="3" t="s">
        <v>1964</v>
      </c>
      <c r="J3287" s="3" t="s">
        <v>1965</v>
      </c>
      <c r="K3287" s="3" t="s">
        <v>28</v>
      </c>
      <c r="L3287" s="3" t="s">
        <v>28</v>
      </c>
      <c r="M3287" s="3" t="s">
        <v>28</v>
      </c>
      <c r="N3287" s="3" t="s">
        <v>27</v>
      </c>
      <c r="O3287" s="3" t="s">
        <v>27</v>
      </c>
      <c r="P3287" s="3" t="s">
        <v>28</v>
      </c>
      <c r="Q3287" s="3" t="s">
        <v>28</v>
      </c>
      <c r="R3287" s="3" t="s">
        <v>28</v>
      </c>
      <c r="S3287" s="3" t="s">
        <v>28</v>
      </c>
      <c r="T3287" s="3" t="s">
        <v>27</v>
      </c>
    </row>
    <row r="3288" spans="1:20" ht="409.6">
      <c r="A3288" s="3">
        <v>2668794</v>
      </c>
      <c r="B3288" s="3">
        <f>HYPERLINK("https://platform.v2.vetology.net/cases/2668794/screening-report/6?type=pdf&amp;v=v6&amp;scorecard=1&amp;secret_key=BX%25IJ%24%2F65ieZ%29f6", 2668794)</f>
        <v>2668794</v>
      </c>
      <c r="C3288" s="3">
        <f>HYPERLINK("https://platform.v2.vetology.net/report/v/final/"&amp;2668794, 2668794)</f>
        <v>2668794</v>
      </c>
      <c r="D3288" s="3" t="s">
        <v>10911</v>
      </c>
      <c r="E3288" s="3" t="s">
        <v>10912</v>
      </c>
      <c r="F3288" s="3" t="s">
        <v>10913</v>
      </c>
      <c r="G3288" s="3" t="s">
        <v>179</v>
      </c>
      <c r="H3288" s="3" t="s">
        <v>10914</v>
      </c>
      <c r="I3288" s="3" t="s">
        <v>5078</v>
      </c>
      <c r="J3288" s="3" t="s">
        <v>9627</v>
      </c>
      <c r="K3288" s="3" t="s">
        <v>28</v>
      </c>
      <c r="L3288" s="3" t="s">
        <v>28</v>
      </c>
      <c r="M3288" s="3" t="s">
        <v>28</v>
      </c>
      <c r="N3288" s="3" t="s">
        <v>28</v>
      </c>
      <c r="O3288" s="3" t="s">
        <v>28</v>
      </c>
      <c r="P3288" s="3" t="s">
        <v>27</v>
      </c>
      <c r="Q3288" s="3" t="s">
        <v>28</v>
      </c>
      <c r="R3288" s="3" t="s">
        <v>28</v>
      </c>
      <c r="S3288" s="3" t="s">
        <v>28</v>
      </c>
      <c r="T3288" s="3" t="s">
        <v>28</v>
      </c>
    </row>
    <row r="3289" spans="1:20" ht="366">
      <c r="A3289" s="3">
        <v>2668749</v>
      </c>
      <c r="B3289" s="3">
        <f>HYPERLINK("https://platform.v2.vetology.net/cases/2668749/screening-report/6?type=pdf&amp;v=v6&amp;scorecard=1&amp;secret_key=BX%25IJ%24%2F65ieZ%29f6", 2668749)</f>
        <v>2668749</v>
      </c>
      <c r="C3289" s="3">
        <f>HYPERLINK("https://platform.v2.vetology.net/report/v/final/"&amp;2668749, 2668749)</f>
        <v>2668749</v>
      </c>
      <c r="D3289" s="3" t="s">
        <v>10915</v>
      </c>
      <c r="E3289" s="3" t="s">
        <v>10916</v>
      </c>
      <c r="F3289" s="3" t="s">
        <v>22</v>
      </c>
      <c r="G3289" s="3" t="s">
        <v>100</v>
      </c>
      <c r="H3289" s="3" t="s">
        <v>7426</v>
      </c>
      <c r="I3289" s="3" t="s">
        <v>2565</v>
      </c>
      <c r="J3289" s="3" t="s">
        <v>2566</v>
      </c>
      <c r="K3289" s="3" t="s">
        <v>27</v>
      </c>
      <c r="L3289" s="3" t="s">
        <v>27</v>
      </c>
      <c r="M3289" s="3" t="s">
        <v>28</v>
      </c>
      <c r="N3289" s="3" t="s">
        <v>27</v>
      </c>
      <c r="O3289" s="3" t="s">
        <v>27</v>
      </c>
      <c r="P3289" s="3" t="s">
        <v>28</v>
      </c>
      <c r="Q3289" s="3" t="s">
        <v>27</v>
      </c>
      <c r="R3289" s="3" t="s">
        <v>27</v>
      </c>
      <c r="S3289" s="3" t="s">
        <v>27</v>
      </c>
      <c r="T3289" s="3" t="s">
        <v>27</v>
      </c>
    </row>
    <row r="3290" spans="1:20" ht="381.75">
      <c r="A3290" s="3">
        <v>2668718</v>
      </c>
      <c r="B3290" s="3">
        <f>HYPERLINK("https://platform.v2.vetology.net/cases/2668718/screening-report/6?type=pdf&amp;v=v6&amp;scorecard=1&amp;secret_key=BX%25IJ%24%2F65ieZ%29f6", 2668718)</f>
        <v>2668718</v>
      </c>
      <c r="C3290" s="3">
        <f>HYPERLINK("https://platform.v2.vetology.net/report/v/final/"&amp;2668718, 2668718)</f>
        <v>2668718</v>
      </c>
      <c r="D3290" s="3" t="s">
        <v>10917</v>
      </c>
      <c r="E3290" s="3" t="s">
        <v>10918</v>
      </c>
      <c r="F3290" s="3" t="s">
        <v>22</v>
      </c>
      <c r="G3290" s="3" t="s">
        <v>23</v>
      </c>
      <c r="H3290" s="3" t="s">
        <v>10919</v>
      </c>
      <c r="I3290" s="3" t="s">
        <v>856</v>
      </c>
      <c r="J3290" s="3" t="s">
        <v>857</v>
      </c>
      <c r="K3290" s="3" t="s">
        <v>28</v>
      </c>
      <c r="L3290" s="3" t="s">
        <v>28</v>
      </c>
      <c r="M3290" s="3" t="s">
        <v>28</v>
      </c>
      <c r="N3290" s="3" t="s">
        <v>28</v>
      </c>
      <c r="O3290" s="3" t="s">
        <v>27</v>
      </c>
      <c r="P3290" s="3" t="s">
        <v>28</v>
      </c>
      <c r="Q3290" s="3" t="s">
        <v>28</v>
      </c>
      <c r="R3290" s="3" t="s">
        <v>28</v>
      </c>
      <c r="S3290" s="3" t="s">
        <v>28</v>
      </c>
      <c r="T3290" s="3" t="s">
        <v>28</v>
      </c>
    </row>
    <row r="3291" spans="1:20" ht="305.25">
      <c r="A3291" s="3">
        <v>2668710</v>
      </c>
      <c r="B3291" s="3">
        <f>HYPERLINK("https://platform.v2.vetology.net/cases/2668710/screening-report/6?type=pdf&amp;v=v6&amp;scorecard=1&amp;secret_key=BX%25IJ%24%2F65ieZ%29f6", 2668710)</f>
        <v>2668710</v>
      </c>
      <c r="C3291" s="3">
        <f>HYPERLINK("https://platform.v2.vetology.net/report/v/final/"&amp;2668710, 2668710)</f>
        <v>2668710</v>
      </c>
      <c r="D3291" s="3" t="s">
        <v>10920</v>
      </c>
      <c r="E3291" s="3" t="s">
        <v>10921</v>
      </c>
      <c r="F3291" s="3" t="s">
        <v>1442</v>
      </c>
      <c r="G3291" s="3" t="s">
        <v>186</v>
      </c>
      <c r="H3291" s="3" t="s">
        <v>5626</v>
      </c>
      <c r="I3291" s="3" t="s">
        <v>1070</v>
      </c>
      <c r="J3291" s="3" t="s">
        <v>207</v>
      </c>
      <c r="K3291" s="3" t="s">
        <v>27</v>
      </c>
      <c r="L3291" s="3" t="s">
        <v>28</v>
      </c>
      <c r="M3291" s="3" t="s">
        <v>28</v>
      </c>
      <c r="N3291" s="3" t="s">
        <v>28</v>
      </c>
      <c r="O3291" s="3" t="s">
        <v>27</v>
      </c>
      <c r="P3291" s="3" t="s">
        <v>28</v>
      </c>
      <c r="Q3291" s="3" t="s">
        <v>28</v>
      </c>
      <c r="R3291" s="3" t="s">
        <v>28</v>
      </c>
      <c r="S3291" s="3" t="s">
        <v>28</v>
      </c>
      <c r="T3291" s="3" t="s">
        <v>28</v>
      </c>
    </row>
    <row r="3292" spans="1:20" ht="396.75">
      <c r="A3292" s="3">
        <v>2668653</v>
      </c>
      <c r="B3292" s="3">
        <f>HYPERLINK("https://platform.v2.vetology.net/cases/2668653/screening-report/6?type=pdf&amp;v=v6&amp;scorecard=1&amp;secret_key=BX%25IJ%24%2F65ieZ%29f6", 2668653)</f>
        <v>2668653</v>
      </c>
      <c r="C3292" s="3">
        <f>HYPERLINK("https://platform.v2.vetology.net/report/v/final/"&amp;2668653, 2668653)</f>
        <v>2668653</v>
      </c>
      <c r="D3292" s="3" t="s">
        <v>10922</v>
      </c>
      <c r="E3292" s="3" t="s">
        <v>10923</v>
      </c>
      <c r="F3292" s="3" t="s">
        <v>10924</v>
      </c>
      <c r="G3292" s="3" t="s">
        <v>186</v>
      </c>
      <c r="H3292" s="3" t="s">
        <v>10925</v>
      </c>
      <c r="I3292" s="3" t="s">
        <v>1034</v>
      </c>
      <c r="J3292" s="3" t="s">
        <v>1035</v>
      </c>
      <c r="K3292" s="3" t="s">
        <v>28</v>
      </c>
      <c r="L3292" s="3" t="s">
        <v>28</v>
      </c>
      <c r="M3292" s="3" t="s">
        <v>28</v>
      </c>
      <c r="N3292" s="3" t="s">
        <v>27</v>
      </c>
      <c r="O3292" s="3" t="s">
        <v>27</v>
      </c>
      <c r="P3292" s="3" t="s">
        <v>28</v>
      </c>
      <c r="Q3292" s="3" t="s">
        <v>28</v>
      </c>
      <c r="R3292" s="3" t="s">
        <v>27</v>
      </c>
      <c r="S3292" s="3" t="s">
        <v>28</v>
      </c>
      <c r="T3292" s="3" t="s">
        <v>27</v>
      </c>
    </row>
    <row r="3293" spans="1:20" ht="305.25">
      <c r="A3293" s="3">
        <v>2668562</v>
      </c>
      <c r="B3293" s="3">
        <f>HYPERLINK("https://platform.v2.vetology.net/cases/2668562/screening-report/6?type=pdf&amp;v=v6&amp;scorecard=1&amp;secret_key=BX%25IJ%24%2F65ieZ%29f6", 2668562)</f>
        <v>2668562</v>
      </c>
      <c r="C3293" s="3">
        <f>HYPERLINK("https://platform.v2.vetology.net/report/v/final/"&amp;2668562, 2668562)</f>
        <v>2668562</v>
      </c>
      <c r="D3293" s="3" t="s">
        <v>10926</v>
      </c>
      <c r="E3293" s="3" t="s">
        <v>10927</v>
      </c>
      <c r="F3293" s="3" t="s">
        <v>10928</v>
      </c>
      <c r="G3293" s="3" t="s">
        <v>57</v>
      </c>
      <c r="H3293" s="3" t="s">
        <v>10929</v>
      </c>
      <c r="I3293" s="3" t="s">
        <v>1011</v>
      </c>
      <c r="J3293" s="3" t="s">
        <v>207</v>
      </c>
      <c r="K3293" s="3" t="s">
        <v>27</v>
      </c>
      <c r="L3293" s="3" t="s">
        <v>28</v>
      </c>
      <c r="M3293" s="3" t="s">
        <v>27</v>
      </c>
      <c r="N3293" s="3" t="s">
        <v>28</v>
      </c>
      <c r="O3293" s="3" t="s">
        <v>27</v>
      </c>
      <c r="P3293" s="3" t="s">
        <v>28</v>
      </c>
      <c r="Q3293" s="3" t="s">
        <v>27</v>
      </c>
      <c r="R3293" s="3" t="s">
        <v>28</v>
      </c>
      <c r="S3293" s="3" t="s">
        <v>28</v>
      </c>
      <c r="T3293" s="3" t="s">
        <v>28</v>
      </c>
    </row>
    <row r="3294" spans="1:20" ht="409.6">
      <c r="A3294" s="3">
        <v>2668558</v>
      </c>
      <c r="B3294" s="3">
        <f>HYPERLINK("https://platform.v2.vetology.net/cases/2668558/screening-report/6?type=pdf&amp;v=v6&amp;scorecard=1&amp;secret_key=BX%25IJ%24%2F65ieZ%29f6", 2668558)</f>
        <v>2668558</v>
      </c>
      <c r="C3294" s="3">
        <f>HYPERLINK("https://platform.v2.vetology.net/report/v/final/"&amp;2668558, 2668558)</f>
        <v>2668558</v>
      </c>
      <c r="D3294" s="3" t="s">
        <v>10930</v>
      </c>
      <c r="E3294" s="3" t="s">
        <v>10931</v>
      </c>
      <c r="F3294" s="3" t="s">
        <v>10932</v>
      </c>
      <c r="G3294" s="3" t="s">
        <v>186</v>
      </c>
      <c r="H3294" s="3" t="s">
        <v>3696</v>
      </c>
      <c r="I3294" s="3" t="s">
        <v>1529</v>
      </c>
      <c r="J3294" s="3" t="s">
        <v>1530</v>
      </c>
      <c r="K3294" s="3" t="s">
        <v>28</v>
      </c>
      <c r="L3294" s="3" t="s">
        <v>27</v>
      </c>
      <c r="M3294" s="3" t="s">
        <v>28</v>
      </c>
      <c r="N3294" s="3" t="s">
        <v>28</v>
      </c>
      <c r="O3294" s="3" t="s">
        <v>27</v>
      </c>
      <c r="P3294" s="3" t="s">
        <v>28</v>
      </c>
      <c r="Q3294" s="3" t="s">
        <v>27</v>
      </c>
      <c r="R3294" s="3" t="s">
        <v>28</v>
      </c>
      <c r="S3294" s="3" t="s">
        <v>27</v>
      </c>
      <c r="T3294" s="3" t="s">
        <v>28</v>
      </c>
    </row>
    <row r="3295" spans="1:20" ht="381.75">
      <c r="A3295" s="3">
        <v>2668539</v>
      </c>
      <c r="B3295" s="3">
        <f>HYPERLINK("https://platform.v2.vetology.net/cases/2668539/screening-report/6?type=pdf&amp;v=v6&amp;scorecard=1&amp;secret_key=BX%25IJ%24%2F65ieZ%29f6", 2668539)</f>
        <v>2668539</v>
      </c>
      <c r="C3295" s="3">
        <f>HYPERLINK("https://platform.v2.vetology.net/report/v/final/"&amp;2668539, 2668539)</f>
        <v>2668539</v>
      </c>
      <c r="D3295" s="3" t="s">
        <v>10933</v>
      </c>
      <c r="E3295" s="3" t="s">
        <v>10934</v>
      </c>
      <c r="F3295" s="3" t="s">
        <v>10935</v>
      </c>
      <c r="G3295" s="3" t="s">
        <v>186</v>
      </c>
      <c r="H3295" s="3" t="s">
        <v>1642</v>
      </c>
      <c r="I3295" s="3" t="s">
        <v>279</v>
      </c>
      <c r="J3295" s="3" t="s">
        <v>280</v>
      </c>
      <c r="K3295" s="3" t="s">
        <v>28</v>
      </c>
      <c r="L3295" s="3" t="s">
        <v>28</v>
      </c>
      <c r="M3295" s="3" t="s">
        <v>28</v>
      </c>
      <c r="N3295" s="3" t="s">
        <v>28</v>
      </c>
      <c r="O3295" s="3" t="s">
        <v>28</v>
      </c>
      <c r="P3295" s="3" t="s">
        <v>28</v>
      </c>
      <c r="Q3295" s="3" t="s">
        <v>28</v>
      </c>
      <c r="R3295" s="3" t="s">
        <v>28</v>
      </c>
      <c r="S3295" s="3" t="s">
        <v>28</v>
      </c>
      <c r="T3295" s="3" t="s">
        <v>27</v>
      </c>
    </row>
    <row r="3296" spans="1:20" ht="409.6">
      <c r="A3296" s="3">
        <v>2668528</v>
      </c>
      <c r="B3296" s="3">
        <f>HYPERLINK("https://platform.v2.vetology.net/cases/2668528/screening-report/6?type=pdf&amp;v=v6&amp;scorecard=1&amp;secret_key=BX%25IJ%24%2F65ieZ%29f6", 2668528)</f>
        <v>2668528</v>
      </c>
      <c r="C3296" s="3">
        <f>HYPERLINK("https://platform.v2.vetology.net/report/v/final/"&amp;2668528, 2668528)</f>
        <v>2668528</v>
      </c>
      <c r="D3296" s="3" t="s">
        <v>10936</v>
      </c>
      <c r="E3296" s="3" t="s">
        <v>10937</v>
      </c>
      <c r="F3296" s="3" t="s">
        <v>956</v>
      </c>
      <c r="G3296" s="3" t="s">
        <v>100</v>
      </c>
      <c r="H3296" s="3" t="s">
        <v>10938</v>
      </c>
      <c r="I3296" s="3" t="s">
        <v>3840</v>
      </c>
      <c r="J3296" s="3" t="s">
        <v>286</v>
      </c>
      <c r="K3296" s="3" t="s">
        <v>27</v>
      </c>
      <c r="L3296" s="3" t="s">
        <v>28</v>
      </c>
      <c r="M3296" s="3" t="s">
        <v>28</v>
      </c>
      <c r="N3296" s="3" t="s">
        <v>28</v>
      </c>
      <c r="O3296" s="3" t="s">
        <v>27</v>
      </c>
      <c r="P3296" s="3" t="s">
        <v>28</v>
      </c>
      <c r="Q3296" s="3" t="s">
        <v>27</v>
      </c>
      <c r="R3296" s="3" t="s">
        <v>28</v>
      </c>
      <c r="S3296" s="3" t="s">
        <v>28</v>
      </c>
      <c r="T3296" s="3" t="s">
        <v>28</v>
      </c>
    </row>
    <row r="3297" spans="1:20" ht="321">
      <c r="A3297" s="3">
        <v>2668478</v>
      </c>
      <c r="B3297" s="3">
        <f>HYPERLINK("https://platform.v2.vetology.net/cases/2668478/screening-report/6?type=pdf&amp;v=v6&amp;scorecard=1&amp;secret_key=BX%25IJ%24%2F65ieZ%29f6", 2668478)</f>
        <v>2668478</v>
      </c>
      <c r="C3297" s="3">
        <f>HYPERLINK("https://platform.v2.vetology.net/report/v/final/"&amp;2668478, 2668478)</f>
        <v>2668478</v>
      </c>
      <c r="D3297" s="3" t="s">
        <v>10939</v>
      </c>
      <c r="E3297" s="3" t="s">
        <v>10940</v>
      </c>
      <c r="F3297" s="3" t="s">
        <v>10941</v>
      </c>
      <c r="G3297" s="3" t="s">
        <v>186</v>
      </c>
      <c r="H3297" s="3" t="s">
        <v>10942</v>
      </c>
      <c r="I3297" s="3" t="s">
        <v>672</v>
      </c>
      <c r="J3297" s="3" t="s">
        <v>673</v>
      </c>
      <c r="K3297" s="3" t="s">
        <v>28</v>
      </c>
      <c r="L3297" s="3" t="s">
        <v>27</v>
      </c>
      <c r="M3297" s="3" t="s">
        <v>28</v>
      </c>
      <c r="N3297" s="3" t="s">
        <v>28</v>
      </c>
      <c r="O3297" s="3" t="s">
        <v>27</v>
      </c>
      <c r="P3297" s="3" t="s">
        <v>28</v>
      </c>
      <c r="Q3297" s="3" t="s">
        <v>28</v>
      </c>
      <c r="R3297" s="3" t="s">
        <v>28</v>
      </c>
      <c r="S3297" s="3" t="s">
        <v>28</v>
      </c>
      <c r="T3297" s="3" t="s">
        <v>28</v>
      </c>
    </row>
    <row r="3298" spans="1:20" ht="409.6">
      <c r="A3298" s="3">
        <v>2668476</v>
      </c>
      <c r="B3298" s="3">
        <f>HYPERLINK("https://platform.v2.vetology.net/cases/2668476/screening-report/6?type=pdf&amp;v=v6&amp;scorecard=1&amp;secret_key=BX%25IJ%24%2F65ieZ%29f6", 2668476)</f>
        <v>2668476</v>
      </c>
      <c r="C3298" s="3">
        <f>HYPERLINK("https://platform.v2.vetology.net/report/v/final/"&amp;2668476, 2668476)</f>
        <v>2668476</v>
      </c>
      <c r="D3298" s="3" t="s">
        <v>10943</v>
      </c>
      <c r="E3298" s="3" t="s">
        <v>10944</v>
      </c>
      <c r="F3298" s="3" t="s">
        <v>10945</v>
      </c>
      <c r="G3298" s="3" t="s">
        <v>179</v>
      </c>
      <c r="H3298" s="3" t="s">
        <v>1607</v>
      </c>
      <c r="I3298" s="3" t="s">
        <v>291</v>
      </c>
      <c r="J3298" s="3" t="s">
        <v>225</v>
      </c>
      <c r="K3298" s="3" t="s">
        <v>28</v>
      </c>
      <c r="L3298" s="3" t="s">
        <v>28</v>
      </c>
      <c r="M3298" s="3" t="s">
        <v>28</v>
      </c>
      <c r="N3298" s="3" t="s">
        <v>27</v>
      </c>
      <c r="O3298" s="3" t="s">
        <v>28</v>
      </c>
      <c r="P3298" s="3" t="s">
        <v>28</v>
      </c>
      <c r="Q3298" s="3" t="s">
        <v>28</v>
      </c>
      <c r="R3298" s="3" t="s">
        <v>27</v>
      </c>
      <c r="S3298" s="3" t="s">
        <v>27</v>
      </c>
      <c r="T3298" s="3" t="s">
        <v>27</v>
      </c>
    </row>
    <row r="3299" spans="1:20" ht="290.25">
      <c r="A3299" s="3">
        <v>2668461</v>
      </c>
      <c r="B3299" s="3">
        <f>HYPERLINK("https://platform.v2.vetology.net/cases/2668461/screening-report/6?type=pdf&amp;v=v6&amp;scorecard=1&amp;secret_key=BX%25IJ%24%2F65ieZ%29f6", 2668461)</f>
        <v>2668461</v>
      </c>
      <c r="C3299" s="3">
        <f>HYPERLINK("https://platform.v2.vetology.net/report/v/final/"&amp;2668461, 2668461)</f>
        <v>2668461</v>
      </c>
      <c r="D3299" s="3" t="s">
        <v>10946</v>
      </c>
      <c r="E3299" s="3" t="s">
        <v>294</v>
      </c>
      <c r="F3299" s="3" t="s">
        <v>22</v>
      </c>
      <c r="G3299" s="3" t="s">
        <v>23</v>
      </c>
      <c r="H3299" s="3" t="s">
        <v>419</v>
      </c>
      <c r="I3299" s="3" t="s">
        <v>316</v>
      </c>
      <c r="J3299" s="3" t="s">
        <v>317</v>
      </c>
      <c r="K3299" s="3" t="s">
        <v>28</v>
      </c>
      <c r="L3299" s="3" t="s">
        <v>28</v>
      </c>
      <c r="M3299" s="3" t="s">
        <v>28</v>
      </c>
      <c r="N3299" s="3" t="s">
        <v>28</v>
      </c>
      <c r="O3299" s="3" t="s">
        <v>27</v>
      </c>
      <c r="P3299" s="3" t="s">
        <v>28</v>
      </c>
      <c r="Q3299" s="3" t="s">
        <v>28</v>
      </c>
      <c r="R3299" s="3" t="s">
        <v>28</v>
      </c>
      <c r="S3299" s="3" t="s">
        <v>28</v>
      </c>
      <c r="T3299" s="3" t="s">
        <v>28</v>
      </c>
    </row>
    <row r="3300" spans="1:20" ht="409.6">
      <c r="A3300" s="3">
        <v>2668442</v>
      </c>
      <c r="B3300" s="3">
        <f>HYPERLINK("https://platform.v2.vetology.net/cases/2668442/screening-report/6?type=pdf&amp;v=v6&amp;scorecard=1&amp;secret_key=BX%25IJ%24%2F65ieZ%29f6", 2668442)</f>
        <v>2668442</v>
      </c>
      <c r="C3300" s="3">
        <f>HYPERLINK("https://platform.v2.vetology.net/report/v/final/"&amp;2668442, 2668442)</f>
        <v>2668442</v>
      </c>
      <c r="D3300" s="3" t="s">
        <v>10947</v>
      </c>
      <c r="E3300" s="3" t="s">
        <v>10948</v>
      </c>
      <c r="F3300" s="3" t="s">
        <v>10949</v>
      </c>
      <c r="G3300" s="3" t="s">
        <v>186</v>
      </c>
      <c r="H3300" s="3" t="s">
        <v>10950</v>
      </c>
      <c r="I3300" s="3" t="s">
        <v>1404</v>
      </c>
      <c r="J3300" s="3" t="s">
        <v>1405</v>
      </c>
      <c r="K3300" s="3" t="s">
        <v>28</v>
      </c>
      <c r="L3300" s="3" t="s">
        <v>27</v>
      </c>
      <c r="M3300" s="3" t="s">
        <v>27</v>
      </c>
      <c r="N3300" s="3" t="s">
        <v>28</v>
      </c>
      <c r="O3300" s="3" t="s">
        <v>27</v>
      </c>
      <c r="P3300" s="3" t="s">
        <v>28</v>
      </c>
      <c r="Q3300" s="3" t="s">
        <v>27</v>
      </c>
      <c r="R3300" s="3" t="s">
        <v>28</v>
      </c>
      <c r="S3300" s="3" t="s">
        <v>28</v>
      </c>
      <c r="T3300" s="3" t="s">
        <v>28</v>
      </c>
    </row>
    <row r="3301" spans="1:20" ht="366">
      <c r="A3301" s="3">
        <v>2668424</v>
      </c>
      <c r="B3301" s="3">
        <f>HYPERLINK("https://platform.v2.vetology.net/cases/2668424/screening-report/6?type=pdf&amp;v=v6&amp;scorecard=1&amp;secret_key=BX%25IJ%24%2F65ieZ%29f6", 2668424)</f>
        <v>2668424</v>
      </c>
      <c r="C3301" s="3">
        <f>HYPERLINK("https://platform.v2.vetology.net/report/v/final/"&amp;2668424, 2668424)</f>
        <v>2668424</v>
      </c>
      <c r="D3301" s="3" t="s">
        <v>10951</v>
      </c>
      <c r="E3301" s="3" t="s">
        <v>10952</v>
      </c>
      <c r="F3301" s="3" t="s">
        <v>1164</v>
      </c>
      <c r="G3301" s="3" t="s">
        <v>100</v>
      </c>
      <c r="H3301" s="3" t="s">
        <v>10953</v>
      </c>
      <c r="I3301" s="3" t="s">
        <v>2565</v>
      </c>
      <c r="J3301" s="3" t="s">
        <v>2566</v>
      </c>
      <c r="K3301" s="3" t="s">
        <v>28</v>
      </c>
      <c r="L3301" s="3" t="s">
        <v>27</v>
      </c>
      <c r="M3301" s="3" t="s">
        <v>27</v>
      </c>
      <c r="N3301" s="3" t="s">
        <v>27</v>
      </c>
      <c r="O3301" s="3" t="s">
        <v>27</v>
      </c>
      <c r="P3301" s="3" t="s">
        <v>28</v>
      </c>
      <c r="Q3301" s="3" t="s">
        <v>27</v>
      </c>
      <c r="R3301" s="3" t="s">
        <v>27</v>
      </c>
      <c r="S3301" s="3" t="s">
        <v>27</v>
      </c>
      <c r="T3301" s="3" t="s">
        <v>27</v>
      </c>
    </row>
    <row r="3302" spans="1:20" ht="366">
      <c r="A3302" s="3">
        <v>2668411</v>
      </c>
      <c r="B3302" s="3">
        <f>HYPERLINK("https://platform.v2.vetology.net/cases/2668411/screening-report/6?type=pdf&amp;v=v6&amp;scorecard=1&amp;secret_key=BX%25IJ%24%2F65ieZ%29f6", 2668411)</f>
        <v>2668411</v>
      </c>
      <c r="C3302" s="3">
        <f>HYPERLINK("https://platform.v2.vetology.net/report/v/final/"&amp;2668411, 2668411)</f>
        <v>2668411</v>
      </c>
      <c r="D3302" s="3" t="s">
        <v>10954</v>
      </c>
      <c r="E3302" s="3" t="s">
        <v>10955</v>
      </c>
      <c r="F3302" s="3" t="s">
        <v>22</v>
      </c>
      <c r="G3302" s="3" t="s">
        <v>23</v>
      </c>
      <c r="H3302" s="3" t="s">
        <v>10956</v>
      </c>
      <c r="I3302" s="3" t="s">
        <v>754</v>
      </c>
      <c r="J3302" s="3" t="s">
        <v>755</v>
      </c>
      <c r="K3302" s="3" t="s">
        <v>28</v>
      </c>
      <c r="L3302" s="3" t="s">
        <v>28</v>
      </c>
      <c r="M3302" s="3" t="s">
        <v>28</v>
      </c>
      <c r="N3302" s="3" t="s">
        <v>28</v>
      </c>
      <c r="O3302" s="3" t="s">
        <v>27</v>
      </c>
      <c r="P3302" s="3" t="s">
        <v>28</v>
      </c>
      <c r="Q3302" s="3" t="s">
        <v>28</v>
      </c>
      <c r="R3302" s="3" t="s">
        <v>28</v>
      </c>
      <c r="S3302" s="3" t="s">
        <v>28</v>
      </c>
      <c r="T3302" s="3" t="s">
        <v>28</v>
      </c>
    </row>
    <row r="3303" spans="1:20" ht="409.6">
      <c r="A3303" s="3">
        <v>2668378</v>
      </c>
      <c r="B3303" s="3">
        <f>HYPERLINK("https://platform.v2.vetology.net/cases/2668378/screening-report/6?type=pdf&amp;v=v6&amp;scorecard=1&amp;secret_key=BX%25IJ%24%2F65ieZ%29f6", 2668378)</f>
        <v>2668378</v>
      </c>
      <c r="C3303" s="3">
        <f>HYPERLINK("https://platform.v2.vetology.net/report/v/final/"&amp;2668378, 2668378)</f>
        <v>2668378</v>
      </c>
      <c r="D3303" s="3" t="s">
        <v>10957</v>
      </c>
      <c r="E3303" s="3" t="s">
        <v>10958</v>
      </c>
      <c r="F3303" s="3" t="s">
        <v>10959</v>
      </c>
      <c r="G3303" s="3" t="s">
        <v>1772</v>
      </c>
      <c r="H3303" s="3" t="s">
        <v>10960</v>
      </c>
      <c r="I3303" s="3" t="s">
        <v>5078</v>
      </c>
      <c r="J3303" s="3" t="s">
        <v>9627</v>
      </c>
      <c r="K3303" s="3" t="s">
        <v>28</v>
      </c>
      <c r="L3303" s="3" t="s">
        <v>28</v>
      </c>
      <c r="M3303" s="3" t="s">
        <v>28</v>
      </c>
      <c r="N3303" s="3" t="s">
        <v>28</v>
      </c>
      <c r="O3303" s="3" t="s">
        <v>28</v>
      </c>
      <c r="P3303" s="3" t="s">
        <v>28</v>
      </c>
      <c r="Q3303" s="3" t="s">
        <v>28</v>
      </c>
      <c r="R3303" s="3" t="s">
        <v>28</v>
      </c>
      <c r="S3303" s="3" t="s">
        <v>28</v>
      </c>
      <c r="T3303" s="3" t="s">
        <v>28</v>
      </c>
    </row>
    <row r="3304" spans="1:20" ht="409.6">
      <c r="A3304" s="3">
        <v>2668360</v>
      </c>
      <c r="B3304" s="3">
        <f>HYPERLINK("https://platform.v2.vetology.net/cases/2668360/screening-report/6?type=pdf&amp;v=v6&amp;scorecard=1&amp;secret_key=BX%25IJ%24%2F65ieZ%29f6", 2668360)</f>
        <v>2668360</v>
      </c>
      <c r="C3304" s="3">
        <f>HYPERLINK("https://platform.v2.vetology.net/report/v/final/"&amp;2668360, 2668360)</f>
        <v>2668360</v>
      </c>
      <c r="D3304" s="3" t="s">
        <v>10961</v>
      </c>
      <c r="E3304" s="3" t="s">
        <v>10962</v>
      </c>
      <c r="F3304" s="3" t="s">
        <v>22</v>
      </c>
      <c r="G3304" s="3" t="s">
        <v>23</v>
      </c>
      <c r="H3304" s="3" t="s">
        <v>10963</v>
      </c>
      <c r="I3304" s="3" t="s">
        <v>5078</v>
      </c>
      <c r="J3304" s="3" t="s">
        <v>9627</v>
      </c>
      <c r="K3304" s="3" t="s">
        <v>28</v>
      </c>
      <c r="L3304" s="3" t="s">
        <v>28</v>
      </c>
      <c r="M3304" s="3" t="s">
        <v>28</v>
      </c>
      <c r="N3304" s="3" t="s">
        <v>28</v>
      </c>
      <c r="O3304" s="3" t="s">
        <v>28</v>
      </c>
      <c r="P3304" s="3" t="s">
        <v>28</v>
      </c>
      <c r="Q3304" s="3" t="s">
        <v>28</v>
      </c>
      <c r="R3304" s="3" t="s">
        <v>28</v>
      </c>
      <c r="S3304" s="3" t="s">
        <v>28</v>
      </c>
      <c r="T3304" s="3" t="s">
        <v>28</v>
      </c>
    </row>
    <row r="3305" spans="1:20" ht="396.75">
      <c r="A3305" s="3">
        <v>2668346</v>
      </c>
      <c r="B3305" s="3">
        <f>HYPERLINK("https://platform.v2.vetology.net/cases/2668346/screening-report/6?type=pdf&amp;v=v6&amp;scorecard=1&amp;secret_key=BX%25IJ%24%2F65ieZ%29f6", 2668346)</f>
        <v>2668346</v>
      </c>
      <c r="C3305" s="3">
        <f>HYPERLINK("https://platform.v2.vetology.net/report/v/final/"&amp;2668346, 2668346)</f>
        <v>2668346</v>
      </c>
      <c r="D3305" s="3" t="s">
        <v>10964</v>
      </c>
      <c r="E3305" s="3" t="s">
        <v>4065</v>
      </c>
      <c r="F3305" s="3" t="s">
        <v>222</v>
      </c>
      <c r="G3305" s="3" t="s">
        <v>186</v>
      </c>
      <c r="H3305" s="3" t="s">
        <v>4750</v>
      </c>
      <c r="I3305" s="3" t="s">
        <v>469</v>
      </c>
      <c r="J3305" s="3" t="s">
        <v>470</v>
      </c>
      <c r="K3305" s="3" t="s">
        <v>28</v>
      </c>
      <c r="L3305" s="3" t="s">
        <v>28</v>
      </c>
      <c r="M3305" s="3" t="s">
        <v>28</v>
      </c>
      <c r="N3305" s="3" t="s">
        <v>28</v>
      </c>
      <c r="O3305" s="3" t="s">
        <v>27</v>
      </c>
      <c r="P3305" s="3" t="s">
        <v>28</v>
      </c>
      <c r="Q3305" s="3" t="s">
        <v>28</v>
      </c>
      <c r="R3305" s="3" t="s">
        <v>28</v>
      </c>
      <c r="S3305" s="3" t="s">
        <v>28</v>
      </c>
      <c r="T3305" s="3" t="s">
        <v>28</v>
      </c>
    </row>
    <row r="3306" spans="1:20" ht="351">
      <c r="A3306" s="3">
        <v>2668299</v>
      </c>
      <c r="B3306" s="3">
        <f>HYPERLINK("https://platform.v2.vetology.net/cases/2668299/screening-report/6?type=pdf&amp;v=v6&amp;scorecard=1&amp;secret_key=BX%25IJ%24%2F65ieZ%29f6", 2668299)</f>
        <v>2668299</v>
      </c>
      <c r="C3306" s="3">
        <f>HYPERLINK("https://platform.v2.vetology.net/report/v/final/"&amp;2668299, 2668299)</f>
        <v>2668299</v>
      </c>
      <c r="D3306" s="3" t="s">
        <v>10965</v>
      </c>
      <c r="E3306" s="3" t="s">
        <v>10966</v>
      </c>
      <c r="F3306" s="3" t="s">
        <v>10967</v>
      </c>
      <c r="G3306" s="3" t="s">
        <v>179</v>
      </c>
      <c r="H3306" s="3" t="s">
        <v>6456</v>
      </c>
      <c r="I3306" s="3" t="s">
        <v>3835</v>
      </c>
      <c r="J3306" s="3" t="s">
        <v>3009</v>
      </c>
      <c r="K3306" s="3" t="s">
        <v>27</v>
      </c>
      <c r="L3306" s="3" t="s">
        <v>27</v>
      </c>
      <c r="M3306" s="3" t="s">
        <v>27</v>
      </c>
      <c r="N3306" s="3" t="s">
        <v>28</v>
      </c>
      <c r="O3306" s="3" t="s">
        <v>27</v>
      </c>
      <c r="P3306" s="3" t="s">
        <v>27</v>
      </c>
      <c r="Q3306" s="3" t="s">
        <v>27</v>
      </c>
      <c r="R3306" s="3" t="s">
        <v>28</v>
      </c>
      <c r="S3306" s="3" t="s">
        <v>28</v>
      </c>
      <c r="T3306" s="3" t="s">
        <v>28</v>
      </c>
    </row>
    <row r="3307" spans="1:20" ht="381.75">
      <c r="A3307" s="3">
        <v>2668245</v>
      </c>
      <c r="B3307" s="3">
        <f>HYPERLINK("https://platform.v2.vetology.net/cases/2668245/screening-report/6?type=pdf&amp;v=v6&amp;scorecard=1&amp;secret_key=BX%25IJ%24%2F65ieZ%29f6", 2668245)</f>
        <v>2668245</v>
      </c>
      <c r="C3307" s="3">
        <f>HYPERLINK("https://platform.v2.vetology.net/report/v/final/"&amp;2668245, 2668245)</f>
        <v>2668245</v>
      </c>
      <c r="D3307" s="3" t="s">
        <v>4695</v>
      </c>
      <c r="E3307" s="3" t="s">
        <v>1230</v>
      </c>
      <c r="F3307" s="3" t="s">
        <v>2159</v>
      </c>
      <c r="G3307" s="3" t="s">
        <v>100</v>
      </c>
      <c r="H3307" s="3" t="s">
        <v>4333</v>
      </c>
      <c r="I3307" s="3" t="s">
        <v>5277</v>
      </c>
      <c r="J3307" s="3" t="s">
        <v>325</v>
      </c>
      <c r="K3307" s="3" t="s">
        <v>27</v>
      </c>
      <c r="L3307" s="3" t="s">
        <v>28</v>
      </c>
      <c r="M3307" s="3" t="s">
        <v>28</v>
      </c>
      <c r="N3307" s="3" t="s">
        <v>28</v>
      </c>
      <c r="O3307" s="3" t="s">
        <v>28</v>
      </c>
      <c r="P3307" s="3" t="s">
        <v>28</v>
      </c>
      <c r="Q3307" s="3" t="s">
        <v>27</v>
      </c>
      <c r="R3307" s="3" t="s">
        <v>28</v>
      </c>
      <c r="S3307" s="3" t="s">
        <v>27</v>
      </c>
      <c r="T3307" s="3" t="s">
        <v>28</v>
      </c>
    </row>
    <row r="3308" spans="1:20" ht="290.25">
      <c r="A3308" s="3">
        <v>2668227</v>
      </c>
      <c r="B3308" s="3">
        <f>HYPERLINK("https://platform.v2.vetology.net/cases/2668227/screening-report/6?type=pdf&amp;v=v6&amp;scorecard=1&amp;secret_key=BX%25IJ%24%2F65ieZ%29f6", 2668227)</f>
        <v>2668227</v>
      </c>
      <c r="C3308" s="3">
        <f>HYPERLINK("https://platform.v2.vetology.net/report/v/final/"&amp;2668227, 2668227)</f>
        <v>2668227</v>
      </c>
      <c r="D3308" s="3" t="s">
        <v>10968</v>
      </c>
      <c r="E3308" s="3" t="s">
        <v>10969</v>
      </c>
      <c r="F3308" s="3" t="s">
        <v>22</v>
      </c>
      <c r="G3308" s="3" t="s">
        <v>23</v>
      </c>
      <c r="H3308" s="3" t="s">
        <v>1296</v>
      </c>
      <c r="I3308" s="3" t="s">
        <v>316</v>
      </c>
      <c r="J3308" s="3" t="s">
        <v>317</v>
      </c>
      <c r="K3308" s="3" t="s">
        <v>28</v>
      </c>
      <c r="L3308" s="3" t="s">
        <v>28</v>
      </c>
      <c r="M3308" s="3" t="s">
        <v>28</v>
      </c>
      <c r="N3308" s="3" t="s">
        <v>28</v>
      </c>
      <c r="O3308" s="3" t="s">
        <v>27</v>
      </c>
      <c r="P3308" s="3" t="s">
        <v>28</v>
      </c>
      <c r="Q3308" s="3" t="s">
        <v>28</v>
      </c>
      <c r="R3308" s="3" t="s">
        <v>28</v>
      </c>
      <c r="S3308" s="3" t="s">
        <v>28</v>
      </c>
      <c r="T3308" s="3" t="s">
        <v>28</v>
      </c>
    </row>
    <row r="3309" spans="1:20" ht="366">
      <c r="A3309" s="3">
        <v>2668223</v>
      </c>
      <c r="B3309" s="3">
        <f>HYPERLINK("https://platform.v2.vetology.net/cases/2668223/screening-report/6?type=pdf&amp;v=v6&amp;scorecard=1&amp;secret_key=BX%25IJ%24%2F65ieZ%29f6", 2668223)</f>
        <v>2668223</v>
      </c>
      <c r="C3309" s="3">
        <f>HYPERLINK("https://platform.v2.vetology.net/report/v/final/"&amp;2668223, 2668223)</f>
        <v>2668223</v>
      </c>
      <c r="D3309" s="3" t="s">
        <v>10970</v>
      </c>
      <c r="E3309" s="3" t="s">
        <v>10971</v>
      </c>
      <c r="F3309" s="3" t="s">
        <v>10972</v>
      </c>
      <c r="G3309" s="3" t="s">
        <v>186</v>
      </c>
      <c r="H3309" s="3" t="s">
        <v>1271</v>
      </c>
      <c r="I3309" s="3" t="s">
        <v>883</v>
      </c>
      <c r="J3309" s="3" t="s">
        <v>884</v>
      </c>
      <c r="K3309" s="3" t="s">
        <v>27</v>
      </c>
      <c r="L3309" s="3" t="s">
        <v>28</v>
      </c>
      <c r="M3309" s="3" t="s">
        <v>28</v>
      </c>
      <c r="N3309" s="3" t="s">
        <v>28</v>
      </c>
      <c r="O3309" s="3" t="s">
        <v>28</v>
      </c>
      <c r="P3309" s="3" t="s">
        <v>28</v>
      </c>
      <c r="Q3309" s="3" t="s">
        <v>28</v>
      </c>
      <c r="R3309" s="3" t="s">
        <v>28</v>
      </c>
      <c r="S3309" s="3" t="s">
        <v>28</v>
      </c>
      <c r="T3309" s="3" t="s">
        <v>28</v>
      </c>
    </row>
    <row r="3310" spans="1:20" ht="409.6">
      <c r="A3310" s="3">
        <v>2668187</v>
      </c>
      <c r="B3310" s="3">
        <f>HYPERLINK("https://platform.v2.vetology.net/cases/2668187/screening-report/6?type=pdf&amp;v=v6&amp;scorecard=1&amp;secret_key=BX%25IJ%24%2F65ieZ%29f6", 2668187)</f>
        <v>2668187</v>
      </c>
      <c r="C3310" s="3">
        <f>HYPERLINK("https://platform.v2.vetology.net/report/v/final/"&amp;2668187, 2668187)</f>
        <v>2668187</v>
      </c>
      <c r="D3310" s="3" t="s">
        <v>10973</v>
      </c>
      <c r="E3310" s="3" t="s">
        <v>10974</v>
      </c>
      <c r="F3310" s="3" t="s">
        <v>10975</v>
      </c>
      <c r="G3310" s="3" t="s">
        <v>736</v>
      </c>
      <c r="H3310" s="3" t="s">
        <v>31</v>
      </c>
      <c r="I3310" s="3" t="s">
        <v>1497</v>
      </c>
      <c r="J3310" s="3" t="s">
        <v>847</v>
      </c>
      <c r="K3310" s="3" t="s">
        <v>28</v>
      </c>
      <c r="L3310" s="3" t="s">
        <v>28</v>
      </c>
      <c r="M3310" s="3" t="s">
        <v>28</v>
      </c>
      <c r="N3310" s="3" t="s">
        <v>28</v>
      </c>
      <c r="O3310" s="3" t="s">
        <v>28</v>
      </c>
      <c r="P3310" s="3" t="s">
        <v>28</v>
      </c>
      <c r="Q3310" s="3" t="s">
        <v>28</v>
      </c>
      <c r="R3310" s="3" t="s">
        <v>28</v>
      </c>
      <c r="S3310" s="3" t="s">
        <v>28</v>
      </c>
      <c r="T3310" s="3" t="s">
        <v>28</v>
      </c>
    </row>
    <row r="3311" spans="1:20" ht="259.5">
      <c r="A3311" s="3">
        <v>2668177</v>
      </c>
      <c r="B3311" s="3">
        <f>HYPERLINK("https://platform.v2.vetology.net/cases/2668177/screening-report/6?type=pdf&amp;v=v6&amp;scorecard=1&amp;secret_key=BX%25IJ%24%2F65ieZ%29f6", 2668177)</f>
        <v>2668177</v>
      </c>
      <c r="C3311" s="3">
        <f>HYPERLINK("https://platform.v2.vetology.net/report/v/final/"&amp;2668177, 2668177)</f>
        <v>2668177</v>
      </c>
      <c r="D3311" s="3" t="s">
        <v>10976</v>
      </c>
      <c r="E3311" s="3" t="s">
        <v>10977</v>
      </c>
      <c r="F3311" s="3" t="s">
        <v>10978</v>
      </c>
      <c r="G3311" s="3" t="s">
        <v>186</v>
      </c>
      <c r="H3311" s="3" t="s">
        <v>31</v>
      </c>
      <c r="I3311" s="3" t="s">
        <v>32</v>
      </c>
      <c r="J3311" s="3" t="s">
        <v>119</v>
      </c>
      <c r="K3311" s="3" t="s">
        <v>28</v>
      </c>
      <c r="L3311" s="3" t="s">
        <v>28</v>
      </c>
      <c r="M3311" s="3" t="s">
        <v>28</v>
      </c>
      <c r="N3311" s="3" t="s">
        <v>28</v>
      </c>
      <c r="O3311" s="3" t="s">
        <v>28</v>
      </c>
      <c r="P3311" s="3" t="s">
        <v>28</v>
      </c>
      <c r="Q3311" s="3" t="s">
        <v>28</v>
      </c>
      <c r="R3311" s="3" t="s">
        <v>28</v>
      </c>
      <c r="S3311" s="3" t="s">
        <v>28</v>
      </c>
      <c r="T3311" s="3" t="s">
        <v>28</v>
      </c>
    </row>
    <row r="3312" spans="1:20" ht="366">
      <c r="A3312" s="3">
        <v>2668085</v>
      </c>
      <c r="B3312" s="3">
        <f>HYPERLINK("https://platform.v2.vetology.net/cases/2668085/screening-report/6?type=pdf&amp;v=v6&amp;scorecard=1&amp;secret_key=BX%25IJ%24%2F65ieZ%29f6", 2668085)</f>
        <v>2668085</v>
      </c>
      <c r="C3312" s="3">
        <f>HYPERLINK("https://platform.v2.vetology.net/report/v/final/"&amp;2668085, 2668085)</f>
        <v>2668085</v>
      </c>
      <c r="D3312" s="3" t="s">
        <v>10979</v>
      </c>
      <c r="E3312" s="3" t="s">
        <v>10980</v>
      </c>
      <c r="F3312" s="3" t="s">
        <v>22</v>
      </c>
      <c r="G3312" s="3" t="s">
        <v>100</v>
      </c>
      <c r="H3312" s="3" t="s">
        <v>10981</v>
      </c>
      <c r="I3312" s="3" t="s">
        <v>1034</v>
      </c>
      <c r="J3312" s="3" t="s">
        <v>1035</v>
      </c>
      <c r="K3312" s="3" t="s">
        <v>28</v>
      </c>
      <c r="L3312" s="3" t="s">
        <v>28</v>
      </c>
      <c r="M3312" s="3" t="s">
        <v>28</v>
      </c>
      <c r="N3312" s="3" t="s">
        <v>27</v>
      </c>
      <c r="O3312" s="3" t="s">
        <v>27</v>
      </c>
      <c r="P3312" s="3" t="s">
        <v>28</v>
      </c>
      <c r="Q3312" s="3" t="s">
        <v>28</v>
      </c>
      <c r="R3312" s="3" t="s">
        <v>27</v>
      </c>
      <c r="S3312" s="3" t="s">
        <v>28</v>
      </c>
      <c r="T3312" s="3" t="s">
        <v>27</v>
      </c>
    </row>
    <row r="3313" spans="1:20" ht="366">
      <c r="A3313" s="3">
        <v>2667973</v>
      </c>
      <c r="B3313" s="3">
        <f>HYPERLINK("https://platform.v2.vetology.net/cases/2667973/screening-report/6?type=pdf&amp;v=v6&amp;scorecard=1&amp;secret_key=BX%25IJ%24%2F65ieZ%29f6", 2667973)</f>
        <v>2667973</v>
      </c>
      <c r="C3313" s="3">
        <f>HYPERLINK("https://platform.v2.vetology.net/report/v/final/"&amp;2667973, 2667973)</f>
        <v>2667973</v>
      </c>
      <c r="D3313" s="3" t="s">
        <v>10982</v>
      </c>
      <c r="E3313" s="3" t="s">
        <v>10983</v>
      </c>
      <c r="F3313" s="3"/>
      <c r="G3313" s="3" t="s">
        <v>122</v>
      </c>
      <c r="H3313" s="3" t="s">
        <v>10984</v>
      </c>
      <c r="I3313" s="3" t="s">
        <v>852</v>
      </c>
      <c r="J3313" s="3" t="s">
        <v>713</v>
      </c>
      <c r="K3313" s="3" t="s">
        <v>28</v>
      </c>
      <c r="L3313" s="3" t="s">
        <v>28</v>
      </c>
      <c r="M3313" s="3" t="s">
        <v>28</v>
      </c>
      <c r="N3313" s="3" t="s">
        <v>28</v>
      </c>
      <c r="O3313" s="3" t="s">
        <v>27</v>
      </c>
      <c r="P3313" s="3" t="s">
        <v>28</v>
      </c>
      <c r="Q3313" s="3" t="s">
        <v>27</v>
      </c>
      <c r="R3313" s="3" t="s">
        <v>28</v>
      </c>
      <c r="S3313" s="3" t="s">
        <v>28</v>
      </c>
      <c r="T3313" s="3" t="s">
        <v>27</v>
      </c>
    </row>
    <row r="3314" spans="1:20" ht="409.6">
      <c r="A3314" s="3">
        <v>2667912</v>
      </c>
      <c r="B3314" s="3">
        <f>HYPERLINK("https://platform.v2.vetology.net/cases/2667912/screening-report/6?type=pdf&amp;v=v6&amp;scorecard=1&amp;secret_key=BX%25IJ%24%2F65ieZ%29f6", 2667912)</f>
        <v>2667912</v>
      </c>
      <c r="C3314" s="3">
        <f>HYPERLINK("https://platform.v2.vetology.net/report/v/final/"&amp;2667912, 2667912)</f>
        <v>2667912</v>
      </c>
      <c r="D3314" s="3" t="s">
        <v>10985</v>
      </c>
      <c r="E3314" s="3" t="s">
        <v>10986</v>
      </c>
      <c r="F3314" s="3" t="s">
        <v>22</v>
      </c>
      <c r="G3314" s="3" t="s">
        <v>23</v>
      </c>
      <c r="H3314" s="3" t="s">
        <v>10987</v>
      </c>
      <c r="I3314" s="3" t="s">
        <v>7317</v>
      </c>
      <c r="J3314" s="3" t="s">
        <v>7318</v>
      </c>
      <c r="K3314" s="3" t="s">
        <v>28</v>
      </c>
      <c r="L3314" s="3" t="s">
        <v>27</v>
      </c>
      <c r="M3314" s="3" t="s">
        <v>28</v>
      </c>
      <c r="N3314" s="3" t="s">
        <v>27</v>
      </c>
      <c r="O3314" s="3" t="s">
        <v>27</v>
      </c>
      <c r="P3314" s="3" t="s">
        <v>28</v>
      </c>
      <c r="Q3314" s="3" t="s">
        <v>28</v>
      </c>
      <c r="R3314" s="3" t="s">
        <v>28</v>
      </c>
      <c r="S3314" s="3" t="s">
        <v>28</v>
      </c>
      <c r="T3314" s="3" t="s">
        <v>27</v>
      </c>
    </row>
    <row r="3315" spans="1:20" ht="409.6">
      <c r="A3315" s="3">
        <v>2667896</v>
      </c>
      <c r="B3315" s="3">
        <f>HYPERLINK("https://platform.v2.vetology.net/cases/2667896/screening-report/6?type=pdf&amp;v=v6&amp;scorecard=1&amp;secret_key=BX%25IJ%24%2F65ieZ%29f6", 2667896)</f>
        <v>2667896</v>
      </c>
      <c r="C3315" s="3">
        <f>HYPERLINK("https://platform.v2.vetology.net/report/v/final/"&amp;2667896, 2667896)</f>
        <v>2667896</v>
      </c>
      <c r="D3315" s="3" t="s">
        <v>10988</v>
      </c>
      <c r="E3315" s="3" t="s">
        <v>10989</v>
      </c>
      <c r="F3315" s="3" t="s">
        <v>22</v>
      </c>
      <c r="G3315" s="3" t="s">
        <v>23</v>
      </c>
      <c r="H3315" s="3" t="s">
        <v>10990</v>
      </c>
      <c r="I3315" s="3" t="s">
        <v>1201</v>
      </c>
      <c r="J3315" s="3" t="s">
        <v>1202</v>
      </c>
      <c r="K3315" s="3" t="s">
        <v>28</v>
      </c>
      <c r="L3315" s="3" t="s">
        <v>28</v>
      </c>
      <c r="M3315" s="3" t="s">
        <v>28</v>
      </c>
      <c r="N3315" s="3" t="s">
        <v>28</v>
      </c>
      <c r="O3315" s="3" t="s">
        <v>28</v>
      </c>
      <c r="P3315" s="3" t="s">
        <v>28</v>
      </c>
      <c r="Q3315" s="3" t="s">
        <v>28</v>
      </c>
      <c r="R3315" s="3" t="s">
        <v>28</v>
      </c>
      <c r="S3315" s="3" t="s">
        <v>28</v>
      </c>
      <c r="T3315" s="3" t="s">
        <v>27</v>
      </c>
    </row>
    <row r="3316" spans="1:20" ht="366">
      <c r="A3316" s="3">
        <v>2667854</v>
      </c>
      <c r="B3316" s="3">
        <f>HYPERLINK("https://platform.v2.vetology.net/cases/2667854/screening-report/6?type=pdf&amp;v=v6&amp;scorecard=1&amp;secret_key=BX%25IJ%24%2F65ieZ%29f6", 2667854)</f>
        <v>2667854</v>
      </c>
      <c r="C3316" s="3">
        <f>HYPERLINK("https://platform.v2.vetology.net/report/v/final/"&amp;2667854, 2667854)</f>
        <v>2667854</v>
      </c>
      <c r="D3316" s="3" t="s">
        <v>10991</v>
      </c>
      <c r="E3316" s="3" t="s">
        <v>10992</v>
      </c>
      <c r="F3316" s="3" t="s">
        <v>22</v>
      </c>
      <c r="G3316" s="3" t="s">
        <v>23</v>
      </c>
      <c r="H3316" s="3" t="s">
        <v>10993</v>
      </c>
      <c r="I3316" s="3" t="s">
        <v>754</v>
      </c>
      <c r="J3316" s="3" t="s">
        <v>755</v>
      </c>
      <c r="K3316" s="3" t="s">
        <v>28</v>
      </c>
      <c r="L3316" s="3" t="s">
        <v>28</v>
      </c>
      <c r="M3316" s="3" t="s">
        <v>28</v>
      </c>
      <c r="N3316" s="3" t="s">
        <v>28</v>
      </c>
      <c r="O3316" s="3" t="s">
        <v>27</v>
      </c>
      <c r="P3316" s="3" t="s">
        <v>28</v>
      </c>
      <c r="Q3316" s="3" t="s">
        <v>27</v>
      </c>
      <c r="R3316" s="3" t="s">
        <v>28</v>
      </c>
      <c r="S3316" s="3" t="s">
        <v>28</v>
      </c>
      <c r="T3316" s="3" t="s">
        <v>28</v>
      </c>
    </row>
    <row r="3317" spans="1:20" ht="409.6">
      <c r="A3317" s="3">
        <v>2667851</v>
      </c>
      <c r="B3317" s="3">
        <f>HYPERLINK("https://platform.v2.vetology.net/cases/2667851/screening-report/6?type=pdf&amp;v=v6&amp;scorecard=1&amp;secret_key=BX%25IJ%24%2F65ieZ%29f6", 2667851)</f>
        <v>2667851</v>
      </c>
      <c r="C3317" s="3">
        <f>HYPERLINK("https://platform.v2.vetology.net/report/v/final/"&amp;2667851, 2667851)</f>
        <v>2667851</v>
      </c>
      <c r="D3317" s="3" t="s">
        <v>10994</v>
      </c>
      <c r="E3317" s="3" t="s">
        <v>10995</v>
      </c>
      <c r="F3317" s="3" t="s">
        <v>10996</v>
      </c>
      <c r="G3317" s="3" t="s">
        <v>179</v>
      </c>
      <c r="H3317" s="3" t="s">
        <v>10997</v>
      </c>
      <c r="I3317" s="3" t="s">
        <v>10998</v>
      </c>
      <c r="J3317" s="3" t="s">
        <v>207</v>
      </c>
      <c r="K3317" s="3" t="s">
        <v>28</v>
      </c>
      <c r="L3317" s="3" t="s">
        <v>28</v>
      </c>
      <c r="M3317" s="3" t="s">
        <v>28</v>
      </c>
      <c r="N3317" s="3" t="s">
        <v>27</v>
      </c>
      <c r="O3317" s="3" t="s">
        <v>28</v>
      </c>
      <c r="P3317" s="3" t="s">
        <v>28</v>
      </c>
      <c r="Q3317" s="3" t="s">
        <v>28</v>
      </c>
      <c r="R3317" s="3" t="s">
        <v>27</v>
      </c>
      <c r="S3317" s="3" t="s">
        <v>28</v>
      </c>
      <c r="T3317" s="3" t="s">
        <v>27</v>
      </c>
    </row>
    <row r="3318" spans="1:20" ht="366">
      <c r="A3318" s="3">
        <v>2667843</v>
      </c>
      <c r="B3318" s="3">
        <f>HYPERLINK("https://platform.v2.vetology.net/cases/2667843/screening-report/6?type=pdf&amp;v=v6&amp;scorecard=1&amp;secret_key=BX%25IJ%24%2F65ieZ%29f6", 2667843)</f>
        <v>2667843</v>
      </c>
      <c r="C3318" s="3">
        <f>HYPERLINK("https://platform.v2.vetology.net/report/v/final/"&amp;2667843, 2667843)</f>
        <v>2667843</v>
      </c>
      <c r="D3318" s="3" t="s">
        <v>10999</v>
      </c>
      <c r="E3318" s="3" t="s">
        <v>11000</v>
      </c>
      <c r="F3318" s="3" t="s">
        <v>10074</v>
      </c>
      <c r="G3318" s="3" t="s">
        <v>1772</v>
      </c>
      <c r="H3318" s="3" t="s">
        <v>11001</v>
      </c>
      <c r="I3318" s="3" t="s">
        <v>8505</v>
      </c>
      <c r="J3318" s="3" t="s">
        <v>154</v>
      </c>
      <c r="K3318" s="3" t="s">
        <v>27</v>
      </c>
      <c r="L3318" s="3" t="s">
        <v>28</v>
      </c>
      <c r="M3318" s="3" t="s">
        <v>27</v>
      </c>
      <c r="N3318" s="3" t="s">
        <v>28</v>
      </c>
      <c r="O3318" s="3" t="s">
        <v>28</v>
      </c>
      <c r="P3318" s="3" t="s">
        <v>28</v>
      </c>
      <c r="Q3318" s="3" t="s">
        <v>27</v>
      </c>
      <c r="R3318" s="3" t="s">
        <v>28</v>
      </c>
      <c r="S3318" s="3" t="s">
        <v>27</v>
      </c>
      <c r="T3318" s="3" t="s">
        <v>27</v>
      </c>
    </row>
    <row r="3319" spans="1:20" ht="321">
      <c r="A3319" s="3">
        <v>2667816</v>
      </c>
      <c r="B3319" s="3">
        <f>HYPERLINK("https://platform.v2.vetology.net/cases/2667816/screening-report/6?type=pdf&amp;v=v6&amp;scorecard=1&amp;secret_key=BX%25IJ%24%2F65ieZ%29f6", 2667816)</f>
        <v>2667816</v>
      </c>
      <c r="C3319" s="3">
        <f>HYPERLINK("https://platform.v2.vetology.net/report/v/final/"&amp;2667816, 2667816)</f>
        <v>2667816</v>
      </c>
      <c r="D3319" s="3" t="s">
        <v>11002</v>
      </c>
      <c r="E3319" s="3" t="s">
        <v>11003</v>
      </c>
      <c r="F3319" s="3" t="s">
        <v>22</v>
      </c>
      <c r="G3319" s="3" t="s">
        <v>23</v>
      </c>
      <c r="H3319" s="3" t="s">
        <v>118</v>
      </c>
      <c r="I3319" s="3" t="s">
        <v>32</v>
      </c>
      <c r="J3319" s="3" t="s">
        <v>33</v>
      </c>
      <c r="K3319" s="3" t="s">
        <v>27</v>
      </c>
      <c r="L3319" s="3" t="s">
        <v>28</v>
      </c>
      <c r="M3319" s="3" t="s">
        <v>28</v>
      </c>
      <c r="N3319" s="3" t="s">
        <v>28</v>
      </c>
      <c r="O3319" s="3" t="s">
        <v>27</v>
      </c>
      <c r="P3319" s="3" t="s">
        <v>28</v>
      </c>
      <c r="Q3319" s="3" t="s">
        <v>28</v>
      </c>
      <c r="R3319" s="3" t="s">
        <v>27</v>
      </c>
      <c r="S3319" s="3" t="s">
        <v>28</v>
      </c>
      <c r="T3319" s="3" t="s">
        <v>28</v>
      </c>
    </row>
    <row r="3320" spans="1:20" ht="409.6">
      <c r="A3320" s="3">
        <v>2667784</v>
      </c>
      <c r="B3320" s="3">
        <f>HYPERLINK("https://platform.v2.vetology.net/cases/2667784/screening-report/6?type=pdf&amp;v=v6&amp;scorecard=1&amp;secret_key=BX%25IJ%24%2F65ieZ%29f6", 2667784)</f>
        <v>2667784</v>
      </c>
      <c r="C3320" s="3">
        <f>HYPERLINK("https://platform.v2.vetology.net/report/v/final/"&amp;2667784, 2667784)</f>
        <v>2667784</v>
      </c>
      <c r="D3320" s="3" t="s">
        <v>11004</v>
      </c>
      <c r="E3320" s="3" t="s">
        <v>11005</v>
      </c>
      <c r="F3320" s="3" t="s">
        <v>11006</v>
      </c>
      <c r="G3320" s="3" t="s">
        <v>1772</v>
      </c>
      <c r="H3320" s="3" t="s">
        <v>11007</v>
      </c>
      <c r="I3320" s="3" t="s">
        <v>9844</v>
      </c>
      <c r="J3320" s="3" t="s">
        <v>713</v>
      </c>
      <c r="K3320" s="3" t="s">
        <v>27</v>
      </c>
      <c r="L3320" s="3" t="s">
        <v>28</v>
      </c>
      <c r="M3320" s="3" t="s">
        <v>28</v>
      </c>
      <c r="N3320" s="3" t="s">
        <v>28</v>
      </c>
      <c r="O3320" s="3" t="s">
        <v>28</v>
      </c>
      <c r="P3320" s="3" t="s">
        <v>28</v>
      </c>
      <c r="Q3320" s="3" t="s">
        <v>28</v>
      </c>
      <c r="R3320" s="3" t="s">
        <v>28</v>
      </c>
      <c r="S3320" s="3" t="s">
        <v>28</v>
      </c>
      <c r="T3320" s="3" t="s">
        <v>28</v>
      </c>
    </row>
    <row r="3321" spans="1:20" ht="366">
      <c r="A3321" s="3">
        <v>2667779</v>
      </c>
      <c r="B3321" s="3">
        <f>HYPERLINK("https://platform.v2.vetology.net/cases/2667779/screening-report/6?type=pdf&amp;v=v6&amp;scorecard=1&amp;secret_key=BX%25IJ%24%2F65ieZ%29f6", 2667779)</f>
        <v>2667779</v>
      </c>
      <c r="C3321" s="3">
        <f>HYPERLINK("https://platform.v2.vetology.net/report/v/final/"&amp;2667779, 2667779)</f>
        <v>2667779</v>
      </c>
      <c r="D3321" s="3" t="s">
        <v>11008</v>
      </c>
      <c r="E3321" s="3" t="s">
        <v>2332</v>
      </c>
      <c r="F3321" s="3" t="s">
        <v>11009</v>
      </c>
      <c r="G3321" s="3" t="s">
        <v>211</v>
      </c>
      <c r="H3321" s="3" t="s">
        <v>11010</v>
      </c>
      <c r="I3321" s="3" t="s">
        <v>224</v>
      </c>
      <c r="J3321" s="3" t="s">
        <v>225</v>
      </c>
      <c r="K3321" s="3" t="s">
        <v>28</v>
      </c>
      <c r="L3321" s="3" t="s">
        <v>28</v>
      </c>
      <c r="M3321" s="3" t="s">
        <v>28</v>
      </c>
      <c r="N3321" s="3" t="s">
        <v>27</v>
      </c>
      <c r="O3321" s="3" t="s">
        <v>27</v>
      </c>
      <c r="P3321" s="3" t="s">
        <v>28</v>
      </c>
      <c r="Q3321" s="3" t="s">
        <v>27</v>
      </c>
      <c r="R3321" s="3" t="s">
        <v>27</v>
      </c>
      <c r="S3321" s="3" t="s">
        <v>27</v>
      </c>
      <c r="T3321" s="3" t="s">
        <v>27</v>
      </c>
    </row>
    <row r="3322" spans="1:20" ht="409.6">
      <c r="A3322" s="3">
        <v>2667765</v>
      </c>
      <c r="B3322" s="3">
        <f>HYPERLINK("https://platform.v2.vetology.net/cases/2667765/screening-report/6?type=pdf&amp;v=v6&amp;scorecard=1&amp;secret_key=BX%25IJ%24%2F65ieZ%29f6", 2667765)</f>
        <v>2667765</v>
      </c>
      <c r="C3322" s="3">
        <f>HYPERLINK("https://platform.v2.vetology.net/report/v/final/"&amp;2667765, 2667765)</f>
        <v>2667765</v>
      </c>
      <c r="D3322" s="3" t="s">
        <v>11011</v>
      </c>
      <c r="E3322" s="3" t="s">
        <v>11012</v>
      </c>
      <c r="F3322" s="3" t="s">
        <v>11013</v>
      </c>
      <c r="G3322" s="3" t="s">
        <v>57</v>
      </c>
      <c r="H3322" s="3" t="s">
        <v>11014</v>
      </c>
      <c r="I3322" s="3" t="s">
        <v>2388</v>
      </c>
      <c r="J3322" s="3" t="s">
        <v>2389</v>
      </c>
      <c r="K3322" s="3" t="s">
        <v>28</v>
      </c>
      <c r="L3322" s="3" t="s">
        <v>28</v>
      </c>
      <c r="M3322" s="3" t="s">
        <v>28</v>
      </c>
      <c r="N3322" s="3" t="s">
        <v>28</v>
      </c>
      <c r="O3322" s="3" t="s">
        <v>27</v>
      </c>
      <c r="P3322" s="3" t="s">
        <v>27</v>
      </c>
      <c r="Q3322" s="3" t="s">
        <v>28</v>
      </c>
      <c r="R3322" s="3" t="s">
        <v>28</v>
      </c>
      <c r="S3322" s="3" t="s">
        <v>27</v>
      </c>
      <c r="T3322" s="3" t="s">
        <v>27</v>
      </c>
    </row>
    <row r="3323" spans="1:20" ht="305.25">
      <c r="A3323" s="3">
        <v>2667689</v>
      </c>
      <c r="B3323" s="3">
        <f>HYPERLINK("https://platform.v2.vetology.net/cases/2667689/screening-report/6?type=pdf&amp;v=v6&amp;scorecard=1&amp;secret_key=BX%25IJ%24%2F65ieZ%29f6", 2667689)</f>
        <v>2667689</v>
      </c>
      <c r="C3323" s="3">
        <f>HYPERLINK("https://platform.v2.vetology.net/report/v/final/"&amp;2667689, 2667689)</f>
        <v>2667689</v>
      </c>
      <c r="D3323" s="3" t="s">
        <v>11015</v>
      </c>
      <c r="E3323" s="3" t="s">
        <v>11016</v>
      </c>
      <c r="F3323" s="3" t="s">
        <v>11017</v>
      </c>
      <c r="G3323" s="3" t="s">
        <v>186</v>
      </c>
      <c r="H3323" s="3" t="s">
        <v>11018</v>
      </c>
      <c r="I3323" s="3" t="s">
        <v>793</v>
      </c>
      <c r="J3323" s="3" t="s">
        <v>794</v>
      </c>
      <c r="K3323" s="3" t="s">
        <v>28</v>
      </c>
      <c r="L3323" s="3" t="s">
        <v>28</v>
      </c>
      <c r="M3323" s="3" t="s">
        <v>28</v>
      </c>
      <c r="N3323" s="3" t="s">
        <v>28</v>
      </c>
      <c r="O3323" s="3" t="s">
        <v>28</v>
      </c>
      <c r="P3323" s="3" t="s">
        <v>28</v>
      </c>
      <c r="Q3323" s="3" t="s">
        <v>28</v>
      </c>
      <c r="R3323" s="3" t="s">
        <v>28</v>
      </c>
      <c r="S3323" s="3" t="s">
        <v>28</v>
      </c>
      <c r="T3323" s="3" t="s">
        <v>28</v>
      </c>
    </row>
    <row r="3324" spans="1:20" ht="366">
      <c r="A3324" s="3">
        <v>2667606</v>
      </c>
      <c r="B3324" s="3">
        <f>HYPERLINK("https://platform.v2.vetology.net/cases/2667606/screening-report/6?type=pdf&amp;v=v6&amp;scorecard=1&amp;secret_key=BX%25IJ%24%2F65ieZ%29f6", 2667606)</f>
        <v>2667606</v>
      </c>
      <c r="C3324" s="3">
        <f>HYPERLINK("https://platform.v2.vetology.net/report/v/final/"&amp;2667606, 2667606)</f>
        <v>2667606</v>
      </c>
      <c r="D3324" s="3" t="s">
        <v>11019</v>
      </c>
      <c r="E3324" s="3" t="s">
        <v>11020</v>
      </c>
      <c r="F3324" s="3" t="s">
        <v>11021</v>
      </c>
      <c r="G3324" s="3" t="s">
        <v>179</v>
      </c>
      <c r="H3324" s="3" t="s">
        <v>1482</v>
      </c>
      <c r="I3324" s="3" t="s">
        <v>1483</v>
      </c>
      <c r="J3324" s="3" t="s">
        <v>5778</v>
      </c>
      <c r="K3324" s="3" t="s">
        <v>28</v>
      </c>
      <c r="L3324" s="3" t="s">
        <v>28</v>
      </c>
      <c r="M3324" s="3" t="s">
        <v>27</v>
      </c>
      <c r="N3324" s="3" t="s">
        <v>28</v>
      </c>
      <c r="O3324" s="3" t="s">
        <v>27</v>
      </c>
      <c r="P3324" s="3" t="s">
        <v>28</v>
      </c>
      <c r="Q3324" s="3" t="s">
        <v>28</v>
      </c>
      <c r="R3324" s="3" t="s">
        <v>28</v>
      </c>
      <c r="S3324" s="3" t="s">
        <v>28</v>
      </c>
      <c r="T3324" s="3" t="s">
        <v>28</v>
      </c>
    </row>
    <row r="3325" spans="1:20" ht="366">
      <c r="A3325" s="3">
        <v>2667600</v>
      </c>
      <c r="B3325" s="3">
        <f>HYPERLINK("https://platform.v2.vetology.net/cases/2667600/screening-report/6?type=pdf&amp;v=v6&amp;scorecard=1&amp;secret_key=BX%25IJ%24%2F65ieZ%29f6", 2667600)</f>
        <v>2667600</v>
      </c>
      <c r="C3325" s="3">
        <f>HYPERLINK("https://platform.v2.vetology.net/report/v/final/"&amp;2667600, 2667600)</f>
        <v>2667600</v>
      </c>
      <c r="D3325" s="3" t="s">
        <v>11022</v>
      </c>
      <c r="E3325" s="3" t="s">
        <v>11023</v>
      </c>
      <c r="F3325" s="3" t="s">
        <v>11024</v>
      </c>
      <c r="G3325" s="3" t="s">
        <v>179</v>
      </c>
      <c r="H3325" s="3" t="s">
        <v>2629</v>
      </c>
      <c r="I3325" s="3" t="s">
        <v>32</v>
      </c>
      <c r="J3325" s="3" t="s">
        <v>119</v>
      </c>
      <c r="K3325" s="3" t="s">
        <v>28</v>
      </c>
      <c r="L3325" s="3" t="s">
        <v>28</v>
      </c>
      <c r="M3325" s="3" t="s">
        <v>28</v>
      </c>
      <c r="N3325" s="3" t="s">
        <v>28</v>
      </c>
      <c r="O3325" s="3" t="s">
        <v>28</v>
      </c>
      <c r="P3325" s="3" t="s">
        <v>28</v>
      </c>
      <c r="Q3325" s="3" t="s">
        <v>28</v>
      </c>
      <c r="R3325" s="3" t="s">
        <v>28</v>
      </c>
      <c r="S3325" s="3" t="s">
        <v>28</v>
      </c>
      <c r="T3325" s="3" t="s">
        <v>28</v>
      </c>
    </row>
    <row r="3326" spans="1:20" ht="409.6">
      <c r="A3326" s="3">
        <v>2667578</v>
      </c>
      <c r="B3326" s="3">
        <f>HYPERLINK("https://platform.v2.vetology.net/cases/2667578/screening-report/6?type=pdf&amp;v=v6&amp;scorecard=1&amp;secret_key=BX%25IJ%24%2F65ieZ%29f6", 2667578)</f>
        <v>2667578</v>
      </c>
      <c r="C3326" s="3">
        <f>HYPERLINK("https://platform.v2.vetology.net/report/v/final/"&amp;2667578, 2667578)</f>
        <v>2667578</v>
      </c>
      <c r="D3326" s="3" t="s">
        <v>11025</v>
      </c>
      <c r="E3326" s="3" t="s">
        <v>11026</v>
      </c>
      <c r="F3326" s="3" t="s">
        <v>11027</v>
      </c>
      <c r="G3326" s="3" t="s">
        <v>496</v>
      </c>
      <c r="H3326" s="3" t="s">
        <v>6418</v>
      </c>
      <c r="I3326" s="3" t="s">
        <v>2625</v>
      </c>
      <c r="J3326" s="3" t="s">
        <v>2626</v>
      </c>
      <c r="K3326" s="3" t="s">
        <v>28</v>
      </c>
      <c r="L3326" s="3" t="s">
        <v>28</v>
      </c>
      <c r="M3326" s="3" t="s">
        <v>28</v>
      </c>
      <c r="N3326" s="3" t="s">
        <v>28</v>
      </c>
      <c r="O3326" s="3" t="s">
        <v>28</v>
      </c>
      <c r="P3326" s="3" t="s">
        <v>28</v>
      </c>
      <c r="Q3326" s="3" t="s">
        <v>28</v>
      </c>
      <c r="R3326" s="3" t="s">
        <v>28</v>
      </c>
      <c r="S3326" s="3" t="s">
        <v>27</v>
      </c>
      <c r="T3326" s="3" t="s">
        <v>27</v>
      </c>
    </row>
    <row r="3327" spans="1:20" ht="381.75">
      <c r="A3327" s="3">
        <v>2667566</v>
      </c>
      <c r="B3327" s="3">
        <f>HYPERLINK("https://platform.v2.vetology.net/cases/2667566/screening-report/6?type=pdf&amp;v=v6&amp;scorecard=1&amp;secret_key=BX%25IJ%24%2F65ieZ%29f6", 2667566)</f>
        <v>2667566</v>
      </c>
      <c r="C3327" s="3">
        <f>HYPERLINK("https://platform.v2.vetology.net/report/v/final/"&amp;2667566, 2667566)</f>
        <v>2667566</v>
      </c>
      <c r="D3327" s="3" t="s">
        <v>11028</v>
      </c>
      <c r="E3327" s="3" t="s">
        <v>11029</v>
      </c>
      <c r="F3327" s="3" t="s">
        <v>11030</v>
      </c>
      <c r="G3327" s="3" t="s">
        <v>64</v>
      </c>
      <c r="H3327" s="3" t="s">
        <v>1932</v>
      </c>
      <c r="I3327" s="3" t="s">
        <v>136</v>
      </c>
      <c r="J3327" s="3" t="s">
        <v>137</v>
      </c>
      <c r="K3327" s="3" t="s">
        <v>28</v>
      </c>
      <c r="L3327" s="3" t="s">
        <v>28</v>
      </c>
      <c r="M3327" s="3" t="s">
        <v>27</v>
      </c>
      <c r="N3327" s="3" t="s">
        <v>27</v>
      </c>
      <c r="O3327" s="3" t="s">
        <v>27</v>
      </c>
      <c r="P3327" s="3" t="s">
        <v>28</v>
      </c>
      <c r="Q3327" s="3" t="s">
        <v>28</v>
      </c>
      <c r="R3327" s="3" t="s">
        <v>28</v>
      </c>
      <c r="S3327" s="3" t="s">
        <v>28</v>
      </c>
      <c r="T3327" s="3" t="s">
        <v>27</v>
      </c>
    </row>
    <row r="3328" spans="1:20" ht="229.5">
      <c r="A3328" s="3">
        <v>2667564</v>
      </c>
      <c r="B3328" s="3">
        <f>HYPERLINK("https://platform.v2.vetology.net/cases/2667564/screening-report/6?type=pdf&amp;v=v6&amp;scorecard=1&amp;secret_key=BX%25IJ%24%2F65ieZ%29f6", 2667564)</f>
        <v>2667564</v>
      </c>
      <c r="C3328" s="3">
        <f>HYPERLINK("https://platform.v2.vetology.net/report/v/final/"&amp;2667564, 2667564)</f>
        <v>2667564</v>
      </c>
      <c r="D3328" s="3" t="s">
        <v>11031</v>
      </c>
      <c r="E3328" s="3" t="s">
        <v>11032</v>
      </c>
      <c r="F3328" s="3" t="s">
        <v>956</v>
      </c>
      <c r="G3328" s="3" t="s">
        <v>100</v>
      </c>
      <c r="H3328" s="3" t="s">
        <v>11033</v>
      </c>
      <c r="I3328" s="3" t="s">
        <v>1579</v>
      </c>
      <c r="J3328" s="3" t="s">
        <v>207</v>
      </c>
      <c r="K3328" s="3" t="s">
        <v>28</v>
      </c>
      <c r="L3328" s="3" t="s">
        <v>27</v>
      </c>
      <c r="M3328" s="3" t="s">
        <v>28</v>
      </c>
      <c r="N3328" s="3" t="s">
        <v>27</v>
      </c>
      <c r="O3328" s="3" t="s">
        <v>27</v>
      </c>
      <c r="P3328" s="3" t="s">
        <v>27</v>
      </c>
      <c r="Q3328" s="3" t="s">
        <v>27</v>
      </c>
      <c r="R3328" s="3" t="s">
        <v>27</v>
      </c>
      <c r="S3328" s="3" t="s">
        <v>27</v>
      </c>
      <c r="T3328" s="3" t="s">
        <v>27</v>
      </c>
    </row>
    <row r="3329" spans="1:20" ht="321">
      <c r="A3329" s="3">
        <v>2667533</v>
      </c>
      <c r="B3329" s="3">
        <f>HYPERLINK("https://platform.v2.vetology.net/cases/2667533/screening-report/6?type=pdf&amp;v=v6&amp;scorecard=1&amp;secret_key=BX%25IJ%24%2F65ieZ%29f6", 2667533)</f>
        <v>2667533</v>
      </c>
      <c r="C3329" s="3">
        <f>HYPERLINK("https://platform.v2.vetology.net/report/v/final/"&amp;2667533, 2667533)</f>
        <v>2667533</v>
      </c>
      <c r="D3329" s="3" t="s">
        <v>11034</v>
      </c>
      <c r="E3329" s="3" t="s">
        <v>11035</v>
      </c>
      <c r="F3329" s="3" t="s">
        <v>22</v>
      </c>
      <c r="G3329" s="3" t="s">
        <v>23</v>
      </c>
      <c r="H3329" s="3" t="s">
        <v>11036</v>
      </c>
      <c r="I3329" s="3" t="s">
        <v>32</v>
      </c>
      <c r="J3329" s="3" t="s">
        <v>33</v>
      </c>
      <c r="K3329" s="3" t="s">
        <v>28</v>
      </c>
      <c r="L3329" s="3" t="s">
        <v>28</v>
      </c>
      <c r="M3329" s="3" t="s">
        <v>28</v>
      </c>
      <c r="N3329" s="3" t="s">
        <v>28</v>
      </c>
      <c r="O3329" s="3" t="s">
        <v>27</v>
      </c>
      <c r="P3329" s="3" t="s">
        <v>28</v>
      </c>
      <c r="Q3329" s="3" t="s">
        <v>28</v>
      </c>
      <c r="R3329" s="3" t="s">
        <v>28</v>
      </c>
      <c r="S3329" s="3" t="s">
        <v>28</v>
      </c>
      <c r="T3329" s="3" t="s">
        <v>28</v>
      </c>
    </row>
    <row r="3330" spans="1:20" ht="305.25">
      <c r="A3330" s="3">
        <v>2667528</v>
      </c>
      <c r="B3330" s="3">
        <f>HYPERLINK("https://platform.v2.vetology.net/cases/2667528/screening-report/6?type=pdf&amp;v=v6&amp;scorecard=1&amp;secret_key=BX%25IJ%24%2F65ieZ%29f6", 2667528)</f>
        <v>2667528</v>
      </c>
      <c r="C3330" s="3">
        <f>HYPERLINK("https://platform.v2.vetology.net/report/v/final/"&amp;2667528, 2667528)</f>
        <v>2667528</v>
      </c>
      <c r="D3330" s="3" t="s">
        <v>11037</v>
      </c>
      <c r="E3330" s="3" t="s">
        <v>8818</v>
      </c>
      <c r="F3330" s="3" t="s">
        <v>11038</v>
      </c>
      <c r="G3330" s="3" t="s">
        <v>179</v>
      </c>
      <c r="H3330" s="3" t="s">
        <v>31</v>
      </c>
      <c r="I3330" s="3" t="s">
        <v>32</v>
      </c>
      <c r="J3330" s="3" t="s">
        <v>33</v>
      </c>
      <c r="K3330" s="3" t="s">
        <v>28</v>
      </c>
      <c r="L3330" s="3" t="s">
        <v>28</v>
      </c>
      <c r="M3330" s="3" t="s">
        <v>28</v>
      </c>
      <c r="N3330" s="3" t="s">
        <v>28</v>
      </c>
      <c r="O3330" s="3" t="s">
        <v>28</v>
      </c>
      <c r="P3330" s="3" t="s">
        <v>28</v>
      </c>
      <c r="Q3330" s="3" t="s">
        <v>28</v>
      </c>
      <c r="R3330" s="3" t="s">
        <v>28</v>
      </c>
      <c r="S3330" s="3" t="s">
        <v>28</v>
      </c>
      <c r="T3330" s="3" t="s">
        <v>27</v>
      </c>
    </row>
    <row r="3331" spans="1:20" ht="381.75">
      <c r="A3331" s="3">
        <v>2667499</v>
      </c>
      <c r="B3331" s="3">
        <f>HYPERLINK("https://platform.v2.vetology.net/cases/2667499/screening-report/6?type=pdf&amp;v=v6&amp;scorecard=1&amp;secret_key=BX%25IJ%24%2F65ieZ%29f6", 2667499)</f>
        <v>2667499</v>
      </c>
      <c r="C3331" s="3">
        <f>HYPERLINK("https://platform.v2.vetology.net/report/v/final/"&amp;2667499, 2667499)</f>
        <v>2667499</v>
      </c>
      <c r="D3331" s="3" t="s">
        <v>11039</v>
      </c>
      <c r="E3331" s="3" t="s">
        <v>11040</v>
      </c>
      <c r="F3331" s="3" t="s">
        <v>11041</v>
      </c>
      <c r="G3331" s="3" t="s">
        <v>1772</v>
      </c>
      <c r="H3331" s="3" t="s">
        <v>11042</v>
      </c>
      <c r="I3331" s="3" t="s">
        <v>11043</v>
      </c>
      <c r="J3331" s="3" t="s">
        <v>11044</v>
      </c>
      <c r="K3331" s="3" t="s">
        <v>27</v>
      </c>
      <c r="L3331" s="3" t="s">
        <v>27</v>
      </c>
      <c r="M3331" s="3" t="s">
        <v>28</v>
      </c>
      <c r="N3331" s="3" t="s">
        <v>27</v>
      </c>
      <c r="O3331" s="3" t="s">
        <v>27</v>
      </c>
      <c r="P3331" s="3" t="s">
        <v>28</v>
      </c>
      <c r="Q3331" s="3" t="s">
        <v>28</v>
      </c>
      <c r="R3331" s="3" t="s">
        <v>28</v>
      </c>
      <c r="S3331" s="3" t="s">
        <v>28</v>
      </c>
      <c r="T3331" s="3" t="s">
        <v>27</v>
      </c>
    </row>
    <row r="3332" spans="1:20" ht="305.25">
      <c r="A3332" s="3">
        <v>2667481</v>
      </c>
      <c r="B3332" s="3">
        <f>HYPERLINK("https://platform.v2.vetology.net/cases/2667481/screening-report/6?type=pdf&amp;v=v6&amp;scorecard=1&amp;secret_key=BX%25IJ%24%2F65ieZ%29f6", 2667481)</f>
        <v>2667481</v>
      </c>
      <c r="C3332" s="3">
        <f>HYPERLINK("https://platform.v2.vetology.net/report/v/final/"&amp;2667481, 2667481)</f>
        <v>2667481</v>
      </c>
      <c r="D3332" s="3" t="s">
        <v>11045</v>
      </c>
      <c r="E3332" s="3" t="s">
        <v>11046</v>
      </c>
      <c r="F3332" s="3" t="s">
        <v>3376</v>
      </c>
      <c r="G3332" s="3" t="s">
        <v>179</v>
      </c>
      <c r="H3332" s="3" t="s">
        <v>1730</v>
      </c>
      <c r="I3332" s="3" t="s">
        <v>1344</v>
      </c>
      <c r="J3332" s="3" t="s">
        <v>33</v>
      </c>
      <c r="K3332" s="3" t="s">
        <v>28</v>
      </c>
      <c r="L3332" s="3" t="s">
        <v>28</v>
      </c>
      <c r="M3332" s="3" t="s">
        <v>28</v>
      </c>
      <c r="N3332" s="3" t="s">
        <v>28</v>
      </c>
      <c r="O3332" s="3" t="s">
        <v>27</v>
      </c>
      <c r="P3332" s="3" t="s">
        <v>28</v>
      </c>
      <c r="Q3332" s="3" t="s">
        <v>28</v>
      </c>
      <c r="R3332" s="3" t="s">
        <v>28</v>
      </c>
      <c r="S3332" s="3" t="s">
        <v>28</v>
      </c>
      <c r="T3332" s="3" t="s">
        <v>28</v>
      </c>
    </row>
    <row r="3333" spans="1:20" ht="409.6">
      <c r="A3333" s="3">
        <v>2667426</v>
      </c>
      <c r="B3333" s="3">
        <f>HYPERLINK("https://platform.v2.vetology.net/cases/2667426/screening-report/6?type=pdf&amp;v=v6&amp;scorecard=1&amp;secret_key=BX%25IJ%24%2F65ieZ%29f6", 2667426)</f>
        <v>2667426</v>
      </c>
      <c r="C3333" s="3">
        <f>HYPERLINK("https://platform.v2.vetology.net/report/v/final/"&amp;2667426, 2667426)</f>
        <v>2667426</v>
      </c>
      <c r="D3333" s="3" t="s">
        <v>11047</v>
      </c>
      <c r="E3333" s="3" t="s">
        <v>11048</v>
      </c>
      <c r="F3333" s="3" t="s">
        <v>10074</v>
      </c>
      <c r="G3333" s="3" t="s">
        <v>1772</v>
      </c>
      <c r="H3333" s="3" t="s">
        <v>11049</v>
      </c>
      <c r="I3333" s="3" t="s">
        <v>1404</v>
      </c>
      <c r="J3333" s="3" t="s">
        <v>1405</v>
      </c>
      <c r="K3333" s="3" t="s">
        <v>27</v>
      </c>
      <c r="L3333" s="3" t="s">
        <v>28</v>
      </c>
      <c r="M3333" s="3" t="s">
        <v>27</v>
      </c>
      <c r="N3333" s="3" t="s">
        <v>28</v>
      </c>
      <c r="O3333" s="3" t="s">
        <v>27</v>
      </c>
      <c r="P3333" s="3" t="s">
        <v>28</v>
      </c>
      <c r="Q3333" s="3" t="s">
        <v>27</v>
      </c>
      <c r="R3333" s="3" t="s">
        <v>28</v>
      </c>
      <c r="S3333" s="3" t="s">
        <v>28</v>
      </c>
      <c r="T3333" s="3" t="s">
        <v>28</v>
      </c>
    </row>
    <row r="3334" spans="1:20" ht="336">
      <c r="A3334" s="3">
        <v>2667395</v>
      </c>
      <c r="B3334" s="3">
        <f>HYPERLINK("https://platform.v2.vetology.net/cases/2667395/screening-report/6?type=pdf&amp;v=v6&amp;scorecard=1&amp;secret_key=BX%25IJ%24%2F65ieZ%29f6", 2667395)</f>
        <v>2667395</v>
      </c>
      <c r="C3334" s="3">
        <f>HYPERLINK("https://platform.v2.vetology.net/report/v/final/"&amp;2667395, 2667395)</f>
        <v>2667395</v>
      </c>
      <c r="D3334" s="3" t="s">
        <v>11050</v>
      </c>
      <c r="E3334" s="3" t="s">
        <v>11051</v>
      </c>
      <c r="F3334" s="3" t="s">
        <v>11052</v>
      </c>
      <c r="G3334" s="3" t="s">
        <v>1772</v>
      </c>
      <c r="H3334" s="3" t="s">
        <v>123</v>
      </c>
      <c r="I3334" s="3" t="s">
        <v>124</v>
      </c>
      <c r="J3334" s="3" t="s">
        <v>125</v>
      </c>
      <c r="K3334" s="3" t="s">
        <v>27</v>
      </c>
      <c r="L3334" s="3" t="s">
        <v>28</v>
      </c>
      <c r="M3334" s="3" t="s">
        <v>27</v>
      </c>
      <c r="N3334" s="3" t="s">
        <v>28</v>
      </c>
      <c r="O3334" s="3" t="s">
        <v>27</v>
      </c>
      <c r="P3334" s="3" t="s">
        <v>28</v>
      </c>
      <c r="Q3334" s="3" t="s">
        <v>28</v>
      </c>
      <c r="R3334" s="3" t="s">
        <v>28</v>
      </c>
      <c r="S3334" s="3" t="s">
        <v>28</v>
      </c>
      <c r="T3334" s="3" t="s">
        <v>28</v>
      </c>
    </row>
    <row r="3335" spans="1:20" ht="409.6">
      <c r="A3335" s="3">
        <v>2667350</v>
      </c>
      <c r="B3335" s="3">
        <f>HYPERLINK("https://platform.v2.vetology.net/cases/2667350/screening-report/6?type=pdf&amp;v=v6&amp;scorecard=1&amp;secret_key=BX%25IJ%24%2F65ieZ%29f6", 2667350)</f>
        <v>2667350</v>
      </c>
      <c r="C3335" s="3">
        <f>HYPERLINK("https://platform.v2.vetology.net/report/v/final/"&amp;2667350, 2667350)</f>
        <v>2667350</v>
      </c>
      <c r="D3335" s="3" t="s">
        <v>11053</v>
      </c>
      <c r="E3335" s="3" t="s">
        <v>11054</v>
      </c>
      <c r="F3335" s="3" t="s">
        <v>11055</v>
      </c>
      <c r="G3335" s="3" t="s">
        <v>1772</v>
      </c>
      <c r="H3335" s="3" t="s">
        <v>6289</v>
      </c>
      <c r="I3335" s="3" t="s">
        <v>3391</v>
      </c>
      <c r="J3335" s="3" t="s">
        <v>3392</v>
      </c>
      <c r="K3335" s="3" t="s">
        <v>27</v>
      </c>
      <c r="L3335" s="3" t="s">
        <v>28</v>
      </c>
      <c r="M3335" s="3" t="s">
        <v>27</v>
      </c>
      <c r="N3335" s="3" t="s">
        <v>28</v>
      </c>
      <c r="O3335" s="3" t="s">
        <v>27</v>
      </c>
      <c r="P3335" s="3" t="s">
        <v>28</v>
      </c>
      <c r="Q3335" s="3" t="s">
        <v>27</v>
      </c>
      <c r="R3335" s="3" t="s">
        <v>28</v>
      </c>
      <c r="S3335" s="3" t="s">
        <v>28</v>
      </c>
      <c r="T3335" s="3" t="s">
        <v>28</v>
      </c>
    </row>
    <row r="3336" spans="1:20" ht="409.6">
      <c r="A3336" s="3">
        <v>2667311</v>
      </c>
      <c r="B3336" s="3">
        <f>HYPERLINK("https://platform.v2.vetology.net/cases/2667311/screening-report/6?type=pdf&amp;v=v6&amp;scorecard=1&amp;secret_key=BX%25IJ%24%2F65ieZ%29f6", 2667311)</f>
        <v>2667311</v>
      </c>
      <c r="C3336" s="3">
        <f>HYPERLINK("https://platform.v2.vetology.net/report/v/final/"&amp;2667311, 2667311)</f>
        <v>2667311</v>
      </c>
      <c r="D3336" s="3" t="s">
        <v>11056</v>
      </c>
      <c r="E3336" s="3" t="s">
        <v>11057</v>
      </c>
      <c r="F3336" s="3" t="s">
        <v>56</v>
      </c>
      <c r="G3336" s="3" t="s">
        <v>57</v>
      </c>
      <c r="H3336" s="3" t="s">
        <v>11058</v>
      </c>
      <c r="I3336" s="3" t="s">
        <v>1020</v>
      </c>
      <c r="J3336" s="3" t="s">
        <v>1021</v>
      </c>
      <c r="K3336" s="3" t="s">
        <v>27</v>
      </c>
      <c r="L3336" s="3" t="s">
        <v>27</v>
      </c>
      <c r="M3336" s="3" t="s">
        <v>27</v>
      </c>
      <c r="N3336" s="3" t="s">
        <v>28</v>
      </c>
      <c r="O3336" s="3" t="s">
        <v>27</v>
      </c>
      <c r="P3336" s="3" t="s">
        <v>28</v>
      </c>
      <c r="Q3336" s="3" t="s">
        <v>27</v>
      </c>
      <c r="R3336" s="3" t="s">
        <v>28</v>
      </c>
      <c r="S3336" s="3" t="s">
        <v>28</v>
      </c>
      <c r="T3336" s="3" t="s">
        <v>28</v>
      </c>
    </row>
    <row r="3337" spans="1:20" ht="409.6">
      <c r="A3337" s="3">
        <v>2667306</v>
      </c>
      <c r="B3337" s="3">
        <f>HYPERLINK("https://platform.v2.vetology.net/cases/2667306/screening-report/6?type=pdf&amp;v=v6&amp;scorecard=1&amp;secret_key=BX%25IJ%24%2F65ieZ%29f6", 2667306)</f>
        <v>2667306</v>
      </c>
      <c r="C3337" s="3">
        <f>HYPERLINK("https://platform.v2.vetology.net/report/v/final/"&amp;2667306, 2667306)</f>
        <v>2667306</v>
      </c>
      <c r="D3337" s="3" t="s">
        <v>11059</v>
      </c>
      <c r="E3337" s="3" t="s">
        <v>11060</v>
      </c>
      <c r="F3337" s="3" t="s">
        <v>11061</v>
      </c>
      <c r="G3337" s="3" t="s">
        <v>186</v>
      </c>
      <c r="H3337" s="3" t="s">
        <v>11062</v>
      </c>
      <c r="I3337" s="3" t="s">
        <v>2379</v>
      </c>
      <c r="J3337" s="3" t="s">
        <v>1058</v>
      </c>
      <c r="K3337" s="3" t="s">
        <v>28</v>
      </c>
      <c r="L3337" s="3" t="s">
        <v>28</v>
      </c>
      <c r="M3337" s="3" t="s">
        <v>28</v>
      </c>
      <c r="N3337" s="3" t="s">
        <v>27</v>
      </c>
      <c r="O3337" s="3" t="s">
        <v>28</v>
      </c>
      <c r="P3337" s="3" t="s">
        <v>28</v>
      </c>
      <c r="Q3337" s="3" t="s">
        <v>28</v>
      </c>
      <c r="R3337" s="3" t="s">
        <v>27</v>
      </c>
      <c r="S3337" s="3" t="s">
        <v>28</v>
      </c>
      <c r="T3337" s="3" t="s">
        <v>27</v>
      </c>
    </row>
    <row r="3338" spans="1:20" ht="381.75">
      <c r="A3338" s="3">
        <v>2667303</v>
      </c>
      <c r="B3338" s="3">
        <f>HYPERLINK("https://platform.v2.vetology.net/cases/2667303/screening-report/6?type=pdf&amp;v=v6&amp;scorecard=1&amp;secret_key=BX%25IJ%24%2F65ieZ%29f6", 2667303)</f>
        <v>2667303</v>
      </c>
      <c r="C3338" s="3">
        <f>HYPERLINK("https://platform.v2.vetology.net/report/v/final/"&amp;2667303, 2667303)</f>
        <v>2667303</v>
      </c>
      <c r="D3338" s="3" t="s">
        <v>11063</v>
      </c>
      <c r="E3338" s="3" t="s">
        <v>11064</v>
      </c>
      <c r="F3338" s="3" t="s">
        <v>11065</v>
      </c>
      <c r="G3338" s="3" t="s">
        <v>179</v>
      </c>
      <c r="H3338" s="3" t="s">
        <v>8843</v>
      </c>
      <c r="I3338" s="3" t="s">
        <v>1070</v>
      </c>
      <c r="J3338" s="3" t="s">
        <v>207</v>
      </c>
      <c r="K3338" s="3" t="s">
        <v>27</v>
      </c>
      <c r="L3338" s="3" t="s">
        <v>28</v>
      </c>
      <c r="M3338" s="3" t="s">
        <v>28</v>
      </c>
      <c r="N3338" s="3" t="s">
        <v>28</v>
      </c>
      <c r="O3338" s="3" t="s">
        <v>27</v>
      </c>
      <c r="P3338" s="3" t="s">
        <v>28</v>
      </c>
      <c r="Q3338" s="3" t="s">
        <v>28</v>
      </c>
      <c r="R3338" s="3" t="s">
        <v>28</v>
      </c>
      <c r="S3338" s="3" t="s">
        <v>28</v>
      </c>
      <c r="T3338" s="3" t="s">
        <v>28</v>
      </c>
    </row>
    <row r="3339" spans="1:20" ht="396.75">
      <c r="A3339" s="3">
        <v>2667248</v>
      </c>
      <c r="B3339" s="3">
        <f>HYPERLINK("https://platform.v2.vetology.net/cases/2667248/screening-report/6?type=pdf&amp;v=v6&amp;scorecard=1&amp;secret_key=BX%25IJ%24%2F65ieZ%29f6", 2667248)</f>
        <v>2667248</v>
      </c>
      <c r="C3339" s="3">
        <f>HYPERLINK("https://platform.v2.vetology.net/report/v/final/"&amp;2667248, 2667248)</f>
        <v>2667248</v>
      </c>
      <c r="D3339" s="3" t="s">
        <v>11066</v>
      </c>
      <c r="E3339" s="3" t="s">
        <v>2192</v>
      </c>
      <c r="F3339" s="3" t="s">
        <v>1061</v>
      </c>
      <c r="G3339" s="3" t="s">
        <v>100</v>
      </c>
      <c r="H3339" s="3" t="s">
        <v>11067</v>
      </c>
      <c r="I3339" s="3" t="s">
        <v>351</v>
      </c>
      <c r="J3339" s="3" t="s">
        <v>352</v>
      </c>
      <c r="K3339" s="3" t="s">
        <v>27</v>
      </c>
      <c r="L3339" s="3" t="s">
        <v>28</v>
      </c>
      <c r="M3339" s="3" t="s">
        <v>28</v>
      </c>
      <c r="N3339" s="3" t="s">
        <v>28</v>
      </c>
      <c r="O3339" s="3" t="s">
        <v>28</v>
      </c>
      <c r="P3339" s="3" t="s">
        <v>28</v>
      </c>
      <c r="Q3339" s="3" t="s">
        <v>28</v>
      </c>
      <c r="R3339" s="3" t="s">
        <v>28</v>
      </c>
      <c r="S3339" s="3" t="s">
        <v>28</v>
      </c>
      <c r="T3339" s="3" t="s">
        <v>27</v>
      </c>
    </row>
    <row r="3340" spans="1:20" ht="366">
      <c r="A3340" s="3">
        <v>2667190</v>
      </c>
      <c r="B3340" s="3">
        <f>HYPERLINK("https://platform.v2.vetology.net/cases/2667190/screening-report/6?type=pdf&amp;v=v6&amp;scorecard=1&amp;secret_key=BX%25IJ%24%2F65ieZ%29f6", 2667190)</f>
        <v>2667190</v>
      </c>
      <c r="C3340" s="3">
        <f>HYPERLINK("https://platform.v2.vetology.net/report/v/final/"&amp;2667190, 2667190)</f>
        <v>2667190</v>
      </c>
      <c r="D3340" s="3" t="s">
        <v>11068</v>
      </c>
      <c r="E3340" s="3" t="s">
        <v>11069</v>
      </c>
      <c r="F3340" s="3"/>
      <c r="G3340" s="3" t="s">
        <v>100</v>
      </c>
      <c r="H3340" s="3" t="s">
        <v>11070</v>
      </c>
      <c r="I3340" s="3" t="s">
        <v>339</v>
      </c>
      <c r="J3340" s="3" t="s">
        <v>4606</v>
      </c>
      <c r="K3340" s="3" t="s">
        <v>28</v>
      </c>
      <c r="L3340" s="3" t="s">
        <v>28</v>
      </c>
      <c r="M3340" s="3" t="s">
        <v>28</v>
      </c>
      <c r="N3340" s="3" t="s">
        <v>28</v>
      </c>
      <c r="O3340" s="3" t="s">
        <v>27</v>
      </c>
      <c r="P3340" s="3" t="s">
        <v>28</v>
      </c>
      <c r="Q3340" s="3" t="s">
        <v>28</v>
      </c>
      <c r="R3340" s="3" t="s">
        <v>28</v>
      </c>
      <c r="S3340" s="3" t="s">
        <v>27</v>
      </c>
      <c r="T3340" s="3" t="s">
        <v>28</v>
      </c>
    </row>
    <row r="3341" spans="1:20" ht="305.25">
      <c r="A3341" s="3">
        <v>2667164</v>
      </c>
      <c r="B3341" s="3">
        <f>HYPERLINK("https://platform.v2.vetology.net/cases/2667164/screening-report/6?type=pdf&amp;v=v6&amp;scorecard=1&amp;secret_key=BX%25IJ%24%2F65ieZ%29f6", 2667164)</f>
        <v>2667164</v>
      </c>
      <c r="C3341" s="3">
        <f>HYPERLINK("https://platform.v2.vetology.net/report/v/final/"&amp;2667164, 2667164)</f>
        <v>2667164</v>
      </c>
      <c r="D3341" s="3" t="s">
        <v>11071</v>
      </c>
      <c r="E3341" s="3" t="s">
        <v>11072</v>
      </c>
      <c r="F3341" s="3" t="s">
        <v>11073</v>
      </c>
      <c r="G3341" s="3" t="s">
        <v>186</v>
      </c>
      <c r="H3341" s="3" t="s">
        <v>9208</v>
      </c>
      <c r="I3341" s="3" t="s">
        <v>305</v>
      </c>
      <c r="J3341" s="3" t="s">
        <v>119</v>
      </c>
      <c r="K3341" s="3" t="s">
        <v>28</v>
      </c>
      <c r="L3341" s="3" t="s">
        <v>28</v>
      </c>
      <c r="M3341" s="3" t="s">
        <v>28</v>
      </c>
      <c r="N3341" s="3" t="s">
        <v>28</v>
      </c>
      <c r="O3341" s="3" t="s">
        <v>28</v>
      </c>
      <c r="P3341" s="3" t="s">
        <v>28</v>
      </c>
      <c r="Q3341" s="3" t="s">
        <v>28</v>
      </c>
      <c r="R3341" s="3" t="s">
        <v>28</v>
      </c>
      <c r="S3341" s="3" t="s">
        <v>28</v>
      </c>
      <c r="T3341" s="3" t="s">
        <v>28</v>
      </c>
    </row>
    <row r="3342" spans="1:20" ht="409.6">
      <c r="A3342" s="3">
        <v>2667154</v>
      </c>
      <c r="B3342" s="3">
        <f>HYPERLINK("https://platform.v2.vetology.net/cases/2667154/screening-report/6?type=pdf&amp;v=v6&amp;scorecard=1&amp;secret_key=BX%25IJ%24%2F65ieZ%29f6", 2667154)</f>
        <v>2667154</v>
      </c>
      <c r="C3342" s="3">
        <f>HYPERLINK("https://platform.v2.vetology.net/report/v/final/"&amp;2667154, 2667154)</f>
        <v>2667154</v>
      </c>
      <c r="D3342" s="3" t="s">
        <v>11074</v>
      </c>
      <c r="E3342" s="3" t="s">
        <v>11075</v>
      </c>
      <c r="F3342" s="3" t="s">
        <v>11076</v>
      </c>
      <c r="G3342" s="3" t="s">
        <v>1772</v>
      </c>
      <c r="H3342" s="3" t="s">
        <v>11077</v>
      </c>
      <c r="I3342" s="3" t="s">
        <v>8012</v>
      </c>
      <c r="J3342" s="3" t="s">
        <v>830</v>
      </c>
      <c r="K3342" s="3" t="s">
        <v>28</v>
      </c>
      <c r="L3342" s="3" t="s">
        <v>27</v>
      </c>
      <c r="M3342" s="3" t="s">
        <v>28</v>
      </c>
      <c r="N3342" s="3" t="s">
        <v>27</v>
      </c>
      <c r="O3342" s="3" t="s">
        <v>27</v>
      </c>
      <c r="P3342" s="3" t="s">
        <v>28</v>
      </c>
      <c r="Q3342" s="3" t="s">
        <v>28</v>
      </c>
      <c r="R3342" s="3" t="s">
        <v>27</v>
      </c>
      <c r="S3342" s="3" t="s">
        <v>28</v>
      </c>
      <c r="T3342" s="3" t="s">
        <v>28</v>
      </c>
    </row>
    <row r="3343" spans="1:20" ht="290.25">
      <c r="A3343" s="3">
        <v>2667132</v>
      </c>
      <c r="B3343" s="3">
        <f>HYPERLINK("https://platform.v2.vetology.net/cases/2667132/screening-report/6?type=pdf&amp;v=v6&amp;scorecard=1&amp;secret_key=BX%25IJ%24%2F65ieZ%29f6", 2667132)</f>
        <v>2667132</v>
      </c>
      <c r="C3343" s="3">
        <f>HYPERLINK("https://platform.v2.vetology.net/report/v/final/"&amp;2667132, 2667132)</f>
        <v>2667132</v>
      </c>
      <c r="D3343" s="3" t="s">
        <v>11078</v>
      </c>
      <c r="E3343" s="3" t="s">
        <v>11079</v>
      </c>
      <c r="F3343" s="3" t="s">
        <v>11080</v>
      </c>
      <c r="G3343" s="3" t="s">
        <v>211</v>
      </c>
      <c r="H3343" s="3" t="s">
        <v>31</v>
      </c>
      <c r="I3343" s="3" t="s">
        <v>32</v>
      </c>
      <c r="J3343" s="3" t="s">
        <v>387</v>
      </c>
      <c r="K3343" s="3" t="s">
        <v>28</v>
      </c>
      <c r="L3343" s="3" t="s">
        <v>28</v>
      </c>
      <c r="M3343" s="3" t="s">
        <v>28</v>
      </c>
      <c r="N3343" s="3" t="s">
        <v>28</v>
      </c>
      <c r="O3343" s="3" t="s">
        <v>27</v>
      </c>
      <c r="P3343" s="3" t="s">
        <v>28</v>
      </c>
      <c r="Q3343" s="3" t="s">
        <v>28</v>
      </c>
      <c r="R3343" s="3" t="s">
        <v>28</v>
      </c>
      <c r="S3343" s="3" t="s">
        <v>28</v>
      </c>
      <c r="T3343" s="3" t="s">
        <v>28</v>
      </c>
    </row>
    <row r="3344" spans="1:20" ht="290.25">
      <c r="A3344" s="3">
        <v>2667124</v>
      </c>
      <c r="B3344" s="3">
        <f>HYPERLINK("https://platform.v2.vetology.net/cases/2667124/screening-report/6?type=pdf&amp;v=v6&amp;scorecard=1&amp;secret_key=BX%25IJ%24%2F65ieZ%29f6", 2667124)</f>
        <v>2667124</v>
      </c>
      <c r="C3344" s="3">
        <f>HYPERLINK("https://platform.v2.vetology.net/report/v/final/"&amp;2667124, 2667124)</f>
        <v>2667124</v>
      </c>
      <c r="D3344" s="3" t="s">
        <v>11081</v>
      </c>
      <c r="E3344" s="3" t="s">
        <v>11082</v>
      </c>
      <c r="F3344" s="3" t="s">
        <v>3758</v>
      </c>
      <c r="G3344" s="3" t="s">
        <v>186</v>
      </c>
      <c r="H3344" s="3" t="s">
        <v>320</v>
      </c>
      <c r="I3344" s="3"/>
      <c r="J3344" s="3" t="s">
        <v>207</v>
      </c>
      <c r="K3344" s="3" t="s">
        <v>28</v>
      </c>
      <c r="L3344" s="3" t="s">
        <v>28</v>
      </c>
      <c r="M3344" s="3" t="s">
        <v>28</v>
      </c>
      <c r="N3344" s="3" t="s">
        <v>28</v>
      </c>
      <c r="O3344" s="3" t="s">
        <v>28</v>
      </c>
      <c r="P3344" s="3" t="s">
        <v>28</v>
      </c>
      <c r="Q3344" s="3" t="s">
        <v>28</v>
      </c>
      <c r="R3344" s="3" t="s">
        <v>28</v>
      </c>
      <c r="S3344" s="3" t="s">
        <v>27</v>
      </c>
      <c r="T3344" s="3" t="s">
        <v>27</v>
      </c>
    </row>
    <row r="3345" spans="1:20" ht="409.6">
      <c r="A3345" s="3">
        <v>2667089</v>
      </c>
      <c r="B3345" s="3">
        <f>HYPERLINK("https://platform.v2.vetology.net/cases/2667089/screening-report/6?type=pdf&amp;v=v6&amp;scorecard=1&amp;secret_key=BX%25IJ%24%2F65ieZ%29f6", 2667089)</f>
        <v>2667089</v>
      </c>
      <c r="C3345" s="3">
        <f>HYPERLINK("https://platform.v2.vetology.net/report/v/final/"&amp;2667089, 2667089)</f>
        <v>2667089</v>
      </c>
      <c r="D3345" s="3" t="s">
        <v>11083</v>
      </c>
      <c r="E3345" s="3" t="s">
        <v>11084</v>
      </c>
      <c r="F3345" s="3" t="s">
        <v>11085</v>
      </c>
      <c r="G3345" s="3" t="s">
        <v>57</v>
      </c>
      <c r="H3345" s="3" t="s">
        <v>11086</v>
      </c>
      <c r="I3345" s="3" t="s">
        <v>768</v>
      </c>
      <c r="J3345" s="3" t="s">
        <v>769</v>
      </c>
      <c r="K3345" s="3" t="s">
        <v>28</v>
      </c>
      <c r="L3345" s="3" t="s">
        <v>28</v>
      </c>
      <c r="M3345" s="3" t="s">
        <v>28</v>
      </c>
      <c r="N3345" s="3" t="s">
        <v>28</v>
      </c>
      <c r="O3345" s="3" t="s">
        <v>27</v>
      </c>
      <c r="P3345" s="3" t="s">
        <v>27</v>
      </c>
      <c r="Q3345" s="3" t="s">
        <v>28</v>
      </c>
      <c r="R3345" s="3" t="s">
        <v>28</v>
      </c>
      <c r="S3345" s="3" t="s">
        <v>28</v>
      </c>
      <c r="T3345" s="3" t="s">
        <v>28</v>
      </c>
    </row>
    <row r="3346" spans="1:20" ht="409.6">
      <c r="A3346" s="3">
        <v>2666997</v>
      </c>
      <c r="B3346" s="3">
        <f>HYPERLINK("https://platform.v2.vetology.net/cases/2666997/screening-report/6?type=pdf&amp;v=v6&amp;scorecard=1&amp;secret_key=BX%25IJ%24%2F65ieZ%29f6", 2666997)</f>
        <v>2666997</v>
      </c>
      <c r="C3346" s="3">
        <f>HYPERLINK("https://platform.v2.vetology.net/report/v/final/"&amp;2666997, 2666997)</f>
        <v>2666997</v>
      </c>
      <c r="D3346" s="3" t="s">
        <v>11087</v>
      </c>
      <c r="E3346" s="3" t="s">
        <v>11088</v>
      </c>
      <c r="F3346" s="3" t="s">
        <v>11089</v>
      </c>
      <c r="G3346" s="3" t="s">
        <v>1772</v>
      </c>
      <c r="H3346" s="3" t="s">
        <v>152</v>
      </c>
      <c r="I3346" s="3" t="s">
        <v>153</v>
      </c>
      <c r="J3346" s="3" t="s">
        <v>154</v>
      </c>
      <c r="K3346" s="3" t="s">
        <v>27</v>
      </c>
      <c r="L3346" s="3" t="s">
        <v>27</v>
      </c>
      <c r="M3346" s="3" t="s">
        <v>27</v>
      </c>
      <c r="N3346" s="3" t="s">
        <v>28</v>
      </c>
      <c r="O3346" s="3" t="s">
        <v>27</v>
      </c>
      <c r="P3346" s="3" t="s">
        <v>28</v>
      </c>
      <c r="Q3346" s="3" t="s">
        <v>27</v>
      </c>
      <c r="R3346" s="3" t="s">
        <v>28</v>
      </c>
      <c r="S3346" s="3" t="s">
        <v>28</v>
      </c>
      <c r="T3346" s="3" t="s">
        <v>28</v>
      </c>
    </row>
    <row r="3347" spans="1:20" ht="244.5">
      <c r="A3347" s="3">
        <v>2666912</v>
      </c>
      <c r="B3347" s="3">
        <f>HYPERLINK("https://platform.v2.vetology.net/cases/2666912/screening-report/6?type=pdf&amp;v=v6&amp;scorecard=1&amp;secret_key=BX%25IJ%24%2F65ieZ%29f6", 2666912)</f>
        <v>2666912</v>
      </c>
      <c r="C3347" s="3">
        <f>HYPERLINK("https://platform.v2.vetology.net/report/v/final/"&amp;2666912, 2666912)</f>
        <v>2666912</v>
      </c>
      <c r="D3347" s="3" t="s">
        <v>11090</v>
      </c>
      <c r="E3347" s="3" t="s">
        <v>11091</v>
      </c>
      <c r="F3347" s="3" t="s">
        <v>76</v>
      </c>
      <c r="G3347" s="3" t="s">
        <v>23</v>
      </c>
      <c r="H3347" s="3" t="s">
        <v>2983</v>
      </c>
      <c r="I3347" s="3" t="s">
        <v>305</v>
      </c>
      <c r="J3347" s="3" t="s">
        <v>119</v>
      </c>
      <c r="K3347" s="3" t="s">
        <v>28</v>
      </c>
      <c r="L3347" s="3" t="s">
        <v>28</v>
      </c>
      <c r="M3347" s="3" t="s">
        <v>28</v>
      </c>
      <c r="N3347" s="3" t="s">
        <v>28</v>
      </c>
      <c r="O3347" s="3" t="s">
        <v>28</v>
      </c>
      <c r="P3347" s="3" t="s">
        <v>28</v>
      </c>
      <c r="Q3347" s="3" t="s">
        <v>28</v>
      </c>
      <c r="R3347" s="3" t="s">
        <v>28</v>
      </c>
      <c r="S3347" s="3" t="s">
        <v>28</v>
      </c>
      <c r="T3347" s="3" t="s">
        <v>28</v>
      </c>
    </row>
    <row r="3348" spans="1:20" ht="409.6">
      <c r="A3348" s="3">
        <v>2666903</v>
      </c>
      <c r="B3348" s="3">
        <f>HYPERLINK("https://platform.v2.vetology.net/cases/2666903/screening-report/6?type=pdf&amp;v=v6&amp;scorecard=1&amp;secret_key=BX%25IJ%24%2F65ieZ%29f6", 2666903)</f>
        <v>2666903</v>
      </c>
      <c r="C3348" s="3">
        <f>HYPERLINK("https://platform.v2.vetology.net/report/v/final/"&amp;2666903, 2666903)</f>
        <v>2666903</v>
      </c>
      <c r="D3348" s="3" t="s">
        <v>11092</v>
      </c>
      <c r="E3348" s="3" t="s">
        <v>11093</v>
      </c>
      <c r="F3348" s="3" t="s">
        <v>11094</v>
      </c>
      <c r="G3348" s="3" t="s">
        <v>57</v>
      </c>
      <c r="H3348" s="3" t="s">
        <v>11095</v>
      </c>
      <c r="I3348" s="3" t="s">
        <v>3709</v>
      </c>
      <c r="J3348" s="3" t="s">
        <v>3710</v>
      </c>
      <c r="K3348" s="3" t="s">
        <v>28</v>
      </c>
      <c r="L3348" s="3" t="s">
        <v>28</v>
      </c>
      <c r="M3348" s="3" t="s">
        <v>28</v>
      </c>
      <c r="N3348" s="3" t="s">
        <v>28</v>
      </c>
      <c r="O3348" s="3" t="s">
        <v>27</v>
      </c>
      <c r="P3348" s="3" t="s">
        <v>27</v>
      </c>
      <c r="Q3348" s="3" t="s">
        <v>28</v>
      </c>
      <c r="R3348" s="3" t="s">
        <v>28</v>
      </c>
      <c r="S3348" s="3" t="s">
        <v>28</v>
      </c>
      <c r="T3348" s="3" t="s">
        <v>28</v>
      </c>
    </row>
    <row r="3349" spans="1:20" ht="409.6">
      <c r="A3349" s="3">
        <v>2666886</v>
      </c>
      <c r="B3349" s="3">
        <f>HYPERLINK("https://platform.v2.vetology.net/cases/2666886/screening-report/6?type=pdf&amp;v=v6&amp;scorecard=1&amp;secret_key=BX%25IJ%24%2F65ieZ%29f6", 2666886)</f>
        <v>2666886</v>
      </c>
      <c r="C3349" s="3">
        <f>HYPERLINK("https://platform.v2.vetology.net/report/v/final/"&amp;2666886, 2666886)</f>
        <v>2666886</v>
      </c>
      <c r="D3349" s="3" t="s">
        <v>11096</v>
      </c>
      <c r="E3349" s="3" t="s">
        <v>11097</v>
      </c>
      <c r="F3349" s="3" t="s">
        <v>11098</v>
      </c>
      <c r="G3349" s="3" t="s">
        <v>64</v>
      </c>
      <c r="H3349" s="3" t="s">
        <v>350</v>
      </c>
      <c r="I3349" s="3" t="s">
        <v>351</v>
      </c>
      <c r="J3349" s="3" t="s">
        <v>352</v>
      </c>
      <c r="K3349" s="3" t="s">
        <v>28</v>
      </c>
      <c r="L3349" s="3" t="s">
        <v>28</v>
      </c>
      <c r="M3349" s="3" t="s">
        <v>28</v>
      </c>
      <c r="N3349" s="3" t="s">
        <v>28</v>
      </c>
      <c r="O3349" s="3" t="s">
        <v>28</v>
      </c>
      <c r="P3349" s="3" t="s">
        <v>28</v>
      </c>
      <c r="Q3349" s="3" t="s">
        <v>28</v>
      </c>
      <c r="R3349" s="3" t="s">
        <v>28</v>
      </c>
      <c r="S3349" s="3" t="s">
        <v>28</v>
      </c>
      <c r="T3349" s="3" t="s">
        <v>27</v>
      </c>
    </row>
    <row r="3350" spans="1:20" ht="409.6">
      <c r="A3350" s="3">
        <v>2666881</v>
      </c>
      <c r="B3350" s="3">
        <f>HYPERLINK("https://platform.v2.vetology.net/cases/2666881/screening-report/6?type=pdf&amp;v=v6&amp;scorecard=1&amp;secret_key=BX%25IJ%24%2F65ieZ%29f6", 2666881)</f>
        <v>2666881</v>
      </c>
      <c r="C3350" s="3">
        <f>HYPERLINK("https://platform.v2.vetology.net/report/v/final/"&amp;2666881, 2666881)</f>
        <v>2666881</v>
      </c>
      <c r="D3350" s="3" t="s">
        <v>11099</v>
      </c>
      <c r="E3350" s="3" t="s">
        <v>11100</v>
      </c>
      <c r="F3350" s="3" t="s">
        <v>22</v>
      </c>
      <c r="G3350" s="3" t="s">
        <v>23</v>
      </c>
      <c r="H3350" s="3" t="s">
        <v>158</v>
      </c>
      <c r="I3350" s="3" t="s">
        <v>32</v>
      </c>
      <c r="J3350" s="3" t="s">
        <v>847</v>
      </c>
      <c r="K3350" s="3" t="s">
        <v>28</v>
      </c>
      <c r="L3350" s="3" t="s">
        <v>28</v>
      </c>
      <c r="M3350" s="3" t="s">
        <v>28</v>
      </c>
      <c r="N3350" s="3" t="s">
        <v>28</v>
      </c>
      <c r="O3350" s="3" t="s">
        <v>27</v>
      </c>
      <c r="P3350" s="3" t="s">
        <v>28</v>
      </c>
      <c r="Q3350" s="3" t="s">
        <v>28</v>
      </c>
      <c r="R3350" s="3" t="s">
        <v>28</v>
      </c>
      <c r="S3350" s="3" t="s">
        <v>28</v>
      </c>
      <c r="T3350" s="3" t="s">
        <v>27</v>
      </c>
    </row>
    <row r="3351" spans="1:20" ht="409.6">
      <c r="A3351" s="3">
        <v>2666863</v>
      </c>
      <c r="B3351" s="3">
        <f>HYPERLINK("https://platform.v2.vetology.net/cases/2666863/screening-report/6?type=pdf&amp;v=v6&amp;scorecard=1&amp;secret_key=BX%25IJ%24%2F65ieZ%29f6", 2666863)</f>
        <v>2666863</v>
      </c>
      <c r="C3351" s="3">
        <f>HYPERLINK("https://platform.v2.vetology.net/report/v/final/"&amp;2666863, 2666863)</f>
        <v>2666863</v>
      </c>
      <c r="D3351" s="3" t="s">
        <v>11101</v>
      </c>
      <c r="E3351" s="3" t="s">
        <v>11102</v>
      </c>
      <c r="F3351" s="3" t="s">
        <v>22</v>
      </c>
      <c r="G3351" s="3" t="s">
        <v>23</v>
      </c>
      <c r="H3351" s="3" t="s">
        <v>11103</v>
      </c>
      <c r="I3351" s="3" t="s">
        <v>1444</v>
      </c>
      <c r="J3351" s="3" t="s">
        <v>1445</v>
      </c>
      <c r="K3351" s="3" t="s">
        <v>27</v>
      </c>
      <c r="L3351" s="3" t="s">
        <v>28</v>
      </c>
      <c r="M3351" s="3" t="s">
        <v>28</v>
      </c>
      <c r="N3351" s="3" t="s">
        <v>28</v>
      </c>
      <c r="O3351" s="3" t="s">
        <v>27</v>
      </c>
      <c r="P3351" s="3" t="s">
        <v>27</v>
      </c>
      <c r="Q3351" s="3" t="s">
        <v>28</v>
      </c>
      <c r="R3351" s="3" t="s">
        <v>28</v>
      </c>
      <c r="S3351" s="3" t="s">
        <v>28</v>
      </c>
      <c r="T3351" s="3" t="s">
        <v>28</v>
      </c>
    </row>
    <row r="3352" spans="1:20" ht="396.75">
      <c r="A3352" s="3">
        <v>2666859</v>
      </c>
      <c r="B3352" s="3">
        <f>HYPERLINK("https://platform.v2.vetology.net/cases/2666859/screening-report/6?type=pdf&amp;v=v6&amp;scorecard=1&amp;secret_key=BX%25IJ%24%2F65ieZ%29f6", 2666859)</f>
        <v>2666859</v>
      </c>
      <c r="C3352" s="3">
        <f>HYPERLINK("https://platform.v2.vetology.net/report/v/final/"&amp;2666859, 2666859)</f>
        <v>2666859</v>
      </c>
      <c r="D3352" s="3" t="s">
        <v>11104</v>
      </c>
      <c r="E3352" s="3" t="s">
        <v>11105</v>
      </c>
      <c r="F3352" s="3" t="s">
        <v>22</v>
      </c>
      <c r="G3352" s="3" t="s">
        <v>23</v>
      </c>
      <c r="H3352" s="3" t="s">
        <v>4026</v>
      </c>
      <c r="I3352" s="3" t="s">
        <v>291</v>
      </c>
      <c r="J3352" s="3" t="s">
        <v>225</v>
      </c>
      <c r="K3352" s="3" t="s">
        <v>28</v>
      </c>
      <c r="L3352" s="3" t="s">
        <v>28</v>
      </c>
      <c r="M3352" s="3" t="s">
        <v>28</v>
      </c>
      <c r="N3352" s="3" t="s">
        <v>27</v>
      </c>
      <c r="O3352" s="3" t="s">
        <v>27</v>
      </c>
      <c r="P3352" s="3" t="s">
        <v>28</v>
      </c>
      <c r="Q3352" s="3" t="s">
        <v>28</v>
      </c>
      <c r="R3352" s="3" t="s">
        <v>27</v>
      </c>
      <c r="S3352" s="3" t="s">
        <v>27</v>
      </c>
      <c r="T3352" s="3" t="s">
        <v>27</v>
      </c>
    </row>
    <row r="3353" spans="1:20" ht="275.25">
      <c r="A3353" s="3">
        <v>2666849</v>
      </c>
      <c r="B3353" s="3">
        <f>HYPERLINK("https://platform.v2.vetology.net/cases/2666849/screening-report/6?type=pdf&amp;v=v6&amp;scorecard=1&amp;secret_key=BX%25IJ%24%2F65ieZ%29f6", 2666849)</f>
        <v>2666849</v>
      </c>
      <c r="C3353" s="3">
        <f>HYPERLINK("https://platform.v2.vetology.net/report/v/final/"&amp;2666849, 2666849)</f>
        <v>2666849</v>
      </c>
      <c r="D3353" s="3" t="s">
        <v>11106</v>
      </c>
      <c r="E3353" s="3" t="s">
        <v>11107</v>
      </c>
      <c r="F3353" s="3" t="s">
        <v>11108</v>
      </c>
      <c r="G3353" s="3" t="s">
        <v>179</v>
      </c>
      <c r="H3353" s="3" t="s">
        <v>11109</v>
      </c>
      <c r="I3353" s="3" t="s">
        <v>224</v>
      </c>
      <c r="J3353" s="3" t="s">
        <v>225</v>
      </c>
      <c r="K3353" s="3" t="s">
        <v>27</v>
      </c>
      <c r="L3353" s="3" t="s">
        <v>28</v>
      </c>
      <c r="M3353" s="3" t="s">
        <v>28</v>
      </c>
      <c r="N3353" s="3" t="s">
        <v>27</v>
      </c>
      <c r="O3353" s="3" t="s">
        <v>27</v>
      </c>
      <c r="P3353" s="3" t="s">
        <v>28</v>
      </c>
      <c r="Q3353" s="3" t="s">
        <v>27</v>
      </c>
      <c r="R3353" s="3" t="s">
        <v>27</v>
      </c>
      <c r="S3353" s="3" t="s">
        <v>27</v>
      </c>
      <c r="T3353" s="3" t="s">
        <v>27</v>
      </c>
    </row>
    <row r="3354" spans="1:20" ht="409.6">
      <c r="A3354" s="3">
        <v>2666836</v>
      </c>
      <c r="B3354" s="3">
        <f>HYPERLINK("https://platform.v2.vetology.net/cases/2666836/screening-report/6?type=pdf&amp;v=v6&amp;scorecard=1&amp;secret_key=BX%25IJ%24%2F65ieZ%29f6", 2666836)</f>
        <v>2666836</v>
      </c>
      <c r="C3354" s="3">
        <f>HYPERLINK("https://platform.v2.vetology.net/report/v/final/"&amp;2666836, 2666836)</f>
        <v>2666836</v>
      </c>
      <c r="D3354" s="3" t="s">
        <v>11110</v>
      </c>
      <c r="E3354" s="3" t="s">
        <v>11111</v>
      </c>
      <c r="F3354" s="3" t="s">
        <v>22</v>
      </c>
      <c r="G3354" s="3" t="s">
        <v>23</v>
      </c>
      <c r="H3354" s="3" t="s">
        <v>1271</v>
      </c>
      <c r="I3354" s="3" t="s">
        <v>883</v>
      </c>
      <c r="J3354" s="3" t="s">
        <v>884</v>
      </c>
      <c r="K3354" s="3" t="s">
        <v>28</v>
      </c>
      <c r="L3354" s="3" t="s">
        <v>28</v>
      </c>
      <c r="M3354" s="3" t="s">
        <v>28</v>
      </c>
      <c r="N3354" s="3" t="s">
        <v>28</v>
      </c>
      <c r="O3354" s="3" t="s">
        <v>28</v>
      </c>
      <c r="P3354" s="3" t="s">
        <v>28</v>
      </c>
      <c r="Q3354" s="3" t="s">
        <v>28</v>
      </c>
      <c r="R3354" s="3" t="s">
        <v>28</v>
      </c>
      <c r="S3354" s="3" t="s">
        <v>28</v>
      </c>
      <c r="T3354" s="3" t="s">
        <v>28</v>
      </c>
    </row>
    <row r="3355" spans="1:20" ht="290.25">
      <c r="A3355" s="3">
        <v>2666807</v>
      </c>
      <c r="B3355" s="3">
        <f>HYPERLINK("https://platform.v2.vetology.net/cases/2666807/screening-report/6?type=pdf&amp;v=v6&amp;scorecard=1&amp;secret_key=BX%25IJ%24%2F65ieZ%29f6", 2666807)</f>
        <v>2666807</v>
      </c>
      <c r="C3355" s="3">
        <f>HYPERLINK("https://platform.v2.vetology.net/report/v/final/"&amp;2666807, 2666807)</f>
        <v>2666807</v>
      </c>
      <c r="D3355" s="3" t="s">
        <v>11112</v>
      </c>
      <c r="E3355" s="3" t="s">
        <v>11113</v>
      </c>
      <c r="F3355" s="3" t="s">
        <v>11114</v>
      </c>
      <c r="G3355" s="3" t="s">
        <v>23</v>
      </c>
      <c r="H3355" s="3" t="s">
        <v>6348</v>
      </c>
      <c r="I3355" s="3" t="s">
        <v>72</v>
      </c>
      <c r="J3355" s="3" t="s">
        <v>363</v>
      </c>
      <c r="K3355" s="3" t="s">
        <v>28</v>
      </c>
      <c r="L3355" s="3" t="s">
        <v>28</v>
      </c>
      <c r="M3355" s="3" t="s">
        <v>28</v>
      </c>
      <c r="N3355" s="3" t="s">
        <v>28</v>
      </c>
      <c r="O3355" s="3" t="s">
        <v>27</v>
      </c>
      <c r="P3355" s="3" t="s">
        <v>28</v>
      </c>
      <c r="Q3355" s="3" t="s">
        <v>28</v>
      </c>
      <c r="R3355" s="3" t="s">
        <v>28</v>
      </c>
      <c r="S3355" s="3" t="s">
        <v>28</v>
      </c>
      <c r="T3355" s="3" t="s">
        <v>27</v>
      </c>
    </row>
    <row r="3356" spans="1:20" ht="336">
      <c r="A3356" s="3">
        <v>2666774</v>
      </c>
      <c r="B3356" s="3">
        <f>HYPERLINK("https://platform.v2.vetology.net/cases/2666774/screening-report/6?type=pdf&amp;v=v6&amp;scorecard=1&amp;secret_key=BX%25IJ%24%2F65ieZ%29f6", 2666774)</f>
        <v>2666774</v>
      </c>
      <c r="C3356" s="3">
        <f>HYPERLINK("https://platform.v2.vetology.net/report/v/final/"&amp;2666774, 2666774)</f>
        <v>2666774</v>
      </c>
      <c r="D3356" s="3" t="s">
        <v>11115</v>
      </c>
      <c r="E3356" s="3" t="s">
        <v>11116</v>
      </c>
      <c r="F3356" s="3" t="s">
        <v>11117</v>
      </c>
      <c r="G3356" s="3" t="s">
        <v>1772</v>
      </c>
      <c r="H3356" s="3" t="s">
        <v>788</v>
      </c>
      <c r="I3356" s="3" t="s">
        <v>32</v>
      </c>
      <c r="J3356" s="3" t="s">
        <v>33</v>
      </c>
      <c r="K3356" s="3" t="s">
        <v>27</v>
      </c>
      <c r="L3356" s="3" t="s">
        <v>27</v>
      </c>
      <c r="M3356" s="3" t="s">
        <v>28</v>
      </c>
      <c r="N3356" s="3" t="s">
        <v>28</v>
      </c>
      <c r="O3356" s="3" t="s">
        <v>28</v>
      </c>
      <c r="P3356" s="3" t="s">
        <v>28</v>
      </c>
      <c r="Q3356" s="3" t="s">
        <v>28</v>
      </c>
      <c r="R3356" s="3" t="s">
        <v>28</v>
      </c>
      <c r="S3356" s="3" t="s">
        <v>28</v>
      </c>
      <c r="T3356" s="3" t="s">
        <v>28</v>
      </c>
    </row>
    <row r="3357" spans="1:20" ht="409.6">
      <c r="A3357" s="3">
        <v>2666707</v>
      </c>
      <c r="B3357" s="3">
        <f>HYPERLINK("https://platform.v2.vetology.net/cases/2666707/screening-report/6?type=pdf&amp;v=v6&amp;scorecard=1&amp;secret_key=BX%25IJ%24%2F65ieZ%29f6", 2666707)</f>
        <v>2666707</v>
      </c>
      <c r="C3357" s="3">
        <f>HYPERLINK("https://platform.v2.vetology.net/report/v/final/"&amp;2666707, 2666707)</f>
        <v>2666707</v>
      </c>
      <c r="D3357" s="3" t="s">
        <v>11118</v>
      </c>
      <c r="E3357" s="3" t="s">
        <v>11119</v>
      </c>
      <c r="F3357" s="3" t="s">
        <v>22</v>
      </c>
      <c r="G3357" s="3" t="s">
        <v>23</v>
      </c>
      <c r="H3357" s="3" t="s">
        <v>11120</v>
      </c>
      <c r="I3357" s="3" t="s">
        <v>793</v>
      </c>
      <c r="J3357" s="3" t="s">
        <v>794</v>
      </c>
      <c r="K3357" s="3" t="s">
        <v>28</v>
      </c>
      <c r="L3357" s="3" t="s">
        <v>28</v>
      </c>
      <c r="M3357" s="3" t="s">
        <v>28</v>
      </c>
      <c r="N3357" s="3" t="s">
        <v>28</v>
      </c>
      <c r="O3357" s="3" t="s">
        <v>27</v>
      </c>
      <c r="P3357" s="3" t="s">
        <v>28</v>
      </c>
      <c r="Q3357" s="3" t="s">
        <v>28</v>
      </c>
      <c r="R3357" s="3" t="s">
        <v>28</v>
      </c>
      <c r="S3357" s="3" t="s">
        <v>28</v>
      </c>
      <c r="T3357" s="3" t="s">
        <v>28</v>
      </c>
    </row>
    <row r="3358" spans="1:20" ht="336">
      <c r="A3358" s="3">
        <v>2666703</v>
      </c>
      <c r="B3358" s="3">
        <f>HYPERLINK("https://platform.v2.vetology.net/cases/2666703/screening-report/6?type=pdf&amp;v=v6&amp;scorecard=1&amp;secret_key=BX%25IJ%24%2F65ieZ%29f6", 2666703)</f>
        <v>2666703</v>
      </c>
      <c r="C3358" s="3">
        <f>HYPERLINK("https://platform.v2.vetology.net/report/v/final/"&amp;2666703, 2666703)</f>
        <v>2666703</v>
      </c>
      <c r="D3358" s="3" t="s">
        <v>11121</v>
      </c>
      <c r="E3358" s="3" t="s">
        <v>11122</v>
      </c>
      <c r="F3358" s="3" t="s">
        <v>11123</v>
      </c>
      <c r="G3358" s="3" t="s">
        <v>186</v>
      </c>
      <c r="H3358" s="3" t="s">
        <v>11124</v>
      </c>
      <c r="I3358" s="3" t="s">
        <v>2226</v>
      </c>
      <c r="J3358" s="3" t="s">
        <v>2227</v>
      </c>
      <c r="K3358" s="3" t="s">
        <v>28</v>
      </c>
      <c r="L3358" s="3" t="s">
        <v>28</v>
      </c>
      <c r="M3358" s="3" t="s">
        <v>28</v>
      </c>
      <c r="N3358" s="3" t="s">
        <v>28</v>
      </c>
      <c r="O3358" s="3" t="s">
        <v>27</v>
      </c>
      <c r="P3358" s="3" t="s">
        <v>28</v>
      </c>
      <c r="Q3358" s="3" t="s">
        <v>27</v>
      </c>
      <c r="R3358" s="3" t="s">
        <v>28</v>
      </c>
      <c r="S3358" s="3" t="s">
        <v>28</v>
      </c>
      <c r="T3358" s="3" t="s">
        <v>27</v>
      </c>
    </row>
    <row r="3359" spans="1:20" ht="290.25">
      <c r="A3359" s="3">
        <v>2666661</v>
      </c>
      <c r="B3359" s="3">
        <f>HYPERLINK("https://platform.v2.vetology.net/cases/2666661/screening-report/6?type=pdf&amp;v=v6&amp;scorecard=1&amp;secret_key=BX%25IJ%24%2F65ieZ%29f6", 2666661)</f>
        <v>2666661</v>
      </c>
      <c r="C3359" s="3">
        <f>HYPERLINK("https://platform.v2.vetology.net/report/v/final/"&amp;2666661, 2666661)</f>
        <v>2666661</v>
      </c>
      <c r="D3359" s="3" t="s">
        <v>11125</v>
      </c>
      <c r="E3359" s="3" t="s">
        <v>11126</v>
      </c>
      <c r="F3359" s="3" t="s">
        <v>11127</v>
      </c>
      <c r="G3359" s="3" t="s">
        <v>179</v>
      </c>
      <c r="H3359" s="3" t="s">
        <v>10750</v>
      </c>
      <c r="I3359" s="3" t="s">
        <v>952</v>
      </c>
      <c r="J3359" s="3" t="s">
        <v>953</v>
      </c>
      <c r="K3359" s="3" t="s">
        <v>27</v>
      </c>
      <c r="L3359" s="3" t="s">
        <v>28</v>
      </c>
      <c r="M3359" s="3" t="s">
        <v>28</v>
      </c>
      <c r="N3359" s="3" t="s">
        <v>28</v>
      </c>
      <c r="O3359" s="3" t="s">
        <v>27</v>
      </c>
      <c r="P3359" s="3" t="s">
        <v>27</v>
      </c>
      <c r="Q3359" s="3" t="s">
        <v>28</v>
      </c>
      <c r="R3359" s="3" t="s">
        <v>28</v>
      </c>
      <c r="S3359" s="3" t="s">
        <v>28</v>
      </c>
      <c r="T3359" s="3" t="s">
        <v>27</v>
      </c>
    </row>
    <row r="3360" spans="1:20" ht="409.6">
      <c r="A3360" s="3">
        <v>2666607</v>
      </c>
      <c r="B3360" s="3">
        <f>HYPERLINK("https://platform.v2.vetology.net/cases/2666607/screening-report/6?type=pdf&amp;v=v6&amp;scorecard=1&amp;secret_key=BX%25IJ%24%2F65ieZ%29f6", 2666607)</f>
        <v>2666607</v>
      </c>
      <c r="C3360" s="3">
        <f>HYPERLINK("https://platform.v2.vetology.net/report/v/final/"&amp;2666607, 2666607)</f>
        <v>2666607</v>
      </c>
      <c r="D3360" s="3" t="s">
        <v>11128</v>
      </c>
      <c r="E3360" s="3" t="s">
        <v>11129</v>
      </c>
      <c r="F3360" s="3" t="s">
        <v>11130</v>
      </c>
      <c r="G3360" s="3" t="s">
        <v>1772</v>
      </c>
      <c r="H3360" s="3" t="s">
        <v>1802</v>
      </c>
      <c r="I3360" s="3" t="s">
        <v>1803</v>
      </c>
      <c r="J3360" s="3" t="s">
        <v>1804</v>
      </c>
      <c r="K3360" s="3" t="s">
        <v>28</v>
      </c>
      <c r="L3360" s="3" t="s">
        <v>28</v>
      </c>
      <c r="M3360" s="3" t="s">
        <v>28</v>
      </c>
      <c r="N3360" s="3" t="s">
        <v>27</v>
      </c>
      <c r="O3360" s="3" t="s">
        <v>27</v>
      </c>
      <c r="P3360" s="3" t="s">
        <v>28</v>
      </c>
      <c r="Q3360" s="3" t="s">
        <v>27</v>
      </c>
      <c r="R3360" s="3" t="s">
        <v>27</v>
      </c>
      <c r="S3360" s="3" t="s">
        <v>27</v>
      </c>
      <c r="T3360" s="3" t="s">
        <v>27</v>
      </c>
    </row>
    <row r="3361" spans="1:20" ht="409.6">
      <c r="A3361" s="3">
        <v>2666594</v>
      </c>
      <c r="B3361" s="3">
        <f>HYPERLINK("https://platform.v2.vetology.net/cases/2666594/screening-report/6?type=pdf&amp;v=v6&amp;scorecard=1&amp;secret_key=BX%25IJ%24%2F65ieZ%29f6", 2666594)</f>
        <v>2666594</v>
      </c>
      <c r="C3361" s="3">
        <f>HYPERLINK("https://platform.v2.vetology.net/report/v/final/"&amp;2666594, 2666594)</f>
        <v>2666594</v>
      </c>
      <c r="D3361" s="3" t="s">
        <v>11131</v>
      </c>
      <c r="E3361" s="3" t="s">
        <v>11132</v>
      </c>
      <c r="F3361" s="3" t="s">
        <v>11133</v>
      </c>
      <c r="G3361" s="3" t="s">
        <v>57</v>
      </c>
      <c r="H3361" s="3" t="s">
        <v>31</v>
      </c>
      <c r="I3361" s="3" t="s">
        <v>32</v>
      </c>
      <c r="J3361" s="3" t="s">
        <v>33</v>
      </c>
      <c r="K3361" s="3" t="s">
        <v>28</v>
      </c>
      <c r="L3361" s="3" t="s">
        <v>28</v>
      </c>
      <c r="M3361" s="3" t="s">
        <v>28</v>
      </c>
      <c r="N3361" s="3" t="s">
        <v>28</v>
      </c>
      <c r="O3361" s="3" t="s">
        <v>28</v>
      </c>
      <c r="P3361" s="3" t="s">
        <v>28</v>
      </c>
      <c r="Q3361" s="3" t="s">
        <v>28</v>
      </c>
      <c r="R3361" s="3" t="s">
        <v>28</v>
      </c>
      <c r="S3361" s="3" t="s">
        <v>28</v>
      </c>
      <c r="T3361" s="3" t="s">
        <v>28</v>
      </c>
    </row>
    <row r="3362" spans="1:20" ht="305.25">
      <c r="A3362" s="3">
        <v>2666522</v>
      </c>
      <c r="B3362" s="3">
        <f>HYPERLINK("https://platform.v2.vetology.net/cases/2666522/screening-report/6?type=pdf&amp;v=v6&amp;scorecard=1&amp;secret_key=BX%25IJ%24%2F65ieZ%29f6", 2666522)</f>
        <v>2666522</v>
      </c>
      <c r="C3362" s="3">
        <f>HYPERLINK("https://platform.v2.vetology.net/report/v/final/"&amp;2666522, 2666522)</f>
        <v>2666522</v>
      </c>
      <c r="D3362" s="3" t="s">
        <v>11134</v>
      </c>
      <c r="E3362" s="3" t="s">
        <v>11135</v>
      </c>
      <c r="F3362" s="3" t="s">
        <v>11136</v>
      </c>
      <c r="G3362" s="3" t="s">
        <v>179</v>
      </c>
      <c r="H3362" s="3" t="s">
        <v>11137</v>
      </c>
      <c r="I3362" s="3" t="s">
        <v>11138</v>
      </c>
      <c r="J3362" s="3" t="s">
        <v>11139</v>
      </c>
      <c r="K3362" s="3" t="s">
        <v>28</v>
      </c>
      <c r="L3362" s="3" t="s">
        <v>28</v>
      </c>
      <c r="M3362" s="3" t="s">
        <v>27</v>
      </c>
      <c r="N3362" s="3" t="s">
        <v>28</v>
      </c>
      <c r="O3362" s="3" t="s">
        <v>27</v>
      </c>
      <c r="P3362" s="3" t="s">
        <v>27</v>
      </c>
      <c r="Q3362" s="3" t="s">
        <v>27</v>
      </c>
      <c r="R3362" s="3" t="s">
        <v>28</v>
      </c>
      <c r="S3362" s="3" t="s">
        <v>28</v>
      </c>
      <c r="T3362" s="3" t="s">
        <v>27</v>
      </c>
    </row>
    <row r="3363" spans="1:20" ht="351">
      <c r="A3363" s="3">
        <v>2666509</v>
      </c>
      <c r="B3363" s="3">
        <f>HYPERLINK("https://platform.v2.vetology.net/cases/2666509/screening-report/6?type=pdf&amp;v=v6&amp;scorecard=1&amp;secret_key=BX%25IJ%24%2F65ieZ%29f6", 2666509)</f>
        <v>2666509</v>
      </c>
      <c r="C3363" s="3">
        <f>HYPERLINK("https://platform.v2.vetology.net/report/v/final/"&amp;2666509, 2666509)</f>
        <v>2666509</v>
      </c>
      <c r="D3363" s="3" t="s">
        <v>11140</v>
      </c>
      <c r="E3363" s="3" t="s">
        <v>11141</v>
      </c>
      <c r="F3363" s="3" t="s">
        <v>11142</v>
      </c>
      <c r="G3363" s="3" t="s">
        <v>57</v>
      </c>
      <c r="H3363" s="3" t="s">
        <v>4442</v>
      </c>
      <c r="I3363" s="3" t="s">
        <v>380</v>
      </c>
      <c r="J3363" s="3" t="s">
        <v>297</v>
      </c>
      <c r="K3363" s="3" t="s">
        <v>28</v>
      </c>
      <c r="L3363" s="3" t="s">
        <v>28</v>
      </c>
      <c r="M3363" s="3" t="s">
        <v>28</v>
      </c>
      <c r="N3363" s="3" t="s">
        <v>27</v>
      </c>
      <c r="O3363" s="3" t="s">
        <v>28</v>
      </c>
      <c r="P3363" s="3" t="s">
        <v>28</v>
      </c>
      <c r="Q3363" s="3" t="s">
        <v>28</v>
      </c>
      <c r="R3363" s="3" t="s">
        <v>28</v>
      </c>
      <c r="S3363" s="3" t="s">
        <v>28</v>
      </c>
      <c r="T3363" s="3" t="s">
        <v>28</v>
      </c>
    </row>
    <row r="3364" spans="1:20" ht="409.6">
      <c r="A3364" s="3">
        <v>2666474</v>
      </c>
      <c r="B3364" s="3">
        <f>HYPERLINK("https://platform.v2.vetology.net/cases/2666474/screening-report/6?type=pdf&amp;v=v6&amp;scorecard=1&amp;secret_key=BX%25IJ%24%2F65ieZ%29f6", 2666474)</f>
        <v>2666474</v>
      </c>
      <c r="C3364" s="3">
        <f>HYPERLINK("https://platform.v2.vetology.net/report/v/final/"&amp;2666474, 2666474)</f>
        <v>2666474</v>
      </c>
      <c r="D3364" s="3" t="s">
        <v>11143</v>
      </c>
      <c r="E3364" s="3" t="s">
        <v>11144</v>
      </c>
      <c r="F3364" s="3" t="s">
        <v>10743</v>
      </c>
      <c r="G3364" s="3" t="s">
        <v>57</v>
      </c>
      <c r="H3364" s="3" t="s">
        <v>11145</v>
      </c>
      <c r="I3364" s="3" t="s">
        <v>2825</v>
      </c>
      <c r="J3364" s="3" t="s">
        <v>2826</v>
      </c>
      <c r="K3364" s="3" t="s">
        <v>27</v>
      </c>
      <c r="L3364" s="3" t="s">
        <v>28</v>
      </c>
      <c r="M3364" s="3" t="s">
        <v>27</v>
      </c>
      <c r="N3364" s="3" t="s">
        <v>28</v>
      </c>
      <c r="O3364" s="3" t="s">
        <v>27</v>
      </c>
      <c r="P3364" s="3" t="s">
        <v>28</v>
      </c>
      <c r="Q3364" s="3" t="s">
        <v>27</v>
      </c>
      <c r="R3364" s="3" t="s">
        <v>28</v>
      </c>
      <c r="S3364" s="3" t="s">
        <v>28</v>
      </c>
      <c r="T3364" s="3" t="s">
        <v>28</v>
      </c>
    </row>
    <row r="3365" spans="1:20" ht="321">
      <c r="A3365" s="3">
        <v>2666470</v>
      </c>
      <c r="B3365" s="3">
        <f>HYPERLINK("https://platform.v2.vetology.net/cases/2666470/screening-report/6?type=pdf&amp;v=v6&amp;scorecard=1&amp;secret_key=BX%25IJ%24%2F65ieZ%29f6", 2666470)</f>
        <v>2666470</v>
      </c>
      <c r="C3365" s="3">
        <f>HYPERLINK("https://platform.v2.vetology.net/report/v/final/"&amp;2666470, 2666470)</f>
        <v>2666470</v>
      </c>
      <c r="D3365" s="3" t="s">
        <v>11146</v>
      </c>
      <c r="E3365" s="3" t="s">
        <v>11147</v>
      </c>
      <c r="F3365" s="3" t="s">
        <v>11148</v>
      </c>
      <c r="G3365" s="3" t="s">
        <v>57</v>
      </c>
      <c r="H3365" s="3" t="s">
        <v>11149</v>
      </c>
      <c r="I3365" s="3" t="s">
        <v>72</v>
      </c>
      <c r="J3365" s="3" t="s">
        <v>363</v>
      </c>
      <c r="K3365" s="3" t="s">
        <v>28</v>
      </c>
      <c r="L3365" s="3" t="s">
        <v>28</v>
      </c>
      <c r="M3365" s="3" t="s">
        <v>28</v>
      </c>
      <c r="N3365" s="3" t="s">
        <v>28</v>
      </c>
      <c r="O3365" s="3" t="s">
        <v>27</v>
      </c>
      <c r="P3365" s="3" t="s">
        <v>28</v>
      </c>
      <c r="Q3365" s="3" t="s">
        <v>28</v>
      </c>
      <c r="R3365" s="3" t="s">
        <v>28</v>
      </c>
      <c r="S3365" s="3" t="s">
        <v>28</v>
      </c>
      <c r="T3365" s="3" t="s">
        <v>27</v>
      </c>
    </row>
    <row r="3366" spans="1:20" ht="366">
      <c r="A3366" s="3">
        <v>2666459</v>
      </c>
      <c r="B3366" s="3">
        <f>HYPERLINK("https://platform.v2.vetology.net/cases/2666459/screening-report/6?type=pdf&amp;v=v6&amp;scorecard=1&amp;secret_key=BX%25IJ%24%2F65ieZ%29f6", 2666459)</f>
        <v>2666459</v>
      </c>
      <c r="C3366" s="3">
        <f>HYPERLINK("https://platform.v2.vetology.net/report/v/final/"&amp;2666459, 2666459)</f>
        <v>2666459</v>
      </c>
      <c r="D3366" s="3" t="s">
        <v>11150</v>
      </c>
      <c r="E3366" s="3" t="s">
        <v>11151</v>
      </c>
      <c r="F3366" s="3" t="s">
        <v>56</v>
      </c>
      <c r="G3366" s="3" t="s">
        <v>57</v>
      </c>
      <c r="H3366" s="3" t="s">
        <v>11152</v>
      </c>
      <c r="I3366" s="3" t="s">
        <v>754</v>
      </c>
      <c r="J3366" s="3" t="s">
        <v>755</v>
      </c>
      <c r="K3366" s="3" t="s">
        <v>27</v>
      </c>
      <c r="L3366" s="3" t="s">
        <v>28</v>
      </c>
      <c r="M3366" s="3" t="s">
        <v>28</v>
      </c>
      <c r="N3366" s="3" t="s">
        <v>28</v>
      </c>
      <c r="O3366" s="3" t="s">
        <v>27</v>
      </c>
      <c r="P3366" s="3" t="s">
        <v>28</v>
      </c>
      <c r="Q3366" s="3" t="s">
        <v>27</v>
      </c>
      <c r="R3366" s="3" t="s">
        <v>28</v>
      </c>
      <c r="S3366" s="3" t="s">
        <v>28</v>
      </c>
      <c r="T3366" s="3" t="s">
        <v>28</v>
      </c>
    </row>
    <row r="3367" spans="1:20" ht="336">
      <c r="A3367" s="3">
        <v>2666434</v>
      </c>
      <c r="B3367" s="3">
        <f>HYPERLINK("https://platform.v2.vetology.net/cases/2666434/screening-report/6?type=pdf&amp;v=v6&amp;scorecard=1&amp;secret_key=BX%25IJ%24%2F65ieZ%29f6", 2666434)</f>
        <v>2666434</v>
      </c>
      <c r="C3367" s="3">
        <f>HYPERLINK("https://platform.v2.vetology.net/report/v/final/"&amp;2666434, 2666434)</f>
        <v>2666434</v>
      </c>
      <c r="D3367" s="3" t="s">
        <v>11153</v>
      </c>
      <c r="E3367" s="3" t="s">
        <v>11154</v>
      </c>
      <c r="F3367" s="3" t="s">
        <v>11155</v>
      </c>
      <c r="G3367" s="3" t="s">
        <v>1772</v>
      </c>
      <c r="H3367" s="3" t="s">
        <v>9763</v>
      </c>
      <c r="I3367" s="3" t="s">
        <v>124</v>
      </c>
      <c r="J3367" s="3" t="s">
        <v>125</v>
      </c>
      <c r="K3367" s="3" t="s">
        <v>27</v>
      </c>
      <c r="L3367" s="3" t="s">
        <v>28</v>
      </c>
      <c r="M3367" s="3" t="s">
        <v>27</v>
      </c>
      <c r="N3367" s="3" t="s">
        <v>28</v>
      </c>
      <c r="O3367" s="3" t="s">
        <v>27</v>
      </c>
      <c r="P3367" s="3" t="s">
        <v>28</v>
      </c>
      <c r="Q3367" s="3" t="s">
        <v>27</v>
      </c>
      <c r="R3367" s="3" t="s">
        <v>28</v>
      </c>
      <c r="S3367" s="3" t="s">
        <v>28</v>
      </c>
      <c r="T3367" s="3" t="s">
        <v>28</v>
      </c>
    </row>
    <row r="3368" spans="1:20" ht="381.75">
      <c r="A3368" s="3">
        <v>2666432</v>
      </c>
      <c r="B3368" s="3">
        <f>HYPERLINK("https://platform.v2.vetology.net/cases/2666432/screening-report/6?type=pdf&amp;v=v6&amp;scorecard=1&amp;secret_key=BX%25IJ%24%2F65ieZ%29f6", 2666432)</f>
        <v>2666432</v>
      </c>
      <c r="C3368" s="3">
        <f>HYPERLINK("https://platform.v2.vetology.net/report/v/final/"&amp;2666432, 2666432)</f>
        <v>2666432</v>
      </c>
      <c r="D3368" s="3" t="s">
        <v>11156</v>
      </c>
      <c r="E3368" s="3" t="s">
        <v>11157</v>
      </c>
      <c r="F3368" s="3"/>
      <c r="G3368" s="3" t="s">
        <v>122</v>
      </c>
      <c r="H3368" s="3" t="s">
        <v>11158</v>
      </c>
      <c r="I3368" s="3" t="s">
        <v>2342</v>
      </c>
      <c r="J3368" s="3" t="s">
        <v>2343</v>
      </c>
      <c r="K3368" s="3" t="s">
        <v>28</v>
      </c>
      <c r="L3368" s="3" t="s">
        <v>27</v>
      </c>
      <c r="M3368" s="3" t="s">
        <v>28</v>
      </c>
      <c r="N3368" s="3" t="s">
        <v>28</v>
      </c>
      <c r="O3368" s="3" t="s">
        <v>27</v>
      </c>
      <c r="P3368" s="3" t="s">
        <v>28</v>
      </c>
      <c r="Q3368" s="3" t="s">
        <v>27</v>
      </c>
      <c r="R3368" s="3" t="s">
        <v>28</v>
      </c>
      <c r="S3368" s="3" t="s">
        <v>27</v>
      </c>
      <c r="T3368" s="3" t="s">
        <v>27</v>
      </c>
    </row>
    <row r="3369" spans="1:20" ht="321">
      <c r="A3369" s="3">
        <v>2666412</v>
      </c>
      <c r="B3369" s="3">
        <f>HYPERLINK("https://platform.v2.vetology.net/cases/2666412/screening-report/6?type=pdf&amp;v=v6&amp;scorecard=1&amp;secret_key=BX%25IJ%24%2F65ieZ%29f6", 2666412)</f>
        <v>2666412</v>
      </c>
      <c r="C3369" s="3">
        <f>HYPERLINK("https://platform.v2.vetology.net/report/v/final/"&amp;2666412, 2666412)</f>
        <v>2666412</v>
      </c>
      <c r="D3369" s="3" t="s">
        <v>11159</v>
      </c>
      <c r="E3369" s="3" t="s">
        <v>11160</v>
      </c>
      <c r="F3369" s="3"/>
      <c r="G3369" s="3" t="s">
        <v>100</v>
      </c>
      <c r="H3369" s="3" t="s">
        <v>31</v>
      </c>
      <c r="I3369" s="3" t="s">
        <v>32</v>
      </c>
      <c r="J3369" s="3" t="s">
        <v>119</v>
      </c>
      <c r="K3369" s="3" t="s">
        <v>28</v>
      </c>
      <c r="L3369" s="3" t="s">
        <v>28</v>
      </c>
      <c r="M3369" s="3" t="s">
        <v>28</v>
      </c>
      <c r="N3369" s="3" t="s">
        <v>28</v>
      </c>
      <c r="O3369" s="3" t="s">
        <v>28</v>
      </c>
      <c r="P3369" s="3" t="s">
        <v>28</v>
      </c>
      <c r="Q3369" s="3" t="s">
        <v>28</v>
      </c>
      <c r="R3369" s="3" t="s">
        <v>28</v>
      </c>
      <c r="S3369" s="3" t="s">
        <v>28</v>
      </c>
      <c r="T3369" s="3" t="s">
        <v>28</v>
      </c>
    </row>
    <row r="3370" spans="1:20" ht="409.6">
      <c r="A3370" s="3">
        <v>2666407</v>
      </c>
      <c r="B3370" s="3">
        <f>HYPERLINK("https://platform.v2.vetology.net/cases/2666407/screening-report/6?type=pdf&amp;v=v6&amp;scorecard=1&amp;secret_key=BX%25IJ%24%2F65ieZ%29f6", 2666407)</f>
        <v>2666407</v>
      </c>
      <c r="C3370" s="3">
        <f>HYPERLINK("https://platform.v2.vetology.net/report/v/final/"&amp;2666407, 2666407)</f>
        <v>2666407</v>
      </c>
      <c r="D3370" s="3" t="s">
        <v>11161</v>
      </c>
      <c r="E3370" s="3" t="s">
        <v>11162</v>
      </c>
      <c r="F3370" s="3" t="s">
        <v>11163</v>
      </c>
      <c r="G3370" s="3" t="s">
        <v>57</v>
      </c>
      <c r="H3370" s="3" t="s">
        <v>1478</v>
      </c>
      <c r="I3370" s="3" t="s">
        <v>279</v>
      </c>
      <c r="J3370" s="3" t="s">
        <v>280</v>
      </c>
      <c r="K3370" s="3" t="s">
        <v>28</v>
      </c>
      <c r="L3370" s="3" t="s">
        <v>28</v>
      </c>
      <c r="M3370" s="3" t="s">
        <v>28</v>
      </c>
      <c r="N3370" s="3" t="s">
        <v>28</v>
      </c>
      <c r="O3370" s="3" t="s">
        <v>28</v>
      </c>
      <c r="P3370" s="3" t="s">
        <v>28</v>
      </c>
      <c r="Q3370" s="3" t="s">
        <v>28</v>
      </c>
      <c r="R3370" s="3" t="s">
        <v>28</v>
      </c>
      <c r="S3370" s="3" t="s">
        <v>28</v>
      </c>
      <c r="T3370" s="3" t="s">
        <v>27</v>
      </c>
    </row>
    <row r="3371" spans="1:20" ht="305.25">
      <c r="A3371" s="3">
        <v>2666403</v>
      </c>
      <c r="B3371" s="3">
        <f>HYPERLINK("https://platform.v2.vetology.net/cases/2666403/screening-report/6?type=pdf&amp;v=v6&amp;scorecard=1&amp;secret_key=BX%25IJ%24%2F65ieZ%29f6", 2666403)</f>
        <v>2666403</v>
      </c>
      <c r="C3371" s="3">
        <f>HYPERLINK("https://platform.v2.vetology.net/report/v/final/"&amp;2666403, 2666403)</f>
        <v>2666403</v>
      </c>
      <c r="D3371" s="3" t="s">
        <v>11164</v>
      </c>
      <c r="E3371" s="3" t="s">
        <v>11165</v>
      </c>
      <c r="F3371" s="3" t="s">
        <v>11166</v>
      </c>
      <c r="G3371" s="3" t="s">
        <v>186</v>
      </c>
      <c r="H3371" s="3" t="s">
        <v>944</v>
      </c>
      <c r="I3371" s="3" t="s">
        <v>32</v>
      </c>
      <c r="J3371" s="3" t="s">
        <v>33</v>
      </c>
      <c r="K3371" s="3" t="s">
        <v>28</v>
      </c>
      <c r="L3371" s="3" t="s">
        <v>28</v>
      </c>
      <c r="M3371" s="3" t="s">
        <v>28</v>
      </c>
      <c r="N3371" s="3" t="s">
        <v>28</v>
      </c>
      <c r="O3371" s="3" t="s">
        <v>28</v>
      </c>
      <c r="P3371" s="3" t="s">
        <v>28</v>
      </c>
      <c r="Q3371" s="3" t="s">
        <v>28</v>
      </c>
      <c r="R3371" s="3" t="s">
        <v>28</v>
      </c>
      <c r="S3371" s="3" t="s">
        <v>28</v>
      </c>
      <c r="T3371" s="3" t="s">
        <v>28</v>
      </c>
    </row>
    <row r="3372" spans="1:20" ht="275.25">
      <c r="A3372" s="3">
        <v>2666339</v>
      </c>
      <c r="B3372" s="3">
        <f>HYPERLINK("https://platform.v2.vetology.net/cases/2666339/screening-report/6?type=pdf&amp;v=v6&amp;scorecard=1&amp;secret_key=BX%25IJ%24%2F65ieZ%29f6", 2666339)</f>
        <v>2666339</v>
      </c>
      <c r="C3372" s="3">
        <f>HYPERLINK("https://platform.v2.vetology.net/report/v/final/"&amp;2666339, 2666339)</f>
        <v>2666339</v>
      </c>
      <c r="D3372" s="3" t="s">
        <v>11167</v>
      </c>
      <c r="E3372" s="3" t="s">
        <v>11168</v>
      </c>
      <c r="F3372" s="3" t="s">
        <v>11169</v>
      </c>
      <c r="G3372" s="3" t="s">
        <v>179</v>
      </c>
      <c r="H3372" s="3" t="s">
        <v>249</v>
      </c>
      <c r="I3372" s="3" t="s">
        <v>250</v>
      </c>
      <c r="J3372" s="3" t="s">
        <v>251</v>
      </c>
      <c r="K3372" s="3" t="s">
        <v>28</v>
      </c>
      <c r="L3372" s="3" t="s">
        <v>28</v>
      </c>
      <c r="M3372" s="3" t="s">
        <v>28</v>
      </c>
      <c r="N3372" s="3" t="s">
        <v>28</v>
      </c>
      <c r="O3372" s="3" t="s">
        <v>27</v>
      </c>
      <c r="P3372" s="3" t="s">
        <v>28</v>
      </c>
      <c r="Q3372" s="3" t="s">
        <v>28</v>
      </c>
      <c r="R3372" s="3" t="s">
        <v>28</v>
      </c>
      <c r="S3372" s="3" t="s">
        <v>28</v>
      </c>
      <c r="T3372" s="3" t="s">
        <v>28</v>
      </c>
    </row>
    <row r="3373" spans="1:20" ht="336">
      <c r="A3373" s="3">
        <v>2666300</v>
      </c>
      <c r="B3373" s="3">
        <f>HYPERLINK("https://platform.v2.vetology.net/cases/2666300/screening-report/6?type=pdf&amp;v=v6&amp;scorecard=1&amp;secret_key=BX%25IJ%24%2F65ieZ%29f6", 2666300)</f>
        <v>2666300</v>
      </c>
      <c r="C3373" s="3">
        <f>HYPERLINK("https://platform.v2.vetology.net/report/v/final/"&amp;2666300, 2666300)</f>
        <v>2666300</v>
      </c>
      <c r="D3373" s="3" t="s">
        <v>11170</v>
      </c>
      <c r="E3373" s="3" t="s">
        <v>11171</v>
      </c>
      <c r="F3373" s="3" t="s">
        <v>11172</v>
      </c>
      <c r="G3373" s="3" t="s">
        <v>179</v>
      </c>
      <c r="H3373" s="3" t="s">
        <v>2314</v>
      </c>
      <c r="I3373" s="3" t="s">
        <v>25</v>
      </c>
      <c r="J3373" s="3" t="s">
        <v>26</v>
      </c>
      <c r="K3373" s="3" t="s">
        <v>28</v>
      </c>
      <c r="L3373" s="3" t="s">
        <v>28</v>
      </c>
      <c r="M3373" s="3" t="s">
        <v>28</v>
      </c>
      <c r="N3373" s="3" t="s">
        <v>28</v>
      </c>
      <c r="O3373" s="3" t="s">
        <v>27</v>
      </c>
      <c r="P3373" s="3" t="s">
        <v>28</v>
      </c>
      <c r="Q3373" s="3" t="s">
        <v>27</v>
      </c>
      <c r="R3373" s="3" t="s">
        <v>28</v>
      </c>
      <c r="S3373" s="3" t="s">
        <v>28</v>
      </c>
      <c r="T3373" s="3" t="s">
        <v>28</v>
      </c>
    </row>
    <row r="3374" spans="1:20" ht="366">
      <c r="A3374" s="3">
        <v>2666266</v>
      </c>
      <c r="B3374" s="3">
        <f>HYPERLINK("https://platform.v2.vetology.net/cases/2666266/screening-report/6?type=pdf&amp;v=v6&amp;scorecard=1&amp;secret_key=BX%25IJ%24%2F65ieZ%29f6", 2666266)</f>
        <v>2666266</v>
      </c>
      <c r="C3374" s="3">
        <f>HYPERLINK("https://platform.v2.vetology.net/report/v/final/"&amp;2666266, 2666266)</f>
        <v>2666266</v>
      </c>
      <c r="D3374" s="3" t="s">
        <v>11173</v>
      </c>
      <c r="E3374" s="3" t="s">
        <v>11174</v>
      </c>
      <c r="F3374" s="3" t="s">
        <v>11175</v>
      </c>
      <c r="G3374" s="3" t="s">
        <v>496</v>
      </c>
      <c r="H3374" s="3" t="s">
        <v>11176</v>
      </c>
      <c r="I3374" s="3" t="s">
        <v>1034</v>
      </c>
      <c r="J3374" s="3" t="s">
        <v>1035</v>
      </c>
      <c r="K3374" s="3" t="s">
        <v>28</v>
      </c>
      <c r="L3374" s="3" t="s">
        <v>28</v>
      </c>
      <c r="M3374" s="3" t="s">
        <v>28</v>
      </c>
      <c r="N3374" s="3" t="s">
        <v>28</v>
      </c>
      <c r="O3374" s="3" t="s">
        <v>27</v>
      </c>
      <c r="P3374" s="3" t="s">
        <v>28</v>
      </c>
      <c r="Q3374" s="3" t="s">
        <v>28</v>
      </c>
      <c r="R3374" s="3" t="s">
        <v>28</v>
      </c>
      <c r="S3374" s="3" t="s">
        <v>28</v>
      </c>
      <c r="T3374" s="3" t="s">
        <v>27</v>
      </c>
    </row>
    <row r="3375" spans="1:20" ht="409.6">
      <c r="A3375" s="3">
        <v>2666237</v>
      </c>
      <c r="B3375" s="3">
        <f>HYPERLINK("https://platform.v2.vetology.net/cases/2666237/screening-report/6?type=pdf&amp;v=v6&amp;scorecard=1&amp;secret_key=BX%25IJ%24%2F65ieZ%29f6", 2666237)</f>
        <v>2666237</v>
      </c>
      <c r="C3375" s="3">
        <f>HYPERLINK("https://platform.v2.vetology.net/report/v/final/"&amp;2666237, 2666237)</f>
        <v>2666237</v>
      </c>
      <c r="D3375" s="3" t="s">
        <v>11177</v>
      </c>
      <c r="E3375" s="3" t="s">
        <v>11178</v>
      </c>
      <c r="F3375" s="3" t="s">
        <v>11179</v>
      </c>
      <c r="G3375" s="3" t="s">
        <v>186</v>
      </c>
      <c r="H3375" s="3" t="s">
        <v>146</v>
      </c>
      <c r="I3375" s="3" t="s">
        <v>147</v>
      </c>
      <c r="J3375" s="3" t="s">
        <v>148</v>
      </c>
      <c r="K3375" s="3" t="s">
        <v>28</v>
      </c>
      <c r="L3375" s="3" t="s">
        <v>28</v>
      </c>
      <c r="M3375" s="3" t="s">
        <v>28</v>
      </c>
      <c r="N3375" s="3" t="s">
        <v>28</v>
      </c>
      <c r="O3375" s="3" t="s">
        <v>27</v>
      </c>
      <c r="P3375" s="3" t="s">
        <v>27</v>
      </c>
      <c r="Q3375" s="3" t="s">
        <v>28</v>
      </c>
      <c r="R3375" s="3" t="s">
        <v>28</v>
      </c>
      <c r="S3375" s="3" t="s">
        <v>28</v>
      </c>
      <c r="T3375" s="3" t="s">
        <v>28</v>
      </c>
    </row>
    <row r="3376" spans="1:20" ht="409.6">
      <c r="A3376" s="3">
        <v>2666235</v>
      </c>
      <c r="B3376" s="3">
        <f>HYPERLINK("https://platform.v2.vetology.net/cases/2666235/screening-report/6?type=pdf&amp;v=v6&amp;scorecard=1&amp;secret_key=BX%25IJ%24%2F65ieZ%29f6", 2666235)</f>
        <v>2666235</v>
      </c>
      <c r="C3376" s="3">
        <f>HYPERLINK("https://platform.v2.vetology.net/report/v/final/"&amp;2666235, 2666235)</f>
        <v>2666235</v>
      </c>
      <c r="D3376" s="3" t="s">
        <v>11180</v>
      </c>
      <c r="E3376" s="3" t="s">
        <v>11181</v>
      </c>
      <c r="F3376" s="3" t="s">
        <v>1377</v>
      </c>
      <c r="G3376" s="3" t="s">
        <v>186</v>
      </c>
      <c r="H3376" s="3" t="s">
        <v>11182</v>
      </c>
      <c r="I3376" s="3" t="s">
        <v>2068</v>
      </c>
      <c r="J3376" s="3" t="s">
        <v>11183</v>
      </c>
      <c r="K3376" s="3" t="s">
        <v>28</v>
      </c>
      <c r="L3376" s="3" t="s">
        <v>27</v>
      </c>
      <c r="M3376" s="3" t="s">
        <v>27</v>
      </c>
      <c r="N3376" s="3" t="s">
        <v>27</v>
      </c>
      <c r="O3376" s="3" t="s">
        <v>27</v>
      </c>
      <c r="P3376" s="3" t="s">
        <v>28</v>
      </c>
      <c r="Q3376" s="3" t="s">
        <v>27</v>
      </c>
      <c r="R3376" s="3" t="s">
        <v>27</v>
      </c>
      <c r="S3376" s="3" t="s">
        <v>27</v>
      </c>
      <c r="T3376" s="3" t="s">
        <v>27</v>
      </c>
    </row>
    <row r="3377" spans="1:20" ht="213">
      <c r="A3377" s="3">
        <v>2666212</v>
      </c>
      <c r="B3377" s="3">
        <f>HYPERLINK("https://platform.v2.vetology.net/cases/2666212/screening-report/6?type=pdf&amp;v=v6&amp;scorecard=1&amp;secret_key=BX%25IJ%24%2F65ieZ%29f6", 2666212)</f>
        <v>2666212</v>
      </c>
      <c r="C3377" s="3">
        <f>HYPERLINK("https://platform.v2.vetology.net/report/v/final/"&amp;2666212, 2666212)</f>
        <v>2666212</v>
      </c>
      <c r="D3377" s="3" t="s">
        <v>11184</v>
      </c>
      <c r="E3377" s="3" t="s">
        <v>11185</v>
      </c>
      <c r="F3377" s="3" t="s">
        <v>11186</v>
      </c>
      <c r="G3377" s="3" t="s">
        <v>186</v>
      </c>
      <c r="H3377" s="3" t="s">
        <v>3940</v>
      </c>
      <c r="I3377" s="3" t="s">
        <v>305</v>
      </c>
      <c r="J3377" s="3" t="s">
        <v>847</v>
      </c>
      <c r="K3377" s="3" t="s">
        <v>28</v>
      </c>
      <c r="L3377" s="3" t="s">
        <v>28</v>
      </c>
      <c r="M3377" s="3" t="s">
        <v>28</v>
      </c>
      <c r="N3377" s="3" t="s">
        <v>28</v>
      </c>
      <c r="O3377" s="3" t="s">
        <v>28</v>
      </c>
      <c r="P3377" s="3" t="s">
        <v>28</v>
      </c>
      <c r="Q3377" s="3" t="s">
        <v>28</v>
      </c>
      <c r="R3377" s="3" t="s">
        <v>28</v>
      </c>
      <c r="S3377" s="3" t="s">
        <v>28</v>
      </c>
      <c r="T3377" s="3" t="s">
        <v>28</v>
      </c>
    </row>
    <row r="3378" spans="1:20" ht="396.75">
      <c r="A3378" s="3">
        <v>2666208</v>
      </c>
      <c r="B3378" s="3">
        <f>HYPERLINK("https://platform.v2.vetology.net/cases/2666208/screening-report/6?type=pdf&amp;v=v6&amp;scorecard=1&amp;secret_key=BX%25IJ%24%2F65ieZ%29f6", 2666208)</f>
        <v>2666208</v>
      </c>
      <c r="C3378" s="3">
        <f>HYPERLINK("https://platform.v2.vetology.net/report/v/final/"&amp;2666208, 2666208)</f>
        <v>2666208</v>
      </c>
      <c r="D3378" s="3" t="s">
        <v>11187</v>
      </c>
      <c r="E3378" s="3" t="s">
        <v>11188</v>
      </c>
      <c r="F3378" s="3" t="s">
        <v>11189</v>
      </c>
      <c r="G3378" s="3" t="s">
        <v>186</v>
      </c>
      <c r="H3378" s="3" t="s">
        <v>5495</v>
      </c>
      <c r="I3378" s="3" t="s">
        <v>351</v>
      </c>
      <c r="J3378" s="3" t="s">
        <v>352</v>
      </c>
      <c r="K3378" s="3" t="s">
        <v>28</v>
      </c>
      <c r="L3378" s="3" t="s">
        <v>28</v>
      </c>
      <c r="M3378" s="3" t="s">
        <v>28</v>
      </c>
      <c r="N3378" s="3" t="s">
        <v>28</v>
      </c>
      <c r="O3378" s="3" t="s">
        <v>27</v>
      </c>
      <c r="P3378" s="3" t="s">
        <v>28</v>
      </c>
      <c r="Q3378" s="3" t="s">
        <v>28</v>
      </c>
      <c r="R3378" s="3" t="s">
        <v>28</v>
      </c>
      <c r="S3378" s="3" t="s">
        <v>28</v>
      </c>
      <c r="T3378" s="3" t="s">
        <v>27</v>
      </c>
    </row>
    <row r="3379" spans="1:20" ht="409.6">
      <c r="A3379" s="3">
        <v>2666142</v>
      </c>
      <c r="B3379" s="3">
        <f>HYPERLINK("https://platform.v2.vetology.net/cases/2666142/screening-report/6?type=pdf&amp;v=v6&amp;scorecard=1&amp;secret_key=BX%25IJ%24%2F65ieZ%29f6", 2666142)</f>
        <v>2666142</v>
      </c>
      <c r="C3379" s="3">
        <f>HYPERLINK("https://platform.v2.vetology.net/report/v/final/"&amp;2666142, 2666142)</f>
        <v>2666142</v>
      </c>
      <c r="D3379" s="3" t="s">
        <v>11190</v>
      </c>
      <c r="E3379" s="3" t="s">
        <v>11191</v>
      </c>
      <c r="F3379" s="3" t="s">
        <v>11192</v>
      </c>
      <c r="G3379" s="3" t="s">
        <v>1772</v>
      </c>
      <c r="H3379" s="3" t="s">
        <v>31</v>
      </c>
      <c r="I3379" s="3" t="s">
        <v>32</v>
      </c>
      <c r="J3379" s="3" t="s">
        <v>33</v>
      </c>
      <c r="K3379" s="3" t="s">
        <v>28</v>
      </c>
      <c r="L3379" s="3" t="s">
        <v>28</v>
      </c>
      <c r="M3379" s="3" t="s">
        <v>28</v>
      </c>
      <c r="N3379" s="3" t="s">
        <v>28</v>
      </c>
      <c r="O3379" s="3" t="s">
        <v>27</v>
      </c>
      <c r="P3379" s="3" t="s">
        <v>28</v>
      </c>
      <c r="Q3379" s="3" t="s">
        <v>28</v>
      </c>
      <c r="R3379" s="3" t="s">
        <v>28</v>
      </c>
      <c r="S3379" s="3" t="s">
        <v>28</v>
      </c>
      <c r="T3379" s="3" t="s">
        <v>28</v>
      </c>
    </row>
    <row r="3380" spans="1:20" ht="409.6">
      <c r="A3380" s="3">
        <v>2666072</v>
      </c>
      <c r="B3380" s="3">
        <f>HYPERLINK("https://platform.v2.vetology.net/cases/2666072/screening-report/6?type=pdf&amp;v=v6&amp;scorecard=1&amp;secret_key=BX%25IJ%24%2F65ieZ%29f6", 2666072)</f>
        <v>2666072</v>
      </c>
      <c r="C3380" s="3">
        <f>HYPERLINK("https://platform.v2.vetology.net/report/v/final/"&amp;2666072, 2666072)</f>
        <v>2666072</v>
      </c>
      <c r="D3380" s="3" t="s">
        <v>11193</v>
      </c>
      <c r="E3380" s="3" t="s">
        <v>11194</v>
      </c>
      <c r="F3380" s="3" t="s">
        <v>11195</v>
      </c>
      <c r="G3380" s="3" t="s">
        <v>57</v>
      </c>
      <c r="H3380" s="3" t="s">
        <v>11196</v>
      </c>
      <c r="I3380" s="3" t="s">
        <v>1897</v>
      </c>
      <c r="J3380" s="3" t="s">
        <v>325</v>
      </c>
      <c r="K3380" s="3" t="s">
        <v>27</v>
      </c>
      <c r="L3380" s="3" t="s">
        <v>28</v>
      </c>
      <c r="M3380" s="3" t="s">
        <v>27</v>
      </c>
      <c r="N3380" s="3" t="s">
        <v>28</v>
      </c>
      <c r="O3380" s="3" t="s">
        <v>27</v>
      </c>
      <c r="P3380" s="3" t="s">
        <v>27</v>
      </c>
      <c r="Q3380" s="3" t="s">
        <v>28</v>
      </c>
      <c r="R3380" s="3" t="s">
        <v>28</v>
      </c>
      <c r="S3380" s="3" t="s">
        <v>28</v>
      </c>
      <c r="T3380" s="3" t="s">
        <v>28</v>
      </c>
    </row>
    <row r="3381" spans="1:20" ht="409.6">
      <c r="A3381" s="3">
        <v>2666051</v>
      </c>
      <c r="B3381" s="3">
        <f>HYPERLINK("https://platform.v2.vetology.net/cases/2666051/screening-report/6?type=pdf&amp;v=v6&amp;scorecard=1&amp;secret_key=BX%25IJ%24%2F65ieZ%29f6", 2666051)</f>
        <v>2666051</v>
      </c>
      <c r="C3381" s="3">
        <f>HYPERLINK("https://platform.v2.vetology.net/report/v/final/"&amp;2666051, 2666051)</f>
        <v>2666051</v>
      </c>
      <c r="D3381" s="3" t="s">
        <v>11197</v>
      </c>
      <c r="E3381" s="3" t="s">
        <v>11198</v>
      </c>
      <c r="F3381" s="3" t="s">
        <v>11199</v>
      </c>
      <c r="G3381" s="3" t="s">
        <v>186</v>
      </c>
      <c r="H3381" s="3" t="s">
        <v>1797</v>
      </c>
      <c r="I3381" s="3" t="s">
        <v>1798</v>
      </c>
      <c r="J3381" s="3" t="s">
        <v>1799</v>
      </c>
      <c r="K3381" s="3" t="s">
        <v>27</v>
      </c>
      <c r="L3381" s="3" t="s">
        <v>27</v>
      </c>
      <c r="M3381" s="3" t="s">
        <v>27</v>
      </c>
      <c r="N3381" s="3" t="s">
        <v>28</v>
      </c>
      <c r="O3381" s="3" t="s">
        <v>27</v>
      </c>
      <c r="P3381" s="3" t="s">
        <v>27</v>
      </c>
      <c r="Q3381" s="3" t="s">
        <v>27</v>
      </c>
      <c r="R3381" s="3" t="s">
        <v>28</v>
      </c>
      <c r="S3381" s="3" t="s">
        <v>27</v>
      </c>
      <c r="T3381" s="3" t="s">
        <v>27</v>
      </c>
    </row>
    <row r="3382" spans="1:20" ht="381.75">
      <c r="A3382" s="3">
        <v>2666022</v>
      </c>
      <c r="B3382" s="3">
        <f>HYPERLINK("https://platform.v2.vetology.net/cases/2666022/screening-report/6?type=pdf&amp;v=v6&amp;scorecard=1&amp;secret_key=BX%25IJ%24%2F65ieZ%29f6", 2666022)</f>
        <v>2666022</v>
      </c>
      <c r="C3382" s="3">
        <f>HYPERLINK("https://platform.v2.vetology.net/report/v/final/"&amp;2666022, 2666022)</f>
        <v>2666022</v>
      </c>
      <c r="D3382" s="3" t="s">
        <v>11200</v>
      </c>
      <c r="E3382" s="3" t="s">
        <v>11201</v>
      </c>
      <c r="F3382" s="3" t="s">
        <v>11202</v>
      </c>
      <c r="G3382" s="3" t="s">
        <v>496</v>
      </c>
      <c r="H3382" s="3" t="s">
        <v>7306</v>
      </c>
      <c r="I3382" s="3" t="s">
        <v>7307</v>
      </c>
      <c r="J3382" s="3" t="s">
        <v>7308</v>
      </c>
      <c r="K3382" s="3" t="s">
        <v>27</v>
      </c>
      <c r="L3382" s="3" t="s">
        <v>27</v>
      </c>
      <c r="M3382" s="3" t="s">
        <v>28</v>
      </c>
      <c r="N3382" s="3" t="s">
        <v>28</v>
      </c>
      <c r="O3382" s="3" t="s">
        <v>27</v>
      </c>
      <c r="P3382" s="3" t="s">
        <v>28</v>
      </c>
      <c r="Q3382" s="3" t="s">
        <v>28</v>
      </c>
      <c r="R3382" s="3" t="s">
        <v>28</v>
      </c>
      <c r="S3382" s="3" t="s">
        <v>28</v>
      </c>
      <c r="T3382" s="3" t="s">
        <v>27</v>
      </c>
    </row>
    <row r="3383" spans="1:20" ht="321">
      <c r="A3383" s="3">
        <v>2666021</v>
      </c>
      <c r="B3383" s="3">
        <f>HYPERLINK("https://platform.v2.vetology.net/cases/2666021/screening-report/6?type=pdf&amp;v=v6&amp;scorecard=1&amp;secret_key=BX%25IJ%24%2F65ieZ%29f6", 2666021)</f>
        <v>2666021</v>
      </c>
      <c r="C3383" s="3">
        <f>HYPERLINK("https://platform.v2.vetology.net/report/v/final/"&amp;2666021, 2666021)</f>
        <v>2666021</v>
      </c>
      <c r="D3383" s="3" t="s">
        <v>11203</v>
      </c>
      <c r="E3383" s="3" t="s">
        <v>11204</v>
      </c>
      <c r="F3383" s="3" t="s">
        <v>10430</v>
      </c>
      <c r="G3383" s="3" t="s">
        <v>100</v>
      </c>
      <c r="H3383" s="3" t="s">
        <v>9158</v>
      </c>
      <c r="I3383" s="3" t="s">
        <v>6441</v>
      </c>
      <c r="J3383" s="3" t="s">
        <v>479</v>
      </c>
      <c r="K3383" s="3" t="s">
        <v>28</v>
      </c>
      <c r="L3383" s="3" t="s">
        <v>28</v>
      </c>
      <c r="M3383" s="3" t="s">
        <v>28</v>
      </c>
      <c r="N3383" s="3" t="s">
        <v>28</v>
      </c>
      <c r="O3383" s="3" t="s">
        <v>27</v>
      </c>
      <c r="P3383" s="3" t="s">
        <v>28</v>
      </c>
      <c r="Q3383" s="3" t="s">
        <v>28</v>
      </c>
      <c r="R3383" s="3" t="s">
        <v>27</v>
      </c>
      <c r="S3383" s="3" t="s">
        <v>28</v>
      </c>
      <c r="T3383" s="3" t="s">
        <v>27</v>
      </c>
    </row>
    <row r="3384" spans="1:20" ht="409.6">
      <c r="A3384" s="3">
        <v>2666002</v>
      </c>
      <c r="B3384" s="3">
        <f>HYPERLINK("https://platform.v2.vetology.net/cases/2666002/screening-report/6?type=pdf&amp;v=v6&amp;scorecard=1&amp;secret_key=BX%25IJ%24%2F65ieZ%29f6", 2666002)</f>
        <v>2666002</v>
      </c>
      <c r="C3384" s="3">
        <f>HYPERLINK("https://platform.v2.vetology.net/report/v/final/"&amp;2666002, 2666002)</f>
        <v>2666002</v>
      </c>
      <c r="D3384" s="3" t="s">
        <v>11205</v>
      </c>
      <c r="E3384" s="3" t="s">
        <v>1175</v>
      </c>
      <c r="F3384" s="3" t="s">
        <v>1090</v>
      </c>
      <c r="G3384" s="3" t="s">
        <v>100</v>
      </c>
      <c r="H3384" s="3" t="s">
        <v>11206</v>
      </c>
      <c r="I3384" s="3" t="s">
        <v>1845</v>
      </c>
      <c r="J3384" s="3" t="s">
        <v>1846</v>
      </c>
      <c r="K3384" s="3" t="s">
        <v>27</v>
      </c>
      <c r="L3384" s="3" t="s">
        <v>28</v>
      </c>
      <c r="M3384" s="3" t="s">
        <v>28</v>
      </c>
      <c r="N3384" s="3" t="s">
        <v>28</v>
      </c>
      <c r="O3384" s="3" t="s">
        <v>27</v>
      </c>
      <c r="P3384" s="3" t="s">
        <v>28</v>
      </c>
      <c r="Q3384" s="3" t="s">
        <v>28</v>
      </c>
      <c r="R3384" s="3" t="s">
        <v>28</v>
      </c>
      <c r="S3384" s="3" t="s">
        <v>27</v>
      </c>
      <c r="T3384" s="3" t="s">
        <v>28</v>
      </c>
    </row>
    <row r="3385" spans="1:20" ht="290.25">
      <c r="A3385" s="3">
        <v>2665945</v>
      </c>
      <c r="B3385" s="3">
        <f>HYPERLINK("https://platform.v2.vetology.net/cases/2665945/screening-report/6?type=pdf&amp;v=v6&amp;scorecard=1&amp;secret_key=BX%25IJ%24%2F65ieZ%29f6", 2665945)</f>
        <v>2665945</v>
      </c>
      <c r="C3385" s="3">
        <f>HYPERLINK("https://platform.v2.vetology.net/report/v/final/"&amp;2665945, 2665945)</f>
        <v>2665945</v>
      </c>
      <c r="D3385" s="3" t="s">
        <v>11207</v>
      </c>
      <c r="E3385" s="3" t="s">
        <v>11208</v>
      </c>
      <c r="F3385" s="3" t="s">
        <v>11209</v>
      </c>
      <c r="G3385" s="3" t="s">
        <v>23</v>
      </c>
      <c r="H3385" s="3" t="s">
        <v>1994</v>
      </c>
      <c r="I3385" s="3" t="s">
        <v>316</v>
      </c>
      <c r="J3385" s="3" t="s">
        <v>317</v>
      </c>
      <c r="K3385" s="3" t="s">
        <v>27</v>
      </c>
      <c r="L3385" s="3" t="s">
        <v>28</v>
      </c>
      <c r="M3385" s="3" t="s">
        <v>28</v>
      </c>
      <c r="N3385" s="3" t="s">
        <v>28</v>
      </c>
      <c r="O3385" s="3" t="s">
        <v>27</v>
      </c>
      <c r="P3385" s="3" t="s">
        <v>28</v>
      </c>
      <c r="Q3385" s="3" t="s">
        <v>27</v>
      </c>
      <c r="R3385" s="3" t="s">
        <v>28</v>
      </c>
      <c r="S3385" s="3" t="s">
        <v>28</v>
      </c>
      <c r="T3385" s="3" t="s">
        <v>28</v>
      </c>
    </row>
    <row r="3386" spans="1:20" ht="409.6">
      <c r="A3386" s="3">
        <v>2665865</v>
      </c>
      <c r="B3386" s="3">
        <f>HYPERLINK("https://platform.v2.vetology.net/cases/2665865/screening-report/6?type=pdf&amp;v=v6&amp;scorecard=1&amp;secret_key=BX%25IJ%24%2F65ieZ%29f6", 2665865)</f>
        <v>2665865</v>
      </c>
      <c r="C3386" s="3">
        <f>HYPERLINK("https://platform.v2.vetology.net/report/v/final/"&amp;2665865, 2665865)</f>
        <v>2665865</v>
      </c>
      <c r="D3386" s="3" t="s">
        <v>11210</v>
      </c>
      <c r="E3386" s="3" t="s">
        <v>11211</v>
      </c>
      <c r="F3386" s="3" t="s">
        <v>11212</v>
      </c>
      <c r="G3386" s="3" t="s">
        <v>1772</v>
      </c>
      <c r="H3386" s="3" t="s">
        <v>300</v>
      </c>
      <c r="I3386" s="3" t="s">
        <v>32</v>
      </c>
      <c r="J3386" s="3" t="s">
        <v>119</v>
      </c>
      <c r="K3386" s="3" t="s">
        <v>28</v>
      </c>
      <c r="L3386" s="3" t="s">
        <v>28</v>
      </c>
      <c r="M3386" s="3" t="s">
        <v>28</v>
      </c>
      <c r="N3386" s="3" t="s">
        <v>28</v>
      </c>
      <c r="O3386" s="3" t="s">
        <v>28</v>
      </c>
      <c r="P3386" s="3" t="s">
        <v>28</v>
      </c>
      <c r="Q3386" s="3" t="s">
        <v>28</v>
      </c>
      <c r="R3386" s="3" t="s">
        <v>28</v>
      </c>
      <c r="S3386" s="3" t="s">
        <v>28</v>
      </c>
      <c r="T3386" s="3" t="s">
        <v>28</v>
      </c>
    </row>
    <row r="3387" spans="1:20" ht="396.75">
      <c r="A3387" s="3">
        <v>2665864</v>
      </c>
      <c r="B3387" s="3">
        <f>HYPERLINK("https://platform.v2.vetology.net/cases/2665864/screening-report/6?type=pdf&amp;v=v6&amp;scorecard=1&amp;secret_key=BX%25IJ%24%2F65ieZ%29f6", 2665864)</f>
        <v>2665864</v>
      </c>
      <c r="C3387" s="3">
        <f>HYPERLINK("https://platform.v2.vetology.net/report/v/final/"&amp;2665864, 2665864)</f>
        <v>2665864</v>
      </c>
      <c r="D3387" s="3" t="s">
        <v>11213</v>
      </c>
      <c r="E3387" s="3" t="s">
        <v>11214</v>
      </c>
      <c r="F3387" s="3" t="s">
        <v>11215</v>
      </c>
      <c r="G3387" s="3" t="s">
        <v>1772</v>
      </c>
      <c r="H3387" s="3" t="s">
        <v>11216</v>
      </c>
      <c r="I3387" s="3" t="s">
        <v>200</v>
      </c>
      <c r="J3387" s="3" t="s">
        <v>219</v>
      </c>
      <c r="K3387" s="3" t="s">
        <v>27</v>
      </c>
      <c r="L3387" s="3" t="s">
        <v>28</v>
      </c>
      <c r="M3387" s="3" t="s">
        <v>28</v>
      </c>
      <c r="N3387" s="3" t="s">
        <v>28</v>
      </c>
      <c r="O3387" s="3" t="s">
        <v>27</v>
      </c>
      <c r="P3387" s="3" t="s">
        <v>28</v>
      </c>
      <c r="Q3387" s="3" t="s">
        <v>28</v>
      </c>
      <c r="R3387" s="3" t="s">
        <v>28</v>
      </c>
      <c r="S3387" s="3" t="s">
        <v>28</v>
      </c>
      <c r="T3387" s="3" t="s">
        <v>28</v>
      </c>
    </row>
    <row r="3388" spans="1:20" ht="396.75">
      <c r="A3388" s="3">
        <v>2665858</v>
      </c>
      <c r="B3388" s="3">
        <f>HYPERLINK("https://platform.v2.vetology.net/cases/2665858/screening-report/6?type=pdf&amp;v=v6&amp;scorecard=1&amp;secret_key=BX%25IJ%24%2F65ieZ%29f6", 2665858)</f>
        <v>2665858</v>
      </c>
      <c r="C3388" s="3">
        <f>HYPERLINK("https://platform.v2.vetology.net/report/v/final/"&amp;2665858, 2665858)</f>
        <v>2665858</v>
      </c>
      <c r="D3388" s="3" t="s">
        <v>11217</v>
      </c>
      <c r="E3388" s="3" t="s">
        <v>11218</v>
      </c>
      <c r="F3388" s="3" t="s">
        <v>2678</v>
      </c>
      <c r="G3388" s="3" t="s">
        <v>179</v>
      </c>
      <c r="H3388" s="3" t="s">
        <v>5525</v>
      </c>
      <c r="I3388" s="3" t="s">
        <v>469</v>
      </c>
      <c r="J3388" s="3" t="s">
        <v>470</v>
      </c>
      <c r="K3388" s="3" t="s">
        <v>28</v>
      </c>
      <c r="L3388" s="3" t="s">
        <v>28</v>
      </c>
      <c r="M3388" s="3" t="s">
        <v>28</v>
      </c>
      <c r="N3388" s="3" t="s">
        <v>28</v>
      </c>
      <c r="O3388" s="3" t="s">
        <v>27</v>
      </c>
      <c r="P3388" s="3" t="s">
        <v>28</v>
      </c>
      <c r="Q3388" s="3" t="s">
        <v>28</v>
      </c>
      <c r="R3388" s="3" t="s">
        <v>28</v>
      </c>
      <c r="S3388" s="3" t="s">
        <v>28</v>
      </c>
      <c r="T3388" s="3" t="s">
        <v>28</v>
      </c>
    </row>
    <row r="3389" spans="1:20" ht="336">
      <c r="A3389" s="3">
        <v>2665855</v>
      </c>
      <c r="B3389" s="3">
        <f>HYPERLINK("https://platform.v2.vetology.net/cases/2665855/screening-report/6?type=pdf&amp;v=v6&amp;scorecard=1&amp;secret_key=BX%25IJ%24%2F65ieZ%29f6", 2665855)</f>
        <v>2665855</v>
      </c>
      <c r="C3389" s="3">
        <f>HYPERLINK("https://platform.v2.vetology.net/report/v/final/"&amp;2665855, 2665855)</f>
        <v>2665855</v>
      </c>
      <c r="D3389" s="3" t="s">
        <v>11219</v>
      </c>
      <c r="E3389" s="3" t="s">
        <v>11220</v>
      </c>
      <c r="F3389" s="3" t="s">
        <v>11221</v>
      </c>
      <c r="G3389" s="3" t="s">
        <v>122</v>
      </c>
      <c r="H3389" s="3" t="s">
        <v>1490</v>
      </c>
      <c r="I3389" s="3" t="s">
        <v>1491</v>
      </c>
      <c r="J3389" s="3" t="s">
        <v>1492</v>
      </c>
      <c r="K3389" s="3" t="s">
        <v>28</v>
      </c>
      <c r="L3389" s="3" t="s">
        <v>28</v>
      </c>
      <c r="M3389" s="3" t="s">
        <v>28</v>
      </c>
      <c r="N3389" s="3" t="s">
        <v>27</v>
      </c>
      <c r="O3389" s="3" t="s">
        <v>27</v>
      </c>
      <c r="P3389" s="3" t="s">
        <v>28</v>
      </c>
      <c r="Q3389" s="3" t="s">
        <v>28</v>
      </c>
      <c r="R3389" s="3" t="s">
        <v>27</v>
      </c>
      <c r="S3389" s="3" t="s">
        <v>28</v>
      </c>
      <c r="T3389" s="3" t="s">
        <v>27</v>
      </c>
    </row>
    <row r="3390" spans="1:20" ht="229.5">
      <c r="A3390" s="3">
        <v>2665854</v>
      </c>
      <c r="B3390" s="3">
        <f>HYPERLINK("https://platform.v2.vetology.net/cases/2665854/screening-report/6?type=pdf&amp;v=v6&amp;scorecard=1&amp;secret_key=BX%25IJ%24%2F65ieZ%29f6", 2665854)</f>
        <v>2665854</v>
      </c>
      <c r="C3390" s="3">
        <f>HYPERLINK("https://platform.v2.vetology.net/report/v/final/"&amp;2665854, 2665854)</f>
        <v>2665854</v>
      </c>
      <c r="D3390" s="3" t="s">
        <v>11222</v>
      </c>
      <c r="E3390" s="3" t="s">
        <v>11223</v>
      </c>
      <c r="F3390" s="3"/>
      <c r="G3390" s="3" t="s">
        <v>122</v>
      </c>
      <c r="H3390" s="3" t="s">
        <v>3255</v>
      </c>
      <c r="I3390" s="3"/>
      <c r="J3390" s="3" t="s">
        <v>207</v>
      </c>
      <c r="K3390" s="3" t="s">
        <v>28</v>
      </c>
      <c r="L3390" s="3" t="s">
        <v>28</v>
      </c>
      <c r="M3390" s="3" t="s">
        <v>28</v>
      </c>
      <c r="N3390" s="3" t="s">
        <v>28</v>
      </c>
      <c r="O3390" s="3" t="s">
        <v>27</v>
      </c>
      <c r="P3390" s="3" t="s">
        <v>28</v>
      </c>
      <c r="Q3390" s="3" t="s">
        <v>28</v>
      </c>
      <c r="R3390" s="3" t="s">
        <v>28</v>
      </c>
      <c r="S3390" s="3" t="s">
        <v>28</v>
      </c>
      <c r="T3390" s="3" t="s">
        <v>27</v>
      </c>
    </row>
    <row r="3391" spans="1:20" ht="409.6">
      <c r="A3391" s="3">
        <v>2665837</v>
      </c>
      <c r="B3391" s="3">
        <f>HYPERLINK("https://platform.v2.vetology.net/cases/2665837/screening-report/6?type=pdf&amp;v=v6&amp;scorecard=1&amp;secret_key=BX%25IJ%24%2F65ieZ%29f6", 2665837)</f>
        <v>2665837</v>
      </c>
      <c r="C3391" s="3">
        <f>HYPERLINK("https://platform.v2.vetology.net/report/v/final/"&amp;2665837, 2665837)</f>
        <v>2665837</v>
      </c>
      <c r="D3391" s="3" t="s">
        <v>11224</v>
      </c>
      <c r="E3391" s="3" t="s">
        <v>11225</v>
      </c>
      <c r="F3391" s="3" t="s">
        <v>11226</v>
      </c>
      <c r="G3391" s="3" t="s">
        <v>179</v>
      </c>
      <c r="H3391" s="3" t="s">
        <v>11227</v>
      </c>
      <c r="I3391" s="3" t="s">
        <v>52</v>
      </c>
      <c r="J3391" s="3" t="s">
        <v>53</v>
      </c>
      <c r="K3391" s="3" t="s">
        <v>27</v>
      </c>
      <c r="L3391" s="3" t="s">
        <v>28</v>
      </c>
      <c r="M3391" s="3" t="s">
        <v>27</v>
      </c>
      <c r="N3391" s="3" t="s">
        <v>28</v>
      </c>
      <c r="O3391" s="3" t="s">
        <v>27</v>
      </c>
      <c r="P3391" s="3" t="s">
        <v>27</v>
      </c>
      <c r="Q3391" s="3" t="s">
        <v>27</v>
      </c>
      <c r="R3391" s="3" t="s">
        <v>28</v>
      </c>
      <c r="S3391" s="3" t="s">
        <v>28</v>
      </c>
      <c r="T3391" s="3" t="s">
        <v>28</v>
      </c>
    </row>
    <row r="3392" spans="1:20" ht="409.6">
      <c r="A3392" s="3">
        <v>2665816</v>
      </c>
      <c r="B3392" s="3">
        <f>HYPERLINK("https://platform.v2.vetology.net/cases/2665816/screening-report/6?type=pdf&amp;v=v6&amp;scorecard=1&amp;secret_key=BX%25IJ%24%2F65ieZ%29f6", 2665816)</f>
        <v>2665816</v>
      </c>
      <c r="C3392" s="3">
        <f>HYPERLINK("https://platform.v2.vetology.net/report/v/final/"&amp;2665816, 2665816)</f>
        <v>2665816</v>
      </c>
      <c r="D3392" s="3" t="s">
        <v>11228</v>
      </c>
      <c r="E3392" s="3" t="s">
        <v>11229</v>
      </c>
      <c r="F3392" s="3" t="s">
        <v>11230</v>
      </c>
      <c r="G3392" s="3" t="s">
        <v>57</v>
      </c>
      <c r="H3392" s="3" t="s">
        <v>11231</v>
      </c>
      <c r="I3392" s="3" t="s">
        <v>3233</v>
      </c>
      <c r="J3392" s="3" t="s">
        <v>3234</v>
      </c>
      <c r="K3392" s="3" t="s">
        <v>27</v>
      </c>
      <c r="L3392" s="3" t="s">
        <v>27</v>
      </c>
      <c r="M3392" s="3" t="s">
        <v>28</v>
      </c>
      <c r="N3392" s="3" t="s">
        <v>27</v>
      </c>
      <c r="O3392" s="3" t="s">
        <v>27</v>
      </c>
      <c r="P3392" s="3" t="s">
        <v>27</v>
      </c>
      <c r="Q3392" s="3" t="s">
        <v>27</v>
      </c>
      <c r="R3392" s="3" t="s">
        <v>27</v>
      </c>
      <c r="S3392" s="3" t="s">
        <v>27</v>
      </c>
      <c r="T3392" s="3" t="s">
        <v>27</v>
      </c>
    </row>
    <row r="3393" spans="1:20" ht="336">
      <c r="A3393" s="3">
        <v>2665800</v>
      </c>
      <c r="B3393" s="3">
        <f>HYPERLINK("https://platform.v2.vetology.net/cases/2665800/screening-report/6?type=pdf&amp;v=v6&amp;scorecard=1&amp;secret_key=BX%25IJ%24%2F65ieZ%29f6", 2665800)</f>
        <v>2665800</v>
      </c>
      <c r="C3393" s="3">
        <f>HYPERLINK("https://platform.v2.vetology.net/report/v/final/"&amp;2665800, 2665800)</f>
        <v>2665800</v>
      </c>
      <c r="D3393" s="3" t="s">
        <v>11232</v>
      </c>
      <c r="E3393" s="3" t="s">
        <v>11233</v>
      </c>
      <c r="F3393" s="3" t="s">
        <v>11234</v>
      </c>
      <c r="G3393" s="3" t="s">
        <v>179</v>
      </c>
      <c r="H3393" s="3" t="s">
        <v>11235</v>
      </c>
      <c r="I3393" s="3" t="s">
        <v>316</v>
      </c>
      <c r="J3393" s="3" t="s">
        <v>317</v>
      </c>
      <c r="K3393" s="3" t="s">
        <v>28</v>
      </c>
      <c r="L3393" s="3" t="s">
        <v>28</v>
      </c>
      <c r="M3393" s="3" t="s">
        <v>28</v>
      </c>
      <c r="N3393" s="3" t="s">
        <v>28</v>
      </c>
      <c r="O3393" s="3" t="s">
        <v>27</v>
      </c>
      <c r="P3393" s="3" t="s">
        <v>28</v>
      </c>
      <c r="Q3393" s="3" t="s">
        <v>28</v>
      </c>
      <c r="R3393" s="3" t="s">
        <v>28</v>
      </c>
      <c r="S3393" s="3" t="s">
        <v>28</v>
      </c>
      <c r="T3393" s="3" t="s">
        <v>28</v>
      </c>
    </row>
    <row r="3394" spans="1:20" ht="336">
      <c r="A3394" s="3">
        <v>2665762</v>
      </c>
      <c r="B3394" s="3">
        <f>HYPERLINK("https://platform.v2.vetology.net/cases/2665762/screening-report/6?type=pdf&amp;v=v6&amp;scorecard=1&amp;secret_key=BX%25IJ%24%2F65ieZ%29f6", 2665762)</f>
        <v>2665762</v>
      </c>
      <c r="C3394" s="3">
        <f>HYPERLINK("https://platform.v2.vetology.net/report/v/final/"&amp;2665762, 2665762)</f>
        <v>2665762</v>
      </c>
      <c r="D3394" s="3" t="s">
        <v>11236</v>
      </c>
      <c r="E3394" s="3" t="s">
        <v>11237</v>
      </c>
      <c r="F3394" s="3" t="s">
        <v>11238</v>
      </c>
      <c r="G3394" s="3" t="s">
        <v>1772</v>
      </c>
      <c r="H3394" s="3" t="s">
        <v>123</v>
      </c>
      <c r="I3394" s="3" t="s">
        <v>124</v>
      </c>
      <c r="J3394" s="3" t="s">
        <v>125</v>
      </c>
      <c r="K3394" s="3" t="s">
        <v>28</v>
      </c>
      <c r="L3394" s="3" t="s">
        <v>28</v>
      </c>
      <c r="M3394" s="3" t="s">
        <v>27</v>
      </c>
      <c r="N3394" s="3" t="s">
        <v>28</v>
      </c>
      <c r="O3394" s="3" t="s">
        <v>27</v>
      </c>
      <c r="P3394" s="3" t="s">
        <v>28</v>
      </c>
      <c r="Q3394" s="3" t="s">
        <v>27</v>
      </c>
      <c r="R3394" s="3" t="s">
        <v>28</v>
      </c>
      <c r="S3394" s="3" t="s">
        <v>28</v>
      </c>
      <c r="T3394" s="3" t="s">
        <v>28</v>
      </c>
    </row>
    <row r="3395" spans="1:20" ht="336">
      <c r="A3395" s="3">
        <v>2665760</v>
      </c>
      <c r="B3395" s="3">
        <f>HYPERLINK("https://platform.v2.vetology.net/cases/2665760/screening-report/6?type=pdf&amp;v=v6&amp;scorecard=1&amp;secret_key=BX%25IJ%24%2F65ieZ%29f6", 2665760)</f>
        <v>2665760</v>
      </c>
      <c r="C3395" s="3">
        <f>HYPERLINK("https://platform.v2.vetology.net/report/v/final/"&amp;2665760, 2665760)</f>
        <v>2665760</v>
      </c>
      <c r="D3395" s="3" t="s">
        <v>11239</v>
      </c>
      <c r="E3395" s="3" t="s">
        <v>11240</v>
      </c>
      <c r="F3395" s="3" t="s">
        <v>11241</v>
      </c>
      <c r="G3395" s="3" t="s">
        <v>496</v>
      </c>
      <c r="H3395" s="3" t="s">
        <v>11242</v>
      </c>
      <c r="I3395" s="3" t="s">
        <v>316</v>
      </c>
      <c r="J3395" s="3" t="s">
        <v>317</v>
      </c>
      <c r="K3395" s="3" t="s">
        <v>27</v>
      </c>
      <c r="L3395" s="3" t="s">
        <v>28</v>
      </c>
      <c r="M3395" s="3" t="s">
        <v>28</v>
      </c>
      <c r="N3395" s="3" t="s">
        <v>28</v>
      </c>
      <c r="O3395" s="3" t="s">
        <v>27</v>
      </c>
      <c r="P3395" s="3" t="s">
        <v>28</v>
      </c>
      <c r="Q3395" s="3" t="s">
        <v>28</v>
      </c>
      <c r="R3395" s="3" t="s">
        <v>28</v>
      </c>
      <c r="S3395" s="3" t="s">
        <v>28</v>
      </c>
      <c r="T3395" s="3" t="s">
        <v>28</v>
      </c>
    </row>
    <row r="3396" spans="1:20" ht="336">
      <c r="A3396" s="3">
        <v>2665740</v>
      </c>
      <c r="B3396" s="3">
        <f>HYPERLINK("https://platform.v2.vetology.net/cases/2665740/screening-report/6?type=pdf&amp;v=v6&amp;scorecard=1&amp;secret_key=BX%25IJ%24%2F65ieZ%29f6", 2665740)</f>
        <v>2665740</v>
      </c>
      <c r="C3396" s="3">
        <f>HYPERLINK("https://platform.v2.vetology.net/report/v/final/"&amp;2665740, 2665740)</f>
        <v>2665740</v>
      </c>
      <c r="D3396" s="3" t="s">
        <v>11243</v>
      </c>
      <c r="E3396" s="3" t="s">
        <v>11244</v>
      </c>
      <c r="F3396" s="3" t="s">
        <v>11245</v>
      </c>
      <c r="G3396" s="3" t="s">
        <v>186</v>
      </c>
      <c r="H3396" s="3" t="s">
        <v>6700</v>
      </c>
      <c r="I3396" s="3" t="s">
        <v>3433</v>
      </c>
      <c r="J3396" s="3" t="s">
        <v>3434</v>
      </c>
      <c r="K3396" s="3" t="s">
        <v>28</v>
      </c>
      <c r="L3396" s="3" t="s">
        <v>28</v>
      </c>
      <c r="M3396" s="3" t="s">
        <v>28</v>
      </c>
      <c r="N3396" s="3" t="s">
        <v>28</v>
      </c>
      <c r="O3396" s="3" t="s">
        <v>27</v>
      </c>
      <c r="P3396" s="3" t="s">
        <v>28</v>
      </c>
      <c r="Q3396" s="3" t="s">
        <v>28</v>
      </c>
      <c r="R3396" s="3" t="s">
        <v>28</v>
      </c>
      <c r="S3396" s="3" t="s">
        <v>28</v>
      </c>
      <c r="T3396" s="3" t="s">
        <v>27</v>
      </c>
    </row>
    <row r="3397" spans="1:20" ht="409.6">
      <c r="A3397" s="3">
        <v>2665727</v>
      </c>
      <c r="B3397" s="3">
        <f>HYPERLINK("https://platform.v2.vetology.net/cases/2665727/screening-report/6?type=pdf&amp;v=v6&amp;scorecard=1&amp;secret_key=BX%25IJ%24%2F65ieZ%29f6", 2665727)</f>
        <v>2665727</v>
      </c>
      <c r="C3397" s="3">
        <f>HYPERLINK("https://platform.v2.vetology.net/report/v/final/"&amp;2665727, 2665727)</f>
        <v>2665727</v>
      </c>
      <c r="D3397" s="3" t="s">
        <v>11246</v>
      </c>
      <c r="E3397" s="3" t="s">
        <v>11247</v>
      </c>
      <c r="F3397" s="3" t="s">
        <v>11248</v>
      </c>
      <c r="G3397" s="3" t="s">
        <v>57</v>
      </c>
      <c r="H3397" s="3" t="s">
        <v>11249</v>
      </c>
      <c r="I3397" s="3" t="s">
        <v>392</v>
      </c>
      <c r="J3397" s="3" t="s">
        <v>393</v>
      </c>
      <c r="K3397" s="3" t="s">
        <v>28</v>
      </c>
      <c r="L3397" s="3" t="s">
        <v>28</v>
      </c>
      <c r="M3397" s="3" t="s">
        <v>28</v>
      </c>
      <c r="N3397" s="3" t="s">
        <v>28</v>
      </c>
      <c r="O3397" s="3" t="s">
        <v>28</v>
      </c>
      <c r="P3397" s="3" t="s">
        <v>28</v>
      </c>
      <c r="Q3397" s="3" t="s">
        <v>28</v>
      </c>
      <c r="R3397" s="3" t="s">
        <v>28</v>
      </c>
      <c r="S3397" s="3" t="s">
        <v>28</v>
      </c>
      <c r="T3397" s="3" t="s">
        <v>28</v>
      </c>
    </row>
    <row r="3398" spans="1:20" ht="409.6">
      <c r="A3398" s="3">
        <v>2665649</v>
      </c>
      <c r="B3398" s="3">
        <f>HYPERLINK("https://platform.v2.vetology.net/cases/2665649/screening-report/6?type=pdf&amp;v=v6&amp;scorecard=1&amp;secret_key=BX%25IJ%24%2F65ieZ%29f6", 2665649)</f>
        <v>2665649</v>
      </c>
      <c r="C3398" s="3">
        <f>HYPERLINK("https://platform.v2.vetology.net/report/v/final/"&amp;2665649, 2665649)</f>
        <v>2665649</v>
      </c>
      <c r="D3398" s="3" t="s">
        <v>11250</v>
      </c>
      <c r="E3398" s="3" t="s">
        <v>11251</v>
      </c>
      <c r="F3398" s="3" t="s">
        <v>11252</v>
      </c>
      <c r="G3398" s="3" t="s">
        <v>57</v>
      </c>
      <c r="H3398" s="3" t="s">
        <v>135</v>
      </c>
      <c r="I3398" s="3" t="s">
        <v>136</v>
      </c>
      <c r="J3398" s="3" t="s">
        <v>424</v>
      </c>
      <c r="K3398" s="3" t="s">
        <v>28</v>
      </c>
      <c r="L3398" s="3" t="s">
        <v>28</v>
      </c>
      <c r="M3398" s="3" t="s">
        <v>28</v>
      </c>
      <c r="N3398" s="3" t="s">
        <v>28</v>
      </c>
      <c r="O3398" s="3" t="s">
        <v>27</v>
      </c>
      <c r="P3398" s="3" t="s">
        <v>28</v>
      </c>
      <c r="Q3398" s="3" t="s">
        <v>28</v>
      </c>
      <c r="R3398" s="3" t="s">
        <v>28</v>
      </c>
      <c r="S3398" s="3" t="s">
        <v>28</v>
      </c>
      <c r="T3398" s="3" t="s">
        <v>27</v>
      </c>
    </row>
    <row r="3399" spans="1:20" ht="409.6">
      <c r="A3399" s="3">
        <v>2665619</v>
      </c>
      <c r="B3399" s="3">
        <f>HYPERLINK("https://platform.v2.vetology.net/cases/2665619/screening-report/6?type=pdf&amp;v=v6&amp;scorecard=1&amp;secret_key=BX%25IJ%24%2F65ieZ%29f6", 2665619)</f>
        <v>2665619</v>
      </c>
      <c r="C3399" s="3">
        <f>HYPERLINK("https://platform.v2.vetology.net/report/v/final/"&amp;2665619, 2665619)</f>
        <v>2665619</v>
      </c>
      <c r="D3399" s="3" t="s">
        <v>11253</v>
      </c>
      <c r="E3399" s="3" t="s">
        <v>11254</v>
      </c>
      <c r="F3399" s="3" t="s">
        <v>11255</v>
      </c>
      <c r="G3399" s="3" t="s">
        <v>1772</v>
      </c>
      <c r="H3399" s="3" t="s">
        <v>31</v>
      </c>
      <c r="I3399" s="3" t="s">
        <v>32</v>
      </c>
      <c r="J3399" s="3" t="s">
        <v>33</v>
      </c>
      <c r="K3399" s="3" t="s">
        <v>28</v>
      </c>
      <c r="L3399" s="3" t="s">
        <v>28</v>
      </c>
      <c r="M3399" s="3" t="s">
        <v>28</v>
      </c>
      <c r="N3399" s="3" t="s">
        <v>28</v>
      </c>
      <c r="O3399" s="3" t="s">
        <v>27</v>
      </c>
      <c r="P3399" s="3" t="s">
        <v>28</v>
      </c>
      <c r="Q3399" s="3" t="s">
        <v>28</v>
      </c>
      <c r="R3399" s="3" t="s">
        <v>28</v>
      </c>
      <c r="S3399" s="3" t="s">
        <v>28</v>
      </c>
      <c r="T3399" s="3" t="s">
        <v>28</v>
      </c>
    </row>
    <row r="3400" spans="1:20" ht="409.6">
      <c r="A3400" s="3">
        <v>2665563</v>
      </c>
      <c r="B3400" s="3">
        <f>HYPERLINK("https://platform.v2.vetology.net/cases/2665563/screening-report/6?type=pdf&amp;v=v6&amp;scorecard=1&amp;secret_key=BX%25IJ%24%2F65ieZ%29f6", 2665563)</f>
        <v>2665563</v>
      </c>
      <c r="C3400" s="3">
        <f>HYPERLINK("https://platform.v2.vetology.net/report/v/final/"&amp;2665563, 2665563)</f>
        <v>2665563</v>
      </c>
      <c r="D3400" s="3" t="s">
        <v>11256</v>
      </c>
      <c r="E3400" s="3" t="s">
        <v>8671</v>
      </c>
      <c r="F3400" s="3" t="s">
        <v>11257</v>
      </c>
      <c r="G3400" s="3" t="s">
        <v>1772</v>
      </c>
      <c r="H3400" s="3" t="s">
        <v>11258</v>
      </c>
      <c r="I3400" s="3"/>
      <c r="J3400" s="3" t="s">
        <v>207</v>
      </c>
      <c r="K3400" s="3" t="s">
        <v>28</v>
      </c>
      <c r="L3400" s="3" t="s">
        <v>28</v>
      </c>
      <c r="M3400" s="3" t="s">
        <v>28</v>
      </c>
      <c r="N3400" s="3" t="s">
        <v>28</v>
      </c>
      <c r="O3400" s="3" t="s">
        <v>27</v>
      </c>
      <c r="P3400" s="3" t="s">
        <v>28</v>
      </c>
      <c r="Q3400" s="3" t="s">
        <v>28</v>
      </c>
      <c r="R3400" s="3" t="s">
        <v>28</v>
      </c>
      <c r="S3400" s="3" t="s">
        <v>28</v>
      </c>
      <c r="T3400" s="3" t="s">
        <v>27</v>
      </c>
    </row>
    <row r="3401" spans="1:20" ht="409.6">
      <c r="A3401" s="3">
        <v>2665438</v>
      </c>
      <c r="B3401" s="3">
        <f>HYPERLINK("https://platform.v2.vetology.net/cases/2665438/screening-report/6?type=pdf&amp;v=v6&amp;scorecard=1&amp;secret_key=BX%25IJ%24%2F65ieZ%29f6", 2665438)</f>
        <v>2665438</v>
      </c>
      <c r="C3401" s="3">
        <f>HYPERLINK("https://platform.v2.vetology.net/report/v/final/"&amp;2665438, 2665438)</f>
        <v>2665438</v>
      </c>
      <c r="D3401" s="3" t="s">
        <v>11259</v>
      </c>
      <c r="E3401" s="3" t="s">
        <v>11260</v>
      </c>
      <c r="F3401" s="3" t="s">
        <v>11261</v>
      </c>
      <c r="G3401" s="3" t="s">
        <v>179</v>
      </c>
      <c r="H3401" s="3" t="s">
        <v>10750</v>
      </c>
      <c r="I3401" s="3" t="s">
        <v>952</v>
      </c>
      <c r="J3401" s="3" t="s">
        <v>953</v>
      </c>
      <c r="K3401" s="3" t="s">
        <v>27</v>
      </c>
      <c r="L3401" s="3" t="s">
        <v>28</v>
      </c>
      <c r="M3401" s="3" t="s">
        <v>28</v>
      </c>
      <c r="N3401" s="3" t="s">
        <v>28</v>
      </c>
      <c r="O3401" s="3" t="s">
        <v>27</v>
      </c>
      <c r="P3401" s="3" t="s">
        <v>27</v>
      </c>
      <c r="Q3401" s="3" t="s">
        <v>28</v>
      </c>
      <c r="R3401" s="3" t="s">
        <v>28</v>
      </c>
      <c r="S3401" s="3" t="s">
        <v>28</v>
      </c>
      <c r="T3401" s="3" t="s">
        <v>27</v>
      </c>
    </row>
    <row r="3402" spans="1:20" ht="409.6">
      <c r="A3402" s="3">
        <v>2665416</v>
      </c>
      <c r="B3402" s="3">
        <f>HYPERLINK("https://platform.v2.vetology.net/cases/2665416/screening-report/6?type=pdf&amp;v=v6&amp;scorecard=1&amp;secret_key=BX%25IJ%24%2F65ieZ%29f6", 2665416)</f>
        <v>2665416</v>
      </c>
      <c r="C3402" s="3">
        <f>HYPERLINK("https://platform.v2.vetology.net/report/v/final/"&amp;2665416, 2665416)</f>
        <v>2665416</v>
      </c>
      <c r="D3402" s="3" t="s">
        <v>11262</v>
      </c>
      <c r="E3402" s="3" t="s">
        <v>11263</v>
      </c>
      <c r="F3402" s="3" t="s">
        <v>11264</v>
      </c>
      <c r="G3402" s="3" t="s">
        <v>566</v>
      </c>
      <c r="H3402" s="3" t="s">
        <v>11265</v>
      </c>
      <c r="I3402" s="3" t="s">
        <v>1404</v>
      </c>
      <c r="J3402" s="3" t="s">
        <v>1405</v>
      </c>
      <c r="K3402" s="3" t="s">
        <v>27</v>
      </c>
      <c r="L3402" s="3" t="s">
        <v>28</v>
      </c>
      <c r="M3402" s="3" t="s">
        <v>27</v>
      </c>
      <c r="N3402" s="3" t="s">
        <v>28</v>
      </c>
      <c r="O3402" s="3" t="s">
        <v>27</v>
      </c>
      <c r="P3402" s="3" t="s">
        <v>28</v>
      </c>
      <c r="Q3402" s="3" t="s">
        <v>27</v>
      </c>
      <c r="R3402" s="3" t="s">
        <v>28</v>
      </c>
      <c r="S3402" s="3" t="s">
        <v>28</v>
      </c>
      <c r="T3402" s="3" t="s">
        <v>28</v>
      </c>
    </row>
    <row r="3403" spans="1:20" ht="409.6">
      <c r="A3403" s="3">
        <v>2665395</v>
      </c>
      <c r="B3403" s="3">
        <f>HYPERLINK("https://platform.v2.vetology.net/cases/2665395/screening-report/6?type=pdf&amp;v=v6&amp;scorecard=1&amp;secret_key=BX%25IJ%24%2F65ieZ%29f6", 2665395)</f>
        <v>2665395</v>
      </c>
      <c r="C3403" s="3">
        <f>HYPERLINK("https://platform.v2.vetology.net/report/v/final/"&amp;2665395, 2665395)</f>
        <v>2665395</v>
      </c>
      <c r="D3403" s="3" t="s">
        <v>11266</v>
      </c>
      <c r="E3403" s="3" t="s">
        <v>3015</v>
      </c>
      <c r="F3403" s="3" t="s">
        <v>1090</v>
      </c>
      <c r="G3403" s="3" t="s">
        <v>100</v>
      </c>
      <c r="H3403" s="3" t="s">
        <v>11267</v>
      </c>
      <c r="I3403" s="3" t="s">
        <v>939</v>
      </c>
      <c r="J3403" s="3" t="s">
        <v>940</v>
      </c>
      <c r="K3403" s="3" t="s">
        <v>28</v>
      </c>
      <c r="L3403" s="3" t="s">
        <v>28</v>
      </c>
      <c r="M3403" s="3" t="s">
        <v>28</v>
      </c>
      <c r="N3403" s="3" t="s">
        <v>28</v>
      </c>
      <c r="O3403" s="3" t="s">
        <v>27</v>
      </c>
      <c r="P3403" s="3" t="s">
        <v>27</v>
      </c>
      <c r="Q3403" s="3" t="s">
        <v>28</v>
      </c>
      <c r="R3403" s="3" t="s">
        <v>28</v>
      </c>
      <c r="S3403" s="3" t="s">
        <v>28</v>
      </c>
      <c r="T3403" s="3" t="s">
        <v>28</v>
      </c>
    </row>
    <row r="3404" spans="1:20" ht="381.75">
      <c r="A3404" s="3">
        <v>2665383</v>
      </c>
      <c r="B3404" s="3">
        <f>HYPERLINK("https://platform.v2.vetology.net/cases/2665383/screening-report/6?type=pdf&amp;v=v6&amp;scorecard=1&amp;secret_key=BX%25IJ%24%2F65ieZ%29f6", 2665383)</f>
        <v>2665383</v>
      </c>
      <c r="C3404" s="3">
        <f>HYPERLINK("https://platform.v2.vetology.net/report/v/final/"&amp;2665383, 2665383)</f>
        <v>2665383</v>
      </c>
      <c r="D3404" s="3" t="s">
        <v>11268</v>
      </c>
      <c r="E3404" s="3" t="s">
        <v>11269</v>
      </c>
      <c r="F3404" s="3" t="s">
        <v>11270</v>
      </c>
      <c r="G3404" s="3" t="s">
        <v>179</v>
      </c>
      <c r="H3404" s="3" t="s">
        <v>11271</v>
      </c>
      <c r="I3404" s="3" t="s">
        <v>2029</v>
      </c>
      <c r="J3404" s="3" t="s">
        <v>2030</v>
      </c>
      <c r="K3404" s="3" t="s">
        <v>28</v>
      </c>
      <c r="L3404" s="3" t="s">
        <v>28</v>
      </c>
      <c r="M3404" s="3" t="s">
        <v>28</v>
      </c>
      <c r="N3404" s="3" t="s">
        <v>28</v>
      </c>
      <c r="O3404" s="3" t="s">
        <v>27</v>
      </c>
      <c r="P3404" s="3" t="s">
        <v>28</v>
      </c>
      <c r="Q3404" s="3" t="s">
        <v>28</v>
      </c>
      <c r="R3404" s="3" t="s">
        <v>28</v>
      </c>
      <c r="S3404" s="3" t="s">
        <v>28</v>
      </c>
      <c r="T3404" s="3" t="s">
        <v>28</v>
      </c>
    </row>
    <row r="3405" spans="1:20" ht="409.6">
      <c r="A3405" s="3">
        <v>2665365</v>
      </c>
      <c r="B3405" s="3">
        <f>HYPERLINK("https://platform.v2.vetology.net/cases/2665365/screening-report/6?type=pdf&amp;v=v6&amp;scorecard=1&amp;secret_key=BX%25IJ%24%2F65ieZ%29f6", 2665365)</f>
        <v>2665365</v>
      </c>
      <c r="C3405" s="3">
        <f>HYPERLINK("https://platform.v2.vetology.net/report/v/final/"&amp;2665365, 2665365)</f>
        <v>2665365</v>
      </c>
      <c r="D3405" s="3" t="s">
        <v>11272</v>
      </c>
      <c r="E3405" s="3" t="s">
        <v>11273</v>
      </c>
      <c r="F3405" s="3" t="s">
        <v>22</v>
      </c>
      <c r="G3405" s="3" t="s">
        <v>23</v>
      </c>
      <c r="H3405" s="3" t="s">
        <v>11274</v>
      </c>
      <c r="I3405" s="3" t="s">
        <v>3131</v>
      </c>
      <c r="J3405" s="3" t="s">
        <v>3132</v>
      </c>
      <c r="K3405" s="3" t="s">
        <v>28</v>
      </c>
      <c r="L3405" s="3" t="s">
        <v>28</v>
      </c>
      <c r="M3405" s="3" t="s">
        <v>28</v>
      </c>
      <c r="N3405" s="3" t="s">
        <v>28</v>
      </c>
      <c r="O3405" s="3" t="s">
        <v>28</v>
      </c>
      <c r="P3405" s="3" t="s">
        <v>28</v>
      </c>
      <c r="Q3405" s="3" t="s">
        <v>28</v>
      </c>
      <c r="R3405" s="3" t="s">
        <v>27</v>
      </c>
      <c r="S3405" s="3" t="s">
        <v>28</v>
      </c>
      <c r="T3405" s="3" t="s">
        <v>28</v>
      </c>
    </row>
    <row r="3406" spans="1:20" ht="336">
      <c r="A3406" s="3">
        <v>2665319</v>
      </c>
      <c r="B3406" s="3">
        <f>HYPERLINK("https://platform.v2.vetology.net/cases/2665319/screening-report/6?type=pdf&amp;v=v6&amp;scorecard=1&amp;secret_key=BX%25IJ%24%2F65ieZ%29f6", 2665319)</f>
        <v>2665319</v>
      </c>
      <c r="C3406" s="3">
        <f>HYPERLINK("https://platform.v2.vetology.net/report/v/final/"&amp;2665319, 2665319)</f>
        <v>2665319</v>
      </c>
      <c r="D3406" s="3" t="s">
        <v>11275</v>
      </c>
      <c r="E3406" s="3" t="s">
        <v>11276</v>
      </c>
      <c r="F3406" s="3" t="s">
        <v>22</v>
      </c>
      <c r="G3406" s="3" t="s">
        <v>100</v>
      </c>
      <c r="H3406" s="3" t="s">
        <v>123</v>
      </c>
      <c r="I3406" s="3" t="s">
        <v>124</v>
      </c>
      <c r="J3406" s="3" t="s">
        <v>125</v>
      </c>
      <c r="K3406" s="3" t="s">
        <v>27</v>
      </c>
      <c r="L3406" s="3" t="s">
        <v>28</v>
      </c>
      <c r="M3406" s="3" t="s">
        <v>27</v>
      </c>
      <c r="N3406" s="3" t="s">
        <v>28</v>
      </c>
      <c r="O3406" s="3" t="s">
        <v>27</v>
      </c>
      <c r="P3406" s="3" t="s">
        <v>28</v>
      </c>
      <c r="Q3406" s="3" t="s">
        <v>27</v>
      </c>
      <c r="R3406" s="3" t="s">
        <v>28</v>
      </c>
      <c r="S3406" s="3" t="s">
        <v>28</v>
      </c>
      <c r="T3406" s="3" t="s">
        <v>28</v>
      </c>
    </row>
    <row r="3407" spans="1:20" ht="275.25">
      <c r="A3407" s="3">
        <v>2665313</v>
      </c>
      <c r="B3407" s="3">
        <f>HYPERLINK("https://platform.v2.vetology.net/cases/2665313/screening-report/6?type=pdf&amp;v=v6&amp;scorecard=1&amp;secret_key=BX%25IJ%24%2F65ieZ%29f6", 2665313)</f>
        <v>2665313</v>
      </c>
      <c r="C3407" s="3">
        <f>HYPERLINK("https://platform.v2.vetology.net/report/v/final/"&amp;2665313, 2665313)</f>
        <v>2665313</v>
      </c>
      <c r="D3407" s="3" t="s">
        <v>11277</v>
      </c>
      <c r="E3407" s="3" t="s">
        <v>11278</v>
      </c>
      <c r="F3407" s="3" t="s">
        <v>11279</v>
      </c>
      <c r="G3407" s="3" t="s">
        <v>179</v>
      </c>
      <c r="H3407" s="3" t="s">
        <v>135</v>
      </c>
      <c r="I3407" s="3" t="s">
        <v>136</v>
      </c>
      <c r="J3407" s="3" t="s">
        <v>137</v>
      </c>
      <c r="K3407" s="3" t="s">
        <v>28</v>
      </c>
      <c r="L3407" s="3" t="s">
        <v>28</v>
      </c>
      <c r="M3407" s="3" t="s">
        <v>28</v>
      </c>
      <c r="N3407" s="3" t="s">
        <v>27</v>
      </c>
      <c r="O3407" s="3" t="s">
        <v>27</v>
      </c>
      <c r="P3407" s="3" t="s">
        <v>28</v>
      </c>
      <c r="Q3407" s="3" t="s">
        <v>27</v>
      </c>
      <c r="R3407" s="3" t="s">
        <v>27</v>
      </c>
      <c r="S3407" s="3" t="s">
        <v>28</v>
      </c>
      <c r="T3407" s="3" t="s">
        <v>27</v>
      </c>
    </row>
    <row r="3408" spans="1:20" ht="409.6">
      <c r="A3408" s="3">
        <v>2665301</v>
      </c>
      <c r="B3408" s="3">
        <f>HYPERLINK("https://platform.v2.vetology.net/cases/2665301/screening-report/6?type=pdf&amp;v=v6&amp;scorecard=1&amp;secret_key=BX%25IJ%24%2F65ieZ%29f6", 2665301)</f>
        <v>2665301</v>
      </c>
      <c r="C3408" s="3">
        <f>HYPERLINK("https://platform.v2.vetology.net/report/v/final/"&amp;2665301, 2665301)</f>
        <v>2665301</v>
      </c>
      <c r="D3408" s="3" t="s">
        <v>11280</v>
      </c>
      <c r="E3408" s="3" t="s">
        <v>11281</v>
      </c>
      <c r="F3408" s="3" t="s">
        <v>11282</v>
      </c>
      <c r="G3408" s="3" t="s">
        <v>57</v>
      </c>
      <c r="H3408" s="3" t="s">
        <v>1190</v>
      </c>
      <c r="I3408" s="3" t="s">
        <v>1034</v>
      </c>
      <c r="J3408" s="3" t="s">
        <v>1035</v>
      </c>
      <c r="K3408" s="3" t="s">
        <v>28</v>
      </c>
      <c r="L3408" s="3" t="s">
        <v>28</v>
      </c>
      <c r="M3408" s="3" t="s">
        <v>28</v>
      </c>
      <c r="N3408" s="3" t="s">
        <v>27</v>
      </c>
      <c r="O3408" s="3" t="s">
        <v>28</v>
      </c>
      <c r="P3408" s="3" t="s">
        <v>28</v>
      </c>
      <c r="Q3408" s="3" t="s">
        <v>28</v>
      </c>
      <c r="R3408" s="3" t="s">
        <v>27</v>
      </c>
      <c r="S3408" s="3" t="s">
        <v>28</v>
      </c>
      <c r="T3408" s="3" t="s">
        <v>27</v>
      </c>
    </row>
    <row r="3409" spans="1:20" ht="305.25">
      <c r="A3409" s="3">
        <v>2665295</v>
      </c>
      <c r="B3409" s="3">
        <f>HYPERLINK("https://platform.v2.vetology.net/cases/2665295/screening-report/6?type=pdf&amp;v=v6&amp;scorecard=1&amp;secret_key=BX%25IJ%24%2F65ieZ%29f6", 2665295)</f>
        <v>2665295</v>
      </c>
      <c r="C3409" s="3">
        <f>HYPERLINK("https://platform.v2.vetology.net/report/v/final/"&amp;2665295, 2665295)</f>
        <v>2665295</v>
      </c>
      <c r="D3409" s="3" t="s">
        <v>11283</v>
      </c>
      <c r="E3409" s="3" t="s">
        <v>11284</v>
      </c>
      <c r="F3409" s="3" t="s">
        <v>11285</v>
      </c>
      <c r="G3409" s="3" t="s">
        <v>186</v>
      </c>
      <c r="H3409" s="3" t="s">
        <v>11286</v>
      </c>
      <c r="I3409" s="3" t="s">
        <v>11287</v>
      </c>
      <c r="J3409" s="3" t="s">
        <v>11288</v>
      </c>
      <c r="K3409" s="3" t="s">
        <v>28</v>
      </c>
      <c r="L3409" s="3" t="s">
        <v>28</v>
      </c>
      <c r="M3409" s="3" t="s">
        <v>28</v>
      </c>
      <c r="N3409" s="3" t="s">
        <v>27</v>
      </c>
      <c r="O3409" s="3" t="s">
        <v>28</v>
      </c>
      <c r="P3409" s="3" t="s">
        <v>28</v>
      </c>
      <c r="Q3409" s="3" t="s">
        <v>28</v>
      </c>
      <c r="R3409" s="3" t="s">
        <v>28</v>
      </c>
      <c r="S3409" s="3" t="s">
        <v>28</v>
      </c>
      <c r="T3409" s="3" t="s">
        <v>27</v>
      </c>
    </row>
    <row r="3410" spans="1:20" ht="396.75">
      <c r="A3410" s="3">
        <v>2665270</v>
      </c>
      <c r="B3410" s="3">
        <f>HYPERLINK("https://platform.v2.vetology.net/cases/2665270/screening-report/6?type=pdf&amp;v=v6&amp;scorecard=1&amp;secret_key=BX%25IJ%24%2F65ieZ%29f6", 2665270)</f>
        <v>2665270</v>
      </c>
      <c r="C3410" s="3">
        <f>HYPERLINK("https://platform.v2.vetology.net/report/v/final/"&amp;2665270, 2665270)</f>
        <v>2665270</v>
      </c>
      <c r="D3410" s="3" t="s">
        <v>11289</v>
      </c>
      <c r="E3410" s="3" t="s">
        <v>11290</v>
      </c>
      <c r="F3410" s="3" t="s">
        <v>11291</v>
      </c>
      <c r="G3410" s="3" t="s">
        <v>179</v>
      </c>
      <c r="H3410" s="3" t="s">
        <v>723</v>
      </c>
      <c r="I3410" s="3" t="s">
        <v>724</v>
      </c>
      <c r="J3410" s="3" t="s">
        <v>725</v>
      </c>
      <c r="K3410" s="3" t="s">
        <v>28</v>
      </c>
      <c r="L3410" s="3" t="s">
        <v>28</v>
      </c>
      <c r="M3410" s="3" t="s">
        <v>28</v>
      </c>
      <c r="N3410" s="3" t="s">
        <v>28</v>
      </c>
      <c r="O3410" s="3" t="s">
        <v>27</v>
      </c>
      <c r="P3410" s="3" t="s">
        <v>27</v>
      </c>
      <c r="Q3410" s="3" t="s">
        <v>28</v>
      </c>
      <c r="R3410" s="3" t="s">
        <v>28</v>
      </c>
      <c r="S3410" s="3" t="s">
        <v>28</v>
      </c>
      <c r="T3410" s="3" t="s">
        <v>28</v>
      </c>
    </row>
    <row r="3411" spans="1:20" ht="305.25">
      <c r="A3411" s="3">
        <v>2665246</v>
      </c>
      <c r="B3411" s="3">
        <f>HYPERLINK("https://platform.v2.vetology.net/cases/2665246/screening-report/6?type=pdf&amp;v=v6&amp;scorecard=1&amp;secret_key=BX%25IJ%24%2F65ieZ%29f6", 2665246)</f>
        <v>2665246</v>
      </c>
      <c r="C3411" s="3">
        <f>HYPERLINK("https://platform.v2.vetology.net/report/v/final/"&amp;2665246, 2665246)</f>
        <v>2665246</v>
      </c>
      <c r="D3411" s="3" t="s">
        <v>11292</v>
      </c>
      <c r="E3411" s="3" t="s">
        <v>11293</v>
      </c>
      <c r="F3411" s="3" t="s">
        <v>11294</v>
      </c>
      <c r="G3411" s="3" t="s">
        <v>179</v>
      </c>
      <c r="H3411" s="3" t="s">
        <v>419</v>
      </c>
      <c r="I3411" s="3" t="s">
        <v>316</v>
      </c>
      <c r="J3411" s="3" t="s">
        <v>317</v>
      </c>
      <c r="K3411" s="3" t="s">
        <v>28</v>
      </c>
      <c r="L3411" s="3" t="s">
        <v>28</v>
      </c>
      <c r="M3411" s="3" t="s">
        <v>28</v>
      </c>
      <c r="N3411" s="3" t="s">
        <v>28</v>
      </c>
      <c r="O3411" s="3" t="s">
        <v>27</v>
      </c>
      <c r="P3411" s="3" t="s">
        <v>28</v>
      </c>
      <c r="Q3411" s="3" t="s">
        <v>28</v>
      </c>
      <c r="R3411" s="3" t="s">
        <v>28</v>
      </c>
      <c r="S3411" s="3" t="s">
        <v>28</v>
      </c>
      <c r="T3411" s="3" t="s">
        <v>28</v>
      </c>
    </row>
    <row r="3412" spans="1:20" ht="290.25">
      <c r="A3412" s="3">
        <v>2665242</v>
      </c>
      <c r="B3412" s="3">
        <f>HYPERLINK("https://platform.v2.vetology.net/cases/2665242/screening-report/6?type=pdf&amp;v=v6&amp;scorecard=1&amp;secret_key=BX%25IJ%24%2F65ieZ%29f6", 2665242)</f>
        <v>2665242</v>
      </c>
      <c r="C3412" s="3">
        <f>HYPERLINK("https://platform.v2.vetology.net/report/v/final/"&amp;2665242, 2665242)</f>
        <v>2665242</v>
      </c>
      <c r="D3412" s="3" t="s">
        <v>11295</v>
      </c>
      <c r="E3412" s="3" t="s">
        <v>11296</v>
      </c>
      <c r="F3412" s="3" t="s">
        <v>10532</v>
      </c>
      <c r="G3412" s="3" t="s">
        <v>186</v>
      </c>
      <c r="H3412" s="3" t="s">
        <v>11297</v>
      </c>
      <c r="I3412" s="3" t="s">
        <v>11298</v>
      </c>
      <c r="J3412" s="3" t="s">
        <v>207</v>
      </c>
      <c r="K3412" s="3" t="s">
        <v>28</v>
      </c>
      <c r="L3412" s="3" t="s">
        <v>28</v>
      </c>
      <c r="M3412" s="3" t="s">
        <v>28</v>
      </c>
      <c r="N3412" s="3" t="s">
        <v>28</v>
      </c>
      <c r="O3412" s="3" t="s">
        <v>27</v>
      </c>
      <c r="P3412" s="3" t="s">
        <v>27</v>
      </c>
      <c r="Q3412" s="3" t="s">
        <v>28</v>
      </c>
      <c r="R3412" s="3" t="s">
        <v>28</v>
      </c>
      <c r="S3412" s="3" t="s">
        <v>28</v>
      </c>
      <c r="T3412" s="3" t="s">
        <v>28</v>
      </c>
    </row>
    <row r="3413" spans="1:20" ht="409.6">
      <c r="A3413" s="3">
        <v>2665211</v>
      </c>
      <c r="B3413" s="3">
        <f>HYPERLINK("https://platform.v2.vetology.net/cases/2665211/screening-report/6?type=pdf&amp;v=v6&amp;scorecard=1&amp;secret_key=BX%25IJ%24%2F65ieZ%29f6", 2665211)</f>
        <v>2665211</v>
      </c>
      <c r="C3413" s="3">
        <f>HYPERLINK("https://platform.v2.vetology.net/report/v/final/"&amp;2665211, 2665211)</f>
        <v>2665211</v>
      </c>
      <c r="D3413" s="3" t="s">
        <v>11299</v>
      </c>
      <c r="E3413" s="3" t="s">
        <v>8671</v>
      </c>
      <c r="F3413" s="3" t="s">
        <v>11300</v>
      </c>
      <c r="G3413" s="3" t="s">
        <v>1772</v>
      </c>
      <c r="H3413" s="3" t="s">
        <v>11301</v>
      </c>
      <c r="I3413" s="3" t="s">
        <v>1082</v>
      </c>
      <c r="J3413" s="3" t="s">
        <v>1083</v>
      </c>
      <c r="K3413" s="3" t="s">
        <v>28</v>
      </c>
      <c r="L3413" s="3" t="s">
        <v>28</v>
      </c>
      <c r="M3413" s="3" t="s">
        <v>28</v>
      </c>
      <c r="N3413" s="3" t="s">
        <v>28</v>
      </c>
      <c r="O3413" s="3" t="s">
        <v>27</v>
      </c>
      <c r="P3413" s="3" t="s">
        <v>28</v>
      </c>
      <c r="Q3413" s="3" t="s">
        <v>28</v>
      </c>
      <c r="R3413" s="3" t="s">
        <v>28</v>
      </c>
      <c r="S3413" s="3" t="s">
        <v>28</v>
      </c>
      <c r="T3413" s="3" t="s">
        <v>27</v>
      </c>
    </row>
    <row r="3414" spans="1:20" ht="336">
      <c r="A3414" s="3">
        <v>2665204</v>
      </c>
      <c r="B3414" s="3">
        <f>HYPERLINK("https://platform.v2.vetology.net/cases/2665204/screening-report/6?type=pdf&amp;v=v6&amp;scorecard=1&amp;secret_key=BX%25IJ%24%2F65ieZ%29f6", 2665204)</f>
        <v>2665204</v>
      </c>
      <c r="C3414" s="3">
        <f>HYPERLINK("https://platform.v2.vetology.net/report/v/final/"&amp;2665204, 2665204)</f>
        <v>2665204</v>
      </c>
      <c r="D3414" s="3" t="s">
        <v>11302</v>
      </c>
      <c r="E3414" s="3" t="s">
        <v>11303</v>
      </c>
      <c r="F3414" s="3" t="s">
        <v>11304</v>
      </c>
      <c r="G3414" s="3" t="s">
        <v>179</v>
      </c>
      <c r="H3414" s="3" t="s">
        <v>11305</v>
      </c>
      <c r="I3414" s="3" t="s">
        <v>2821</v>
      </c>
      <c r="J3414" s="3" t="s">
        <v>2822</v>
      </c>
      <c r="K3414" s="3" t="s">
        <v>28</v>
      </c>
      <c r="L3414" s="3" t="s">
        <v>28</v>
      </c>
      <c r="M3414" s="3" t="s">
        <v>28</v>
      </c>
      <c r="N3414" s="3" t="s">
        <v>28</v>
      </c>
      <c r="O3414" s="3" t="s">
        <v>27</v>
      </c>
      <c r="P3414" s="3" t="s">
        <v>28</v>
      </c>
      <c r="Q3414" s="3" t="s">
        <v>28</v>
      </c>
      <c r="R3414" s="3" t="s">
        <v>28</v>
      </c>
      <c r="S3414" s="3" t="s">
        <v>27</v>
      </c>
      <c r="T3414" s="3" t="s">
        <v>27</v>
      </c>
    </row>
    <row r="3415" spans="1:20" ht="409.6">
      <c r="A3415" s="3">
        <v>2665200</v>
      </c>
      <c r="B3415" s="3">
        <f>HYPERLINK("https://platform.v2.vetology.net/cases/2665200/screening-report/6?type=pdf&amp;v=v6&amp;scorecard=1&amp;secret_key=BX%25IJ%24%2F65ieZ%29f6", 2665200)</f>
        <v>2665200</v>
      </c>
      <c r="C3415" s="3">
        <f>HYPERLINK("https://platform.v2.vetology.net/report/v/final/"&amp;2665200, 2665200)</f>
        <v>2665200</v>
      </c>
      <c r="D3415" s="3" t="s">
        <v>11306</v>
      </c>
      <c r="E3415" s="3" t="s">
        <v>11307</v>
      </c>
      <c r="F3415" s="3" t="s">
        <v>11308</v>
      </c>
      <c r="G3415" s="3" t="s">
        <v>57</v>
      </c>
      <c r="H3415" s="3" t="s">
        <v>1467</v>
      </c>
      <c r="I3415" s="3" t="s">
        <v>194</v>
      </c>
      <c r="J3415" s="3" t="s">
        <v>195</v>
      </c>
      <c r="K3415" s="3" t="s">
        <v>28</v>
      </c>
      <c r="L3415" s="3" t="s">
        <v>27</v>
      </c>
      <c r="M3415" s="3" t="s">
        <v>28</v>
      </c>
      <c r="N3415" s="3" t="s">
        <v>27</v>
      </c>
      <c r="O3415" s="3" t="s">
        <v>27</v>
      </c>
      <c r="P3415" s="3" t="s">
        <v>28</v>
      </c>
      <c r="Q3415" s="3" t="s">
        <v>28</v>
      </c>
      <c r="R3415" s="3" t="s">
        <v>27</v>
      </c>
      <c r="S3415" s="3" t="s">
        <v>27</v>
      </c>
      <c r="T3415" s="3" t="s">
        <v>27</v>
      </c>
    </row>
    <row r="3416" spans="1:20" ht="305.25">
      <c r="A3416" s="3">
        <v>2665148</v>
      </c>
      <c r="B3416" s="3">
        <f>HYPERLINK("https://platform.v2.vetology.net/cases/2665148/screening-report/6?type=pdf&amp;v=v6&amp;scorecard=1&amp;secret_key=BX%25IJ%24%2F65ieZ%29f6", 2665148)</f>
        <v>2665148</v>
      </c>
      <c r="C3416" s="3">
        <f>HYPERLINK("https://platform.v2.vetology.net/report/v/final/"&amp;2665148, 2665148)</f>
        <v>2665148</v>
      </c>
      <c r="D3416" s="3" t="s">
        <v>11309</v>
      </c>
      <c r="E3416" s="3" t="s">
        <v>11310</v>
      </c>
      <c r="F3416" s="3" t="s">
        <v>11311</v>
      </c>
      <c r="G3416" s="3" t="s">
        <v>186</v>
      </c>
      <c r="H3416" s="3" t="s">
        <v>851</v>
      </c>
      <c r="I3416" s="3" t="s">
        <v>32</v>
      </c>
      <c r="J3416" s="3" t="s">
        <v>33</v>
      </c>
      <c r="K3416" s="3" t="s">
        <v>28</v>
      </c>
      <c r="L3416" s="3" t="s">
        <v>28</v>
      </c>
      <c r="M3416" s="3" t="s">
        <v>28</v>
      </c>
      <c r="N3416" s="3" t="s">
        <v>28</v>
      </c>
      <c r="O3416" s="3" t="s">
        <v>28</v>
      </c>
      <c r="P3416" s="3" t="s">
        <v>28</v>
      </c>
      <c r="Q3416" s="3" t="s">
        <v>28</v>
      </c>
      <c r="R3416" s="3" t="s">
        <v>28</v>
      </c>
      <c r="S3416" s="3" t="s">
        <v>28</v>
      </c>
      <c r="T3416" s="3" t="s">
        <v>28</v>
      </c>
    </row>
    <row r="3417" spans="1:20" ht="396.75">
      <c r="A3417" s="3">
        <v>2665147</v>
      </c>
      <c r="B3417" s="3">
        <f>HYPERLINK("https://platform.v2.vetology.net/cases/2665147/screening-report/6?type=pdf&amp;v=v6&amp;scorecard=1&amp;secret_key=BX%25IJ%24%2F65ieZ%29f6", 2665147)</f>
        <v>2665147</v>
      </c>
      <c r="C3417" s="3">
        <f>HYPERLINK("https://platform.v2.vetology.net/report/v/final/"&amp;2665147, 2665147)</f>
        <v>2665147</v>
      </c>
      <c r="D3417" s="3" t="s">
        <v>11312</v>
      </c>
      <c r="E3417" s="3" t="s">
        <v>11313</v>
      </c>
      <c r="F3417" s="3" t="s">
        <v>1377</v>
      </c>
      <c r="G3417" s="3" t="s">
        <v>186</v>
      </c>
      <c r="H3417" s="3" t="s">
        <v>11314</v>
      </c>
      <c r="I3417" s="3" t="s">
        <v>10474</v>
      </c>
      <c r="J3417" s="3" t="s">
        <v>10475</v>
      </c>
      <c r="K3417" s="3" t="s">
        <v>27</v>
      </c>
      <c r="L3417" s="3" t="s">
        <v>28</v>
      </c>
      <c r="M3417" s="3" t="s">
        <v>27</v>
      </c>
      <c r="N3417" s="3" t="s">
        <v>28</v>
      </c>
      <c r="O3417" s="3" t="s">
        <v>27</v>
      </c>
      <c r="P3417" s="3" t="s">
        <v>27</v>
      </c>
      <c r="Q3417" s="3" t="s">
        <v>27</v>
      </c>
      <c r="R3417" s="3" t="s">
        <v>28</v>
      </c>
      <c r="S3417" s="3" t="s">
        <v>27</v>
      </c>
      <c r="T3417" s="3" t="s">
        <v>28</v>
      </c>
    </row>
    <row r="3418" spans="1:20" ht="409.6">
      <c r="A3418" s="3">
        <v>2665146</v>
      </c>
      <c r="B3418" s="3">
        <f>HYPERLINK("https://platform.v2.vetology.net/cases/2665146/screening-report/6?type=pdf&amp;v=v6&amp;scorecard=1&amp;secret_key=BX%25IJ%24%2F65ieZ%29f6", 2665146)</f>
        <v>2665146</v>
      </c>
      <c r="C3418" s="3">
        <f>HYPERLINK("https://platform.v2.vetology.net/report/v/final/"&amp;2665146, 2665146)</f>
        <v>2665146</v>
      </c>
      <c r="D3418" s="3" t="s">
        <v>11315</v>
      </c>
      <c r="E3418" s="3" t="s">
        <v>7087</v>
      </c>
      <c r="F3418" s="3" t="s">
        <v>1291</v>
      </c>
      <c r="G3418" s="3" t="s">
        <v>100</v>
      </c>
      <c r="H3418" s="3" t="s">
        <v>2685</v>
      </c>
      <c r="I3418" s="3" t="s">
        <v>2686</v>
      </c>
      <c r="J3418" s="3" t="s">
        <v>2687</v>
      </c>
      <c r="K3418" s="3" t="s">
        <v>28</v>
      </c>
      <c r="L3418" s="3" t="s">
        <v>27</v>
      </c>
      <c r="M3418" s="3" t="s">
        <v>27</v>
      </c>
      <c r="N3418" s="3" t="s">
        <v>27</v>
      </c>
      <c r="O3418" s="3" t="s">
        <v>27</v>
      </c>
      <c r="P3418" s="3" t="s">
        <v>28</v>
      </c>
      <c r="Q3418" s="3" t="s">
        <v>27</v>
      </c>
      <c r="R3418" s="3" t="s">
        <v>27</v>
      </c>
      <c r="S3418" s="3" t="s">
        <v>27</v>
      </c>
      <c r="T3418" s="3" t="s">
        <v>27</v>
      </c>
    </row>
    <row r="3419" spans="1:20" ht="409.6">
      <c r="A3419" s="3">
        <v>2665109</v>
      </c>
      <c r="B3419" s="3">
        <f>HYPERLINK("https://platform.v2.vetology.net/cases/2665109/screening-report/6?type=pdf&amp;v=v6&amp;scorecard=1&amp;secret_key=BX%25IJ%24%2F65ieZ%29f6", 2665109)</f>
        <v>2665109</v>
      </c>
      <c r="C3419" s="3">
        <f>HYPERLINK("https://platform.v2.vetology.net/report/v/final/"&amp;2665109, 2665109)</f>
        <v>2665109</v>
      </c>
      <c r="D3419" s="3" t="s">
        <v>11316</v>
      </c>
      <c r="E3419" s="3" t="s">
        <v>11317</v>
      </c>
      <c r="F3419" s="3" t="s">
        <v>11318</v>
      </c>
      <c r="G3419" s="3" t="s">
        <v>1772</v>
      </c>
      <c r="H3419" s="3" t="s">
        <v>702</v>
      </c>
      <c r="I3419" s="3" t="s">
        <v>32</v>
      </c>
      <c r="J3419" s="3" t="s">
        <v>119</v>
      </c>
      <c r="K3419" s="3" t="s">
        <v>28</v>
      </c>
      <c r="L3419" s="3" t="s">
        <v>28</v>
      </c>
      <c r="M3419" s="3" t="s">
        <v>28</v>
      </c>
      <c r="N3419" s="3" t="s">
        <v>28</v>
      </c>
      <c r="O3419" s="3" t="s">
        <v>28</v>
      </c>
      <c r="P3419" s="3" t="s">
        <v>28</v>
      </c>
      <c r="Q3419" s="3" t="s">
        <v>28</v>
      </c>
      <c r="R3419" s="3" t="s">
        <v>28</v>
      </c>
      <c r="S3419" s="3" t="s">
        <v>28</v>
      </c>
      <c r="T3419" s="3" t="s">
        <v>28</v>
      </c>
    </row>
    <row r="3420" spans="1:20" ht="409.6">
      <c r="A3420" s="3">
        <v>2665074</v>
      </c>
      <c r="B3420" s="3">
        <f>HYPERLINK("https://platform.v2.vetology.net/cases/2665074/screening-report/6?type=pdf&amp;v=v6&amp;scorecard=1&amp;secret_key=BX%25IJ%24%2F65ieZ%29f6", 2665074)</f>
        <v>2665074</v>
      </c>
      <c r="C3420" s="3">
        <f>HYPERLINK("https://platform.v2.vetology.net/report/v/final/"&amp;2665074, 2665074)</f>
        <v>2665074</v>
      </c>
      <c r="D3420" s="3" t="s">
        <v>11319</v>
      </c>
      <c r="E3420" s="3" t="s">
        <v>11320</v>
      </c>
      <c r="F3420" s="3" t="s">
        <v>11321</v>
      </c>
      <c r="G3420" s="3" t="s">
        <v>1772</v>
      </c>
      <c r="H3420" s="3" t="s">
        <v>2667</v>
      </c>
      <c r="I3420" s="3" t="s">
        <v>2668</v>
      </c>
      <c r="J3420" s="3" t="s">
        <v>2669</v>
      </c>
      <c r="K3420" s="3" t="s">
        <v>27</v>
      </c>
      <c r="L3420" s="3" t="s">
        <v>27</v>
      </c>
      <c r="M3420" s="3" t="s">
        <v>28</v>
      </c>
      <c r="N3420" s="3" t="s">
        <v>27</v>
      </c>
      <c r="O3420" s="3" t="s">
        <v>27</v>
      </c>
      <c r="P3420" s="3" t="s">
        <v>27</v>
      </c>
      <c r="Q3420" s="3" t="s">
        <v>27</v>
      </c>
      <c r="R3420" s="3" t="s">
        <v>27</v>
      </c>
      <c r="S3420" s="3" t="s">
        <v>27</v>
      </c>
      <c r="T3420" s="3" t="s">
        <v>27</v>
      </c>
    </row>
    <row r="3421" spans="1:20" ht="409.6">
      <c r="A3421" s="3">
        <v>2664969</v>
      </c>
      <c r="B3421" s="3">
        <f>HYPERLINK("https://platform.v2.vetology.net/cases/2664969/screening-report/6?type=pdf&amp;v=v6&amp;scorecard=1&amp;secret_key=BX%25IJ%24%2F65ieZ%29f6", 2664969)</f>
        <v>2664969</v>
      </c>
      <c r="C3421" s="3">
        <f>HYPERLINK("https://platform.v2.vetology.net/report/v/final/"&amp;2664969, 2664969)</f>
        <v>2664969</v>
      </c>
      <c r="D3421" s="3" t="s">
        <v>11322</v>
      </c>
      <c r="E3421" s="3" t="s">
        <v>11323</v>
      </c>
      <c r="F3421" s="3" t="s">
        <v>11324</v>
      </c>
      <c r="G3421" s="3" t="s">
        <v>57</v>
      </c>
      <c r="H3421" s="3" t="s">
        <v>9742</v>
      </c>
      <c r="I3421" s="3" t="s">
        <v>1227</v>
      </c>
      <c r="J3421" s="3" t="s">
        <v>1228</v>
      </c>
      <c r="K3421" s="3" t="s">
        <v>28</v>
      </c>
      <c r="L3421" s="3" t="s">
        <v>28</v>
      </c>
      <c r="M3421" s="3" t="s">
        <v>28</v>
      </c>
      <c r="N3421" s="3" t="s">
        <v>27</v>
      </c>
      <c r="O3421" s="3" t="s">
        <v>27</v>
      </c>
      <c r="P3421" s="3" t="s">
        <v>28</v>
      </c>
      <c r="Q3421" s="3" t="s">
        <v>28</v>
      </c>
      <c r="R3421" s="3" t="s">
        <v>28</v>
      </c>
      <c r="S3421" s="3" t="s">
        <v>28</v>
      </c>
      <c r="T3421" s="3" t="s">
        <v>27</v>
      </c>
    </row>
    <row r="3422" spans="1:20" ht="409.6">
      <c r="A3422" s="3">
        <v>2664956</v>
      </c>
      <c r="B3422" s="3">
        <f>HYPERLINK("https://platform.v2.vetology.net/cases/2664956/screening-report/6?type=pdf&amp;v=v6&amp;scorecard=1&amp;secret_key=BX%25IJ%24%2F65ieZ%29f6", 2664956)</f>
        <v>2664956</v>
      </c>
      <c r="C3422" s="3">
        <f>HYPERLINK("https://platform.v2.vetology.net/report/v/final/"&amp;2664956, 2664956)</f>
        <v>2664956</v>
      </c>
      <c r="D3422" s="3" t="s">
        <v>11325</v>
      </c>
      <c r="E3422" s="3" t="s">
        <v>11326</v>
      </c>
      <c r="F3422" s="3" t="s">
        <v>11327</v>
      </c>
      <c r="G3422" s="3" t="s">
        <v>186</v>
      </c>
      <c r="H3422" s="3" t="s">
        <v>4211</v>
      </c>
      <c r="I3422" s="3" t="s">
        <v>3369</v>
      </c>
      <c r="J3422" s="3" t="s">
        <v>207</v>
      </c>
      <c r="K3422" s="3" t="s">
        <v>28</v>
      </c>
      <c r="L3422" s="3" t="s">
        <v>28</v>
      </c>
      <c r="M3422" s="3" t="s">
        <v>28</v>
      </c>
      <c r="N3422" s="3" t="s">
        <v>28</v>
      </c>
      <c r="O3422" s="3" t="s">
        <v>27</v>
      </c>
      <c r="P3422" s="3" t="s">
        <v>28</v>
      </c>
      <c r="Q3422" s="3" t="s">
        <v>28</v>
      </c>
      <c r="R3422" s="3" t="s">
        <v>28</v>
      </c>
      <c r="S3422" s="3" t="s">
        <v>28</v>
      </c>
      <c r="T3422" s="3" t="s">
        <v>28</v>
      </c>
    </row>
    <row r="3423" spans="1:20" ht="305.25">
      <c r="A3423" s="3">
        <v>2664955</v>
      </c>
      <c r="B3423" s="3">
        <f>HYPERLINK("https://platform.v2.vetology.net/cases/2664955/screening-report/6?type=pdf&amp;v=v6&amp;scorecard=1&amp;secret_key=BX%25IJ%24%2F65ieZ%29f6", 2664955)</f>
        <v>2664955</v>
      </c>
      <c r="C3423" s="3">
        <f>HYPERLINK("https://platform.v2.vetology.net/report/v/final/"&amp;2664955, 2664955)</f>
        <v>2664955</v>
      </c>
      <c r="D3423" s="3" t="s">
        <v>11328</v>
      </c>
      <c r="E3423" s="3" t="s">
        <v>11329</v>
      </c>
      <c r="F3423" s="3" t="s">
        <v>11330</v>
      </c>
      <c r="G3423" s="3" t="s">
        <v>186</v>
      </c>
      <c r="H3423" s="3" t="s">
        <v>519</v>
      </c>
      <c r="I3423" s="3" t="s">
        <v>1344</v>
      </c>
      <c r="J3423" s="3" t="s">
        <v>33</v>
      </c>
      <c r="K3423" s="3" t="s">
        <v>28</v>
      </c>
      <c r="L3423" s="3" t="s">
        <v>28</v>
      </c>
      <c r="M3423" s="3" t="s">
        <v>28</v>
      </c>
      <c r="N3423" s="3" t="s">
        <v>28</v>
      </c>
      <c r="O3423" s="3" t="s">
        <v>27</v>
      </c>
      <c r="P3423" s="3" t="s">
        <v>28</v>
      </c>
      <c r="Q3423" s="3" t="s">
        <v>28</v>
      </c>
      <c r="R3423" s="3" t="s">
        <v>28</v>
      </c>
      <c r="S3423" s="3" t="s">
        <v>28</v>
      </c>
      <c r="T3423" s="3" t="s">
        <v>28</v>
      </c>
    </row>
    <row r="3424" spans="1:20" ht="336">
      <c r="A3424" s="3">
        <v>2664943</v>
      </c>
      <c r="B3424" s="3">
        <f>HYPERLINK("https://platform.v2.vetology.net/cases/2664943/screening-report/6?type=pdf&amp;v=v6&amp;scorecard=1&amp;secret_key=BX%25IJ%24%2F65ieZ%29f6", 2664943)</f>
        <v>2664943</v>
      </c>
      <c r="C3424" s="3">
        <f>HYPERLINK("https://platform.v2.vetology.net/report/v/final/"&amp;2664943, 2664943)</f>
        <v>2664943</v>
      </c>
      <c r="D3424" s="3" t="s">
        <v>11331</v>
      </c>
      <c r="E3424" s="3" t="s">
        <v>11332</v>
      </c>
      <c r="F3424" s="3" t="s">
        <v>11333</v>
      </c>
      <c r="G3424" s="3" t="s">
        <v>186</v>
      </c>
      <c r="H3424" s="3" t="s">
        <v>11334</v>
      </c>
      <c r="I3424" s="3" t="s">
        <v>9351</v>
      </c>
      <c r="J3424" s="3" t="s">
        <v>207</v>
      </c>
      <c r="K3424" s="3" t="s">
        <v>28</v>
      </c>
      <c r="L3424" s="3" t="s">
        <v>28</v>
      </c>
      <c r="M3424" s="3" t="s">
        <v>28</v>
      </c>
      <c r="N3424" s="3" t="s">
        <v>27</v>
      </c>
      <c r="O3424" s="3" t="s">
        <v>27</v>
      </c>
      <c r="P3424" s="3" t="s">
        <v>28</v>
      </c>
      <c r="Q3424" s="3" t="s">
        <v>28</v>
      </c>
      <c r="R3424" s="3" t="s">
        <v>28</v>
      </c>
      <c r="S3424" s="3" t="s">
        <v>28</v>
      </c>
      <c r="T3424" s="3" t="s">
        <v>27</v>
      </c>
    </row>
    <row r="3425" spans="1:20" ht="409.6">
      <c r="A3425" s="3">
        <v>2664815</v>
      </c>
      <c r="B3425" s="3">
        <f>HYPERLINK("https://platform.v2.vetology.net/cases/2664815/screening-report/6?type=pdf&amp;v=v6&amp;scorecard=1&amp;secret_key=BX%25IJ%24%2F65ieZ%29f6", 2664815)</f>
        <v>2664815</v>
      </c>
      <c r="C3425" s="3">
        <f>HYPERLINK("https://platform.v2.vetology.net/report/v/final/"&amp;2664815, 2664815)</f>
        <v>2664815</v>
      </c>
      <c r="D3425" s="3" t="s">
        <v>11335</v>
      </c>
      <c r="E3425" s="3" t="s">
        <v>11336</v>
      </c>
      <c r="F3425" s="3" t="s">
        <v>56</v>
      </c>
      <c r="G3425" s="3" t="s">
        <v>57</v>
      </c>
      <c r="H3425" s="3" t="s">
        <v>11337</v>
      </c>
      <c r="I3425" s="3" t="s">
        <v>1404</v>
      </c>
      <c r="J3425" s="3" t="s">
        <v>1405</v>
      </c>
      <c r="K3425" s="3" t="s">
        <v>27</v>
      </c>
      <c r="L3425" s="3" t="s">
        <v>28</v>
      </c>
      <c r="M3425" s="3" t="s">
        <v>27</v>
      </c>
      <c r="N3425" s="3" t="s">
        <v>28</v>
      </c>
      <c r="O3425" s="3" t="s">
        <v>27</v>
      </c>
      <c r="P3425" s="3" t="s">
        <v>28</v>
      </c>
      <c r="Q3425" s="3" t="s">
        <v>27</v>
      </c>
      <c r="R3425" s="3" t="s">
        <v>28</v>
      </c>
      <c r="S3425" s="3" t="s">
        <v>28</v>
      </c>
      <c r="T3425" s="3" t="s">
        <v>28</v>
      </c>
    </row>
    <row r="3426" spans="1:20" ht="409.6">
      <c r="A3426" s="3">
        <v>2664735</v>
      </c>
      <c r="B3426" s="3">
        <f>HYPERLINK("https://platform.v2.vetology.net/cases/2664735/screening-report/6?type=pdf&amp;v=v6&amp;scorecard=1&amp;secret_key=BX%25IJ%24%2F65ieZ%29f6", 2664735)</f>
        <v>2664735</v>
      </c>
      <c r="C3426" s="3">
        <f>HYPERLINK("https://platform.v2.vetology.net/report/v/final/"&amp;2664735, 2664735)</f>
        <v>2664735</v>
      </c>
      <c r="D3426" s="3" t="s">
        <v>11338</v>
      </c>
      <c r="E3426" s="3" t="s">
        <v>11339</v>
      </c>
      <c r="F3426" s="3" t="s">
        <v>11340</v>
      </c>
      <c r="G3426" s="3" t="s">
        <v>1772</v>
      </c>
      <c r="H3426" s="3" t="s">
        <v>11341</v>
      </c>
      <c r="I3426" s="3" t="s">
        <v>2825</v>
      </c>
      <c r="J3426" s="3" t="s">
        <v>2826</v>
      </c>
      <c r="K3426" s="3" t="s">
        <v>27</v>
      </c>
      <c r="L3426" s="3" t="s">
        <v>28</v>
      </c>
      <c r="M3426" s="3" t="s">
        <v>27</v>
      </c>
      <c r="N3426" s="3" t="s">
        <v>28</v>
      </c>
      <c r="O3426" s="3" t="s">
        <v>27</v>
      </c>
      <c r="P3426" s="3" t="s">
        <v>27</v>
      </c>
      <c r="Q3426" s="3" t="s">
        <v>27</v>
      </c>
      <c r="R3426" s="3" t="s">
        <v>28</v>
      </c>
      <c r="S3426" s="3" t="s">
        <v>28</v>
      </c>
      <c r="T3426" s="3" t="s">
        <v>28</v>
      </c>
    </row>
    <row r="3427" spans="1:20" ht="409.6">
      <c r="A3427" s="3">
        <v>2664734</v>
      </c>
      <c r="B3427" s="3">
        <f>HYPERLINK("https://platform.v2.vetology.net/cases/2664734/screening-report/6?type=pdf&amp;v=v6&amp;scorecard=1&amp;secret_key=BX%25IJ%24%2F65ieZ%29f6", 2664734)</f>
        <v>2664734</v>
      </c>
      <c r="C3427" s="3">
        <f>HYPERLINK("https://platform.v2.vetology.net/report/v/final/"&amp;2664734, 2664734)</f>
        <v>2664734</v>
      </c>
      <c r="D3427" s="3" t="s">
        <v>11342</v>
      </c>
      <c r="E3427" s="3" t="s">
        <v>11343</v>
      </c>
      <c r="F3427" s="3" t="s">
        <v>11344</v>
      </c>
      <c r="G3427" s="3" t="s">
        <v>211</v>
      </c>
      <c r="H3427" s="3" t="s">
        <v>11345</v>
      </c>
      <c r="I3427" s="3" t="s">
        <v>233</v>
      </c>
      <c r="J3427" s="3" t="s">
        <v>502</v>
      </c>
      <c r="K3427" s="3" t="s">
        <v>28</v>
      </c>
      <c r="L3427" s="3" t="s">
        <v>28</v>
      </c>
      <c r="M3427" s="3" t="s">
        <v>28</v>
      </c>
      <c r="N3427" s="3" t="s">
        <v>28</v>
      </c>
      <c r="O3427" s="3" t="s">
        <v>27</v>
      </c>
      <c r="P3427" s="3" t="s">
        <v>28</v>
      </c>
      <c r="Q3427" s="3" t="s">
        <v>28</v>
      </c>
      <c r="R3427" s="3" t="s">
        <v>28</v>
      </c>
      <c r="S3427" s="3" t="s">
        <v>28</v>
      </c>
      <c r="T3427" s="3" t="s">
        <v>28</v>
      </c>
    </row>
    <row r="3428" spans="1:20" ht="409.6">
      <c r="A3428" s="3">
        <v>2664719</v>
      </c>
      <c r="B3428" s="3">
        <f>HYPERLINK("https://platform.v2.vetology.net/cases/2664719/screening-report/6?type=pdf&amp;v=v6&amp;scorecard=1&amp;secret_key=BX%25IJ%24%2F65ieZ%29f6", 2664719)</f>
        <v>2664719</v>
      </c>
      <c r="C3428" s="3">
        <f>HYPERLINK("https://platform.v2.vetology.net/report/v/final/"&amp;2664719, 2664719)</f>
        <v>2664719</v>
      </c>
      <c r="D3428" s="3" t="s">
        <v>11346</v>
      </c>
      <c r="E3428" s="3" t="s">
        <v>1362</v>
      </c>
      <c r="F3428" s="3" t="s">
        <v>11347</v>
      </c>
      <c r="G3428" s="3" t="s">
        <v>211</v>
      </c>
      <c r="H3428" s="3" t="s">
        <v>11348</v>
      </c>
      <c r="I3428" s="3" t="s">
        <v>10141</v>
      </c>
      <c r="J3428" s="3" t="s">
        <v>10142</v>
      </c>
      <c r="K3428" s="3" t="s">
        <v>27</v>
      </c>
      <c r="L3428" s="3" t="s">
        <v>27</v>
      </c>
      <c r="M3428" s="3" t="s">
        <v>27</v>
      </c>
      <c r="N3428" s="3" t="s">
        <v>28</v>
      </c>
      <c r="O3428" s="3" t="s">
        <v>27</v>
      </c>
      <c r="P3428" s="3" t="s">
        <v>28</v>
      </c>
      <c r="Q3428" s="3" t="s">
        <v>28</v>
      </c>
      <c r="R3428" s="3" t="s">
        <v>28</v>
      </c>
      <c r="S3428" s="3" t="s">
        <v>27</v>
      </c>
      <c r="T3428" s="3" t="s">
        <v>28</v>
      </c>
    </row>
    <row r="3429" spans="1:20" ht="381.75">
      <c r="A3429" s="3">
        <v>2664670</v>
      </c>
      <c r="B3429" s="3">
        <f>HYPERLINK("https://platform.v2.vetology.net/cases/2664670/screening-report/6?type=pdf&amp;v=v6&amp;scorecard=1&amp;secret_key=BX%25IJ%24%2F65ieZ%29f6", 2664670)</f>
        <v>2664670</v>
      </c>
      <c r="C3429" s="3">
        <f>HYPERLINK("https://platform.v2.vetology.net/report/v/final/"&amp;2664670, 2664670)</f>
        <v>2664670</v>
      </c>
      <c r="D3429" s="3" t="s">
        <v>11349</v>
      </c>
      <c r="E3429" s="3" t="s">
        <v>11350</v>
      </c>
      <c r="F3429" s="3" t="s">
        <v>2595</v>
      </c>
      <c r="G3429" s="3" t="s">
        <v>23</v>
      </c>
      <c r="H3429" s="3" t="s">
        <v>1905</v>
      </c>
      <c r="I3429" s="3" t="s">
        <v>37</v>
      </c>
      <c r="J3429" s="3" t="s">
        <v>38</v>
      </c>
      <c r="K3429" s="3" t="s">
        <v>28</v>
      </c>
      <c r="L3429" s="3" t="s">
        <v>28</v>
      </c>
      <c r="M3429" s="3" t="s">
        <v>27</v>
      </c>
      <c r="N3429" s="3" t="s">
        <v>28</v>
      </c>
      <c r="O3429" s="3" t="s">
        <v>28</v>
      </c>
      <c r="P3429" s="3" t="s">
        <v>28</v>
      </c>
      <c r="Q3429" s="3" t="s">
        <v>28</v>
      </c>
      <c r="R3429" s="3" t="s">
        <v>28</v>
      </c>
      <c r="S3429" s="3" t="s">
        <v>28</v>
      </c>
      <c r="T3429" s="3" t="s">
        <v>28</v>
      </c>
    </row>
    <row r="3430" spans="1:20" ht="396.75">
      <c r="A3430" s="3">
        <v>2664564</v>
      </c>
      <c r="B3430" s="3">
        <f>HYPERLINK("https://platform.v2.vetology.net/cases/2664564/screening-report/6?type=pdf&amp;v=v6&amp;scorecard=1&amp;secret_key=BX%25IJ%24%2F65ieZ%29f6", 2664564)</f>
        <v>2664564</v>
      </c>
      <c r="C3430" s="3">
        <f>HYPERLINK("https://platform.v2.vetology.net/report/v/final/"&amp;2664564, 2664564)</f>
        <v>2664564</v>
      </c>
      <c r="D3430" s="3" t="s">
        <v>11351</v>
      </c>
      <c r="E3430" s="3" t="s">
        <v>11352</v>
      </c>
      <c r="F3430" s="3" t="s">
        <v>11353</v>
      </c>
      <c r="G3430" s="3" t="s">
        <v>1772</v>
      </c>
      <c r="H3430" s="3" t="s">
        <v>11354</v>
      </c>
      <c r="I3430" s="3" t="s">
        <v>572</v>
      </c>
      <c r="J3430" s="3" t="s">
        <v>573</v>
      </c>
      <c r="K3430" s="3" t="s">
        <v>28</v>
      </c>
      <c r="L3430" s="3" t="s">
        <v>28</v>
      </c>
      <c r="M3430" s="3" t="s">
        <v>28</v>
      </c>
      <c r="N3430" s="3" t="s">
        <v>28</v>
      </c>
      <c r="O3430" s="3" t="s">
        <v>27</v>
      </c>
      <c r="P3430" s="3" t="s">
        <v>28</v>
      </c>
      <c r="Q3430" s="3" t="s">
        <v>27</v>
      </c>
      <c r="R3430" s="3" t="s">
        <v>28</v>
      </c>
      <c r="S3430" s="3" t="s">
        <v>28</v>
      </c>
      <c r="T3430" s="3" t="s">
        <v>28</v>
      </c>
    </row>
    <row r="3431" spans="1:20" ht="409.6">
      <c r="A3431" s="3">
        <v>2664550</v>
      </c>
      <c r="B3431" s="3">
        <f>HYPERLINK("https://platform.v2.vetology.net/cases/2664550/screening-report/6?type=pdf&amp;v=v6&amp;scorecard=1&amp;secret_key=BX%25IJ%24%2F65ieZ%29f6", 2664550)</f>
        <v>2664550</v>
      </c>
      <c r="C3431" s="3">
        <f>HYPERLINK("https://platform.v2.vetology.net/report/v/final/"&amp;2664550, 2664550)</f>
        <v>2664550</v>
      </c>
      <c r="D3431" s="3" t="s">
        <v>11355</v>
      </c>
      <c r="E3431" s="3" t="s">
        <v>11356</v>
      </c>
      <c r="F3431" s="3" t="s">
        <v>11357</v>
      </c>
      <c r="G3431" s="3" t="s">
        <v>57</v>
      </c>
      <c r="H3431" s="3" t="s">
        <v>5495</v>
      </c>
      <c r="I3431" s="3" t="s">
        <v>351</v>
      </c>
      <c r="J3431" s="3" t="s">
        <v>352</v>
      </c>
      <c r="K3431" s="3" t="s">
        <v>28</v>
      </c>
      <c r="L3431" s="3" t="s">
        <v>28</v>
      </c>
      <c r="M3431" s="3" t="s">
        <v>28</v>
      </c>
      <c r="N3431" s="3" t="s">
        <v>28</v>
      </c>
      <c r="O3431" s="3" t="s">
        <v>28</v>
      </c>
      <c r="P3431" s="3" t="s">
        <v>28</v>
      </c>
      <c r="Q3431" s="3" t="s">
        <v>28</v>
      </c>
      <c r="R3431" s="3" t="s">
        <v>28</v>
      </c>
      <c r="S3431" s="3" t="s">
        <v>28</v>
      </c>
      <c r="T3431" s="3" t="s">
        <v>27</v>
      </c>
    </row>
    <row r="3432" spans="1:20" ht="381.75">
      <c r="A3432" s="3">
        <v>2664542</v>
      </c>
      <c r="B3432" s="3">
        <f>HYPERLINK("https://platform.v2.vetology.net/cases/2664542/screening-report/6?type=pdf&amp;v=v6&amp;scorecard=1&amp;secret_key=BX%25IJ%24%2F65ieZ%29f6", 2664542)</f>
        <v>2664542</v>
      </c>
      <c r="C3432" s="3">
        <f>HYPERLINK("https://platform.v2.vetology.net/report/v/final/"&amp;2664542, 2664542)</f>
        <v>2664542</v>
      </c>
      <c r="D3432" s="3" t="s">
        <v>11358</v>
      </c>
      <c r="E3432" s="3" t="s">
        <v>11359</v>
      </c>
      <c r="F3432" s="3" t="s">
        <v>22</v>
      </c>
      <c r="G3432" s="3" t="s">
        <v>23</v>
      </c>
      <c r="H3432" s="3" t="s">
        <v>11360</v>
      </c>
      <c r="I3432" s="3" t="s">
        <v>856</v>
      </c>
      <c r="J3432" s="3" t="s">
        <v>857</v>
      </c>
      <c r="K3432" s="3" t="s">
        <v>27</v>
      </c>
      <c r="L3432" s="3" t="s">
        <v>28</v>
      </c>
      <c r="M3432" s="3" t="s">
        <v>28</v>
      </c>
      <c r="N3432" s="3" t="s">
        <v>28</v>
      </c>
      <c r="O3432" s="3" t="s">
        <v>27</v>
      </c>
      <c r="P3432" s="3" t="s">
        <v>28</v>
      </c>
      <c r="Q3432" s="3" t="s">
        <v>28</v>
      </c>
      <c r="R3432" s="3" t="s">
        <v>28</v>
      </c>
      <c r="S3432" s="3" t="s">
        <v>28</v>
      </c>
      <c r="T3432" s="3" t="s">
        <v>28</v>
      </c>
    </row>
    <row r="3433" spans="1:20" ht="409.6">
      <c r="A3433" s="3">
        <v>2664536</v>
      </c>
      <c r="B3433" s="3">
        <f>HYPERLINK("https://platform.v2.vetology.net/cases/2664536/screening-report/6?type=pdf&amp;v=v6&amp;scorecard=1&amp;secret_key=BX%25IJ%24%2F65ieZ%29f6", 2664536)</f>
        <v>2664536</v>
      </c>
      <c r="C3433" s="3">
        <f>HYPERLINK("https://platform.v2.vetology.net/report/v/final/"&amp;2664536, 2664536)</f>
        <v>2664536</v>
      </c>
      <c r="D3433" s="3" t="s">
        <v>11361</v>
      </c>
      <c r="E3433" s="3" t="s">
        <v>11362</v>
      </c>
      <c r="F3433" s="3" t="s">
        <v>11363</v>
      </c>
      <c r="G3433" s="3" t="s">
        <v>211</v>
      </c>
      <c r="H3433" s="3" t="s">
        <v>295</v>
      </c>
      <c r="I3433" s="3" t="s">
        <v>32</v>
      </c>
      <c r="J3433" s="3" t="s">
        <v>119</v>
      </c>
      <c r="K3433" s="3" t="s">
        <v>28</v>
      </c>
      <c r="L3433" s="3" t="s">
        <v>28</v>
      </c>
      <c r="M3433" s="3" t="s">
        <v>28</v>
      </c>
      <c r="N3433" s="3" t="s">
        <v>28</v>
      </c>
      <c r="O3433" s="3" t="s">
        <v>28</v>
      </c>
      <c r="P3433" s="3" t="s">
        <v>28</v>
      </c>
      <c r="Q3433" s="3" t="s">
        <v>28</v>
      </c>
      <c r="R3433" s="3" t="s">
        <v>28</v>
      </c>
      <c r="S3433" s="3" t="s">
        <v>28</v>
      </c>
      <c r="T3433" s="3" t="s">
        <v>28</v>
      </c>
    </row>
    <row r="3434" spans="1:20" ht="409.6">
      <c r="A3434" s="3">
        <v>2664535</v>
      </c>
      <c r="B3434" s="3">
        <f>HYPERLINK("https://platform.v2.vetology.net/cases/2664535/screening-report/6?type=pdf&amp;v=v6&amp;scorecard=1&amp;secret_key=BX%25IJ%24%2F65ieZ%29f6", 2664535)</f>
        <v>2664535</v>
      </c>
      <c r="C3434" s="3">
        <f>HYPERLINK("https://platform.v2.vetology.net/report/v/final/"&amp;2664535, 2664535)</f>
        <v>2664535</v>
      </c>
      <c r="D3434" s="3" t="s">
        <v>11364</v>
      </c>
      <c r="E3434" s="3" t="s">
        <v>11365</v>
      </c>
      <c r="F3434" s="3" t="s">
        <v>11366</v>
      </c>
      <c r="G3434" s="3" t="s">
        <v>736</v>
      </c>
      <c r="H3434" s="3" t="s">
        <v>1226</v>
      </c>
      <c r="I3434" s="3" t="s">
        <v>1227</v>
      </c>
      <c r="J3434" s="3" t="s">
        <v>1228</v>
      </c>
      <c r="K3434" s="3" t="s">
        <v>28</v>
      </c>
      <c r="L3434" s="3" t="s">
        <v>28</v>
      </c>
      <c r="M3434" s="3" t="s">
        <v>28</v>
      </c>
      <c r="N3434" s="3" t="s">
        <v>27</v>
      </c>
      <c r="O3434" s="3" t="s">
        <v>27</v>
      </c>
      <c r="P3434" s="3" t="s">
        <v>28</v>
      </c>
      <c r="Q3434" s="3" t="s">
        <v>28</v>
      </c>
      <c r="R3434" s="3" t="s">
        <v>27</v>
      </c>
      <c r="S3434" s="3" t="s">
        <v>28</v>
      </c>
      <c r="T3434" s="3" t="s">
        <v>27</v>
      </c>
    </row>
    <row r="3435" spans="1:20" ht="381.75">
      <c r="A3435" s="3">
        <v>2664526</v>
      </c>
      <c r="B3435" s="3">
        <f>HYPERLINK("https://platform.v2.vetology.net/cases/2664526/screening-report/6?type=pdf&amp;v=v6&amp;scorecard=1&amp;secret_key=BX%25IJ%24%2F65ieZ%29f6", 2664526)</f>
        <v>2664526</v>
      </c>
      <c r="C3435" s="3">
        <f>HYPERLINK("https://platform.v2.vetology.net/report/v/final/"&amp;2664526, 2664526)</f>
        <v>2664526</v>
      </c>
      <c r="D3435" s="3" t="s">
        <v>11367</v>
      </c>
      <c r="E3435" s="3" t="s">
        <v>11368</v>
      </c>
      <c r="F3435" s="3" t="s">
        <v>22</v>
      </c>
      <c r="G3435" s="3" t="s">
        <v>23</v>
      </c>
      <c r="H3435" s="3" t="s">
        <v>1714</v>
      </c>
      <c r="I3435" s="3" t="s">
        <v>392</v>
      </c>
      <c r="J3435" s="3" t="s">
        <v>393</v>
      </c>
      <c r="K3435" s="3" t="s">
        <v>28</v>
      </c>
      <c r="L3435" s="3" t="s">
        <v>28</v>
      </c>
      <c r="M3435" s="3" t="s">
        <v>28</v>
      </c>
      <c r="N3435" s="3" t="s">
        <v>28</v>
      </c>
      <c r="O3435" s="3" t="s">
        <v>28</v>
      </c>
      <c r="P3435" s="3" t="s">
        <v>28</v>
      </c>
      <c r="Q3435" s="3" t="s">
        <v>28</v>
      </c>
      <c r="R3435" s="3" t="s">
        <v>28</v>
      </c>
      <c r="S3435" s="3" t="s">
        <v>28</v>
      </c>
      <c r="T3435" s="3" t="s">
        <v>28</v>
      </c>
    </row>
    <row r="3436" spans="1:20" ht="409.6">
      <c r="A3436" s="3">
        <v>2664522</v>
      </c>
      <c r="B3436" s="3">
        <f>HYPERLINK("https://platform.v2.vetology.net/cases/2664522/screening-report/6?type=pdf&amp;v=v6&amp;scorecard=1&amp;secret_key=BX%25IJ%24%2F65ieZ%29f6", 2664522)</f>
        <v>2664522</v>
      </c>
      <c r="C3436" s="3">
        <f>HYPERLINK("https://platform.v2.vetology.net/report/v/final/"&amp;2664522, 2664522)</f>
        <v>2664522</v>
      </c>
      <c r="D3436" s="3" t="s">
        <v>11369</v>
      </c>
      <c r="E3436" s="3" t="s">
        <v>11370</v>
      </c>
      <c r="F3436" s="3" t="s">
        <v>22</v>
      </c>
      <c r="G3436" s="3" t="s">
        <v>23</v>
      </c>
      <c r="H3436" s="3" t="s">
        <v>11371</v>
      </c>
      <c r="I3436" s="3" t="s">
        <v>351</v>
      </c>
      <c r="J3436" s="3" t="s">
        <v>352</v>
      </c>
      <c r="K3436" s="3" t="s">
        <v>28</v>
      </c>
      <c r="L3436" s="3" t="s">
        <v>28</v>
      </c>
      <c r="M3436" s="3" t="s">
        <v>28</v>
      </c>
      <c r="N3436" s="3" t="s">
        <v>28</v>
      </c>
      <c r="O3436" s="3" t="s">
        <v>28</v>
      </c>
      <c r="P3436" s="3" t="s">
        <v>28</v>
      </c>
      <c r="Q3436" s="3" t="s">
        <v>28</v>
      </c>
      <c r="R3436" s="3" t="s">
        <v>28</v>
      </c>
      <c r="S3436" s="3" t="s">
        <v>28</v>
      </c>
      <c r="T3436" s="3" t="s">
        <v>27</v>
      </c>
    </row>
    <row r="3437" spans="1:20" ht="409.6">
      <c r="A3437" s="3">
        <v>2664521</v>
      </c>
      <c r="B3437" s="3">
        <f>HYPERLINK("https://platform.v2.vetology.net/cases/2664521/screening-report/6?type=pdf&amp;v=v6&amp;scorecard=1&amp;secret_key=BX%25IJ%24%2F65ieZ%29f6", 2664521)</f>
        <v>2664521</v>
      </c>
      <c r="C3437" s="3">
        <f>HYPERLINK("https://platform.v2.vetology.net/report/v/final/"&amp;2664521, 2664521)</f>
        <v>2664521</v>
      </c>
      <c r="D3437" s="3" t="s">
        <v>11372</v>
      </c>
      <c r="E3437" s="3" t="s">
        <v>11373</v>
      </c>
      <c r="F3437" s="3" t="s">
        <v>11374</v>
      </c>
      <c r="G3437" s="3" t="s">
        <v>211</v>
      </c>
      <c r="H3437" s="3" t="s">
        <v>11375</v>
      </c>
      <c r="I3437" s="3" t="s">
        <v>768</v>
      </c>
      <c r="J3437" s="3" t="s">
        <v>769</v>
      </c>
      <c r="K3437" s="3" t="s">
        <v>28</v>
      </c>
      <c r="L3437" s="3" t="s">
        <v>28</v>
      </c>
      <c r="M3437" s="3" t="s">
        <v>28</v>
      </c>
      <c r="N3437" s="3" t="s">
        <v>28</v>
      </c>
      <c r="O3437" s="3" t="s">
        <v>27</v>
      </c>
      <c r="P3437" s="3" t="s">
        <v>27</v>
      </c>
      <c r="Q3437" s="3" t="s">
        <v>28</v>
      </c>
      <c r="R3437" s="3" t="s">
        <v>28</v>
      </c>
      <c r="S3437" s="3" t="s">
        <v>28</v>
      </c>
      <c r="T3437" s="3" t="s">
        <v>27</v>
      </c>
    </row>
    <row r="3438" spans="1:20" ht="409.6">
      <c r="A3438" s="3">
        <v>2664502</v>
      </c>
      <c r="B3438" s="3">
        <f>HYPERLINK("https://platform.v2.vetology.net/cases/2664502/screening-report/6?type=pdf&amp;v=v6&amp;scorecard=1&amp;secret_key=BX%25IJ%24%2F65ieZ%29f6", 2664502)</f>
        <v>2664502</v>
      </c>
      <c r="C3438" s="3">
        <f>HYPERLINK("https://platform.v2.vetology.net/report/v/final/"&amp;2664502, 2664502)</f>
        <v>2664502</v>
      </c>
      <c r="D3438" s="3" t="s">
        <v>11376</v>
      </c>
      <c r="E3438" s="3" t="s">
        <v>11377</v>
      </c>
      <c r="F3438" s="3" t="s">
        <v>22</v>
      </c>
      <c r="G3438" s="3" t="s">
        <v>23</v>
      </c>
      <c r="H3438" s="3" t="s">
        <v>8011</v>
      </c>
      <c r="I3438" s="3" t="s">
        <v>8012</v>
      </c>
      <c r="J3438" s="3" t="s">
        <v>830</v>
      </c>
      <c r="K3438" s="3" t="s">
        <v>27</v>
      </c>
      <c r="L3438" s="3" t="s">
        <v>27</v>
      </c>
      <c r="M3438" s="3" t="s">
        <v>28</v>
      </c>
      <c r="N3438" s="3" t="s">
        <v>27</v>
      </c>
      <c r="O3438" s="3" t="s">
        <v>27</v>
      </c>
      <c r="P3438" s="3" t="s">
        <v>28</v>
      </c>
      <c r="Q3438" s="3" t="s">
        <v>27</v>
      </c>
      <c r="R3438" s="3" t="s">
        <v>27</v>
      </c>
      <c r="S3438" s="3" t="s">
        <v>28</v>
      </c>
      <c r="T3438" s="3" t="s">
        <v>27</v>
      </c>
    </row>
    <row r="3439" spans="1:20" ht="366">
      <c r="A3439" s="3">
        <v>2664439</v>
      </c>
      <c r="B3439" s="3">
        <f>HYPERLINK("https://platform.v2.vetology.net/cases/2664439/screening-report/6?type=pdf&amp;v=v6&amp;scorecard=1&amp;secret_key=BX%25IJ%24%2F65ieZ%29f6", 2664439)</f>
        <v>2664439</v>
      </c>
      <c r="C3439" s="3">
        <f>HYPERLINK("https://platform.v2.vetology.net/report/v/final/"&amp;2664439, 2664439)</f>
        <v>2664439</v>
      </c>
      <c r="D3439" s="3" t="s">
        <v>11378</v>
      </c>
      <c r="E3439" s="3" t="s">
        <v>11379</v>
      </c>
      <c r="F3439" s="3" t="s">
        <v>222</v>
      </c>
      <c r="G3439" s="3" t="s">
        <v>186</v>
      </c>
      <c r="H3439" s="3" t="s">
        <v>11380</v>
      </c>
      <c r="I3439" s="3" t="s">
        <v>754</v>
      </c>
      <c r="J3439" s="3" t="s">
        <v>755</v>
      </c>
      <c r="K3439" s="3" t="s">
        <v>27</v>
      </c>
      <c r="L3439" s="3" t="s">
        <v>28</v>
      </c>
      <c r="M3439" s="3" t="s">
        <v>28</v>
      </c>
      <c r="N3439" s="3" t="s">
        <v>28</v>
      </c>
      <c r="O3439" s="3" t="s">
        <v>27</v>
      </c>
      <c r="P3439" s="3" t="s">
        <v>28</v>
      </c>
      <c r="Q3439" s="3" t="s">
        <v>28</v>
      </c>
      <c r="R3439" s="3" t="s">
        <v>28</v>
      </c>
      <c r="S3439" s="3" t="s">
        <v>28</v>
      </c>
      <c r="T3439" s="3" t="s">
        <v>28</v>
      </c>
    </row>
    <row r="3440" spans="1:20" ht="366">
      <c r="A3440" s="3">
        <v>2664434</v>
      </c>
      <c r="B3440" s="3">
        <f>HYPERLINK("https://platform.v2.vetology.net/cases/2664434/screening-report/6?type=pdf&amp;v=v6&amp;scorecard=1&amp;secret_key=BX%25IJ%24%2F65ieZ%29f6", 2664434)</f>
        <v>2664434</v>
      </c>
      <c r="C3440" s="3">
        <f>HYPERLINK("https://platform.v2.vetology.net/report/v/final/"&amp;2664434, 2664434)</f>
        <v>2664434</v>
      </c>
      <c r="D3440" s="3" t="s">
        <v>11381</v>
      </c>
      <c r="E3440" s="3" t="s">
        <v>11382</v>
      </c>
      <c r="F3440" s="3" t="s">
        <v>11383</v>
      </c>
      <c r="G3440" s="3" t="s">
        <v>211</v>
      </c>
      <c r="H3440" s="3" t="s">
        <v>9234</v>
      </c>
      <c r="I3440" s="3" t="s">
        <v>2963</v>
      </c>
      <c r="J3440" s="3" t="s">
        <v>2964</v>
      </c>
      <c r="K3440" s="3" t="s">
        <v>27</v>
      </c>
      <c r="L3440" s="3" t="s">
        <v>28</v>
      </c>
      <c r="M3440" s="3" t="s">
        <v>28</v>
      </c>
      <c r="N3440" s="3" t="s">
        <v>28</v>
      </c>
      <c r="O3440" s="3" t="s">
        <v>27</v>
      </c>
      <c r="P3440" s="3" t="s">
        <v>28</v>
      </c>
      <c r="Q3440" s="3" t="s">
        <v>27</v>
      </c>
      <c r="R3440" s="3" t="s">
        <v>28</v>
      </c>
      <c r="S3440" s="3" t="s">
        <v>28</v>
      </c>
      <c r="T3440" s="3" t="s">
        <v>28</v>
      </c>
    </row>
    <row r="3441" spans="1:20" ht="396.75">
      <c r="A3441" s="3">
        <v>2664393</v>
      </c>
      <c r="B3441" s="3">
        <f>HYPERLINK("https://platform.v2.vetology.net/cases/2664393/screening-report/6?type=pdf&amp;v=v6&amp;scorecard=1&amp;secret_key=BX%25IJ%24%2F65ieZ%29f6", 2664393)</f>
        <v>2664393</v>
      </c>
      <c r="C3441" s="3">
        <f>HYPERLINK("https://platform.v2.vetology.net/report/v/final/"&amp;2664393, 2664393)</f>
        <v>2664393</v>
      </c>
      <c r="D3441" s="3" t="s">
        <v>11384</v>
      </c>
      <c r="E3441" s="3" t="s">
        <v>11385</v>
      </c>
      <c r="F3441" s="3" t="s">
        <v>22</v>
      </c>
      <c r="G3441" s="3" t="s">
        <v>23</v>
      </c>
      <c r="H3441" s="3" t="s">
        <v>11386</v>
      </c>
      <c r="I3441" s="3" t="s">
        <v>2972</v>
      </c>
      <c r="J3441" s="3" t="s">
        <v>387</v>
      </c>
      <c r="K3441" s="3" t="s">
        <v>28</v>
      </c>
      <c r="L3441" s="3" t="s">
        <v>28</v>
      </c>
      <c r="M3441" s="3" t="s">
        <v>28</v>
      </c>
      <c r="N3441" s="3" t="s">
        <v>28</v>
      </c>
      <c r="O3441" s="3" t="s">
        <v>28</v>
      </c>
      <c r="P3441" s="3" t="s">
        <v>28</v>
      </c>
      <c r="Q3441" s="3" t="s">
        <v>28</v>
      </c>
      <c r="R3441" s="3" t="s">
        <v>28</v>
      </c>
      <c r="S3441" s="3" t="s">
        <v>28</v>
      </c>
      <c r="T3441" s="3" t="s">
        <v>28</v>
      </c>
    </row>
    <row r="3442" spans="1:20" ht="351">
      <c r="A3442" s="3">
        <v>2664366</v>
      </c>
      <c r="B3442" s="3">
        <f>HYPERLINK("https://platform.v2.vetology.net/cases/2664366/screening-report/6?type=pdf&amp;v=v6&amp;scorecard=1&amp;secret_key=BX%25IJ%24%2F65ieZ%29f6", 2664366)</f>
        <v>2664366</v>
      </c>
      <c r="C3442" s="3">
        <f>HYPERLINK("https://platform.v2.vetology.net/report/v/final/"&amp;2664366, 2664366)</f>
        <v>2664366</v>
      </c>
      <c r="D3442" s="3" t="s">
        <v>11387</v>
      </c>
      <c r="E3442" s="3" t="s">
        <v>11388</v>
      </c>
      <c r="F3442" s="3" t="s">
        <v>11389</v>
      </c>
      <c r="G3442" s="3" t="s">
        <v>186</v>
      </c>
      <c r="H3442" s="3" t="s">
        <v>702</v>
      </c>
      <c r="I3442" s="3" t="s">
        <v>32</v>
      </c>
      <c r="J3442" s="3" t="s">
        <v>33</v>
      </c>
      <c r="K3442" s="3" t="s">
        <v>28</v>
      </c>
      <c r="L3442" s="3" t="s">
        <v>28</v>
      </c>
      <c r="M3442" s="3" t="s">
        <v>28</v>
      </c>
      <c r="N3442" s="3" t="s">
        <v>28</v>
      </c>
      <c r="O3442" s="3" t="s">
        <v>27</v>
      </c>
      <c r="P3442" s="3" t="s">
        <v>28</v>
      </c>
      <c r="Q3442" s="3" t="s">
        <v>28</v>
      </c>
      <c r="R3442" s="3" t="s">
        <v>28</v>
      </c>
      <c r="S3442" s="3" t="s">
        <v>28</v>
      </c>
      <c r="T3442" s="3" t="s">
        <v>27</v>
      </c>
    </row>
    <row r="3443" spans="1:20" ht="305.25">
      <c r="A3443" s="3">
        <v>2664361</v>
      </c>
      <c r="B3443" s="3">
        <f>HYPERLINK("https://platform.v2.vetology.net/cases/2664361/screening-report/6?type=pdf&amp;v=v6&amp;scorecard=1&amp;secret_key=BX%25IJ%24%2F65ieZ%29f6", 2664361)</f>
        <v>2664361</v>
      </c>
      <c r="C3443" s="3">
        <f>HYPERLINK("https://platform.v2.vetology.net/report/v/final/"&amp;2664361, 2664361)</f>
        <v>2664361</v>
      </c>
      <c r="D3443" s="3" t="s">
        <v>11390</v>
      </c>
      <c r="E3443" s="3" t="s">
        <v>11391</v>
      </c>
      <c r="F3443" s="3" t="s">
        <v>11392</v>
      </c>
      <c r="G3443" s="3" t="s">
        <v>186</v>
      </c>
      <c r="H3443" s="3" t="s">
        <v>31</v>
      </c>
      <c r="I3443" s="3" t="s">
        <v>2746</v>
      </c>
      <c r="J3443" s="3" t="s">
        <v>33</v>
      </c>
      <c r="K3443" s="3" t="s">
        <v>28</v>
      </c>
      <c r="L3443" s="3" t="s">
        <v>28</v>
      </c>
      <c r="M3443" s="3" t="s">
        <v>28</v>
      </c>
      <c r="N3443" s="3" t="s">
        <v>28</v>
      </c>
      <c r="O3443" s="3" t="s">
        <v>28</v>
      </c>
      <c r="P3443" s="3" t="s">
        <v>27</v>
      </c>
      <c r="Q3443" s="3" t="s">
        <v>28</v>
      </c>
      <c r="R3443" s="3" t="s">
        <v>28</v>
      </c>
      <c r="S3443" s="3" t="s">
        <v>28</v>
      </c>
      <c r="T3443" s="3" t="s">
        <v>27</v>
      </c>
    </row>
    <row r="3444" spans="1:20" ht="305.25">
      <c r="A3444" s="3">
        <v>2664303</v>
      </c>
      <c r="B3444" s="3">
        <f>HYPERLINK("https://platform.v2.vetology.net/cases/2664303/screening-report/6?type=pdf&amp;v=v6&amp;scorecard=1&amp;secret_key=BX%25IJ%24%2F65ieZ%29f6", 2664303)</f>
        <v>2664303</v>
      </c>
      <c r="C3444" s="3">
        <f>HYPERLINK("https://platform.v2.vetology.net/report/v/final/"&amp;2664303, 2664303)</f>
        <v>2664303</v>
      </c>
      <c r="D3444" s="3" t="s">
        <v>11393</v>
      </c>
      <c r="E3444" s="3" t="s">
        <v>11394</v>
      </c>
      <c r="F3444" s="3" t="s">
        <v>11340</v>
      </c>
      <c r="G3444" s="3" t="s">
        <v>1772</v>
      </c>
      <c r="H3444" s="3" t="s">
        <v>212</v>
      </c>
      <c r="I3444" s="3" t="s">
        <v>261</v>
      </c>
      <c r="J3444" s="3" t="s">
        <v>262</v>
      </c>
      <c r="K3444" s="3" t="s">
        <v>27</v>
      </c>
      <c r="L3444" s="3" t="s">
        <v>28</v>
      </c>
      <c r="M3444" s="3" t="s">
        <v>27</v>
      </c>
      <c r="N3444" s="3" t="s">
        <v>28</v>
      </c>
      <c r="O3444" s="3" t="s">
        <v>27</v>
      </c>
      <c r="P3444" s="3" t="s">
        <v>28</v>
      </c>
      <c r="Q3444" s="3" t="s">
        <v>28</v>
      </c>
      <c r="R3444" s="3" t="s">
        <v>28</v>
      </c>
      <c r="S3444" s="3" t="s">
        <v>28</v>
      </c>
      <c r="T3444" s="3" t="s">
        <v>28</v>
      </c>
    </row>
    <row r="3445" spans="1:20" ht="366">
      <c r="A3445" s="3">
        <v>2664228</v>
      </c>
      <c r="B3445" s="3">
        <f>HYPERLINK("https://platform.v2.vetology.net/cases/2664228/screening-report/6?type=pdf&amp;v=v6&amp;scorecard=1&amp;secret_key=BX%25IJ%24%2F65ieZ%29f6", 2664228)</f>
        <v>2664228</v>
      </c>
      <c r="C3445" s="3">
        <f>HYPERLINK("https://platform.v2.vetology.net/report/v/final/"&amp;2664228, 2664228)</f>
        <v>2664228</v>
      </c>
      <c r="D3445" s="3" t="s">
        <v>11395</v>
      </c>
      <c r="E3445" s="3" t="s">
        <v>11396</v>
      </c>
      <c r="F3445" s="3" t="s">
        <v>1090</v>
      </c>
      <c r="G3445" s="3" t="s">
        <v>100</v>
      </c>
      <c r="H3445" s="3" t="s">
        <v>11397</v>
      </c>
      <c r="I3445" s="3" t="s">
        <v>200</v>
      </c>
      <c r="J3445" s="3" t="s">
        <v>219</v>
      </c>
      <c r="K3445" s="3" t="s">
        <v>27</v>
      </c>
      <c r="L3445" s="3" t="s">
        <v>28</v>
      </c>
      <c r="M3445" s="3" t="s">
        <v>28</v>
      </c>
      <c r="N3445" s="3" t="s">
        <v>28</v>
      </c>
      <c r="O3445" s="3" t="s">
        <v>27</v>
      </c>
      <c r="P3445" s="3" t="s">
        <v>28</v>
      </c>
      <c r="Q3445" s="3" t="s">
        <v>27</v>
      </c>
      <c r="R3445" s="3" t="s">
        <v>28</v>
      </c>
      <c r="S3445" s="3" t="s">
        <v>28</v>
      </c>
      <c r="T3445" s="3" t="s">
        <v>28</v>
      </c>
    </row>
    <row r="3446" spans="1:20" ht="366">
      <c r="A3446" s="3">
        <v>2662113</v>
      </c>
      <c r="B3446" s="3">
        <f>HYPERLINK("https://platform.v2.vetology.net/cases/2662113/screening-report/6?type=pdf&amp;v=v6&amp;scorecard=1&amp;secret_key=BX%25IJ%24%2F65ieZ%29f6", 2662113)</f>
        <v>2662113</v>
      </c>
      <c r="C3446" s="3">
        <f>HYPERLINK("https://platform.v2.vetology.net/report/v/final/"&amp;2662113, 2662113)</f>
        <v>2662113</v>
      </c>
      <c r="D3446" s="3" t="s">
        <v>11398</v>
      </c>
      <c r="E3446" s="3" t="s">
        <v>11399</v>
      </c>
      <c r="F3446" s="3" t="s">
        <v>11400</v>
      </c>
      <c r="G3446" s="3" t="s">
        <v>122</v>
      </c>
      <c r="H3446" s="3" t="s">
        <v>11401</v>
      </c>
      <c r="I3446" s="3" t="s">
        <v>1034</v>
      </c>
      <c r="J3446" s="3" t="s">
        <v>1035</v>
      </c>
      <c r="K3446" s="3" t="s">
        <v>28</v>
      </c>
      <c r="L3446" s="3" t="s">
        <v>28</v>
      </c>
      <c r="M3446" s="3" t="s">
        <v>28</v>
      </c>
      <c r="N3446" s="3" t="s">
        <v>28</v>
      </c>
      <c r="O3446" s="3" t="s">
        <v>28</v>
      </c>
      <c r="P3446" s="3" t="s">
        <v>28</v>
      </c>
      <c r="Q3446" s="3" t="s">
        <v>28</v>
      </c>
      <c r="R3446" s="3" t="s">
        <v>27</v>
      </c>
      <c r="S3446" s="3" t="s">
        <v>28</v>
      </c>
      <c r="T3446" s="3" t="s">
        <v>27</v>
      </c>
    </row>
    <row r="3447" spans="1:20" ht="275.25">
      <c r="A3447" s="3">
        <v>2662097</v>
      </c>
      <c r="B3447" s="3">
        <f>HYPERLINK("https://platform.v2.vetology.net/cases/2662097/screening-report/6?type=pdf&amp;v=v6&amp;scorecard=1&amp;secret_key=BX%25IJ%24%2F65ieZ%29f6", 2662097)</f>
        <v>2662097</v>
      </c>
      <c r="C3447" s="3">
        <f>HYPERLINK("https://platform.v2.vetology.net/report/v/final/"&amp;2662097, 2662097)</f>
        <v>2662097</v>
      </c>
      <c r="D3447" s="3" t="s">
        <v>11402</v>
      </c>
      <c r="E3447" s="3" t="s">
        <v>11403</v>
      </c>
      <c r="F3447" s="3" t="s">
        <v>1762</v>
      </c>
      <c r="G3447" s="3" t="s">
        <v>100</v>
      </c>
      <c r="H3447" s="3" t="s">
        <v>11404</v>
      </c>
      <c r="I3447" s="3" t="s">
        <v>224</v>
      </c>
      <c r="J3447" s="3" t="s">
        <v>225</v>
      </c>
      <c r="K3447" s="3" t="s">
        <v>28</v>
      </c>
      <c r="L3447" s="3" t="s">
        <v>28</v>
      </c>
      <c r="M3447" s="3" t="s">
        <v>28</v>
      </c>
      <c r="N3447" s="3" t="s">
        <v>28</v>
      </c>
      <c r="O3447" s="3" t="s">
        <v>28</v>
      </c>
      <c r="P3447" s="3" t="s">
        <v>28</v>
      </c>
      <c r="Q3447" s="3" t="s">
        <v>28</v>
      </c>
      <c r="R3447" s="3" t="s">
        <v>28</v>
      </c>
      <c r="S3447" s="3" t="s">
        <v>27</v>
      </c>
      <c r="T3447" s="3" t="s">
        <v>27</v>
      </c>
    </row>
    <row r="3448" spans="1:20" ht="409.6">
      <c r="A3448" s="3">
        <v>2662055</v>
      </c>
      <c r="B3448" s="3">
        <f>HYPERLINK("https://platform.v2.vetology.net/cases/2662055/screening-report/6?type=pdf&amp;v=v6&amp;scorecard=1&amp;secret_key=BX%25IJ%24%2F65ieZ%29f6", 2662055)</f>
        <v>2662055</v>
      </c>
      <c r="C3448" s="3">
        <f>HYPERLINK("https://platform.v2.vetology.net/report/v/final/"&amp;2662055, 2662055)</f>
        <v>2662055</v>
      </c>
      <c r="D3448" s="3" t="s">
        <v>11405</v>
      </c>
      <c r="E3448" s="3" t="s">
        <v>11406</v>
      </c>
      <c r="F3448" s="3" t="s">
        <v>11407</v>
      </c>
      <c r="G3448" s="3" t="s">
        <v>566</v>
      </c>
      <c r="H3448" s="3" t="s">
        <v>11408</v>
      </c>
      <c r="I3448" s="3" t="s">
        <v>878</v>
      </c>
      <c r="J3448" s="3" t="s">
        <v>879</v>
      </c>
      <c r="K3448" s="3" t="s">
        <v>28</v>
      </c>
      <c r="L3448" s="3" t="s">
        <v>27</v>
      </c>
      <c r="M3448" s="3" t="s">
        <v>28</v>
      </c>
      <c r="N3448" s="3" t="s">
        <v>27</v>
      </c>
      <c r="O3448" s="3" t="s">
        <v>27</v>
      </c>
      <c r="P3448" s="3" t="s">
        <v>28</v>
      </c>
      <c r="Q3448" s="3" t="s">
        <v>27</v>
      </c>
      <c r="R3448" s="3" t="s">
        <v>27</v>
      </c>
      <c r="S3448" s="3" t="s">
        <v>27</v>
      </c>
      <c r="T3448" s="3" t="s">
        <v>27</v>
      </c>
    </row>
    <row r="3449" spans="1:20" ht="275.25">
      <c r="A3449" s="3">
        <v>2662026</v>
      </c>
      <c r="B3449" s="3">
        <f>HYPERLINK("https://platform.v2.vetology.net/cases/2662026/screening-report/6?type=pdf&amp;v=v6&amp;scorecard=1&amp;secret_key=BX%25IJ%24%2F65ieZ%29f6", 2662026)</f>
        <v>2662026</v>
      </c>
      <c r="C3449" s="3">
        <f>HYPERLINK("https://platform.v2.vetology.net/report/v/final/"&amp;2662026, 2662026)</f>
        <v>2662026</v>
      </c>
      <c r="D3449" s="3" t="s">
        <v>11409</v>
      </c>
      <c r="E3449" s="3" t="s">
        <v>11410</v>
      </c>
      <c r="F3449" s="3" t="s">
        <v>22</v>
      </c>
      <c r="G3449" s="3" t="s">
        <v>100</v>
      </c>
      <c r="H3449" s="3" t="s">
        <v>590</v>
      </c>
      <c r="I3449" s="3" t="s">
        <v>291</v>
      </c>
      <c r="J3449" s="3" t="s">
        <v>225</v>
      </c>
      <c r="K3449" s="3" t="s">
        <v>28</v>
      </c>
      <c r="L3449" s="3" t="s">
        <v>28</v>
      </c>
      <c r="M3449" s="3" t="s">
        <v>28</v>
      </c>
      <c r="N3449" s="3" t="s">
        <v>27</v>
      </c>
      <c r="O3449" s="3" t="s">
        <v>27</v>
      </c>
      <c r="P3449" s="3" t="s">
        <v>28</v>
      </c>
      <c r="Q3449" s="3" t="s">
        <v>28</v>
      </c>
      <c r="R3449" s="3" t="s">
        <v>27</v>
      </c>
      <c r="S3449" s="3" t="s">
        <v>27</v>
      </c>
      <c r="T3449" s="3" t="s">
        <v>27</v>
      </c>
    </row>
    <row r="3450" spans="1:20" ht="229.5">
      <c r="A3450" s="3">
        <v>2662025</v>
      </c>
      <c r="B3450" s="3">
        <f>HYPERLINK("https://platform.v2.vetology.net/cases/2662025/screening-report/6?type=pdf&amp;v=v6&amp;scorecard=1&amp;secret_key=BX%25IJ%24%2F65ieZ%29f6", 2662025)</f>
        <v>2662025</v>
      </c>
      <c r="C3450" s="3">
        <f>HYPERLINK("https://platform.v2.vetology.net/report/v/final/"&amp;2662025, 2662025)</f>
        <v>2662025</v>
      </c>
      <c r="D3450" s="3" t="s">
        <v>11411</v>
      </c>
      <c r="E3450" s="3" t="s">
        <v>11412</v>
      </c>
      <c r="F3450" s="3" t="s">
        <v>22</v>
      </c>
      <c r="G3450" s="3" t="s">
        <v>100</v>
      </c>
      <c r="H3450" s="3" t="s">
        <v>135</v>
      </c>
      <c r="I3450" s="3" t="s">
        <v>136</v>
      </c>
      <c r="J3450" s="3" t="s">
        <v>137</v>
      </c>
      <c r="K3450" s="3" t="s">
        <v>28</v>
      </c>
      <c r="L3450" s="3" t="s">
        <v>28</v>
      </c>
      <c r="M3450" s="3" t="s">
        <v>28</v>
      </c>
      <c r="N3450" s="3" t="s">
        <v>28</v>
      </c>
      <c r="O3450" s="3" t="s">
        <v>27</v>
      </c>
      <c r="P3450" s="3" t="s">
        <v>28</v>
      </c>
      <c r="Q3450" s="3" t="s">
        <v>28</v>
      </c>
      <c r="R3450" s="3" t="s">
        <v>28</v>
      </c>
      <c r="S3450" s="3" t="s">
        <v>28</v>
      </c>
      <c r="T3450" s="3" t="s">
        <v>27</v>
      </c>
    </row>
    <row r="3451" spans="1:20" ht="336">
      <c r="A3451" s="3">
        <v>2662018</v>
      </c>
      <c r="B3451" s="3">
        <f>HYPERLINK("https://platform.v2.vetology.net/cases/2662018/screening-report/6?type=pdf&amp;v=v6&amp;scorecard=1&amp;secret_key=BX%25IJ%24%2F65ieZ%29f6", 2662018)</f>
        <v>2662018</v>
      </c>
      <c r="C3451" s="3">
        <f>HYPERLINK("https://platform.v2.vetology.net/report/v/final/"&amp;2662018, 2662018)</f>
        <v>2662018</v>
      </c>
      <c r="D3451" s="3" t="s">
        <v>11413</v>
      </c>
      <c r="E3451" s="3" t="s">
        <v>11414</v>
      </c>
      <c r="F3451" s="3" t="s">
        <v>22</v>
      </c>
      <c r="G3451" s="3" t="s">
        <v>100</v>
      </c>
      <c r="H3451" s="3" t="s">
        <v>11415</v>
      </c>
      <c r="I3451" s="3" t="s">
        <v>1565</v>
      </c>
      <c r="J3451" s="3" t="s">
        <v>1566</v>
      </c>
      <c r="K3451" s="3" t="s">
        <v>28</v>
      </c>
      <c r="L3451" s="3" t="s">
        <v>28</v>
      </c>
      <c r="M3451" s="3" t="s">
        <v>28</v>
      </c>
      <c r="N3451" s="3" t="s">
        <v>28</v>
      </c>
      <c r="O3451" s="3" t="s">
        <v>28</v>
      </c>
      <c r="P3451" s="3" t="s">
        <v>27</v>
      </c>
      <c r="Q3451" s="3" t="s">
        <v>28</v>
      </c>
      <c r="R3451" s="3" t="s">
        <v>28</v>
      </c>
      <c r="S3451" s="3" t="s">
        <v>28</v>
      </c>
      <c r="T3451" s="3" t="s">
        <v>28</v>
      </c>
    </row>
    <row r="3452" spans="1:20" ht="409.6">
      <c r="A3452" s="3">
        <v>2662017</v>
      </c>
      <c r="B3452" s="3">
        <f>HYPERLINK("https://platform.v2.vetology.net/cases/2662017/screening-report/6?type=pdf&amp;v=v6&amp;scorecard=1&amp;secret_key=BX%25IJ%24%2F65ieZ%29f6", 2662017)</f>
        <v>2662017</v>
      </c>
      <c r="C3452" s="3">
        <f>HYPERLINK("https://platform.v2.vetology.net/report/v/final/"&amp;2662017, 2662017)</f>
        <v>2662017</v>
      </c>
      <c r="D3452" s="3" t="s">
        <v>11416</v>
      </c>
      <c r="E3452" s="3" t="s">
        <v>11417</v>
      </c>
      <c r="F3452" s="3" t="s">
        <v>5023</v>
      </c>
      <c r="G3452" s="3" t="s">
        <v>100</v>
      </c>
      <c r="H3452" s="3" t="s">
        <v>11418</v>
      </c>
      <c r="I3452" s="3" t="s">
        <v>7270</v>
      </c>
      <c r="J3452" s="3" t="s">
        <v>2046</v>
      </c>
      <c r="K3452" s="3" t="s">
        <v>27</v>
      </c>
      <c r="L3452" s="3" t="s">
        <v>28</v>
      </c>
      <c r="M3452" s="3" t="s">
        <v>27</v>
      </c>
      <c r="N3452" s="3" t="s">
        <v>28</v>
      </c>
      <c r="O3452" s="3" t="s">
        <v>27</v>
      </c>
      <c r="P3452" s="3" t="s">
        <v>27</v>
      </c>
      <c r="Q3452" s="3" t="s">
        <v>27</v>
      </c>
      <c r="R3452" s="3" t="s">
        <v>28</v>
      </c>
      <c r="S3452" s="3" t="s">
        <v>27</v>
      </c>
      <c r="T3452" s="3" t="s">
        <v>28</v>
      </c>
    </row>
    <row r="3453" spans="1:20" ht="366">
      <c r="A3453" s="3">
        <v>2662008</v>
      </c>
      <c r="B3453" s="3">
        <f>HYPERLINK("https://platform.v2.vetology.net/cases/2662008/screening-report/6?type=pdf&amp;v=v6&amp;scorecard=1&amp;secret_key=BX%25IJ%24%2F65ieZ%29f6", 2662008)</f>
        <v>2662008</v>
      </c>
      <c r="C3453" s="3">
        <f>HYPERLINK("https://platform.v2.vetology.net/report/v/final/"&amp;2662008, 2662008)</f>
        <v>2662008</v>
      </c>
      <c r="D3453" s="3" t="s">
        <v>11419</v>
      </c>
      <c r="E3453" s="3" t="s">
        <v>11420</v>
      </c>
      <c r="F3453" s="3"/>
      <c r="G3453" s="3" t="s">
        <v>122</v>
      </c>
      <c r="H3453" s="3" t="s">
        <v>11421</v>
      </c>
      <c r="I3453" s="3" t="s">
        <v>1483</v>
      </c>
      <c r="J3453" s="3" t="s">
        <v>5778</v>
      </c>
      <c r="K3453" s="3" t="s">
        <v>28</v>
      </c>
      <c r="L3453" s="3" t="s">
        <v>28</v>
      </c>
      <c r="M3453" s="3" t="s">
        <v>28</v>
      </c>
      <c r="N3453" s="3" t="s">
        <v>28</v>
      </c>
      <c r="O3453" s="3" t="s">
        <v>27</v>
      </c>
      <c r="P3453" s="3" t="s">
        <v>28</v>
      </c>
      <c r="Q3453" s="3" t="s">
        <v>28</v>
      </c>
      <c r="R3453" s="3" t="s">
        <v>28</v>
      </c>
      <c r="S3453" s="3" t="s">
        <v>28</v>
      </c>
      <c r="T3453" s="3" t="s">
        <v>28</v>
      </c>
    </row>
    <row r="3454" spans="1:20" ht="396.75">
      <c r="A3454" s="3">
        <v>2661990</v>
      </c>
      <c r="B3454" s="3">
        <f>HYPERLINK("https://platform.v2.vetology.net/cases/2661990/screening-report/6?type=pdf&amp;v=v6&amp;scorecard=1&amp;secret_key=BX%25IJ%24%2F65ieZ%29f6", 2661990)</f>
        <v>2661990</v>
      </c>
      <c r="C3454" s="3">
        <f>HYPERLINK("https://platform.v2.vetology.net/report/v/final/"&amp;2661990, 2661990)</f>
        <v>2661990</v>
      </c>
      <c r="D3454" s="3" t="s">
        <v>11422</v>
      </c>
      <c r="E3454" s="3" t="s">
        <v>11423</v>
      </c>
      <c r="F3454" s="3" t="s">
        <v>11424</v>
      </c>
      <c r="G3454" s="3" t="s">
        <v>57</v>
      </c>
      <c r="H3454" s="3" t="s">
        <v>1508</v>
      </c>
      <c r="I3454" s="3" t="s">
        <v>351</v>
      </c>
      <c r="J3454" s="3" t="s">
        <v>352</v>
      </c>
      <c r="K3454" s="3" t="s">
        <v>28</v>
      </c>
      <c r="L3454" s="3" t="s">
        <v>28</v>
      </c>
      <c r="M3454" s="3" t="s">
        <v>28</v>
      </c>
      <c r="N3454" s="3" t="s">
        <v>28</v>
      </c>
      <c r="O3454" s="3" t="s">
        <v>28</v>
      </c>
      <c r="P3454" s="3" t="s">
        <v>28</v>
      </c>
      <c r="Q3454" s="3" t="s">
        <v>28</v>
      </c>
      <c r="R3454" s="3" t="s">
        <v>28</v>
      </c>
      <c r="S3454" s="3" t="s">
        <v>28</v>
      </c>
      <c r="T3454" s="3" t="s">
        <v>27</v>
      </c>
    </row>
    <row r="3455" spans="1:20" ht="409.6">
      <c r="A3455" s="3">
        <v>2661975</v>
      </c>
      <c r="B3455" s="3">
        <f>HYPERLINK("https://platform.v2.vetology.net/cases/2661975/screening-report/6?type=pdf&amp;v=v6&amp;scorecard=1&amp;secret_key=BX%25IJ%24%2F65ieZ%29f6", 2661975)</f>
        <v>2661975</v>
      </c>
      <c r="C3455" s="3">
        <f>HYPERLINK("https://platform.v2.vetology.net/report/v/final/"&amp;2661975, 2661975)</f>
        <v>2661975</v>
      </c>
      <c r="D3455" s="3" t="s">
        <v>11425</v>
      </c>
      <c r="E3455" s="3" t="s">
        <v>11426</v>
      </c>
      <c r="F3455" s="3" t="s">
        <v>1164</v>
      </c>
      <c r="G3455" s="3" t="s">
        <v>100</v>
      </c>
      <c r="H3455" s="3" t="s">
        <v>877</v>
      </c>
      <c r="I3455" s="3" t="s">
        <v>878</v>
      </c>
      <c r="J3455" s="3" t="s">
        <v>879</v>
      </c>
      <c r="K3455" s="3" t="s">
        <v>28</v>
      </c>
      <c r="L3455" s="3" t="s">
        <v>27</v>
      </c>
      <c r="M3455" s="3" t="s">
        <v>28</v>
      </c>
      <c r="N3455" s="3" t="s">
        <v>27</v>
      </c>
      <c r="O3455" s="3" t="s">
        <v>27</v>
      </c>
      <c r="P3455" s="3" t="s">
        <v>28</v>
      </c>
      <c r="Q3455" s="3" t="s">
        <v>27</v>
      </c>
      <c r="R3455" s="3" t="s">
        <v>27</v>
      </c>
      <c r="S3455" s="3" t="s">
        <v>27</v>
      </c>
      <c r="T3455" s="3" t="s">
        <v>27</v>
      </c>
    </row>
    <row r="3456" spans="1:20" ht="229.5">
      <c r="A3456" s="3">
        <v>2661957</v>
      </c>
      <c r="B3456" s="3">
        <f>HYPERLINK("https://platform.v2.vetology.net/cases/2661957/screening-report/6?type=pdf&amp;v=v6&amp;scorecard=1&amp;secret_key=BX%25IJ%24%2F65ieZ%29f6", 2661957)</f>
        <v>2661957</v>
      </c>
      <c r="C3456" s="3">
        <f>HYPERLINK("https://platform.v2.vetology.net/report/v/final/"&amp;2661957, 2661957)</f>
        <v>2661957</v>
      </c>
      <c r="D3456" s="3" t="s">
        <v>11427</v>
      </c>
      <c r="E3456" s="3" t="s">
        <v>1230</v>
      </c>
      <c r="F3456" s="3" t="s">
        <v>1049</v>
      </c>
      <c r="G3456" s="3" t="s">
        <v>100</v>
      </c>
      <c r="H3456" s="3" t="s">
        <v>158</v>
      </c>
      <c r="I3456" s="3" t="s">
        <v>32</v>
      </c>
      <c r="J3456" s="3" t="s">
        <v>119</v>
      </c>
      <c r="K3456" s="3" t="s">
        <v>28</v>
      </c>
      <c r="L3456" s="3" t="s">
        <v>28</v>
      </c>
      <c r="M3456" s="3" t="s">
        <v>28</v>
      </c>
      <c r="N3456" s="3" t="s">
        <v>28</v>
      </c>
      <c r="O3456" s="3" t="s">
        <v>27</v>
      </c>
      <c r="P3456" s="3" t="s">
        <v>28</v>
      </c>
      <c r="Q3456" s="3" t="s">
        <v>28</v>
      </c>
      <c r="R3456" s="3" t="s">
        <v>28</v>
      </c>
      <c r="S3456" s="3" t="s">
        <v>28</v>
      </c>
      <c r="T3456" s="3" t="s">
        <v>28</v>
      </c>
    </row>
    <row r="3457" spans="1:20" ht="244.5">
      <c r="A3457" s="3">
        <v>2661917</v>
      </c>
      <c r="B3457" s="3">
        <f>HYPERLINK("https://platform.v2.vetology.net/cases/2661917/screening-report/6?type=pdf&amp;v=v6&amp;scorecard=1&amp;secret_key=BX%25IJ%24%2F65ieZ%29f6", 2661917)</f>
        <v>2661917</v>
      </c>
      <c r="C3457" s="3">
        <f>HYPERLINK("https://platform.v2.vetology.net/report/v/final/"&amp;2661917, 2661917)</f>
        <v>2661917</v>
      </c>
      <c r="D3457" s="3" t="s">
        <v>11428</v>
      </c>
      <c r="E3457" s="3" t="s">
        <v>11429</v>
      </c>
      <c r="F3457" s="3" t="s">
        <v>22</v>
      </c>
      <c r="G3457" s="3" t="s">
        <v>100</v>
      </c>
      <c r="H3457" s="3" t="s">
        <v>11430</v>
      </c>
      <c r="I3457" s="3" t="s">
        <v>11431</v>
      </c>
      <c r="J3457" s="3" t="s">
        <v>297</v>
      </c>
      <c r="K3457" s="3" t="s">
        <v>28</v>
      </c>
      <c r="L3457" s="3" t="s">
        <v>28</v>
      </c>
      <c r="M3457" s="3" t="s">
        <v>28</v>
      </c>
      <c r="N3457" s="3" t="s">
        <v>28</v>
      </c>
      <c r="O3457" s="3" t="s">
        <v>28</v>
      </c>
      <c r="P3457" s="3" t="s">
        <v>28</v>
      </c>
      <c r="Q3457" s="3" t="s">
        <v>28</v>
      </c>
      <c r="R3457" s="3" t="s">
        <v>28</v>
      </c>
      <c r="S3457" s="3" t="s">
        <v>28</v>
      </c>
      <c r="T3457" s="3" t="s">
        <v>28</v>
      </c>
    </row>
    <row r="3458" spans="1:20" ht="396.75">
      <c r="A3458" s="3">
        <v>2661913</v>
      </c>
      <c r="B3458" s="3">
        <f>HYPERLINK("https://platform.v2.vetology.net/cases/2661913/screening-report/6?type=pdf&amp;v=v6&amp;scorecard=1&amp;secret_key=BX%25IJ%24%2F65ieZ%29f6", 2661913)</f>
        <v>2661913</v>
      </c>
      <c r="C3458" s="3">
        <f>HYPERLINK("https://platform.v2.vetology.net/report/v/final/"&amp;2661913, 2661913)</f>
        <v>2661913</v>
      </c>
      <c r="D3458" s="3" t="s">
        <v>11432</v>
      </c>
      <c r="E3458" s="3" t="s">
        <v>11433</v>
      </c>
      <c r="F3458" s="3" t="s">
        <v>11434</v>
      </c>
      <c r="G3458" s="3" t="s">
        <v>186</v>
      </c>
      <c r="H3458" s="3" t="s">
        <v>11435</v>
      </c>
      <c r="I3458" s="3" t="s">
        <v>572</v>
      </c>
      <c r="J3458" s="3" t="s">
        <v>573</v>
      </c>
      <c r="K3458" s="3" t="s">
        <v>27</v>
      </c>
      <c r="L3458" s="3" t="s">
        <v>28</v>
      </c>
      <c r="M3458" s="3" t="s">
        <v>27</v>
      </c>
      <c r="N3458" s="3" t="s">
        <v>28</v>
      </c>
      <c r="O3458" s="3" t="s">
        <v>27</v>
      </c>
      <c r="P3458" s="3" t="s">
        <v>28</v>
      </c>
      <c r="Q3458" s="3" t="s">
        <v>28</v>
      </c>
      <c r="R3458" s="3" t="s">
        <v>28</v>
      </c>
      <c r="S3458" s="3" t="s">
        <v>28</v>
      </c>
      <c r="T3458" s="3" t="s">
        <v>27</v>
      </c>
    </row>
    <row r="3459" spans="1:20" ht="336">
      <c r="A3459" s="3">
        <v>2661901</v>
      </c>
      <c r="B3459" s="3">
        <f>HYPERLINK("https://platform.v2.vetology.net/cases/2661901/screening-report/6?type=pdf&amp;v=v6&amp;scorecard=1&amp;secret_key=BX%25IJ%24%2F65ieZ%29f6", 2661901)</f>
        <v>2661901</v>
      </c>
      <c r="C3459" s="3">
        <f>HYPERLINK("https://platform.v2.vetology.net/report/v/final/"&amp;2661901, 2661901)</f>
        <v>2661901</v>
      </c>
      <c r="D3459" s="3" t="s">
        <v>11436</v>
      </c>
      <c r="E3459" s="3" t="s">
        <v>1230</v>
      </c>
      <c r="F3459" s="3" t="s">
        <v>1049</v>
      </c>
      <c r="G3459" s="3" t="s">
        <v>100</v>
      </c>
      <c r="H3459" s="3" t="s">
        <v>11437</v>
      </c>
      <c r="I3459" s="3" t="s">
        <v>124</v>
      </c>
      <c r="J3459" s="3" t="s">
        <v>125</v>
      </c>
      <c r="K3459" s="3" t="s">
        <v>28</v>
      </c>
      <c r="L3459" s="3" t="s">
        <v>28</v>
      </c>
      <c r="M3459" s="3" t="s">
        <v>27</v>
      </c>
      <c r="N3459" s="3" t="s">
        <v>28</v>
      </c>
      <c r="O3459" s="3" t="s">
        <v>27</v>
      </c>
      <c r="P3459" s="3" t="s">
        <v>28</v>
      </c>
      <c r="Q3459" s="3" t="s">
        <v>27</v>
      </c>
      <c r="R3459" s="3" t="s">
        <v>28</v>
      </c>
      <c r="S3459" s="3" t="s">
        <v>28</v>
      </c>
      <c r="T3459" s="3" t="s">
        <v>28</v>
      </c>
    </row>
    <row r="3460" spans="1:20" ht="409.6">
      <c r="A3460" s="3">
        <v>2661879</v>
      </c>
      <c r="B3460" s="3">
        <f>HYPERLINK("https://platform.v2.vetology.net/cases/2661879/screening-report/6?type=pdf&amp;v=v6&amp;scorecard=1&amp;secret_key=BX%25IJ%24%2F65ieZ%29f6", 2661879)</f>
        <v>2661879</v>
      </c>
      <c r="C3460" s="3">
        <f>HYPERLINK("https://platform.v2.vetology.net/report/v/final/"&amp;2661879, 2661879)</f>
        <v>2661879</v>
      </c>
      <c r="D3460" s="3" t="s">
        <v>11438</v>
      </c>
      <c r="E3460" s="3" t="s">
        <v>11439</v>
      </c>
      <c r="F3460" s="3" t="s">
        <v>11440</v>
      </c>
      <c r="G3460" s="3" t="s">
        <v>100</v>
      </c>
      <c r="H3460" s="3" t="s">
        <v>11441</v>
      </c>
      <c r="I3460" s="3" t="s">
        <v>5431</v>
      </c>
      <c r="J3460" s="3" t="s">
        <v>5432</v>
      </c>
      <c r="K3460" s="3" t="s">
        <v>28</v>
      </c>
      <c r="L3460" s="3" t="s">
        <v>27</v>
      </c>
      <c r="M3460" s="3" t="s">
        <v>28</v>
      </c>
      <c r="N3460" s="3" t="s">
        <v>27</v>
      </c>
      <c r="O3460" s="3" t="s">
        <v>27</v>
      </c>
      <c r="P3460" s="3" t="s">
        <v>28</v>
      </c>
      <c r="Q3460" s="3" t="s">
        <v>27</v>
      </c>
      <c r="R3460" s="3" t="s">
        <v>27</v>
      </c>
      <c r="S3460" s="3" t="s">
        <v>27</v>
      </c>
      <c r="T3460" s="3" t="s">
        <v>27</v>
      </c>
    </row>
    <row r="3461" spans="1:20" ht="336">
      <c r="A3461" s="3">
        <v>2661858</v>
      </c>
      <c r="B3461" s="3">
        <f>HYPERLINK("https://platform.v2.vetology.net/cases/2661858/screening-report/6?type=pdf&amp;v=v6&amp;scorecard=1&amp;secret_key=BX%25IJ%24%2F65ieZ%29f6", 2661858)</f>
        <v>2661858</v>
      </c>
      <c r="C3461" s="3">
        <f>HYPERLINK("https://platform.v2.vetology.net/report/v/final/"&amp;2661858, 2661858)</f>
        <v>2661858</v>
      </c>
      <c r="D3461" s="3" t="s">
        <v>11442</v>
      </c>
      <c r="E3461" s="3" t="s">
        <v>11443</v>
      </c>
      <c r="F3461" s="3" t="s">
        <v>10063</v>
      </c>
      <c r="G3461" s="3" t="s">
        <v>186</v>
      </c>
      <c r="H3461" s="3" t="s">
        <v>1915</v>
      </c>
      <c r="I3461" s="3" t="s">
        <v>1916</v>
      </c>
      <c r="J3461" s="3" t="s">
        <v>1917</v>
      </c>
      <c r="K3461" s="3" t="s">
        <v>28</v>
      </c>
      <c r="L3461" s="3" t="s">
        <v>28</v>
      </c>
      <c r="M3461" s="3" t="s">
        <v>28</v>
      </c>
      <c r="N3461" s="3" t="s">
        <v>28</v>
      </c>
      <c r="O3461" s="3" t="s">
        <v>27</v>
      </c>
      <c r="P3461" s="3" t="s">
        <v>27</v>
      </c>
      <c r="Q3461" s="3" t="s">
        <v>28</v>
      </c>
      <c r="R3461" s="3" t="s">
        <v>28</v>
      </c>
      <c r="S3461" s="3" t="s">
        <v>28</v>
      </c>
      <c r="T3461" s="3" t="s">
        <v>28</v>
      </c>
    </row>
    <row r="3462" spans="1:20" ht="259.5">
      <c r="A3462" s="3">
        <v>2661817</v>
      </c>
      <c r="B3462" s="3">
        <f>HYPERLINK("https://platform.v2.vetology.net/cases/2661817/screening-report/6?type=pdf&amp;v=v6&amp;scorecard=1&amp;secret_key=BX%25IJ%24%2F65ieZ%29f6", 2661817)</f>
        <v>2661817</v>
      </c>
      <c r="C3462" s="3">
        <f>HYPERLINK("https://platform.v2.vetology.net/report/v/final/"&amp;2661817, 2661817)</f>
        <v>2661817</v>
      </c>
      <c r="D3462" s="3" t="s">
        <v>11444</v>
      </c>
      <c r="E3462" s="3" t="s">
        <v>11445</v>
      </c>
      <c r="F3462" s="3" t="s">
        <v>11446</v>
      </c>
      <c r="G3462" s="3" t="s">
        <v>100</v>
      </c>
      <c r="H3462" s="3" t="s">
        <v>1268</v>
      </c>
      <c r="I3462" s="3" t="s">
        <v>261</v>
      </c>
      <c r="J3462" s="3" t="s">
        <v>262</v>
      </c>
      <c r="K3462" s="3" t="s">
        <v>27</v>
      </c>
      <c r="L3462" s="3" t="s">
        <v>28</v>
      </c>
      <c r="M3462" s="3" t="s">
        <v>27</v>
      </c>
      <c r="N3462" s="3" t="s">
        <v>28</v>
      </c>
      <c r="O3462" s="3" t="s">
        <v>27</v>
      </c>
      <c r="P3462" s="3" t="s">
        <v>28</v>
      </c>
      <c r="Q3462" s="3" t="s">
        <v>28</v>
      </c>
      <c r="R3462" s="3" t="s">
        <v>28</v>
      </c>
      <c r="S3462" s="3" t="s">
        <v>28</v>
      </c>
      <c r="T3462" s="3" t="s">
        <v>28</v>
      </c>
    </row>
    <row r="3463" spans="1:20" ht="381.75">
      <c r="A3463" s="3">
        <v>2661812</v>
      </c>
      <c r="B3463" s="3">
        <f>HYPERLINK("https://platform.v2.vetology.net/cases/2661812/screening-report/6?type=pdf&amp;v=v6&amp;scorecard=1&amp;secret_key=BX%25IJ%24%2F65ieZ%29f6", 2661812)</f>
        <v>2661812</v>
      </c>
      <c r="C3463" s="3">
        <f>HYPERLINK("https://platform.v2.vetology.net/report/v/final/"&amp;2661812, 2661812)</f>
        <v>2661812</v>
      </c>
      <c r="D3463" s="3" t="s">
        <v>11447</v>
      </c>
      <c r="E3463" s="3" t="s">
        <v>955</v>
      </c>
      <c r="F3463" s="3" t="s">
        <v>956</v>
      </c>
      <c r="G3463" s="3" t="s">
        <v>100</v>
      </c>
      <c r="H3463" s="3" t="s">
        <v>3067</v>
      </c>
      <c r="I3463" s="3" t="s">
        <v>1700</v>
      </c>
      <c r="J3463" s="3" t="s">
        <v>3068</v>
      </c>
      <c r="K3463" s="3" t="s">
        <v>27</v>
      </c>
      <c r="L3463" s="3" t="s">
        <v>27</v>
      </c>
      <c r="M3463" s="3" t="s">
        <v>27</v>
      </c>
      <c r="N3463" s="3" t="s">
        <v>27</v>
      </c>
      <c r="O3463" s="3" t="s">
        <v>27</v>
      </c>
      <c r="P3463" s="3" t="s">
        <v>27</v>
      </c>
      <c r="Q3463" s="3" t="s">
        <v>27</v>
      </c>
      <c r="R3463" s="3" t="s">
        <v>27</v>
      </c>
      <c r="S3463" s="3" t="s">
        <v>27</v>
      </c>
      <c r="T3463" s="3" t="s">
        <v>27</v>
      </c>
    </row>
    <row r="3464" spans="1:20" ht="229.5">
      <c r="A3464" s="3">
        <v>2661757</v>
      </c>
      <c r="B3464" s="3">
        <f>HYPERLINK("https://platform.v2.vetology.net/cases/2661757/screening-report/6?type=pdf&amp;v=v6&amp;scorecard=1&amp;secret_key=BX%25IJ%24%2F65ieZ%29f6", 2661757)</f>
        <v>2661757</v>
      </c>
      <c r="C3464" s="3">
        <f>HYPERLINK("https://platform.v2.vetology.net/report/v/final/"&amp;2661757, 2661757)</f>
        <v>2661757</v>
      </c>
      <c r="D3464" s="3" t="s">
        <v>11448</v>
      </c>
      <c r="E3464" s="3" t="s">
        <v>11449</v>
      </c>
      <c r="F3464" s="3" t="s">
        <v>11450</v>
      </c>
      <c r="G3464" s="3" t="s">
        <v>100</v>
      </c>
      <c r="H3464" s="3" t="s">
        <v>1597</v>
      </c>
      <c r="I3464" s="3" t="s">
        <v>1497</v>
      </c>
      <c r="J3464" s="3" t="s">
        <v>847</v>
      </c>
      <c r="K3464" s="3" t="s">
        <v>28</v>
      </c>
      <c r="L3464" s="3" t="s">
        <v>28</v>
      </c>
      <c r="M3464" s="3" t="s">
        <v>28</v>
      </c>
      <c r="N3464" s="3" t="s">
        <v>28</v>
      </c>
      <c r="O3464" s="3" t="s">
        <v>28</v>
      </c>
      <c r="P3464" s="3" t="s">
        <v>28</v>
      </c>
      <c r="Q3464" s="3" t="s">
        <v>27</v>
      </c>
      <c r="R3464" s="3" t="s">
        <v>28</v>
      </c>
      <c r="S3464" s="3" t="s">
        <v>28</v>
      </c>
      <c r="T3464" s="3" t="s">
        <v>28</v>
      </c>
    </row>
    <row r="3465" spans="1:20" ht="366">
      <c r="A3465" s="3">
        <v>2661740</v>
      </c>
      <c r="B3465" s="3">
        <f>HYPERLINK("https://platform.v2.vetology.net/cases/2661740/screening-report/6?type=pdf&amp;v=v6&amp;scorecard=1&amp;secret_key=BX%25IJ%24%2F65ieZ%29f6", 2661740)</f>
        <v>2661740</v>
      </c>
      <c r="C3465" s="3">
        <f>HYPERLINK("https://platform.v2.vetology.net/report/v/final/"&amp;2661740, 2661740)</f>
        <v>2661740</v>
      </c>
      <c r="D3465" s="3" t="s">
        <v>3124</v>
      </c>
      <c r="E3465" s="3" t="s">
        <v>11451</v>
      </c>
      <c r="F3465" s="3" t="s">
        <v>1049</v>
      </c>
      <c r="G3465" s="3" t="s">
        <v>100</v>
      </c>
      <c r="H3465" s="3" t="s">
        <v>11452</v>
      </c>
      <c r="I3465" s="3" t="s">
        <v>2963</v>
      </c>
      <c r="J3465" s="3" t="s">
        <v>2964</v>
      </c>
      <c r="K3465" s="3" t="s">
        <v>27</v>
      </c>
      <c r="L3465" s="3" t="s">
        <v>28</v>
      </c>
      <c r="M3465" s="3" t="s">
        <v>27</v>
      </c>
      <c r="N3465" s="3" t="s">
        <v>28</v>
      </c>
      <c r="O3465" s="3" t="s">
        <v>27</v>
      </c>
      <c r="P3465" s="3" t="s">
        <v>28</v>
      </c>
      <c r="Q3465" s="3" t="s">
        <v>27</v>
      </c>
      <c r="R3465" s="3" t="s">
        <v>28</v>
      </c>
      <c r="S3465" s="3" t="s">
        <v>28</v>
      </c>
      <c r="T3465" s="3" t="s">
        <v>28</v>
      </c>
    </row>
    <row r="3466" spans="1:20" ht="381.75">
      <c r="A3466" s="3">
        <v>2661693</v>
      </c>
      <c r="B3466" s="3">
        <f>HYPERLINK("https://platform.v2.vetology.net/cases/2661693/screening-report/6?type=pdf&amp;v=v6&amp;scorecard=1&amp;secret_key=BX%25IJ%24%2F65ieZ%29f6", 2661693)</f>
        <v>2661693</v>
      </c>
      <c r="C3466" s="3">
        <f>HYPERLINK("https://platform.v2.vetology.net/report/v/final/"&amp;2661693, 2661693)</f>
        <v>2661693</v>
      </c>
      <c r="D3466" s="3" t="s">
        <v>11453</v>
      </c>
      <c r="E3466" s="3" t="s">
        <v>11454</v>
      </c>
      <c r="F3466" s="3" t="s">
        <v>22</v>
      </c>
      <c r="G3466" s="3" t="s">
        <v>100</v>
      </c>
      <c r="H3466" s="3" t="s">
        <v>11455</v>
      </c>
      <c r="I3466" s="3" t="s">
        <v>279</v>
      </c>
      <c r="J3466" s="3" t="s">
        <v>280</v>
      </c>
      <c r="K3466" s="3" t="s">
        <v>28</v>
      </c>
      <c r="L3466" s="3" t="s">
        <v>28</v>
      </c>
      <c r="M3466" s="3" t="s">
        <v>28</v>
      </c>
      <c r="N3466" s="3" t="s">
        <v>28</v>
      </c>
      <c r="O3466" s="3" t="s">
        <v>28</v>
      </c>
      <c r="P3466" s="3" t="s">
        <v>28</v>
      </c>
      <c r="Q3466" s="3" t="s">
        <v>28</v>
      </c>
      <c r="R3466" s="3" t="s">
        <v>28</v>
      </c>
      <c r="S3466" s="3" t="s">
        <v>28</v>
      </c>
      <c r="T3466" s="3" t="s">
        <v>27</v>
      </c>
    </row>
    <row r="3467" spans="1:20" ht="305.25">
      <c r="A3467" s="3">
        <v>2661677</v>
      </c>
      <c r="B3467" s="3">
        <f>HYPERLINK("https://platform.v2.vetology.net/cases/2661677/screening-report/6?type=pdf&amp;v=v6&amp;scorecard=1&amp;secret_key=BX%25IJ%24%2F65ieZ%29f6", 2661677)</f>
        <v>2661677</v>
      </c>
      <c r="C3467" s="3">
        <f>HYPERLINK("https://platform.v2.vetology.net/report/v/final/"&amp;2661677, 2661677)</f>
        <v>2661677</v>
      </c>
      <c r="D3467" s="3" t="s">
        <v>11456</v>
      </c>
      <c r="E3467" s="3" t="s">
        <v>11457</v>
      </c>
      <c r="F3467" s="3" t="s">
        <v>11458</v>
      </c>
      <c r="G3467" s="3" t="s">
        <v>57</v>
      </c>
      <c r="H3467" s="3" t="s">
        <v>4184</v>
      </c>
      <c r="I3467" s="3" t="s">
        <v>136</v>
      </c>
      <c r="J3467" s="3" t="s">
        <v>424</v>
      </c>
      <c r="K3467" s="3" t="s">
        <v>28</v>
      </c>
      <c r="L3467" s="3" t="s">
        <v>28</v>
      </c>
      <c r="M3467" s="3" t="s">
        <v>28</v>
      </c>
      <c r="N3467" s="3" t="s">
        <v>28</v>
      </c>
      <c r="O3467" s="3" t="s">
        <v>27</v>
      </c>
      <c r="P3467" s="3" t="s">
        <v>28</v>
      </c>
      <c r="Q3467" s="3" t="s">
        <v>28</v>
      </c>
      <c r="R3467" s="3" t="s">
        <v>28</v>
      </c>
      <c r="S3467" s="3" t="s">
        <v>28</v>
      </c>
      <c r="T3467" s="3" t="s">
        <v>27</v>
      </c>
    </row>
    <row r="3468" spans="1:20" ht="409.6">
      <c r="A3468" s="3">
        <v>2661668</v>
      </c>
      <c r="B3468" s="3">
        <f>HYPERLINK("https://platform.v2.vetology.net/cases/2661668/screening-report/6?type=pdf&amp;v=v6&amp;scorecard=1&amp;secret_key=BX%25IJ%24%2F65ieZ%29f6", 2661668)</f>
        <v>2661668</v>
      </c>
      <c r="C3468" s="3">
        <f>HYPERLINK("https://platform.v2.vetology.net/report/v/final/"&amp;2661668, 2661668)</f>
        <v>2661668</v>
      </c>
      <c r="D3468" s="3" t="s">
        <v>11459</v>
      </c>
      <c r="E3468" s="3" t="s">
        <v>11460</v>
      </c>
      <c r="F3468" s="3" t="s">
        <v>11461</v>
      </c>
      <c r="G3468" s="3" t="s">
        <v>211</v>
      </c>
      <c r="H3468" s="3" t="s">
        <v>11462</v>
      </c>
      <c r="I3468" s="3" t="s">
        <v>693</v>
      </c>
      <c r="J3468" s="3" t="s">
        <v>335</v>
      </c>
      <c r="K3468" s="3" t="s">
        <v>28</v>
      </c>
      <c r="L3468" s="3" t="s">
        <v>28</v>
      </c>
      <c r="M3468" s="3" t="s">
        <v>28</v>
      </c>
      <c r="N3468" s="3" t="s">
        <v>28</v>
      </c>
      <c r="O3468" s="3" t="s">
        <v>28</v>
      </c>
      <c r="P3468" s="3" t="s">
        <v>28</v>
      </c>
      <c r="Q3468" s="3" t="s">
        <v>28</v>
      </c>
      <c r="R3468" s="3" t="s">
        <v>28</v>
      </c>
      <c r="S3468" s="3" t="s">
        <v>27</v>
      </c>
      <c r="T3468" s="3" t="s">
        <v>28</v>
      </c>
    </row>
    <row r="3469" spans="1:20" ht="275.25">
      <c r="A3469" s="3">
        <v>2661611</v>
      </c>
      <c r="B3469" s="3">
        <f>HYPERLINK("https://platform.v2.vetology.net/cases/2661611/screening-report/6?type=pdf&amp;v=v6&amp;scorecard=1&amp;secret_key=BX%25IJ%24%2F65ieZ%29f6", 2661611)</f>
        <v>2661611</v>
      </c>
      <c r="C3469" s="3">
        <f>HYPERLINK("https://platform.v2.vetology.net/report/v/final/"&amp;2661611, 2661611)</f>
        <v>2661611</v>
      </c>
      <c r="D3469" s="3" t="s">
        <v>11463</v>
      </c>
      <c r="E3469" s="3" t="s">
        <v>2247</v>
      </c>
      <c r="F3469" s="3" t="s">
        <v>1061</v>
      </c>
      <c r="G3469" s="3" t="s">
        <v>100</v>
      </c>
      <c r="H3469" s="3" t="s">
        <v>2183</v>
      </c>
      <c r="I3469" s="3"/>
      <c r="J3469" s="3" t="s">
        <v>225</v>
      </c>
      <c r="K3469" s="3" t="s">
        <v>28</v>
      </c>
      <c r="L3469" s="3" t="s">
        <v>27</v>
      </c>
      <c r="M3469" s="3" t="s">
        <v>27</v>
      </c>
      <c r="N3469" s="3" t="s">
        <v>28</v>
      </c>
      <c r="O3469" s="3" t="s">
        <v>27</v>
      </c>
      <c r="P3469" s="3" t="s">
        <v>27</v>
      </c>
      <c r="Q3469" s="3" t="s">
        <v>27</v>
      </c>
      <c r="R3469" s="3" t="s">
        <v>28</v>
      </c>
      <c r="S3469" s="3" t="s">
        <v>27</v>
      </c>
      <c r="T3469" s="3" t="s">
        <v>27</v>
      </c>
    </row>
    <row r="3470" spans="1:20" ht="366">
      <c r="A3470" s="3">
        <v>2661589</v>
      </c>
      <c r="B3470" s="3">
        <f>HYPERLINK("https://platform.v2.vetology.net/cases/2661589/screening-report/6?type=pdf&amp;v=v6&amp;scorecard=1&amp;secret_key=BX%25IJ%24%2F65ieZ%29f6", 2661589)</f>
        <v>2661589</v>
      </c>
      <c r="C3470" s="3">
        <f>HYPERLINK("https://platform.v2.vetology.net/report/v/final/"&amp;2661589, 2661589)</f>
        <v>2661589</v>
      </c>
      <c r="D3470" s="3" t="s">
        <v>11464</v>
      </c>
      <c r="E3470" s="3" t="s">
        <v>11465</v>
      </c>
      <c r="F3470" s="3" t="s">
        <v>11466</v>
      </c>
      <c r="G3470" s="3" t="s">
        <v>186</v>
      </c>
      <c r="H3470" s="3" t="s">
        <v>11152</v>
      </c>
      <c r="I3470" s="3" t="s">
        <v>754</v>
      </c>
      <c r="J3470" s="3" t="s">
        <v>755</v>
      </c>
      <c r="K3470" s="3" t="s">
        <v>28</v>
      </c>
      <c r="L3470" s="3" t="s">
        <v>28</v>
      </c>
      <c r="M3470" s="3" t="s">
        <v>28</v>
      </c>
      <c r="N3470" s="3" t="s">
        <v>28</v>
      </c>
      <c r="O3470" s="3" t="s">
        <v>27</v>
      </c>
      <c r="P3470" s="3" t="s">
        <v>28</v>
      </c>
      <c r="Q3470" s="3" t="s">
        <v>27</v>
      </c>
      <c r="R3470" s="3" t="s">
        <v>28</v>
      </c>
      <c r="S3470" s="3" t="s">
        <v>28</v>
      </c>
      <c r="T3470" s="3" t="s">
        <v>28</v>
      </c>
    </row>
    <row r="3471" spans="1:20" ht="381.75">
      <c r="A3471" s="3">
        <v>2661574</v>
      </c>
      <c r="B3471" s="3">
        <f>HYPERLINK("https://platform.v2.vetology.net/cases/2661574/screening-report/6?type=pdf&amp;v=v6&amp;scorecard=1&amp;secret_key=BX%25IJ%24%2F65ieZ%29f6", 2661574)</f>
        <v>2661574</v>
      </c>
      <c r="C3471" s="3">
        <f>HYPERLINK("https://platform.v2.vetology.net/report/v/final/"&amp;2661574, 2661574)</f>
        <v>2661574</v>
      </c>
      <c r="D3471" s="3" t="s">
        <v>11467</v>
      </c>
      <c r="E3471" s="3" t="s">
        <v>11468</v>
      </c>
      <c r="F3471" s="3" t="s">
        <v>11469</v>
      </c>
      <c r="G3471" s="3" t="s">
        <v>186</v>
      </c>
      <c r="H3471" s="3" t="s">
        <v>10694</v>
      </c>
      <c r="I3471" s="3" t="s">
        <v>856</v>
      </c>
      <c r="J3471" s="3" t="s">
        <v>857</v>
      </c>
      <c r="K3471" s="3" t="s">
        <v>28</v>
      </c>
      <c r="L3471" s="3" t="s">
        <v>28</v>
      </c>
      <c r="M3471" s="3" t="s">
        <v>28</v>
      </c>
      <c r="N3471" s="3" t="s">
        <v>28</v>
      </c>
      <c r="O3471" s="3" t="s">
        <v>27</v>
      </c>
      <c r="P3471" s="3" t="s">
        <v>28</v>
      </c>
      <c r="Q3471" s="3" t="s">
        <v>28</v>
      </c>
      <c r="R3471" s="3" t="s">
        <v>28</v>
      </c>
      <c r="S3471" s="3" t="s">
        <v>28</v>
      </c>
      <c r="T3471" s="3" t="s">
        <v>28</v>
      </c>
    </row>
    <row r="3472" spans="1:20" ht="381.75">
      <c r="A3472" s="3">
        <v>2661567</v>
      </c>
      <c r="B3472" s="3">
        <f>HYPERLINK("https://platform.v2.vetology.net/cases/2661567/screening-report/6?type=pdf&amp;v=v6&amp;scorecard=1&amp;secret_key=BX%25IJ%24%2F65ieZ%29f6", 2661567)</f>
        <v>2661567</v>
      </c>
      <c r="C3472" s="3">
        <f>HYPERLINK("https://platform.v2.vetology.net/report/v/final/"&amp;2661567, 2661567)</f>
        <v>2661567</v>
      </c>
      <c r="D3472" s="3" t="s">
        <v>11470</v>
      </c>
      <c r="E3472" s="3" t="s">
        <v>11471</v>
      </c>
      <c r="F3472" s="3" t="s">
        <v>22</v>
      </c>
      <c r="G3472" s="3" t="s">
        <v>100</v>
      </c>
      <c r="H3472" s="3" t="s">
        <v>855</v>
      </c>
      <c r="I3472" s="3" t="s">
        <v>856</v>
      </c>
      <c r="J3472" s="3" t="s">
        <v>857</v>
      </c>
      <c r="K3472" s="3" t="s">
        <v>27</v>
      </c>
      <c r="L3472" s="3" t="s">
        <v>28</v>
      </c>
      <c r="M3472" s="3" t="s">
        <v>28</v>
      </c>
      <c r="N3472" s="3" t="s">
        <v>28</v>
      </c>
      <c r="O3472" s="3" t="s">
        <v>27</v>
      </c>
      <c r="P3472" s="3" t="s">
        <v>28</v>
      </c>
      <c r="Q3472" s="3" t="s">
        <v>28</v>
      </c>
      <c r="R3472" s="3" t="s">
        <v>28</v>
      </c>
      <c r="S3472" s="3" t="s">
        <v>28</v>
      </c>
      <c r="T3472" s="3" t="s">
        <v>28</v>
      </c>
    </row>
    <row r="3473" spans="1:20" ht="409.6">
      <c r="A3473" s="3">
        <v>2661565</v>
      </c>
      <c r="B3473" s="3">
        <f>HYPERLINK("https://platform.v2.vetology.net/cases/2661565/screening-report/6?type=pdf&amp;v=v6&amp;scorecard=1&amp;secret_key=BX%25IJ%24%2F65ieZ%29f6", 2661565)</f>
        <v>2661565</v>
      </c>
      <c r="C3473" s="3">
        <f>HYPERLINK("https://platform.v2.vetology.net/report/v/final/"&amp;2661565, 2661565)</f>
        <v>2661565</v>
      </c>
      <c r="D3473" s="3" t="s">
        <v>11472</v>
      </c>
      <c r="E3473" s="3" t="s">
        <v>11473</v>
      </c>
      <c r="F3473" s="3" t="s">
        <v>11474</v>
      </c>
      <c r="G3473" s="3" t="s">
        <v>57</v>
      </c>
      <c r="H3473" s="3" t="s">
        <v>3403</v>
      </c>
      <c r="I3473" s="3" t="s">
        <v>3160</v>
      </c>
      <c r="J3473" s="3" t="s">
        <v>335</v>
      </c>
      <c r="K3473" s="3" t="s">
        <v>27</v>
      </c>
      <c r="L3473" s="3" t="s">
        <v>28</v>
      </c>
      <c r="M3473" s="3" t="s">
        <v>28</v>
      </c>
      <c r="N3473" s="3" t="s">
        <v>28</v>
      </c>
      <c r="O3473" s="3" t="s">
        <v>28</v>
      </c>
      <c r="P3473" s="3" t="s">
        <v>28</v>
      </c>
      <c r="Q3473" s="3" t="s">
        <v>28</v>
      </c>
      <c r="R3473" s="3" t="s">
        <v>28</v>
      </c>
      <c r="S3473" s="3" t="s">
        <v>28</v>
      </c>
      <c r="T3473" s="3" t="s">
        <v>28</v>
      </c>
    </row>
    <row r="3474" spans="1:20" ht="275.25">
      <c r="A3474" s="3">
        <v>2661518</v>
      </c>
      <c r="B3474" s="3">
        <f>HYPERLINK("https://platform.v2.vetology.net/cases/2661518/screening-report/6?type=pdf&amp;v=v6&amp;scorecard=1&amp;secret_key=BX%25IJ%24%2F65ieZ%29f6", 2661518)</f>
        <v>2661518</v>
      </c>
      <c r="C3474" s="3">
        <f>HYPERLINK("https://platform.v2.vetology.net/report/v/final/"&amp;2661518, 2661518)</f>
        <v>2661518</v>
      </c>
      <c r="D3474" s="3" t="s">
        <v>11475</v>
      </c>
      <c r="E3474" s="3" t="s">
        <v>11476</v>
      </c>
      <c r="F3474" s="3" t="s">
        <v>11477</v>
      </c>
      <c r="G3474" s="3" t="s">
        <v>186</v>
      </c>
      <c r="H3474" s="3" t="s">
        <v>11478</v>
      </c>
      <c r="I3474" s="3" t="s">
        <v>72</v>
      </c>
      <c r="J3474" s="3" t="s">
        <v>207</v>
      </c>
      <c r="K3474" s="3" t="s">
        <v>27</v>
      </c>
      <c r="L3474" s="3" t="s">
        <v>28</v>
      </c>
      <c r="M3474" s="3" t="s">
        <v>28</v>
      </c>
      <c r="N3474" s="3" t="s">
        <v>28</v>
      </c>
      <c r="O3474" s="3" t="s">
        <v>27</v>
      </c>
      <c r="P3474" s="3" t="s">
        <v>28</v>
      </c>
      <c r="Q3474" s="3" t="s">
        <v>28</v>
      </c>
      <c r="R3474" s="3" t="s">
        <v>28</v>
      </c>
      <c r="S3474" s="3" t="s">
        <v>27</v>
      </c>
      <c r="T3474" s="3" t="s">
        <v>27</v>
      </c>
    </row>
    <row r="3475" spans="1:20" ht="409.6">
      <c r="A3475" s="3">
        <v>2661517</v>
      </c>
      <c r="B3475" s="3">
        <f>HYPERLINK("https://platform.v2.vetology.net/cases/2661517/screening-report/6?type=pdf&amp;v=v6&amp;scorecard=1&amp;secret_key=BX%25IJ%24%2F65ieZ%29f6", 2661517)</f>
        <v>2661517</v>
      </c>
      <c r="C3475" s="3">
        <f>HYPERLINK("https://platform.v2.vetology.net/report/v/final/"&amp;2661517, 2661517)</f>
        <v>2661517</v>
      </c>
      <c r="D3475" s="3" t="s">
        <v>11479</v>
      </c>
      <c r="E3475" s="3" t="s">
        <v>11480</v>
      </c>
      <c r="F3475" s="3" t="s">
        <v>1377</v>
      </c>
      <c r="G3475" s="3" t="s">
        <v>186</v>
      </c>
      <c r="H3475" s="3" t="s">
        <v>11481</v>
      </c>
      <c r="I3475" s="3" t="s">
        <v>6981</v>
      </c>
      <c r="J3475" s="3" t="s">
        <v>6982</v>
      </c>
      <c r="K3475" s="3" t="s">
        <v>27</v>
      </c>
      <c r="L3475" s="3" t="s">
        <v>27</v>
      </c>
      <c r="M3475" s="3" t="s">
        <v>27</v>
      </c>
      <c r="N3475" s="3" t="s">
        <v>28</v>
      </c>
      <c r="O3475" s="3" t="s">
        <v>27</v>
      </c>
      <c r="P3475" s="3" t="s">
        <v>27</v>
      </c>
      <c r="Q3475" s="3" t="s">
        <v>27</v>
      </c>
      <c r="R3475" s="3" t="s">
        <v>28</v>
      </c>
      <c r="S3475" s="3" t="s">
        <v>28</v>
      </c>
      <c r="T3475" s="3" t="s">
        <v>27</v>
      </c>
    </row>
    <row r="3476" spans="1:20" ht="305.25">
      <c r="A3476" s="3">
        <v>2661489</v>
      </c>
      <c r="B3476" s="3">
        <f>HYPERLINK("https://platform.v2.vetology.net/cases/2661489/screening-report/6?type=pdf&amp;v=v6&amp;scorecard=1&amp;secret_key=BX%25IJ%24%2F65ieZ%29f6", 2661489)</f>
        <v>2661489</v>
      </c>
      <c r="C3476" s="3">
        <f>HYPERLINK("https://platform.v2.vetology.net/report/v/final/"&amp;2661489, 2661489)</f>
        <v>2661489</v>
      </c>
      <c r="D3476" s="3" t="s">
        <v>11482</v>
      </c>
      <c r="E3476" s="3" t="s">
        <v>11483</v>
      </c>
      <c r="F3476" s="3" t="s">
        <v>11484</v>
      </c>
      <c r="G3476" s="3" t="s">
        <v>186</v>
      </c>
      <c r="H3476" s="3" t="s">
        <v>519</v>
      </c>
      <c r="I3476" s="3" t="s">
        <v>1344</v>
      </c>
      <c r="J3476" s="3" t="s">
        <v>33</v>
      </c>
      <c r="K3476" s="3" t="s">
        <v>28</v>
      </c>
      <c r="L3476" s="3" t="s">
        <v>28</v>
      </c>
      <c r="M3476" s="3" t="s">
        <v>28</v>
      </c>
      <c r="N3476" s="3" t="s">
        <v>28</v>
      </c>
      <c r="O3476" s="3" t="s">
        <v>27</v>
      </c>
      <c r="P3476" s="3" t="s">
        <v>28</v>
      </c>
      <c r="Q3476" s="3" t="s">
        <v>27</v>
      </c>
      <c r="R3476" s="3" t="s">
        <v>28</v>
      </c>
      <c r="S3476" s="3" t="s">
        <v>28</v>
      </c>
      <c r="T3476" s="3" t="s">
        <v>28</v>
      </c>
    </row>
    <row r="3477" spans="1:20" ht="290.25">
      <c r="A3477" s="3">
        <v>2661483</v>
      </c>
      <c r="B3477" s="3">
        <f>HYPERLINK("https://platform.v2.vetology.net/cases/2661483/screening-report/6?type=pdf&amp;v=v6&amp;scorecard=1&amp;secret_key=BX%25IJ%24%2F65ieZ%29f6", 2661483)</f>
        <v>2661483</v>
      </c>
      <c r="C3477" s="3">
        <f>HYPERLINK("https://platform.v2.vetology.net/report/v/final/"&amp;2661483, 2661483)</f>
        <v>2661483</v>
      </c>
      <c r="D3477" s="3" t="s">
        <v>11485</v>
      </c>
      <c r="E3477" s="3" t="s">
        <v>1089</v>
      </c>
      <c r="F3477" s="3" t="s">
        <v>1090</v>
      </c>
      <c r="G3477" s="3" t="s">
        <v>100</v>
      </c>
      <c r="H3477" s="3" t="s">
        <v>11486</v>
      </c>
      <c r="I3477" s="3" t="s">
        <v>316</v>
      </c>
      <c r="J3477" s="3" t="s">
        <v>317</v>
      </c>
      <c r="K3477" s="3" t="s">
        <v>27</v>
      </c>
      <c r="L3477" s="3" t="s">
        <v>28</v>
      </c>
      <c r="M3477" s="3" t="s">
        <v>28</v>
      </c>
      <c r="N3477" s="3" t="s">
        <v>28</v>
      </c>
      <c r="O3477" s="3" t="s">
        <v>27</v>
      </c>
      <c r="P3477" s="3" t="s">
        <v>28</v>
      </c>
      <c r="Q3477" s="3" t="s">
        <v>28</v>
      </c>
      <c r="R3477" s="3" t="s">
        <v>28</v>
      </c>
      <c r="S3477" s="3" t="s">
        <v>28</v>
      </c>
      <c r="T3477" s="3" t="s">
        <v>28</v>
      </c>
    </row>
    <row r="3478" spans="1:20" ht="366">
      <c r="A3478" s="3">
        <v>2661474</v>
      </c>
      <c r="B3478" s="3">
        <f>HYPERLINK("https://platform.v2.vetology.net/cases/2661474/screening-report/6?type=pdf&amp;v=v6&amp;scorecard=1&amp;secret_key=BX%25IJ%24%2F65ieZ%29f6", 2661474)</f>
        <v>2661474</v>
      </c>
      <c r="C3478" s="3">
        <f>HYPERLINK("https://platform.v2.vetology.net/report/v/final/"&amp;2661474, 2661474)</f>
        <v>2661474</v>
      </c>
      <c r="D3478" s="3" t="s">
        <v>11487</v>
      </c>
      <c r="E3478" s="3" t="s">
        <v>11488</v>
      </c>
      <c r="F3478" s="3" t="s">
        <v>11489</v>
      </c>
      <c r="G3478" s="3" t="s">
        <v>496</v>
      </c>
      <c r="H3478" s="3" t="s">
        <v>11490</v>
      </c>
      <c r="I3478" s="3" t="s">
        <v>883</v>
      </c>
      <c r="J3478" s="3" t="s">
        <v>884</v>
      </c>
      <c r="K3478" s="3" t="s">
        <v>28</v>
      </c>
      <c r="L3478" s="3" t="s">
        <v>28</v>
      </c>
      <c r="M3478" s="3" t="s">
        <v>28</v>
      </c>
      <c r="N3478" s="3" t="s">
        <v>28</v>
      </c>
      <c r="O3478" s="3" t="s">
        <v>28</v>
      </c>
      <c r="P3478" s="3" t="s">
        <v>28</v>
      </c>
      <c r="Q3478" s="3" t="s">
        <v>28</v>
      </c>
      <c r="R3478" s="3" t="s">
        <v>28</v>
      </c>
      <c r="S3478" s="3" t="s">
        <v>28</v>
      </c>
      <c r="T3478" s="3" t="s">
        <v>28</v>
      </c>
    </row>
    <row r="3479" spans="1:20" ht="409.6">
      <c r="A3479" s="3">
        <v>2661462</v>
      </c>
      <c r="B3479" s="3">
        <f>HYPERLINK("https://platform.v2.vetology.net/cases/2661462/screening-report/6?type=pdf&amp;v=v6&amp;scorecard=1&amp;secret_key=BX%25IJ%24%2F65ieZ%29f6", 2661462)</f>
        <v>2661462</v>
      </c>
      <c r="C3479" s="3">
        <f>HYPERLINK("https://platform.v2.vetology.net/report/v/final/"&amp;2661462, 2661462)</f>
        <v>2661462</v>
      </c>
      <c r="D3479" s="3" t="s">
        <v>11491</v>
      </c>
      <c r="E3479" s="3" t="s">
        <v>11492</v>
      </c>
      <c r="F3479" s="3" t="s">
        <v>11493</v>
      </c>
      <c r="G3479" s="3" t="s">
        <v>186</v>
      </c>
      <c r="H3479" s="3" t="s">
        <v>11494</v>
      </c>
      <c r="I3479" s="3" t="s">
        <v>3709</v>
      </c>
      <c r="J3479" s="3" t="s">
        <v>3710</v>
      </c>
      <c r="K3479" s="3" t="s">
        <v>28</v>
      </c>
      <c r="L3479" s="3" t="s">
        <v>28</v>
      </c>
      <c r="M3479" s="3" t="s">
        <v>27</v>
      </c>
      <c r="N3479" s="3" t="s">
        <v>28</v>
      </c>
      <c r="O3479" s="3" t="s">
        <v>27</v>
      </c>
      <c r="P3479" s="3" t="s">
        <v>27</v>
      </c>
      <c r="Q3479" s="3" t="s">
        <v>27</v>
      </c>
      <c r="R3479" s="3" t="s">
        <v>28</v>
      </c>
      <c r="S3479" s="3" t="s">
        <v>28</v>
      </c>
      <c r="T3479" s="3" t="s">
        <v>28</v>
      </c>
    </row>
    <row r="3480" spans="1:20" ht="396.75">
      <c r="A3480" s="3">
        <v>2661453</v>
      </c>
      <c r="B3480" s="3">
        <f>HYPERLINK("https://platform.v2.vetology.net/cases/2661453/screening-report/6?type=pdf&amp;v=v6&amp;scorecard=1&amp;secret_key=BX%25IJ%24%2F65ieZ%29f6", 2661453)</f>
        <v>2661453</v>
      </c>
      <c r="C3480" s="3">
        <f>HYPERLINK("https://platform.v2.vetology.net/report/v/final/"&amp;2661453, 2661453)</f>
        <v>2661453</v>
      </c>
      <c r="D3480" s="3" t="s">
        <v>11495</v>
      </c>
      <c r="E3480" s="3" t="s">
        <v>11496</v>
      </c>
      <c r="F3480" s="3" t="s">
        <v>4931</v>
      </c>
      <c r="G3480" s="3" t="s">
        <v>186</v>
      </c>
      <c r="H3480" s="3" t="s">
        <v>304</v>
      </c>
      <c r="I3480" s="3" t="s">
        <v>305</v>
      </c>
      <c r="J3480" s="3" t="s">
        <v>119</v>
      </c>
      <c r="K3480" s="3" t="s">
        <v>28</v>
      </c>
      <c r="L3480" s="3" t="s">
        <v>28</v>
      </c>
      <c r="M3480" s="3" t="s">
        <v>28</v>
      </c>
      <c r="N3480" s="3" t="s">
        <v>28</v>
      </c>
      <c r="O3480" s="3" t="s">
        <v>28</v>
      </c>
      <c r="P3480" s="3" t="s">
        <v>28</v>
      </c>
      <c r="Q3480" s="3" t="s">
        <v>28</v>
      </c>
      <c r="R3480" s="3" t="s">
        <v>28</v>
      </c>
      <c r="S3480" s="3" t="s">
        <v>28</v>
      </c>
      <c r="T3480" s="3" t="s">
        <v>28</v>
      </c>
    </row>
    <row r="3481" spans="1:20" ht="305.25">
      <c r="A3481" s="3">
        <v>2661387</v>
      </c>
      <c r="B3481" s="3">
        <f>HYPERLINK("https://platform.v2.vetology.net/cases/2661387/screening-report/6?type=pdf&amp;v=v6&amp;scorecard=1&amp;secret_key=BX%25IJ%24%2F65ieZ%29f6", 2661387)</f>
        <v>2661387</v>
      </c>
      <c r="C3481" s="3">
        <f>HYPERLINK("https://platform.v2.vetology.net/report/v/final/"&amp;2661387, 2661387)</f>
        <v>2661387</v>
      </c>
      <c r="D3481" s="3" t="s">
        <v>11497</v>
      </c>
      <c r="E3481" s="3" t="s">
        <v>11498</v>
      </c>
      <c r="F3481" s="3" t="s">
        <v>22</v>
      </c>
      <c r="G3481" s="3" t="s">
        <v>372</v>
      </c>
      <c r="H3481" s="3" t="s">
        <v>11499</v>
      </c>
      <c r="I3481" s="3" t="s">
        <v>11500</v>
      </c>
      <c r="J3481" s="3" t="s">
        <v>11501</v>
      </c>
      <c r="K3481" s="3" t="s">
        <v>27</v>
      </c>
      <c r="L3481" s="3" t="s">
        <v>28</v>
      </c>
      <c r="M3481" s="3" t="s">
        <v>28</v>
      </c>
      <c r="N3481" s="3" t="s">
        <v>28</v>
      </c>
      <c r="O3481" s="3" t="s">
        <v>27</v>
      </c>
      <c r="P3481" s="3" t="s">
        <v>28</v>
      </c>
      <c r="Q3481" s="3" t="s">
        <v>27</v>
      </c>
      <c r="R3481" s="3" t="s">
        <v>28</v>
      </c>
      <c r="S3481" s="3" t="s">
        <v>28</v>
      </c>
      <c r="T3481" s="3" t="s">
        <v>28</v>
      </c>
    </row>
    <row r="3482" spans="1:20" ht="409.6">
      <c r="A3482" s="3">
        <v>2661322</v>
      </c>
      <c r="B3482" s="3">
        <f>HYPERLINK("https://platform.v2.vetology.net/cases/2661322/screening-report/6?type=pdf&amp;v=v6&amp;scorecard=1&amp;secret_key=BX%25IJ%24%2F65ieZ%29f6", 2661322)</f>
        <v>2661322</v>
      </c>
      <c r="C3482" s="3">
        <f>HYPERLINK("https://platform.v2.vetology.net/report/v/final/"&amp;2661322, 2661322)</f>
        <v>2661322</v>
      </c>
      <c r="D3482" s="3" t="s">
        <v>11502</v>
      </c>
      <c r="E3482" s="3" t="s">
        <v>11503</v>
      </c>
      <c r="F3482" s="3" t="s">
        <v>11504</v>
      </c>
      <c r="G3482" s="3" t="s">
        <v>186</v>
      </c>
      <c r="H3482" s="3" t="s">
        <v>2475</v>
      </c>
      <c r="I3482" s="3" t="s">
        <v>1497</v>
      </c>
      <c r="J3482" s="3" t="s">
        <v>1340</v>
      </c>
      <c r="K3482" s="3" t="s">
        <v>28</v>
      </c>
      <c r="L3482" s="3" t="s">
        <v>28</v>
      </c>
      <c r="M3482" s="3" t="s">
        <v>28</v>
      </c>
      <c r="N3482" s="3" t="s">
        <v>28</v>
      </c>
      <c r="O3482" s="3" t="s">
        <v>27</v>
      </c>
      <c r="P3482" s="3" t="s">
        <v>28</v>
      </c>
      <c r="Q3482" s="3" t="s">
        <v>27</v>
      </c>
      <c r="R3482" s="3" t="s">
        <v>28</v>
      </c>
      <c r="S3482" s="3" t="s">
        <v>28</v>
      </c>
      <c r="T3482" s="3" t="s">
        <v>28</v>
      </c>
    </row>
    <row r="3483" spans="1:20" ht="366">
      <c r="A3483" s="3">
        <v>2661313</v>
      </c>
      <c r="B3483" s="3">
        <f>HYPERLINK("https://platform.v2.vetology.net/cases/2661313/screening-report/6?type=pdf&amp;v=v6&amp;scorecard=1&amp;secret_key=BX%25IJ%24%2F65ieZ%29f6", 2661313)</f>
        <v>2661313</v>
      </c>
      <c r="C3483" s="3">
        <f>HYPERLINK("https://platform.v2.vetology.net/report/v/final/"&amp;2661313, 2661313)</f>
        <v>2661313</v>
      </c>
      <c r="D3483" s="3" t="s">
        <v>11505</v>
      </c>
      <c r="E3483" s="3" t="s">
        <v>11506</v>
      </c>
      <c r="F3483" s="3" t="s">
        <v>11507</v>
      </c>
      <c r="G3483" s="3" t="s">
        <v>64</v>
      </c>
      <c r="H3483" s="3" t="s">
        <v>11508</v>
      </c>
      <c r="I3483" s="3" t="s">
        <v>2498</v>
      </c>
      <c r="J3483" s="3" t="s">
        <v>2499</v>
      </c>
      <c r="K3483" s="3" t="s">
        <v>27</v>
      </c>
      <c r="L3483" s="3" t="s">
        <v>28</v>
      </c>
      <c r="M3483" s="3" t="s">
        <v>28</v>
      </c>
      <c r="N3483" s="3" t="s">
        <v>28</v>
      </c>
      <c r="O3483" s="3" t="s">
        <v>28</v>
      </c>
      <c r="P3483" s="3" t="s">
        <v>28</v>
      </c>
      <c r="Q3483" s="3" t="s">
        <v>27</v>
      </c>
      <c r="R3483" s="3" t="s">
        <v>28</v>
      </c>
      <c r="S3483" s="3" t="s">
        <v>28</v>
      </c>
      <c r="T3483" s="3" t="s">
        <v>27</v>
      </c>
    </row>
    <row r="3484" spans="1:20" ht="409.6">
      <c r="A3484" s="3">
        <v>2661280</v>
      </c>
      <c r="B3484" s="3">
        <f>HYPERLINK("https://platform.v2.vetology.net/cases/2661280/screening-report/6?type=pdf&amp;v=v6&amp;scorecard=1&amp;secret_key=BX%25IJ%24%2F65ieZ%29f6", 2661280)</f>
        <v>2661280</v>
      </c>
      <c r="C3484" s="3">
        <f>HYPERLINK("https://platform.v2.vetology.net/report/v/final/"&amp;2661280, 2661280)</f>
        <v>2661280</v>
      </c>
      <c r="D3484" s="3" t="s">
        <v>11509</v>
      </c>
      <c r="E3484" s="3" t="s">
        <v>11510</v>
      </c>
      <c r="F3484" s="3" t="s">
        <v>11511</v>
      </c>
      <c r="G3484" s="3" t="s">
        <v>186</v>
      </c>
      <c r="H3484" s="3" t="s">
        <v>11512</v>
      </c>
      <c r="I3484" s="3" t="s">
        <v>3131</v>
      </c>
      <c r="J3484" s="3" t="s">
        <v>3132</v>
      </c>
      <c r="K3484" s="3" t="s">
        <v>28</v>
      </c>
      <c r="L3484" s="3" t="s">
        <v>28</v>
      </c>
      <c r="M3484" s="3" t="s">
        <v>28</v>
      </c>
      <c r="N3484" s="3" t="s">
        <v>28</v>
      </c>
      <c r="O3484" s="3" t="s">
        <v>27</v>
      </c>
      <c r="P3484" s="3" t="s">
        <v>28</v>
      </c>
      <c r="Q3484" s="3" t="s">
        <v>28</v>
      </c>
      <c r="R3484" s="3" t="s">
        <v>27</v>
      </c>
      <c r="S3484" s="3" t="s">
        <v>28</v>
      </c>
      <c r="T3484" s="3" t="s">
        <v>28</v>
      </c>
    </row>
    <row r="3485" spans="1:20" ht="336">
      <c r="A3485" s="3">
        <v>2661159</v>
      </c>
      <c r="B3485" s="3">
        <f>HYPERLINK("https://platform.v2.vetology.net/cases/2661159/screening-report/6?type=pdf&amp;v=v6&amp;scorecard=1&amp;secret_key=BX%25IJ%24%2F65ieZ%29f6", 2661159)</f>
        <v>2661159</v>
      </c>
      <c r="C3485" s="3">
        <f>HYPERLINK("https://platform.v2.vetology.net/report/v/final/"&amp;2661159, 2661159)</f>
        <v>2661159</v>
      </c>
      <c r="D3485" s="3" t="s">
        <v>11513</v>
      </c>
      <c r="E3485" s="3" t="s">
        <v>11514</v>
      </c>
      <c r="F3485" s="3" t="s">
        <v>11515</v>
      </c>
      <c r="G3485" s="3" t="s">
        <v>179</v>
      </c>
      <c r="H3485" s="3" t="s">
        <v>11415</v>
      </c>
      <c r="I3485" s="3" t="s">
        <v>1565</v>
      </c>
      <c r="J3485" s="3" t="s">
        <v>1566</v>
      </c>
      <c r="K3485" s="3" t="s">
        <v>28</v>
      </c>
      <c r="L3485" s="3" t="s">
        <v>28</v>
      </c>
      <c r="M3485" s="3" t="s">
        <v>28</v>
      </c>
      <c r="N3485" s="3" t="s">
        <v>28</v>
      </c>
      <c r="O3485" s="3" t="s">
        <v>27</v>
      </c>
      <c r="P3485" s="3" t="s">
        <v>28</v>
      </c>
      <c r="Q3485" s="3" t="s">
        <v>28</v>
      </c>
      <c r="R3485" s="3" t="s">
        <v>28</v>
      </c>
      <c r="S3485" s="3" t="s">
        <v>28</v>
      </c>
      <c r="T3485" s="3" t="s">
        <v>28</v>
      </c>
    </row>
    <row r="3486" spans="1:20" ht="409.6">
      <c r="A3486" s="3">
        <v>2661129</v>
      </c>
      <c r="B3486" s="3">
        <f>HYPERLINK("https://platform.v2.vetology.net/cases/2661129/screening-report/6?type=pdf&amp;v=v6&amp;scorecard=1&amp;secret_key=BX%25IJ%24%2F65ieZ%29f6", 2661129)</f>
        <v>2661129</v>
      </c>
      <c r="C3486" s="3">
        <f>HYPERLINK("https://platform.v2.vetology.net/report/v/final/"&amp;2661129, 2661129)</f>
        <v>2661129</v>
      </c>
      <c r="D3486" s="3" t="s">
        <v>11516</v>
      </c>
      <c r="E3486" s="3" t="s">
        <v>11517</v>
      </c>
      <c r="F3486" s="3" t="s">
        <v>22</v>
      </c>
      <c r="G3486" s="3" t="s">
        <v>372</v>
      </c>
      <c r="H3486" s="3" t="s">
        <v>11518</v>
      </c>
      <c r="I3486" s="3" t="s">
        <v>11519</v>
      </c>
      <c r="J3486" s="3" t="s">
        <v>1058</v>
      </c>
      <c r="K3486" s="3" t="s">
        <v>28</v>
      </c>
      <c r="L3486" s="3" t="s">
        <v>27</v>
      </c>
      <c r="M3486" s="3" t="s">
        <v>28</v>
      </c>
      <c r="N3486" s="3" t="s">
        <v>27</v>
      </c>
      <c r="O3486" s="3" t="s">
        <v>27</v>
      </c>
      <c r="P3486" s="3" t="s">
        <v>28</v>
      </c>
      <c r="Q3486" s="3" t="s">
        <v>27</v>
      </c>
      <c r="R3486" s="3" t="s">
        <v>27</v>
      </c>
      <c r="S3486" s="3" t="s">
        <v>27</v>
      </c>
      <c r="T3486" s="3" t="s">
        <v>27</v>
      </c>
    </row>
    <row r="3487" spans="1:20" ht="409.6">
      <c r="A3487" s="3">
        <v>2661121</v>
      </c>
      <c r="B3487" s="3">
        <f>HYPERLINK("https://platform.v2.vetology.net/cases/2661121/screening-report/6?type=pdf&amp;v=v6&amp;scorecard=1&amp;secret_key=BX%25IJ%24%2F65ieZ%29f6", 2661121)</f>
        <v>2661121</v>
      </c>
      <c r="C3487" s="3">
        <f>HYPERLINK("https://platform.v2.vetology.net/report/v/final/"&amp;2661121, 2661121)</f>
        <v>2661121</v>
      </c>
      <c r="D3487" s="3" t="s">
        <v>11520</v>
      </c>
      <c r="E3487" s="3" t="s">
        <v>11521</v>
      </c>
      <c r="F3487" s="3" t="s">
        <v>11522</v>
      </c>
      <c r="G3487" s="3" t="s">
        <v>1772</v>
      </c>
      <c r="H3487" s="3" t="s">
        <v>1997</v>
      </c>
      <c r="I3487" s="3" t="s">
        <v>1688</v>
      </c>
      <c r="J3487" s="3" t="s">
        <v>207</v>
      </c>
      <c r="K3487" s="3" t="s">
        <v>27</v>
      </c>
      <c r="L3487" s="3" t="s">
        <v>28</v>
      </c>
      <c r="M3487" s="3" t="s">
        <v>27</v>
      </c>
      <c r="N3487" s="3" t="s">
        <v>28</v>
      </c>
      <c r="O3487" s="3" t="s">
        <v>27</v>
      </c>
      <c r="P3487" s="3" t="s">
        <v>28</v>
      </c>
      <c r="Q3487" s="3" t="s">
        <v>28</v>
      </c>
      <c r="R3487" s="3" t="s">
        <v>28</v>
      </c>
      <c r="S3487" s="3" t="s">
        <v>28</v>
      </c>
      <c r="T3487" s="3" t="s">
        <v>27</v>
      </c>
    </row>
    <row r="3488" spans="1:20" ht="305.25">
      <c r="A3488" s="3">
        <v>2661084</v>
      </c>
      <c r="B3488" s="3">
        <f>HYPERLINK("https://platform.v2.vetology.net/cases/2661084/screening-report/6?type=pdf&amp;v=v6&amp;scorecard=1&amp;secret_key=BX%25IJ%24%2F65ieZ%29f6", 2661084)</f>
        <v>2661084</v>
      </c>
      <c r="C3488" s="3">
        <f>HYPERLINK("https://platform.v2.vetology.net/report/v/final/"&amp;2661084, 2661084)</f>
        <v>2661084</v>
      </c>
      <c r="D3488" s="3" t="s">
        <v>11523</v>
      </c>
      <c r="E3488" s="3" t="s">
        <v>11524</v>
      </c>
      <c r="F3488" s="3" t="s">
        <v>22</v>
      </c>
      <c r="G3488" s="3" t="s">
        <v>100</v>
      </c>
      <c r="H3488" s="3" t="s">
        <v>11525</v>
      </c>
      <c r="I3488" s="3" t="s">
        <v>793</v>
      </c>
      <c r="J3488" s="3" t="s">
        <v>794</v>
      </c>
      <c r="K3488" s="3" t="s">
        <v>28</v>
      </c>
      <c r="L3488" s="3" t="s">
        <v>28</v>
      </c>
      <c r="M3488" s="3" t="s">
        <v>28</v>
      </c>
      <c r="N3488" s="3" t="s">
        <v>28</v>
      </c>
      <c r="O3488" s="3" t="s">
        <v>28</v>
      </c>
      <c r="P3488" s="3" t="s">
        <v>28</v>
      </c>
      <c r="Q3488" s="3" t="s">
        <v>28</v>
      </c>
      <c r="R3488" s="3" t="s">
        <v>28</v>
      </c>
      <c r="S3488" s="3" t="s">
        <v>28</v>
      </c>
      <c r="T3488" s="3" t="s">
        <v>28</v>
      </c>
    </row>
    <row r="3489" spans="1:20" ht="366">
      <c r="A3489" s="3">
        <v>2661073</v>
      </c>
      <c r="B3489" s="3">
        <f>HYPERLINK("https://platform.v2.vetology.net/cases/2661073/screening-report/6?type=pdf&amp;v=v6&amp;scorecard=1&amp;secret_key=BX%25IJ%24%2F65ieZ%29f6", 2661073)</f>
        <v>2661073</v>
      </c>
      <c r="C3489" s="3">
        <f>HYPERLINK("https://platform.v2.vetology.net/report/v/final/"&amp;2661073, 2661073)</f>
        <v>2661073</v>
      </c>
      <c r="D3489" s="3" t="s">
        <v>11526</v>
      </c>
      <c r="E3489" s="3" t="s">
        <v>11527</v>
      </c>
      <c r="F3489" s="3" t="s">
        <v>22</v>
      </c>
      <c r="G3489" s="3" t="s">
        <v>372</v>
      </c>
      <c r="H3489" s="3" t="s">
        <v>11528</v>
      </c>
      <c r="I3489" s="3" t="s">
        <v>267</v>
      </c>
      <c r="J3489" s="3" t="s">
        <v>268</v>
      </c>
      <c r="K3489" s="3" t="s">
        <v>27</v>
      </c>
      <c r="L3489" s="3" t="s">
        <v>28</v>
      </c>
      <c r="M3489" s="3" t="s">
        <v>28</v>
      </c>
      <c r="N3489" s="3" t="s">
        <v>28</v>
      </c>
      <c r="O3489" s="3" t="s">
        <v>27</v>
      </c>
      <c r="P3489" s="3" t="s">
        <v>27</v>
      </c>
      <c r="Q3489" s="3" t="s">
        <v>28</v>
      </c>
      <c r="R3489" s="3" t="s">
        <v>28</v>
      </c>
      <c r="S3489" s="3" t="s">
        <v>28</v>
      </c>
      <c r="T3489" s="3" t="s">
        <v>28</v>
      </c>
    </row>
    <row r="3490" spans="1:20" ht="409.6">
      <c r="A3490" s="3">
        <v>2661054</v>
      </c>
      <c r="B3490" s="3">
        <f>HYPERLINK("https://platform.v2.vetology.net/cases/2661054/screening-report/6?type=pdf&amp;v=v6&amp;scorecard=1&amp;secret_key=BX%25IJ%24%2F65ieZ%29f6", 2661054)</f>
        <v>2661054</v>
      </c>
      <c r="C3490" s="3">
        <f>HYPERLINK("https://platform.v2.vetology.net/report/v/final/"&amp;2661054, 2661054)</f>
        <v>2661054</v>
      </c>
      <c r="D3490" s="3" t="s">
        <v>11529</v>
      </c>
      <c r="E3490" s="3" t="s">
        <v>11530</v>
      </c>
      <c r="F3490" s="3" t="s">
        <v>22</v>
      </c>
      <c r="G3490" s="3" t="s">
        <v>372</v>
      </c>
      <c r="H3490" s="3" t="s">
        <v>171</v>
      </c>
      <c r="I3490" s="3" t="s">
        <v>172</v>
      </c>
      <c r="J3490" s="3" t="s">
        <v>109</v>
      </c>
      <c r="K3490" s="3" t="s">
        <v>27</v>
      </c>
      <c r="L3490" s="3" t="s">
        <v>27</v>
      </c>
      <c r="M3490" s="3" t="s">
        <v>28</v>
      </c>
      <c r="N3490" s="3" t="s">
        <v>27</v>
      </c>
      <c r="O3490" s="3" t="s">
        <v>27</v>
      </c>
      <c r="P3490" s="3" t="s">
        <v>28</v>
      </c>
      <c r="Q3490" s="3" t="s">
        <v>28</v>
      </c>
      <c r="R3490" s="3" t="s">
        <v>27</v>
      </c>
      <c r="S3490" s="3" t="s">
        <v>27</v>
      </c>
      <c r="T3490" s="3" t="s">
        <v>27</v>
      </c>
    </row>
    <row r="3491" spans="1:20" ht="396.75">
      <c r="A3491" s="3">
        <v>2661040</v>
      </c>
      <c r="B3491" s="3">
        <f>HYPERLINK("https://platform.v2.vetology.net/cases/2661040/screening-report/6?type=pdf&amp;v=v6&amp;scorecard=1&amp;secret_key=BX%25IJ%24%2F65ieZ%29f6", 2661040)</f>
        <v>2661040</v>
      </c>
      <c r="C3491" s="3">
        <f>HYPERLINK("https://platform.v2.vetology.net/report/v/final/"&amp;2661040, 2661040)</f>
        <v>2661040</v>
      </c>
      <c r="D3491" s="3" t="s">
        <v>11531</v>
      </c>
      <c r="E3491" s="3" t="s">
        <v>11532</v>
      </c>
      <c r="F3491" s="3"/>
      <c r="G3491" s="3" t="s">
        <v>122</v>
      </c>
      <c r="H3491" s="3" t="s">
        <v>11371</v>
      </c>
      <c r="I3491" s="3" t="s">
        <v>351</v>
      </c>
      <c r="J3491" s="3" t="s">
        <v>352</v>
      </c>
      <c r="K3491" s="3" t="s">
        <v>28</v>
      </c>
      <c r="L3491" s="3" t="s">
        <v>28</v>
      </c>
      <c r="M3491" s="3" t="s">
        <v>28</v>
      </c>
      <c r="N3491" s="3" t="s">
        <v>28</v>
      </c>
      <c r="O3491" s="3" t="s">
        <v>28</v>
      </c>
      <c r="P3491" s="3" t="s">
        <v>28</v>
      </c>
      <c r="Q3491" s="3" t="s">
        <v>28</v>
      </c>
      <c r="R3491" s="3" t="s">
        <v>28</v>
      </c>
      <c r="S3491" s="3" t="s">
        <v>28</v>
      </c>
      <c r="T3491" s="3" t="s">
        <v>27</v>
      </c>
    </row>
    <row r="3492" spans="1:20" ht="409.6">
      <c r="A3492" s="3">
        <v>2661010</v>
      </c>
      <c r="B3492" s="3">
        <f>HYPERLINK("https://platform.v2.vetology.net/cases/2661010/screening-report/6?type=pdf&amp;v=v6&amp;scorecard=1&amp;secret_key=BX%25IJ%24%2F65ieZ%29f6", 2661010)</f>
        <v>2661010</v>
      </c>
      <c r="C3492" s="3">
        <f>HYPERLINK("https://platform.v2.vetology.net/report/v/final/"&amp;2661010, 2661010)</f>
        <v>2661010</v>
      </c>
      <c r="D3492" s="3" t="s">
        <v>11533</v>
      </c>
      <c r="E3492" s="3" t="s">
        <v>11534</v>
      </c>
      <c r="F3492" s="3" t="s">
        <v>11535</v>
      </c>
      <c r="G3492" s="3" t="s">
        <v>496</v>
      </c>
      <c r="H3492" s="3" t="s">
        <v>11536</v>
      </c>
      <c r="I3492" s="3" t="s">
        <v>2996</v>
      </c>
      <c r="J3492" s="3" t="s">
        <v>2997</v>
      </c>
      <c r="K3492" s="3" t="s">
        <v>28</v>
      </c>
      <c r="L3492" s="3" t="s">
        <v>28</v>
      </c>
      <c r="M3492" s="3" t="s">
        <v>28</v>
      </c>
      <c r="N3492" s="3" t="s">
        <v>28</v>
      </c>
      <c r="O3492" s="3" t="s">
        <v>27</v>
      </c>
      <c r="P3492" s="3" t="s">
        <v>28</v>
      </c>
      <c r="Q3492" s="3" t="s">
        <v>27</v>
      </c>
      <c r="R3492" s="3" t="s">
        <v>28</v>
      </c>
      <c r="S3492" s="3" t="s">
        <v>27</v>
      </c>
      <c r="T3492" s="3" t="s">
        <v>28</v>
      </c>
    </row>
    <row r="3493" spans="1:20" ht="336">
      <c r="A3493" s="3">
        <v>2660968</v>
      </c>
      <c r="B3493" s="3">
        <f>HYPERLINK("https://platform.v2.vetology.net/cases/2660968/screening-report/6?type=pdf&amp;v=v6&amp;scorecard=1&amp;secret_key=BX%25IJ%24%2F65ieZ%29f6", 2660968)</f>
        <v>2660968</v>
      </c>
      <c r="C3493" s="3">
        <f>HYPERLINK("https://platform.v2.vetology.net/report/v/final/"&amp;2660968, 2660968)</f>
        <v>2660968</v>
      </c>
      <c r="D3493" s="3" t="s">
        <v>11537</v>
      </c>
      <c r="E3493" s="3" t="s">
        <v>11538</v>
      </c>
      <c r="F3493" s="3" t="s">
        <v>22</v>
      </c>
      <c r="G3493" s="3" t="s">
        <v>372</v>
      </c>
      <c r="H3493" s="3" t="s">
        <v>705</v>
      </c>
      <c r="I3493" s="3" t="s">
        <v>706</v>
      </c>
      <c r="J3493" s="3" t="s">
        <v>707</v>
      </c>
      <c r="K3493" s="3" t="s">
        <v>28</v>
      </c>
      <c r="L3493" s="3" t="s">
        <v>28</v>
      </c>
      <c r="M3493" s="3" t="s">
        <v>28</v>
      </c>
      <c r="N3493" s="3" t="s">
        <v>28</v>
      </c>
      <c r="O3493" s="3" t="s">
        <v>28</v>
      </c>
      <c r="P3493" s="3" t="s">
        <v>28</v>
      </c>
      <c r="Q3493" s="3" t="s">
        <v>28</v>
      </c>
      <c r="R3493" s="3" t="s">
        <v>28</v>
      </c>
      <c r="S3493" s="3" t="s">
        <v>28</v>
      </c>
      <c r="T3493" s="3" t="s">
        <v>27</v>
      </c>
    </row>
    <row r="3494" spans="1:20" ht="409.6">
      <c r="A3494" s="3">
        <v>2660908</v>
      </c>
      <c r="B3494" s="3">
        <f>HYPERLINK("https://platform.v2.vetology.net/cases/2660908/screening-report/6?type=pdf&amp;v=v6&amp;scorecard=1&amp;secret_key=BX%25IJ%24%2F65ieZ%29f6", 2660908)</f>
        <v>2660908</v>
      </c>
      <c r="C3494" s="3">
        <f>HYPERLINK("https://platform.v2.vetology.net/report/v/final/"&amp;2660908, 2660908)</f>
        <v>2660908</v>
      </c>
      <c r="D3494" s="3" t="s">
        <v>11539</v>
      </c>
      <c r="E3494" s="3" t="s">
        <v>11540</v>
      </c>
      <c r="F3494" s="3" t="s">
        <v>22</v>
      </c>
      <c r="G3494" s="3" t="s">
        <v>23</v>
      </c>
      <c r="H3494" s="3" t="s">
        <v>9427</v>
      </c>
      <c r="I3494" s="3" t="s">
        <v>8393</v>
      </c>
      <c r="J3494" s="3" t="s">
        <v>8394</v>
      </c>
      <c r="K3494" s="3" t="s">
        <v>28</v>
      </c>
      <c r="L3494" s="3" t="s">
        <v>28</v>
      </c>
      <c r="M3494" s="3" t="s">
        <v>28</v>
      </c>
      <c r="N3494" s="3" t="s">
        <v>28</v>
      </c>
      <c r="O3494" s="3" t="s">
        <v>28</v>
      </c>
      <c r="P3494" s="3" t="s">
        <v>28</v>
      </c>
      <c r="Q3494" s="3" t="s">
        <v>28</v>
      </c>
      <c r="R3494" s="3" t="s">
        <v>28</v>
      </c>
      <c r="S3494" s="3" t="s">
        <v>28</v>
      </c>
      <c r="T3494" s="3" t="s">
        <v>27</v>
      </c>
    </row>
    <row r="3495" spans="1:20" ht="290.25">
      <c r="A3495" s="3">
        <v>2660880</v>
      </c>
      <c r="B3495" s="3">
        <f>HYPERLINK("https://platform.v2.vetology.net/cases/2660880/screening-report/6?type=pdf&amp;v=v6&amp;scorecard=1&amp;secret_key=BX%25IJ%24%2F65ieZ%29f6", 2660880)</f>
        <v>2660880</v>
      </c>
      <c r="C3495" s="3">
        <f>HYPERLINK("https://platform.v2.vetology.net/report/v/final/"&amp;2660880, 2660880)</f>
        <v>2660880</v>
      </c>
      <c r="D3495" s="3" t="s">
        <v>11541</v>
      </c>
      <c r="E3495" s="3" t="s">
        <v>11542</v>
      </c>
      <c r="F3495" s="3" t="s">
        <v>11543</v>
      </c>
      <c r="G3495" s="3" t="s">
        <v>23</v>
      </c>
      <c r="H3495" s="3" t="s">
        <v>9057</v>
      </c>
      <c r="I3495" s="3"/>
      <c r="J3495" s="3" t="s">
        <v>207</v>
      </c>
      <c r="K3495" s="3" t="s">
        <v>28</v>
      </c>
      <c r="L3495" s="3" t="s">
        <v>28</v>
      </c>
      <c r="M3495" s="3" t="s">
        <v>28</v>
      </c>
      <c r="N3495" s="3" t="s">
        <v>28</v>
      </c>
      <c r="O3495" s="3" t="s">
        <v>27</v>
      </c>
      <c r="P3495" s="3" t="s">
        <v>28</v>
      </c>
      <c r="Q3495" s="3" t="s">
        <v>28</v>
      </c>
      <c r="R3495" s="3" t="s">
        <v>28</v>
      </c>
      <c r="S3495" s="3" t="s">
        <v>28</v>
      </c>
      <c r="T3495" s="3" t="s">
        <v>27</v>
      </c>
    </row>
    <row r="3496" spans="1:20" ht="305.25">
      <c r="A3496" s="3">
        <v>2660853</v>
      </c>
      <c r="B3496" s="3">
        <f>HYPERLINK("https://platform.v2.vetology.net/cases/2660853/screening-report/6?type=pdf&amp;v=v6&amp;scorecard=1&amp;secret_key=BX%25IJ%24%2F65ieZ%29f6", 2660853)</f>
        <v>2660853</v>
      </c>
      <c r="C3496" s="3">
        <f>HYPERLINK("https://platform.v2.vetology.net/report/v/final/"&amp;2660853, 2660853)</f>
        <v>2660853</v>
      </c>
      <c r="D3496" s="3" t="s">
        <v>11544</v>
      </c>
      <c r="E3496" s="3" t="s">
        <v>11545</v>
      </c>
      <c r="F3496" s="3" t="s">
        <v>7798</v>
      </c>
      <c r="G3496" s="3" t="s">
        <v>23</v>
      </c>
      <c r="H3496" s="3" t="s">
        <v>31</v>
      </c>
      <c r="I3496" s="3" t="s">
        <v>1497</v>
      </c>
      <c r="J3496" s="3" t="s">
        <v>847</v>
      </c>
      <c r="K3496" s="3" t="s">
        <v>28</v>
      </c>
      <c r="L3496" s="3" t="s">
        <v>28</v>
      </c>
      <c r="M3496" s="3" t="s">
        <v>28</v>
      </c>
      <c r="N3496" s="3" t="s">
        <v>28</v>
      </c>
      <c r="O3496" s="3" t="s">
        <v>27</v>
      </c>
      <c r="P3496" s="3" t="s">
        <v>28</v>
      </c>
      <c r="Q3496" s="3" t="s">
        <v>28</v>
      </c>
      <c r="R3496" s="3" t="s">
        <v>28</v>
      </c>
      <c r="S3496" s="3" t="s">
        <v>28</v>
      </c>
      <c r="T3496" s="3" t="s">
        <v>28</v>
      </c>
    </row>
    <row r="3497" spans="1:20" ht="366">
      <c r="A3497" s="3">
        <v>2660791</v>
      </c>
      <c r="B3497" s="3">
        <f>HYPERLINK("https://platform.v2.vetology.net/cases/2660791/screening-report/6?type=pdf&amp;v=v6&amp;scorecard=1&amp;secret_key=BX%25IJ%24%2F65ieZ%29f6", 2660791)</f>
        <v>2660791</v>
      </c>
      <c r="C3497" s="3">
        <f>HYPERLINK("https://platform.v2.vetology.net/report/v/final/"&amp;2660791, 2660791)</f>
        <v>2660791</v>
      </c>
      <c r="D3497" s="3" t="s">
        <v>11546</v>
      </c>
      <c r="E3497" s="3" t="s">
        <v>11547</v>
      </c>
      <c r="F3497" s="3" t="s">
        <v>11548</v>
      </c>
      <c r="G3497" s="3" t="s">
        <v>179</v>
      </c>
      <c r="H3497" s="3" t="s">
        <v>3850</v>
      </c>
      <c r="I3497" s="3"/>
      <c r="J3497" s="3" t="s">
        <v>207</v>
      </c>
      <c r="K3497" s="3" t="s">
        <v>28</v>
      </c>
      <c r="L3497" s="3" t="s">
        <v>28</v>
      </c>
      <c r="M3497" s="3" t="s">
        <v>28</v>
      </c>
      <c r="N3497" s="3" t="s">
        <v>28</v>
      </c>
      <c r="O3497" s="3" t="s">
        <v>28</v>
      </c>
      <c r="P3497" s="3" t="s">
        <v>28</v>
      </c>
      <c r="Q3497" s="3" t="s">
        <v>28</v>
      </c>
      <c r="R3497" s="3" t="s">
        <v>28</v>
      </c>
      <c r="S3497" s="3" t="s">
        <v>28</v>
      </c>
      <c r="T3497" s="3" t="s">
        <v>28</v>
      </c>
    </row>
    <row r="3498" spans="1:20" ht="321">
      <c r="A3498" s="3">
        <v>2660788</v>
      </c>
      <c r="B3498" s="3">
        <f>HYPERLINK("https://platform.v2.vetology.net/cases/2660788/screening-report/6?type=pdf&amp;v=v6&amp;scorecard=1&amp;secret_key=BX%25IJ%24%2F65ieZ%29f6", 2660788)</f>
        <v>2660788</v>
      </c>
      <c r="C3498" s="3">
        <f>HYPERLINK("https://platform.v2.vetology.net/report/v/final/"&amp;2660788, 2660788)</f>
        <v>2660788</v>
      </c>
      <c r="D3498" s="3" t="s">
        <v>11549</v>
      </c>
      <c r="E3498" s="3" t="s">
        <v>11550</v>
      </c>
      <c r="F3498" s="3" t="s">
        <v>11551</v>
      </c>
      <c r="G3498" s="3" t="s">
        <v>496</v>
      </c>
      <c r="H3498" s="3" t="s">
        <v>11552</v>
      </c>
      <c r="I3498" s="3" t="s">
        <v>2524</v>
      </c>
      <c r="J3498" s="3" t="s">
        <v>1374</v>
      </c>
      <c r="K3498" s="3" t="s">
        <v>27</v>
      </c>
      <c r="L3498" s="3" t="s">
        <v>27</v>
      </c>
      <c r="M3498" s="3" t="s">
        <v>27</v>
      </c>
      <c r="N3498" s="3" t="s">
        <v>27</v>
      </c>
      <c r="O3498" s="3" t="s">
        <v>27</v>
      </c>
      <c r="P3498" s="3" t="s">
        <v>28</v>
      </c>
      <c r="Q3498" s="3" t="s">
        <v>27</v>
      </c>
      <c r="R3498" s="3" t="s">
        <v>27</v>
      </c>
      <c r="S3498" s="3" t="s">
        <v>27</v>
      </c>
      <c r="T3498" s="3" t="s">
        <v>27</v>
      </c>
    </row>
    <row r="3499" spans="1:20" ht="290.25">
      <c r="A3499" s="3">
        <v>2660773</v>
      </c>
      <c r="B3499" s="3">
        <f>HYPERLINK("https://platform.v2.vetology.net/cases/2660773/screening-report/6?type=pdf&amp;v=v6&amp;scorecard=1&amp;secret_key=BX%25IJ%24%2F65ieZ%29f6", 2660773)</f>
        <v>2660773</v>
      </c>
      <c r="C3499" s="3">
        <f>HYPERLINK("https://platform.v2.vetology.net/report/v/final/"&amp;2660773, 2660773)</f>
        <v>2660773</v>
      </c>
      <c r="D3499" s="3" t="s">
        <v>11553</v>
      </c>
      <c r="E3499" s="3" t="s">
        <v>11554</v>
      </c>
      <c r="F3499" s="3"/>
      <c r="G3499" s="3" t="s">
        <v>122</v>
      </c>
      <c r="H3499" s="3" t="s">
        <v>11555</v>
      </c>
      <c r="I3499" s="3" t="s">
        <v>952</v>
      </c>
      <c r="J3499" s="3" t="s">
        <v>953</v>
      </c>
      <c r="K3499" s="3" t="s">
        <v>27</v>
      </c>
      <c r="L3499" s="3" t="s">
        <v>28</v>
      </c>
      <c r="M3499" s="3" t="s">
        <v>28</v>
      </c>
      <c r="N3499" s="3" t="s">
        <v>28</v>
      </c>
      <c r="O3499" s="3" t="s">
        <v>27</v>
      </c>
      <c r="P3499" s="3" t="s">
        <v>27</v>
      </c>
      <c r="Q3499" s="3" t="s">
        <v>27</v>
      </c>
      <c r="R3499" s="3" t="s">
        <v>28</v>
      </c>
      <c r="S3499" s="3" t="s">
        <v>28</v>
      </c>
      <c r="T3499" s="3" t="s">
        <v>27</v>
      </c>
    </row>
    <row r="3500" spans="1:20" ht="305.25">
      <c r="A3500" s="3">
        <v>2660736</v>
      </c>
      <c r="B3500" s="3">
        <f>HYPERLINK("https://platform.v2.vetology.net/cases/2660736/screening-report/6?type=pdf&amp;v=v6&amp;scorecard=1&amp;secret_key=BX%25IJ%24%2F65ieZ%29f6", 2660736)</f>
        <v>2660736</v>
      </c>
      <c r="C3500" s="3">
        <f>HYPERLINK("https://platform.v2.vetology.net/report/v/final/"&amp;2660736, 2660736)</f>
        <v>2660736</v>
      </c>
      <c r="D3500" s="3" t="s">
        <v>11556</v>
      </c>
      <c r="E3500" s="3" t="s">
        <v>4065</v>
      </c>
      <c r="F3500" s="3" t="s">
        <v>1717</v>
      </c>
      <c r="G3500" s="3" t="s">
        <v>186</v>
      </c>
      <c r="H3500" s="3" t="s">
        <v>31</v>
      </c>
      <c r="I3500" s="3" t="s">
        <v>32</v>
      </c>
      <c r="J3500" s="3" t="s">
        <v>33</v>
      </c>
      <c r="K3500" s="3" t="s">
        <v>28</v>
      </c>
      <c r="L3500" s="3" t="s">
        <v>28</v>
      </c>
      <c r="M3500" s="3" t="s">
        <v>28</v>
      </c>
      <c r="N3500" s="3" t="s">
        <v>28</v>
      </c>
      <c r="O3500" s="3" t="s">
        <v>27</v>
      </c>
      <c r="P3500" s="3" t="s">
        <v>28</v>
      </c>
      <c r="Q3500" s="3" t="s">
        <v>28</v>
      </c>
      <c r="R3500" s="3" t="s">
        <v>28</v>
      </c>
      <c r="S3500" s="3" t="s">
        <v>28</v>
      </c>
      <c r="T3500" s="3" t="s">
        <v>28</v>
      </c>
    </row>
    <row r="3501" spans="1:20" ht="305.25">
      <c r="A3501" s="3">
        <v>2660702</v>
      </c>
      <c r="B3501" s="3">
        <f>HYPERLINK("https://platform.v2.vetology.net/cases/2660702/screening-report/6?type=pdf&amp;v=v6&amp;scorecard=1&amp;secret_key=BX%25IJ%24%2F65ieZ%29f6", 2660702)</f>
        <v>2660702</v>
      </c>
      <c r="C3501" s="3">
        <f>HYPERLINK("https://platform.v2.vetology.net/report/v/final/"&amp;2660702, 2660702)</f>
        <v>2660702</v>
      </c>
      <c r="D3501" s="3" t="s">
        <v>11557</v>
      </c>
      <c r="E3501" s="3" t="s">
        <v>11558</v>
      </c>
      <c r="F3501" s="3" t="s">
        <v>9457</v>
      </c>
      <c r="G3501" s="3" t="s">
        <v>179</v>
      </c>
      <c r="H3501" s="3" t="s">
        <v>1597</v>
      </c>
      <c r="I3501" s="3" t="s">
        <v>32</v>
      </c>
      <c r="J3501" s="3" t="s">
        <v>119</v>
      </c>
      <c r="K3501" s="3" t="s">
        <v>28</v>
      </c>
      <c r="L3501" s="3" t="s">
        <v>28</v>
      </c>
      <c r="M3501" s="3" t="s">
        <v>28</v>
      </c>
      <c r="N3501" s="3" t="s">
        <v>28</v>
      </c>
      <c r="O3501" s="3" t="s">
        <v>27</v>
      </c>
      <c r="P3501" s="3" t="s">
        <v>28</v>
      </c>
      <c r="Q3501" s="3" t="s">
        <v>28</v>
      </c>
      <c r="R3501" s="3" t="s">
        <v>28</v>
      </c>
      <c r="S3501" s="3" t="s">
        <v>28</v>
      </c>
      <c r="T3501" s="3" t="s">
        <v>28</v>
      </c>
    </row>
    <row r="3502" spans="1:20" ht="259.5">
      <c r="A3502" s="3">
        <v>2660698</v>
      </c>
      <c r="B3502" s="3">
        <f>HYPERLINK("https://platform.v2.vetology.net/cases/2660698/screening-report/6?type=pdf&amp;v=v6&amp;scorecard=1&amp;secret_key=BX%25IJ%24%2F65ieZ%29f6", 2660698)</f>
        <v>2660698</v>
      </c>
      <c r="C3502" s="3">
        <f>HYPERLINK("https://platform.v2.vetology.net/report/v/final/"&amp;2660698, 2660698)</f>
        <v>2660698</v>
      </c>
      <c r="D3502" s="3" t="s">
        <v>11559</v>
      </c>
      <c r="E3502" s="3" t="s">
        <v>11560</v>
      </c>
      <c r="F3502" s="3" t="s">
        <v>11561</v>
      </c>
      <c r="G3502" s="3" t="s">
        <v>186</v>
      </c>
      <c r="H3502" s="3" t="s">
        <v>135</v>
      </c>
      <c r="I3502" s="3" t="s">
        <v>136</v>
      </c>
      <c r="J3502" s="3" t="s">
        <v>424</v>
      </c>
      <c r="K3502" s="3" t="s">
        <v>28</v>
      </c>
      <c r="L3502" s="3" t="s">
        <v>28</v>
      </c>
      <c r="M3502" s="3" t="s">
        <v>28</v>
      </c>
      <c r="N3502" s="3" t="s">
        <v>28</v>
      </c>
      <c r="O3502" s="3" t="s">
        <v>27</v>
      </c>
      <c r="P3502" s="3" t="s">
        <v>28</v>
      </c>
      <c r="Q3502" s="3" t="s">
        <v>28</v>
      </c>
      <c r="R3502" s="3" t="s">
        <v>28</v>
      </c>
      <c r="S3502" s="3" t="s">
        <v>27</v>
      </c>
      <c r="T3502" s="3" t="s">
        <v>27</v>
      </c>
    </row>
    <row r="3503" spans="1:20" ht="259.5">
      <c r="A3503" s="3">
        <v>2660671</v>
      </c>
      <c r="B3503" s="3">
        <f>HYPERLINK("https://platform.v2.vetology.net/cases/2660671/screening-report/6?type=pdf&amp;v=v6&amp;scorecard=1&amp;secret_key=BX%25IJ%24%2F65ieZ%29f6", 2660671)</f>
        <v>2660671</v>
      </c>
      <c r="C3503" s="3">
        <f>HYPERLINK("https://platform.v2.vetology.net/report/v/final/"&amp;2660671, 2660671)</f>
        <v>2660671</v>
      </c>
      <c r="D3503" s="3" t="s">
        <v>11562</v>
      </c>
      <c r="E3503" s="3" t="s">
        <v>11563</v>
      </c>
      <c r="F3503" s="3" t="s">
        <v>11564</v>
      </c>
      <c r="G3503" s="3" t="s">
        <v>179</v>
      </c>
      <c r="H3503" s="3" t="s">
        <v>3669</v>
      </c>
      <c r="I3503" s="3" t="s">
        <v>136</v>
      </c>
      <c r="J3503" s="3" t="s">
        <v>424</v>
      </c>
      <c r="K3503" s="3" t="s">
        <v>28</v>
      </c>
      <c r="L3503" s="3" t="s">
        <v>28</v>
      </c>
      <c r="M3503" s="3" t="s">
        <v>28</v>
      </c>
      <c r="N3503" s="3" t="s">
        <v>28</v>
      </c>
      <c r="O3503" s="3" t="s">
        <v>27</v>
      </c>
      <c r="P3503" s="3" t="s">
        <v>28</v>
      </c>
      <c r="Q3503" s="3" t="s">
        <v>28</v>
      </c>
      <c r="R3503" s="3" t="s">
        <v>28</v>
      </c>
      <c r="S3503" s="3" t="s">
        <v>28</v>
      </c>
      <c r="T3503" s="3" t="s">
        <v>27</v>
      </c>
    </row>
    <row r="3504" spans="1:20" ht="396.75">
      <c r="A3504" s="3">
        <v>2660630</v>
      </c>
      <c r="B3504" s="3">
        <f>HYPERLINK("https://platform.v2.vetology.net/cases/2660630/screening-report/6?type=pdf&amp;v=v6&amp;scorecard=1&amp;secret_key=BX%25IJ%24%2F65ieZ%29f6", 2660630)</f>
        <v>2660630</v>
      </c>
      <c r="C3504" s="3">
        <f>HYPERLINK("https://platform.v2.vetology.net/report/v/final/"&amp;2660630, 2660630)</f>
        <v>2660630</v>
      </c>
      <c r="D3504" s="3" t="s">
        <v>11565</v>
      </c>
      <c r="E3504" s="3" t="s">
        <v>11566</v>
      </c>
      <c r="F3504" s="3" t="s">
        <v>11567</v>
      </c>
      <c r="G3504" s="3" t="s">
        <v>179</v>
      </c>
      <c r="H3504" s="3" t="s">
        <v>11568</v>
      </c>
      <c r="I3504" s="3" t="s">
        <v>572</v>
      </c>
      <c r="J3504" s="3" t="s">
        <v>573</v>
      </c>
      <c r="K3504" s="3" t="s">
        <v>28</v>
      </c>
      <c r="L3504" s="3" t="s">
        <v>28</v>
      </c>
      <c r="M3504" s="3" t="s">
        <v>28</v>
      </c>
      <c r="N3504" s="3" t="s">
        <v>28</v>
      </c>
      <c r="O3504" s="3" t="s">
        <v>27</v>
      </c>
      <c r="P3504" s="3" t="s">
        <v>28</v>
      </c>
      <c r="Q3504" s="3" t="s">
        <v>28</v>
      </c>
      <c r="R3504" s="3" t="s">
        <v>28</v>
      </c>
      <c r="S3504" s="3" t="s">
        <v>28</v>
      </c>
      <c r="T3504" s="3" t="s">
        <v>28</v>
      </c>
    </row>
    <row r="3505" spans="1:20" ht="409.6">
      <c r="A3505" s="3">
        <v>2660599</v>
      </c>
      <c r="B3505" s="3">
        <f>HYPERLINK("https://platform.v2.vetology.net/cases/2660599/screening-report/6?type=pdf&amp;v=v6&amp;scorecard=1&amp;secret_key=BX%25IJ%24%2F65ieZ%29f6", 2660599)</f>
        <v>2660599</v>
      </c>
      <c r="C3505" s="3">
        <f>HYPERLINK("https://platform.v2.vetology.net/report/v/final/"&amp;2660599, 2660599)</f>
        <v>2660599</v>
      </c>
      <c r="D3505" s="3" t="s">
        <v>11569</v>
      </c>
      <c r="E3505" s="3" t="s">
        <v>11570</v>
      </c>
      <c r="F3505" s="3" t="s">
        <v>7197</v>
      </c>
      <c r="G3505" s="3" t="s">
        <v>496</v>
      </c>
      <c r="H3505" s="3" t="s">
        <v>590</v>
      </c>
      <c r="I3505" s="3" t="s">
        <v>291</v>
      </c>
      <c r="J3505" s="3" t="s">
        <v>225</v>
      </c>
      <c r="K3505" s="3" t="s">
        <v>28</v>
      </c>
      <c r="L3505" s="3" t="s">
        <v>28</v>
      </c>
      <c r="M3505" s="3" t="s">
        <v>28</v>
      </c>
      <c r="N3505" s="3" t="s">
        <v>27</v>
      </c>
      <c r="O3505" s="3" t="s">
        <v>27</v>
      </c>
      <c r="P3505" s="3" t="s">
        <v>28</v>
      </c>
      <c r="Q3505" s="3" t="s">
        <v>28</v>
      </c>
      <c r="R3505" s="3" t="s">
        <v>27</v>
      </c>
      <c r="S3505" s="3" t="s">
        <v>27</v>
      </c>
      <c r="T3505" s="3" t="s">
        <v>27</v>
      </c>
    </row>
    <row r="3506" spans="1:20" ht="275.25">
      <c r="A3506" s="3">
        <v>2660583</v>
      </c>
      <c r="B3506" s="3">
        <f>HYPERLINK("https://platform.v2.vetology.net/cases/2660583/screening-report/6?type=pdf&amp;v=v6&amp;scorecard=1&amp;secret_key=BX%25IJ%24%2F65ieZ%29f6", 2660583)</f>
        <v>2660583</v>
      </c>
      <c r="C3506" s="3">
        <f>HYPERLINK("https://platform.v2.vetology.net/report/v/final/"&amp;2660583, 2660583)</f>
        <v>2660583</v>
      </c>
      <c r="D3506" s="3" t="s">
        <v>11571</v>
      </c>
      <c r="E3506" s="3" t="s">
        <v>11572</v>
      </c>
      <c r="F3506" s="3" t="s">
        <v>11573</v>
      </c>
      <c r="G3506" s="3" t="s">
        <v>179</v>
      </c>
      <c r="H3506" s="3" t="s">
        <v>6011</v>
      </c>
      <c r="I3506" s="3" t="s">
        <v>291</v>
      </c>
      <c r="J3506" s="3" t="s">
        <v>225</v>
      </c>
      <c r="K3506" s="3" t="s">
        <v>28</v>
      </c>
      <c r="L3506" s="3" t="s">
        <v>28</v>
      </c>
      <c r="M3506" s="3" t="s">
        <v>28</v>
      </c>
      <c r="N3506" s="3" t="s">
        <v>27</v>
      </c>
      <c r="O3506" s="3" t="s">
        <v>28</v>
      </c>
      <c r="P3506" s="3" t="s">
        <v>28</v>
      </c>
      <c r="Q3506" s="3" t="s">
        <v>28</v>
      </c>
      <c r="R3506" s="3" t="s">
        <v>27</v>
      </c>
      <c r="S3506" s="3" t="s">
        <v>27</v>
      </c>
      <c r="T3506" s="3" t="s">
        <v>27</v>
      </c>
    </row>
    <row r="3507" spans="1:20" ht="381.75">
      <c r="A3507" s="3">
        <v>2660574</v>
      </c>
      <c r="B3507" s="3">
        <f>HYPERLINK("https://platform.v2.vetology.net/cases/2660574/screening-report/6?type=pdf&amp;v=v6&amp;scorecard=1&amp;secret_key=BX%25IJ%24%2F65ieZ%29f6", 2660574)</f>
        <v>2660574</v>
      </c>
      <c r="C3507" s="3">
        <f>HYPERLINK("https://platform.v2.vetology.net/report/v/final/"&amp;2660574, 2660574)</f>
        <v>2660574</v>
      </c>
      <c r="D3507" s="3" t="s">
        <v>11574</v>
      </c>
      <c r="E3507" s="3" t="s">
        <v>11575</v>
      </c>
      <c r="F3507" s="3" t="s">
        <v>11576</v>
      </c>
      <c r="G3507" s="3" t="s">
        <v>211</v>
      </c>
      <c r="H3507" s="3" t="s">
        <v>11577</v>
      </c>
      <c r="I3507" s="3" t="s">
        <v>1897</v>
      </c>
      <c r="J3507" s="3" t="s">
        <v>325</v>
      </c>
      <c r="K3507" s="3" t="s">
        <v>27</v>
      </c>
      <c r="L3507" s="3" t="s">
        <v>27</v>
      </c>
      <c r="M3507" s="3" t="s">
        <v>28</v>
      </c>
      <c r="N3507" s="3" t="s">
        <v>28</v>
      </c>
      <c r="O3507" s="3" t="s">
        <v>27</v>
      </c>
      <c r="P3507" s="3" t="s">
        <v>27</v>
      </c>
      <c r="Q3507" s="3" t="s">
        <v>27</v>
      </c>
      <c r="R3507" s="3" t="s">
        <v>28</v>
      </c>
      <c r="S3507" s="3" t="s">
        <v>27</v>
      </c>
      <c r="T3507" s="3" t="s">
        <v>27</v>
      </c>
    </row>
    <row r="3508" spans="1:20" ht="366">
      <c r="A3508" s="3">
        <v>2660567</v>
      </c>
      <c r="B3508" s="3">
        <f>HYPERLINK("https://platform.v2.vetology.net/cases/2660567/screening-report/6?type=pdf&amp;v=v6&amp;scorecard=1&amp;secret_key=BX%25IJ%24%2F65ieZ%29f6", 2660567)</f>
        <v>2660567</v>
      </c>
      <c r="C3508" s="3">
        <f>HYPERLINK("https://platform.v2.vetology.net/report/v/final/"&amp;2660567, 2660567)</f>
        <v>2660567</v>
      </c>
      <c r="D3508" s="3" t="s">
        <v>11578</v>
      </c>
      <c r="E3508" s="3" t="s">
        <v>11579</v>
      </c>
      <c r="F3508" s="3" t="s">
        <v>11580</v>
      </c>
      <c r="G3508" s="3" t="s">
        <v>23</v>
      </c>
      <c r="H3508" s="3" t="s">
        <v>2864</v>
      </c>
      <c r="I3508" s="3" t="s">
        <v>993</v>
      </c>
      <c r="J3508" s="3" t="s">
        <v>994</v>
      </c>
      <c r="K3508" s="3" t="s">
        <v>28</v>
      </c>
      <c r="L3508" s="3" t="s">
        <v>28</v>
      </c>
      <c r="M3508" s="3" t="s">
        <v>28</v>
      </c>
      <c r="N3508" s="3" t="s">
        <v>28</v>
      </c>
      <c r="O3508" s="3" t="s">
        <v>28</v>
      </c>
      <c r="P3508" s="3" t="s">
        <v>28</v>
      </c>
      <c r="Q3508" s="3" t="s">
        <v>28</v>
      </c>
      <c r="R3508" s="3" t="s">
        <v>28</v>
      </c>
      <c r="S3508" s="3" t="s">
        <v>28</v>
      </c>
      <c r="T3508" s="3" t="s">
        <v>28</v>
      </c>
    </row>
    <row r="3509" spans="1:20" ht="381.75">
      <c r="A3509" s="3">
        <v>2660563</v>
      </c>
      <c r="B3509" s="3">
        <f>HYPERLINK("https://platform.v2.vetology.net/cases/2660563/screening-report/6?type=pdf&amp;v=v6&amp;scorecard=1&amp;secret_key=BX%25IJ%24%2F65ieZ%29f6", 2660563)</f>
        <v>2660563</v>
      </c>
      <c r="C3509" s="3">
        <f>HYPERLINK("https://platform.v2.vetology.net/report/v/final/"&amp;2660563, 2660563)</f>
        <v>2660563</v>
      </c>
      <c r="D3509" s="3" t="s">
        <v>11581</v>
      </c>
      <c r="E3509" s="3" t="s">
        <v>11582</v>
      </c>
      <c r="F3509" s="3" t="s">
        <v>11583</v>
      </c>
      <c r="G3509" s="3" t="s">
        <v>179</v>
      </c>
      <c r="H3509" s="3" t="s">
        <v>11584</v>
      </c>
      <c r="I3509" s="3" t="s">
        <v>2963</v>
      </c>
      <c r="J3509" s="3" t="s">
        <v>2964</v>
      </c>
      <c r="K3509" s="3" t="s">
        <v>27</v>
      </c>
      <c r="L3509" s="3" t="s">
        <v>28</v>
      </c>
      <c r="M3509" s="3" t="s">
        <v>27</v>
      </c>
      <c r="N3509" s="3" t="s">
        <v>28</v>
      </c>
      <c r="O3509" s="3" t="s">
        <v>27</v>
      </c>
      <c r="P3509" s="3" t="s">
        <v>28</v>
      </c>
      <c r="Q3509" s="3" t="s">
        <v>28</v>
      </c>
      <c r="R3509" s="3" t="s">
        <v>28</v>
      </c>
      <c r="S3509" s="3" t="s">
        <v>28</v>
      </c>
      <c r="T3509" s="3" t="s">
        <v>28</v>
      </c>
    </row>
    <row r="3510" spans="1:20" ht="321">
      <c r="A3510" s="3">
        <v>2660473</v>
      </c>
      <c r="B3510" s="3">
        <f>HYPERLINK("https://platform.v2.vetology.net/cases/2660473/screening-report/6?type=pdf&amp;v=v6&amp;scorecard=1&amp;secret_key=BX%25IJ%24%2F65ieZ%29f6", 2660473)</f>
        <v>2660473</v>
      </c>
      <c r="C3510" s="3">
        <f>HYPERLINK("https://platform.v2.vetology.net/report/v/final/"&amp;2660473, 2660473)</f>
        <v>2660473</v>
      </c>
      <c r="D3510" s="3" t="s">
        <v>11585</v>
      </c>
      <c r="E3510" s="3" t="s">
        <v>11586</v>
      </c>
      <c r="F3510" s="3" t="s">
        <v>11587</v>
      </c>
      <c r="G3510" s="3" t="s">
        <v>186</v>
      </c>
      <c r="H3510" s="3" t="s">
        <v>11588</v>
      </c>
      <c r="I3510" s="3" t="s">
        <v>3619</v>
      </c>
      <c r="J3510" s="3" t="s">
        <v>3620</v>
      </c>
      <c r="K3510" s="3" t="s">
        <v>28</v>
      </c>
      <c r="L3510" s="3" t="s">
        <v>28</v>
      </c>
      <c r="M3510" s="3" t="s">
        <v>27</v>
      </c>
      <c r="N3510" s="3" t="s">
        <v>28</v>
      </c>
      <c r="O3510" s="3" t="s">
        <v>27</v>
      </c>
      <c r="P3510" s="3" t="s">
        <v>28</v>
      </c>
      <c r="Q3510" s="3" t="s">
        <v>27</v>
      </c>
      <c r="R3510" s="3" t="s">
        <v>27</v>
      </c>
      <c r="S3510" s="3" t="s">
        <v>27</v>
      </c>
      <c r="T3510" s="3" t="s">
        <v>27</v>
      </c>
    </row>
    <row r="3511" spans="1:20" ht="409.6">
      <c r="A3511" s="3">
        <v>2660462</v>
      </c>
      <c r="B3511" s="3">
        <f>HYPERLINK("https://platform.v2.vetology.net/cases/2660462/screening-report/6?type=pdf&amp;v=v6&amp;scorecard=1&amp;secret_key=BX%25IJ%24%2F65ieZ%29f6", 2660462)</f>
        <v>2660462</v>
      </c>
      <c r="C3511" s="3">
        <f>HYPERLINK("https://platform.v2.vetology.net/report/v/final/"&amp;2660462, 2660462)</f>
        <v>2660462</v>
      </c>
      <c r="D3511" s="3" t="s">
        <v>11589</v>
      </c>
      <c r="E3511" s="3" t="s">
        <v>11590</v>
      </c>
      <c r="F3511" s="3" t="s">
        <v>11591</v>
      </c>
      <c r="G3511" s="3" t="s">
        <v>736</v>
      </c>
      <c r="H3511" s="3" t="s">
        <v>11592</v>
      </c>
      <c r="I3511" s="3" t="s">
        <v>5654</v>
      </c>
      <c r="J3511" s="3" t="s">
        <v>5655</v>
      </c>
      <c r="K3511" s="3" t="s">
        <v>28</v>
      </c>
      <c r="L3511" s="3" t="s">
        <v>28</v>
      </c>
      <c r="M3511" s="3" t="s">
        <v>28</v>
      </c>
      <c r="N3511" s="3" t="s">
        <v>28</v>
      </c>
      <c r="O3511" s="3" t="s">
        <v>27</v>
      </c>
      <c r="P3511" s="3" t="s">
        <v>28</v>
      </c>
      <c r="Q3511" s="3" t="s">
        <v>27</v>
      </c>
      <c r="R3511" s="3" t="s">
        <v>27</v>
      </c>
      <c r="S3511" s="3" t="s">
        <v>27</v>
      </c>
      <c r="T3511" s="3" t="s">
        <v>27</v>
      </c>
    </row>
    <row r="3512" spans="1:20" ht="409.6">
      <c r="A3512" s="3">
        <v>2660427</v>
      </c>
      <c r="B3512" s="3">
        <f>HYPERLINK("https://platform.v2.vetology.net/cases/2660427/screening-report/6?type=pdf&amp;v=v6&amp;scorecard=1&amp;secret_key=BX%25IJ%24%2F65ieZ%29f6", 2660427)</f>
        <v>2660427</v>
      </c>
      <c r="C3512" s="3">
        <f>HYPERLINK("https://platform.v2.vetology.net/report/v/final/"&amp;2660427, 2660427)</f>
        <v>2660427</v>
      </c>
      <c r="D3512" s="3" t="s">
        <v>11593</v>
      </c>
      <c r="E3512" s="3" t="s">
        <v>11594</v>
      </c>
      <c r="F3512" s="3" t="s">
        <v>11595</v>
      </c>
      <c r="G3512" s="3" t="s">
        <v>1772</v>
      </c>
      <c r="H3512" s="3" t="s">
        <v>11596</v>
      </c>
      <c r="I3512" s="3" t="s">
        <v>1491</v>
      </c>
      <c r="J3512" s="3" t="s">
        <v>1492</v>
      </c>
      <c r="K3512" s="3" t="s">
        <v>28</v>
      </c>
      <c r="L3512" s="3" t="s">
        <v>28</v>
      </c>
      <c r="M3512" s="3" t="s">
        <v>28</v>
      </c>
      <c r="N3512" s="3" t="s">
        <v>28</v>
      </c>
      <c r="O3512" s="3" t="s">
        <v>28</v>
      </c>
      <c r="P3512" s="3" t="s">
        <v>28</v>
      </c>
      <c r="Q3512" s="3" t="s">
        <v>28</v>
      </c>
      <c r="R3512" s="3" t="s">
        <v>28</v>
      </c>
      <c r="S3512" s="3" t="s">
        <v>27</v>
      </c>
      <c r="T3512" s="3" t="s">
        <v>27</v>
      </c>
    </row>
    <row r="3513" spans="1:20" ht="290.25">
      <c r="A3513" s="3">
        <v>2660419</v>
      </c>
      <c r="B3513" s="3">
        <f>HYPERLINK("https://platform.v2.vetology.net/cases/2660419/screening-report/6?type=pdf&amp;v=v6&amp;scorecard=1&amp;secret_key=BX%25IJ%24%2F65ieZ%29f6", 2660419)</f>
        <v>2660419</v>
      </c>
      <c r="C3513" s="3">
        <f>HYPERLINK("https://platform.v2.vetology.net/report/v/final/"&amp;2660419, 2660419)</f>
        <v>2660419</v>
      </c>
      <c r="D3513" s="3" t="s">
        <v>11597</v>
      </c>
      <c r="E3513" s="3" t="s">
        <v>11598</v>
      </c>
      <c r="F3513" s="3" t="s">
        <v>11599</v>
      </c>
      <c r="G3513" s="3" t="s">
        <v>496</v>
      </c>
      <c r="H3513" s="3" t="s">
        <v>5676</v>
      </c>
      <c r="I3513" s="3" t="s">
        <v>316</v>
      </c>
      <c r="J3513" s="3" t="s">
        <v>317</v>
      </c>
      <c r="K3513" s="3" t="s">
        <v>27</v>
      </c>
      <c r="L3513" s="3" t="s">
        <v>28</v>
      </c>
      <c r="M3513" s="3" t="s">
        <v>28</v>
      </c>
      <c r="N3513" s="3" t="s">
        <v>28</v>
      </c>
      <c r="O3513" s="3" t="s">
        <v>27</v>
      </c>
      <c r="P3513" s="3" t="s">
        <v>28</v>
      </c>
      <c r="Q3513" s="3" t="s">
        <v>28</v>
      </c>
      <c r="R3513" s="3" t="s">
        <v>28</v>
      </c>
      <c r="S3513" s="3" t="s">
        <v>28</v>
      </c>
      <c r="T3513" s="3" t="s">
        <v>28</v>
      </c>
    </row>
    <row r="3514" spans="1:20" ht="409.6">
      <c r="A3514" s="3">
        <v>2660356</v>
      </c>
      <c r="B3514" s="3">
        <f>HYPERLINK("https://platform.v2.vetology.net/cases/2660356/screening-report/6?type=pdf&amp;v=v6&amp;scorecard=1&amp;secret_key=BX%25IJ%24%2F65ieZ%29f6", 2660356)</f>
        <v>2660356</v>
      </c>
      <c r="C3514" s="3">
        <f>HYPERLINK("https://platform.v2.vetology.net/report/v/final/"&amp;2660356, 2660356)</f>
        <v>2660356</v>
      </c>
      <c r="D3514" s="3" t="s">
        <v>11600</v>
      </c>
      <c r="E3514" s="3" t="s">
        <v>11601</v>
      </c>
      <c r="F3514" s="3" t="s">
        <v>1762</v>
      </c>
      <c r="G3514" s="3" t="s">
        <v>100</v>
      </c>
      <c r="H3514" s="3" t="s">
        <v>9528</v>
      </c>
      <c r="I3514" s="3" t="s">
        <v>89</v>
      </c>
      <c r="J3514" s="3" t="s">
        <v>90</v>
      </c>
      <c r="K3514" s="3" t="s">
        <v>27</v>
      </c>
      <c r="L3514" s="3" t="s">
        <v>28</v>
      </c>
      <c r="M3514" s="3" t="s">
        <v>28</v>
      </c>
      <c r="N3514" s="3" t="s">
        <v>28</v>
      </c>
      <c r="O3514" s="3" t="s">
        <v>27</v>
      </c>
      <c r="P3514" s="3" t="s">
        <v>28</v>
      </c>
      <c r="Q3514" s="3" t="s">
        <v>28</v>
      </c>
      <c r="R3514" s="3" t="s">
        <v>28</v>
      </c>
      <c r="S3514" s="3" t="s">
        <v>28</v>
      </c>
      <c r="T3514" s="3" t="s">
        <v>28</v>
      </c>
    </row>
    <row r="3515" spans="1:20" ht="409.6">
      <c r="A3515" s="3">
        <v>2660282</v>
      </c>
      <c r="B3515" s="3">
        <f>HYPERLINK("https://platform.v2.vetology.net/cases/2660282/screening-report/6?type=pdf&amp;v=v6&amp;scorecard=1&amp;secret_key=BX%25IJ%24%2F65ieZ%29f6", 2660282)</f>
        <v>2660282</v>
      </c>
      <c r="C3515" s="3">
        <f>HYPERLINK("https://platform.v2.vetology.net/report/v/final/"&amp;2660282, 2660282)</f>
        <v>2660282</v>
      </c>
      <c r="D3515" s="3" t="s">
        <v>11602</v>
      </c>
      <c r="E3515" s="3" t="s">
        <v>11603</v>
      </c>
      <c r="F3515" s="3" t="s">
        <v>1377</v>
      </c>
      <c r="G3515" s="3" t="s">
        <v>186</v>
      </c>
      <c r="H3515" s="3" t="s">
        <v>11604</v>
      </c>
      <c r="I3515" s="3" t="s">
        <v>357</v>
      </c>
      <c r="J3515" s="3" t="s">
        <v>7497</v>
      </c>
      <c r="K3515" s="3" t="s">
        <v>28</v>
      </c>
      <c r="L3515" s="3" t="s">
        <v>28</v>
      </c>
      <c r="M3515" s="3" t="s">
        <v>28</v>
      </c>
      <c r="N3515" s="3" t="s">
        <v>28</v>
      </c>
      <c r="O3515" s="3" t="s">
        <v>28</v>
      </c>
      <c r="P3515" s="3" t="s">
        <v>28</v>
      </c>
      <c r="Q3515" s="3" t="s">
        <v>28</v>
      </c>
      <c r="R3515" s="3" t="s">
        <v>28</v>
      </c>
      <c r="S3515" s="3" t="s">
        <v>28</v>
      </c>
      <c r="T3515" s="3" t="s">
        <v>27</v>
      </c>
    </row>
    <row r="3516" spans="1:20" ht="409.6">
      <c r="A3516" s="3">
        <v>2660234</v>
      </c>
      <c r="B3516" s="3">
        <f>HYPERLINK("https://platform.v2.vetology.net/cases/2660234/screening-report/6?type=pdf&amp;v=v6&amp;scorecard=1&amp;secret_key=BX%25IJ%24%2F65ieZ%29f6", 2660234)</f>
        <v>2660234</v>
      </c>
      <c r="C3516" s="3">
        <f>HYPERLINK("https://platform.v2.vetology.net/report/v/final/"&amp;2660234, 2660234)</f>
        <v>2660234</v>
      </c>
      <c r="D3516" s="3" t="s">
        <v>11605</v>
      </c>
      <c r="E3516" s="3" t="s">
        <v>11606</v>
      </c>
      <c r="F3516" s="3" t="s">
        <v>11607</v>
      </c>
      <c r="G3516" s="3" t="s">
        <v>186</v>
      </c>
      <c r="H3516" s="3" t="s">
        <v>11608</v>
      </c>
      <c r="I3516" s="3" t="s">
        <v>1497</v>
      </c>
      <c r="J3516" s="3" t="s">
        <v>1340</v>
      </c>
      <c r="K3516" s="3" t="s">
        <v>28</v>
      </c>
      <c r="L3516" s="3" t="s">
        <v>28</v>
      </c>
      <c r="M3516" s="3" t="s">
        <v>28</v>
      </c>
      <c r="N3516" s="3" t="s">
        <v>28</v>
      </c>
      <c r="O3516" s="3" t="s">
        <v>27</v>
      </c>
      <c r="P3516" s="3" t="s">
        <v>28</v>
      </c>
      <c r="Q3516" s="3" t="s">
        <v>27</v>
      </c>
      <c r="R3516" s="3" t="s">
        <v>28</v>
      </c>
      <c r="S3516" s="3" t="s">
        <v>28</v>
      </c>
      <c r="T3516" s="3" t="s">
        <v>28</v>
      </c>
    </row>
    <row r="3517" spans="1:20" ht="409.6">
      <c r="A3517" s="3">
        <v>2660213</v>
      </c>
      <c r="B3517" s="3">
        <f>HYPERLINK("https://platform.v2.vetology.net/cases/2660213/screening-report/6?type=pdf&amp;v=v6&amp;scorecard=1&amp;secret_key=BX%25IJ%24%2F65ieZ%29f6", 2660213)</f>
        <v>2660213</v>
      </c>
      <c r="C3517" s="3">
        <f>HYPERLINK("https://platform.v2.vetology.net/report/v/final/"&amp;2660213, 2660213)</f>
        <v>2660213</v>
      </c>
      <c r="D3517" s="3" t="s">
        <v>11609</v>
      </c>
      <c r="E3517" s="3" t="s">
        <v>11610</v>
      </c>
      <c r="F3517" s="3" t="s">
        <v>11611</v>
      </c>
      <c r="G3517" s="3" t="s">
        <v>186</v>
      </c>
      <c r="H3517" s="3" t="s">
        <v>11612</v>
      </c>
      <c r="I3517" s="3" t="s">
        <v>279</v>
      </c>
      <c r="J3517" s="3" t="s">
        <v>280</v>
      </c>
      <c r="K3517" s="3" t="s">
        <v>28</v>
      </c>
      <c r="L3517" s="3" t="s">
        <v>28</v>
      </c>
      <c r="M3517" s="3" t="s">
        <v>28</v>
      </c>
      <c r="N3517" s="3" t="s">
        <v>28</v>
      </c>
      <c r="O3517" s="3" t="s">
        <v>28</v>
      </c>
      <c r="P3517" s="3" t="s">
        <v>28</v>
      </c>
      <c r="Q3517" s="3" t="s">
        <v>28</v>
      </c>
      <c r="R3517" s="3" t="s">
        <v>28</v>
      </c>
      <c r="S3517" s="3" t="s">
        <v>28</v>
      </c>
      <c r="T3517" s="3" t="s">
        <v>27</v>
      </c>
    </row>
    <row r="3518" spans="1:20" ht="336">
      <c r="A3518" s="3">
        <v>2660197</v>
      </c>
      <c r="B3518" s="3">
        <f>HYPERLINK("https://platform.v2.vetology.net/cases/2660197/screening-report/6?type=pdf&amp;v=v6&amp;scorecard=1&amp;secret_key=BX%25IJ%24%2F65ieZ%29f6", 2660197)</f>
        <v>2660197</v>
      </c>
      <c r="C3518" s="3">
        <f>HYPERLINK("https://platform.v2.vetology.net/report/v/final/"&amp;2660197, 2660197)</f>
        <v>2660197</v>
      </c>
      <c r="D3518" s="3" t="s">
        <v>11613</v>
      </c>
      <c r="E3518" s="3" t="s">
        <v>11614</v>
      </c>
      <c r="F3518" s="3" t="s">
        <v>11615</v>
      </c>
      <c r="G3518" s="3" t="s">
        <v>100</v>
      </c>
      <c r="H3518" s="3" t="s">
        <v>123</v>
      </c>
      <c r="I3518" s="3" t="s">
        <v>124</v>
      </c>
      <c r="J3518" s="3" t="s">
        <v>125</v>
      </c>
      <c r="K3518" s="3" t="s">
        <v>27</v>
      </c>
      <c r="L3518" s="3" t="s">
        <v>28</v>
      </c>
      <c r="M3518" s="3" t="s">
        <v>27</v>
      </c>
      <c r="N3518" s="3" t="s">
        <v>28</v>
      </c>
      <c r="O3518" s="3" t="s">
        <v>27</v>
      </c>
      <c r="P3518" s="3" t="s">
        <v>28</v>
      </c>
      <c r="Q3518" s="3" t="s">
        <v>27</v>
      </c>
      <c r="R3518" s="3" t="s">
        <v>28</v>
      </c>
      <c r="S3518" s="3" t="s">
        <v>28</v>
      </c>
      <c r="T3518" s="3" t="s">
        <v>28</v>
      </c>
    </row>
    <row r="3519" spans="1:20" ht="366">
      <c r="A3519" s="3">
        <v>2660074</v>
      </c>
      <c r="B3519" s="3">
        <f>HYPERLINK("https://platform.v2.vetology.net/cases/2660074/screening-report/6?type=pdf&amp;v=v6&amp;scorecard=1&amp;secret_key=BX%25IJ%24%2F65ieZ%29f6", 2660074)</f>
        <v>2660074</v>
      </c>
      <c r="C3519" s="3">
        <f>HYPERLINK("https://platform.v2.vetology.net/report/v/final/"&amp;2660074, 2660074)</f>
        <v>2660074</v>
      </c>
      <c r="D3519" s="3" t="s">
        <v>11616</v>
      </c>
      <c r="E3519" s="3" t="s">
        <v>11617</v>
      </c>
      <c r="F3519" s="3" t="s">
        <v>22</v>
      </c>
      <c r="G3519" s="3" t="s">
        <v>23</v>
      </c>
      <c r="H3519" s="3" t="s">
        <v>7426</v>
      </c>
      <c r="I3519" s="3" t="s">
        <v>2565</v>
      </c>
      <c r="J3519" s="3" t="s">
        <v>2566</v>
      </c>
      <c r="K3519" s="3" t="s">
        <v>27</v>
      </c>
      <c r="L3519" s="3" t="s">
        <v>27</v>
      </c>
      <c r="M3519" s="3" t="s">
        <v>28</v>
      </c>
      <c r="N3519" s="3" t="s">
        <v>27</v>
      </c>
      <c r="O3519" s="3" t="s">
        <v>27</v>
      </c>
      <c r="P3519" s="3" t="s">
        <v>28</v>
      </c>
      <c r="Q3519" s="3" t="s">
        <v>27</v>
      </c>
      <c r="R3519" s="3" t="s">
        <v>27</v>
      </c>
      <c r="S3519" s="3" t="s">
        <v>27</v>
      </c>
      <c r="T3519" s="3" t="s">
        <v>27</v>
      </c>
    </row>
    <row r="3520" spans="1:20" ht="409.6">
      <c r="A3520" s="3">
        <v>2660067</v>
      </c>
      <c r="B3520" s="3">
        <f>HYPERLINK("https://platform.v2.vetology.net/cases/2660067/screening-report/6?type=pdf&amp;v=v6&amp;scorecard=1&amp;secret_key=BX%25IJ%24%2F65ieZ%29f6", 2660067)</f>
        <v>2660067</v>
      </c>
      <c r="C3520" s="3">
        <f>HYPERLINK("https://platform.v2.vetology.net/report/v/final/"&amp;2660067, 2660067)</f>
        <v>2660067</v>
      </c>
      <c r="D3520" s="3" t="s">
        <v>11618</v>
      </c>
      <c r="E3520" s="3" t="s">
        <v>11619</v>
      </c>
      <c r="F3520" s="3" t="s">
        <v>11620</v>
      </c>
      <c r="G3520" s="3" t="s">
        <v>179</v>
      </c>
      <c r="H3520" s="3" t="s">
        <v>1123</v>
      </c>
      <c r="I3520" s="3" t="s">
        <v>1124</v>
      </c>
      <c r="J3520" s="3" t="s">
        <v>1125</v>
      </c>
      <c r="K3520" s="3" t="s">
        <v>27</v>
      </c>
      <c r="L3520" s="3" t="s">
        <v>27</v>
      </c>
      <c r="M3520" s="3" t="s">
        <v>27</v>
      </c>
      <c r="N3520" s="3" t="s">
        <v>27</v>
      </c>
      <c r="O3520" s="3" t="s">
        <v>27</v>
      </c>
      <c r="P3520" s="3" t="s">
        <v>28</v>
      </c>
      <c r="Q3520" s="3" t="s">
        <v>27</v>
      </c>
      <c r="R3520" s="3" t="s">
        <v>27</v>
      </c>
      <c r="S3520" s="3" t="s">
        <v>27</v>
      </c>
      <c r="T3520" s="3" t="s">
        <v>28</v>
      </c>
    </row>
    <row r="3521" spans="1:20" ht="305.25">
      <c r="A3521" s="3">
        <v>2660056</v>
      </c>
      <c r="B3521" s="3">
        <f>HYPERLINK("https://platform.v2.vetology.net/cases/2660056/screening-report/6?type=pdf&amp;v=v6&amp;scorecard=1&amp;secret_key=BX%25IJ%24%2F65ieZ%29f6", 2660056)</f>
        <v>2660056</v>
      </c>
      <c r="C3521" s="3">
        <f>HYPERLINK("https://platform.v2.vetology.net/report/v/final/"&amp;2660056, 2660056)</f>
        <v>2660056</v>
      </c>
      <c r="D3521" s="3" t="s">
        <v>11621</v>
      </c>
      <c r="E3521" s="3" t="s">
        <v>11622</v>
      </c>
      <c r="F3521" s="3" t="s">
        <v>22</v>
      </c>
      <c r="G3521" s="3" t="s">
        <v>23</v>
      </c>
      <c r="H3521" s="3" t="s">
        <v>11623</v>
      </c>
      <c r="I3521" s="3" t="s">
        <v>7903</v>
      </c>
      <c r="J3521" s="3" t="s">
        <v>7904</v>
      </c>
      <c r="K3521" s="3" t="s">
        <v>27</v>
      </c>
      <c r="L3521" s="3" t="s">
        <v>27</v>
      </c>
      <c r="M3521" s="3" t="s">
        <v>27</v>
      </c>
      <c r="N3521" s="3" t="s">
        <v>28</v>
      </c>
      <c r="O3521" s="3" t="s">
        <v>27</v>
      </c>
      <c r="P3521" s="3" t="s">
        <v>28</v>
      </c>
      <c r="Q3521" s="3" t="s">
        <v>27</v>
      </c>
      <c r="R3521" s="3" t="s">
        <v>28</v>
      </c>
      <c r="S3521" s="3" t="s">
        <v>28</v>
      </c>
      <c r="T3521" s="3" t="s">
        <v>28</v>
      </c>
    </row>
    <row r="3522" spans="1:20" ht="409.6">
      <c r="A3522" s="3">
        <v>2660033</v>
      </c>
      <c r="B3522" s="3">
        <f>HYPERLINK("https://platform.v2.vetology.net/cases/2660033/screening-report/6?type=pdf&amp;v=v6&amp;scorecard=1&amp;secret_key=BX%25IJ%24%2F65ieZ%29f6", 2660033)</f>
        <v>2660033</v>
      </c>
      <c r="C3522" s="3">
        <f>HYPERLINK("https://platform.v2.vetology.net/report/v/final/"&amp;2660033, 2660033)</f>
        <v>2660033</v>
      </c>
      <c r="D3522" s="3" t="s">
        <v>11624</v>
      </c>
      <c r="E3522" s="3" t="s">
        <v>11625</v>
      </c>
      <c r="F3522" s="3" t="s">
        <v>11626</v>
      </c>
      <c r="G3522" s="3" t="s">
        <v>100</v>
      </c>
      <c r="H3522" s="3" t="s">
        <v>11627</v>
      </c>
      <c r="I3522" s="3" t="s">
        <v>693</v>
      </c>
      <c r="J3522" s="3" t="s">
        <v>335</v>
      </c>
      <c r="K3522" s="3" t="s">
        <v>28</v>
      </c>
      <c r="L3522" s="3" t="s">
        <v>28</v>
      </c>
      <c r="M3522" s="3" t="s">
        <v>28</v>
      </c>
      <c r="N3522" s="3" t="s">
        <v>28</v>
      </c>
      <c r="O3522" s="3" t="s">
        <v>28</v>
      </c>
      <c r="P3522" s="3" t="s">
        <v>28</v>
      </c>
      <c r="Q3522" s="3" t="s">
        <v>28</v>
      </c>
      <c r="R3522" s="3" t="s">
        <v>28</v>
      </c>
      <c r="S3522" s="3" t="s">
        <v>28</v>
      </c>
      <c r="T3522" s="3" t="s">
        <v>28</v>
      </c>
    </row>
    <row r="3523" spans="1:20" ht="396.75">
      <c r="A3523" s="3">
        <v>2660029</v>
      </c>
      <c r="B3523" s="3">
        <f>HYPERLINK("https://platform.v2.vetology.net/cases/2660029/screening-report/6?type=pdf&amp;v=v6&amp;scorecard=1&amp;secret_key=BX%25IJ%24%2F65ieZ%29f6", 2660029)</f>
        <v>2660029</v>
      </c>
      <c r="C3523" s="3">
        <f>HYPERLINK("https://platform.v2.vetology.net/report/v/final/"&amp;2660029, 2660029)</f>
        <v>2660029</v>
      </c>
      <c r="D3523" s="3" t="s">
        <v>11628</v>
      </c>
      <c r="E3523" s="3" t="s">
        <v>11629</v>
      </c>
      <c r="F3523" s="3" t="s">
        <v>11630</v>
      </c>
      <c r="G3523" s="3" t="s">
        <v>100</v>
      </c>
      <c r="H3523" s="3" t="s">
        <v>2503</v>
      </c>
      <c r="I3523" s="3" t="s">
        <v>572</v>
      </c>
      <c r="J3523" s="3" t="s">
        <v>573</v>
      </c>
      <c r="K3523" s="3" t="s">
        <v>27</v>
      </c>
      <c r="L3523" s="3" t="s">
        <v>28</v>
      </c>
      <c r="M3523" s="3" t="s">
        <v>28</v>
      </c>
      <c r="N3523" s="3" t="s">
        <v>28</v>
      </c>
      <c r="O3523" s="3" t="s">
        <v>27</v>
      </c>
      <c r="P3523" s="3" t="s">
        <v>28</v>
      </c>
      <c r="Q3523" s="3" t="s">
        <v>27</v>
      </c>
      <c r="R3523" s="3" t="s">
        <v>28</v>
      </c>
      <c r="S3523" s="3" t="s">
        <v>28</v>
      </c>
      <c r="T3523" s="3" t="s">
        <v>28</v>
      </c>
    </row>
    <row r="3524" spans="1:20" ht="336">
      <c r="A3524" s="3">
        <v>2660012</v>
      </c>
      <c r="B3524" s="3">
        <f>HYPERLINK("https://platform.v2.vetology.net/cases/2660012/screening-report/6?type=pdf&amp;v=v6&amp;scorecard=1&amp;secret_key=BX%25IJ%24%2F65ieZ%29f6", 2660012)</f>
        <v>2660012</v>
      </c>
      <c r="C3524" s="3">
        <f>HYPERLINK("https://platform.v2.vetology.net/report/v/final/"&amp;2660012, 2660012)</f>
        <v>2660012</v>
      </c>
      <c r="D3524" s="3" t="s">
        <v>11631</v>
      </c>
      <c r="E3524" s="3" t="s">
        <v>11632</v>
      </c>
      <c r="F3524" s="3" t="s">
        <v>22</v>
      </c>
      <c r="G3524" s="3" t="s">
        <v>100</v>
      </c>
      <c r="H3524" s="3" t="s">
        <v>2505</v>
      </c>
      <c r="I3524" s="3" t="s">
        <v>2506</v>
      </c>
      <c r="J3524" s="3" t="s">
        <v>2507</v>
      </c>
      <c r="K3524" s="3" t="s">
        <v>27</v>
      </c>
      <c r="L3524" s="3" t="s">
        <v>28</v>
      </c>
      <c r="M3524" s="3" t="s">
        <v>27</v>
      </c>
      <c r="N3524" s="3" t="s">
        <v>28</v>
      </c>
      <c r="O3524" s="3" t="s">
        <v>27</v>
      </c>
      <c r="P3524" s="3" t="s">
        <v>27</v>
      </c>
      <c r="Q3524" s="3" t="s">
        <v>27</v>
      </c>
      <c r="R3524" s="3" t="s">
        <v>28</v>
      </c>
      <c r="S3524" s="3" t="s">
        <v>27</v>
      </c>
      <c r="T3524" s="3" t="s">
        <v>28</v>
      </c>
    </row>
    <row r="3525" spans="1:20" ht="409.6">
      <c r="A3525" s="3">
        <v>2659994</v>
      </c>
      <c r="B3525" s="3">
        <f>HYPERLINK("https://platform.v2.vetology.net/cases/2659994/screening-report/6?type=pdf&amp;v=v6&amp;scorecard=1&amp;secret_key=BX%25IJ%24%2F65ieZ%29f6", 2659994)</f>
        <v>2659994</v>
      </c>
      <c r="C3525" s="3">
        <f>HYPERLINK("https://platform.v2.vetology.net/report/v/final/"&amp;2659994, 2659994)</f>
        <v>2659994</v>
      </c>
      <c r="D3525" s="3" t="s">
        <v>11633</v>
      </c>
      <c r="E3525" s="3" t="s">
        <v>11634</v>
      </c>
      <c r="F3525" s="3" t="s">
        <v>11635</v>
      </c>
      <c r="G3525" s="3" t="s">
        <v>372</v>
      </c>
      <c r="H3525" s="3" t="s">
        <v>11636</v>
      </c>
      <c r="I3525" s="3" t="s">
        <v>724</v>
      </c>
      <c r="J3525" s="3" t="s">
        <v>725</v>
      </c>
      <c r="K3525" s="3" t="s">
        <v>28</v>
      </c>
      <c r="L3525" s="3" t="s">
        <v>28</v>
      </c>
      <c r="M3525" s="3" t="s">
        <v>28</v>
      </c>
      <c r="N3525" s="3" t="s">
        <v>28</v>
      </c>
      <c r="O3525" s="3" t="s">
        <v>27</v>
      </c>
      <c r="P3525" s="3" t="s">
        <v>27</v>
      </c>
      <c r="Q3525" s="3" t="s">
        <v>28</v>
      </c>
      <c r="R3525" s="3" t="s">
        <v>28</v>
      </c>
      <c r="S3525" s="3" t="s">
        <v>28</v>
      </c>
      <c r="T3525" s="3" t="s">
        <v>28</v>
      </c>
    </row>
    <row r="3526" spans="1:20" ht="259.5">
      <c r="A3526" s="3">
        <v>2659965</v>
      </c>
      <c r="B3526" s="3">
        <f>HYPERLINK("https://platform.v2.vetology.net/cases/2659965/screening-report/6?type=pdf&amp;v=v6&amp;scorecard=1&amp;secret_key=BX%25IJ%24%2F65ieZ%29f6", 2659965)</f>
        <v>2659965</v>
      </c>
      <c r="C3526" s="3">
        <f>HYPERLINK("https://platform.v2.vetology.net/report/v/final/"&amp;2659965, 2659965)</f>
        <v>2659965</v>
      </c>
      <c r="D3526" s="3" t="s">
        <v>11637</v>
      </c>
      <c r="E3526" s="3" t="s">
        <v>11638</v>
      </c>
      <c r="F3526" s="3" t="s">
        <v>22</v>
      </c>
      <c r="G3526" s="3" t="s">
        <v>100</v>
      </c>
      <c r="H3526" s="3" t="s">
        <v>3343</v>
      </c>
      <c r="I3526" s="3" t="s">
        <v>136</v>
      </c>
      <c r="J3526" s="3" t="s">
        <v>424</v>
      </c>
      <c r="K3526" s="3" t="s">
        <v>28</v>
      </c>
      <c r="L3526" s="3" t="s">
        <v>28</v>
      </c>
      <c r="M3526" s="3" t="s">
        <v>28</v>
      </c>
      <c r="N3526" s="3" t="s">
        <v>28</v>
      </c>
      <c r="O3526" s="3" t="s">
        <v>27</v>
      </c>
      <c r="P3526" s="3" t="s">
        <v>28</v>
      </c>
      <c r="Q3526" s="3" t="s">
        <v>28</v>
      </c>
      <c r="R3526" s="3" t="s">
        <v>28</v>
      </c>
      <c r="S3526" s="3" t="s">
        <v>28</v>
      </c>
      <c r="T3526" s="3" t="s">
        <v>27</v>
      </c>
    </row>
    <row r="3527" spans="1:20" ht="409.6">
      <c r="A3527" s="3">
        <v>2659956</v>
      </c>
      <c r="B3527" s="3">
        <f>HYPERLINK("https://platform.v2.vetology.net/cases/2659956/screening-report/6?type=pdf&amp;v=v6&amp;scorecard=1&amp;secret_key=BX%25IJ%24%2F65ieZ%29f6", 2659956)</f>
        <v>2659956</v>
      </c>
      <c r="C3527" s="3">
        <f>HYPERLINK("https://platform.v2.vetology.net/report/v/final/"&amp;2659956, 2659956)</f>
        <v>2659956</v>
      </c>
      <c r="D3527" s="3" t="s">
        <v>11639</v>
      </c>
      <c r="E3527" s="3" t="s">
        <v>11640</v>
      </c>
      <c r="F3527" s="3" t="s">
        <v>11641</v>
      </c>
      <c r="G3527" s="3" t="s">
        <v>57</v>
      </c>
      <c r="H3527" s="3" t="s">
        <v>295</v>
      </c>
      <c r="I3527" s="3" t="s">
        <v>32</v>
      </c>
      <c r="J3527" s="3" t="s">
        <v>33</v>
      </c>
      <c r="K3527" s="3" t="s">
        <v>28</v>
      </c>
      <c r="L3527" s="3" t="s">
        <v>28</v>
      </c>
      <c r="M3527" s="3" t="s">
        <v>28</v>
      </c>
      <c r="N3527" s="3" t="s">
        <v>28</v>
      </c>
      <c r="O3527" s="3" t="s">
        <v>27</v>
      </c>
      <c r="P3527" s="3" t="s">
        <v>28</v>
      </c>
      <c r="Q3527" s="3" t="s">
        <v>28</v>
      </c>
      <c r="R3527" s="3" t="s">
        <v>28</v>
      </c>
      <c r="S3527" s="3" t="s">
        <v>28</v>
      </c>
      <c r="T3527" s="3" t="s">
        <v>28</v>
      </c>
    </row>
    <row r="3528" spans="1:20" ht="381.75">
      <c r="A3528" s="3">
        <v>2659948</v>
      </c>
      <c r="B3528" s="3">
        <f>HYPERLINK("https://platform.v2.vetology.net/cases/2659948/screening-report/6?type=pdf&amp;v=v6&amp;scorecard=1&amp;secret_key=BX%25IJ%24%2F65ieZ%29f6", 2659948)</f>
        <v>2659948</v>
      </c>
      <c r="C3528" s="3">
        <f>HYPERLINK("https://platform.v2.vetology.net/report/v/final/"&amp;2659948, 2659948)</f>
        <v>2659948</v>
      </c>
      <c r="D3528" s="3" t="s">
        <v>11642</v>
      </c>
      <c r="E3528" s="3" t="s">
        <v>11643</v>
      </c>
      <c r="F3528" s="3" t="s">
        <v>11644</v>
      </c>
      <c r="G3528" s="3" t="s">
        <v>496</v>
      </c>
      <c r="H3528" s="3" t="s">
        <v>158</v>
      </c>
      <c r="I3528" s="3" t="s">
        <v>2041</v>
      </c>
      <c r="J3528" s="3" t="s">
        <v>2042</v>
      </c>
      <c r="K3528" s="3" t="s">
        <v>28</v>
      </c>
      <c r="L3528" s="3" t="s">
        <v>28</v>
      </c>
      <c r="M3528" s="3" t="s">
        <v>28</v>
      </c>
      <c r="N3528" s="3" t="s">
        <v>28</v>
      </c>
      <c r="O3528" s="3" t="s">
        <v>27</v>
      </c>
      <c r="P3528" s="3" t="s">
        <v>28</v>
      </c>
      <c r="Q3528" s="3" t="s">
        <v>28</v>
      </c>
      <c r="R3528" s="3" t="s">
        <v>28</v>
      </c>
      <c r="S3528" s="3" t="s">
        <v>28</v>
      </c>
      <c r="T3528" s="3" t="s">
        <v>28</v>
      </c>
    </row>
    <row r="3529" spans="1:20" ht="366">
      <c r="A3529" s="3">
        <v>2659936</v>
      </c>
      <c r="B3529" s="3">
        <f>HYPERLINK("https://platform.v2.vetology.net/cases/2659936/screening-report/6?type=pdf&amp;v=v6&amp;scorecard=1&amp;secret_key=BX%25IJ%24%2F65ieZ%29f6", 2659936)</f>
        <v>2659936</v>
      </c>
      <c r="C3529" s="3">
        <f>HYPERLINK("https://platform.v2.vetology.net/report/v/final/"&amp;2659936, 2659936)</f>
        <v>2659936</v>
      </c>
      <c r="D3529" s="3" t="s">
        <v>11645</v>
      </c>
      <c r="E3529" s="3" t="s">
        <v>11646</v>
      </c>
      <c r="F3529" s="3" t="s">
        <v>3751</v>
      </c>
      <c r="G3529" s="3" t="s">
        <v>186</v>
      </c>
      <c r="H3529" s="3" t="s">
        <v>11647</v>
      </c>
      <c r="I3529" s="3" t="s">
        <v>754</v>
      </c>
      <c r="J3529" s="3" t="s">
        <v>755</v>
      </c>
      <c r="K3529" s="3" t="s">
        <v>28</v>
      </c>
      <c r="L3529" s="3" t="s">
        <v>28</v>
      </c>
      <c r="M3529" s="3" t="s">
        <v>28</v>
      </c>
      <c r="N3529" s="3" t="s">
        <v>28</v>
      </c>
      <c r="O3529" s="3" t="s">
        <v>27</v>
      </c>
      <c r="P3529" s="3" t="s">
        <v>28</v>
      </c>
      <c r="Q3529" s="3" t="s">
        <v>28</v>
      </c>
      <c r="R3529" s="3" t="s">
        <v>28</v>
      </c>
      <c r="S3529" s="3" t="s">
        <v>28</v>
      </c>
      <c r="T3529" s="3" t="s">
        <v>28</v>
      </c>
    </row>
    <row r="3530" spans="1:20" ht="259.5">
      <c r="A3530" s="3">
        <v>2659928</v>
      </c>
      <c r="B3530" s="3">
        <f>HYPERLINK("https://platform.v2.vetology.net/cases/2659928/screening-report/6?type=pdf&amp;v=v6&amp;scorecard=1&amp;secret_key=BX%25IJ%24%2F65ieZ%29f6", 2659928)</f>
        <v>2659928</v>
      </c>
      <c r="C3530" s="3">
        <f>HYPERLINK("https://platform.v2.vetology.net/report/v/final/"&amp;2659928, 2659928)</f>
        <v>2659928</v>
      </c>
      <c r="D3530" s="3" t="s">
        <v>11648</v>
      </c>
      <c r="E3530" s="3" t="s">
        <v>11649</v>
      </c>
      <c r="F3530" s="3" t="s">
        <v>11650</v>
      </c>
      <c r="G3530" s="3" t="s">
        <v>186</v>
      </c>
      <c r="H3530" s="3" t="s">
        <v>11651</v>
      </c>
      <c r="I3530" s="3" t="s">
        <v>9486</v>
      </c>
      <c r="J3530" s="3" t="s">
        <v>11652</v>
      </c>
      <c r="K3530" s="3" t="s">
        <v>28</v>
      </c>
      <c r="L3530" s="3" t="s">
        <v>27</v>
      </c>
      <c r="M3530" s="3" t="s">
        <v>27</v>
      </c>
      <c r="N3530" s="3" t="s">
        <v>27</v>
      </c>
      <c r="O3530" s="3" t="s">
        <v>27</v>
      </c>
      <c r="P3530" s="3" t="s">
        <v>28</v>
      </c>
      <c r="Q3530" s="3" t="s">
        <v>27</v>
      </c>
      <c r="R3530" s="3" t="s">
        <v>27</v>
      </c>
      <c r="S3530" s="3" t="s">
        <v>27</v>
      </c>
      <c r="T3530" s="3" t="s">
        <v>28</v>
      </c>
    </row>
    <row r="3531" spans="1:20" ht="396.75">
      <c r="A3531" s="3">
        <v>2659912</v>
      </c>
      <c r="B3531" s="3">
        <f>HYPERLINK("https://platform.v2.vetology.net/cases/2659912/screening-report/6?type=pdf&amp;v=v6&amp;scorecard=1&amp;secret_key=BX%25IJ%24%2F65ieZ%29f6", 2659912)</f>
        <v>2659912</v>
      </c>
      <c r="C3531" s="3">
        <f>HYPERLINK("https://platform.v2.vetology.net/report/v/final/"&amp;2659912, 2659912)</f>
        <v>2659912</v>
      </c>
      <c r="D3531" s="3" t="s">
        <v>11653</v>
      </c>
      <c r="E3531" s="3" t="s">
        <v>11654</v>
      </c>
      <c r="F3531" s="3" t="s">
        <v>22</v>
      </c>
      <c r="G3531" s="3" t="s">
        <v>372</v>
      </c>
      <c r="H3531" s="3" t="s">
        <v>11655</v>
      </c>
      <c r="I3531" s="3" t="s">
        <v>351</v>
      </c>
      <c r="J3531" s="3" t="s">
        <v>352</v>
      </c>
      <c r="K3531" s="3" t="s">
        <v>27</v>
      </c>
      <c r="L3531" s="3" t="s">
        <v>28</v>
      </c>
      <c r="M3531" s="3" t="s">
        <v>28</v>
      </c>
      <c r="N3531" s="3" t="s">
        <v>28</v>
      </c>
      <c r="O3531" s="3" t="s">
        <v>28</v>
      </c>
      <c r="P3531" s="3" t="s">
        <v>28</v>
      </c>
      <c r="Q3531" s="3" t="s">
        <v>28</v>
      </c>
      <c r="R3531" s="3" t="s">
        <v>28</v>
      </c>
      <c r="S3531" s="3" t="s">
        <v>28</v>
      </c>
      <c r="T3531" s="3" t="s">
        <v>27</v>
      </c>
    </row>
    <row r="3532" spans="1:20" ht="409.6">
      <c r="A3532" s="3">
        <v>2659884</v>
      </c>
      <c r="B3532" s="3">
        <f>HYPERLINK("https://platform.v2.vetology.net/cases/2659884/screening-report/6?type=pdf&amp;v=v6&amp;scorecard=1&amp;secret_key=BX%25IJ%24%2F65ieZ%29f6", 2659884)</f>
        <v>2659884</v>
      </c>
      <c r="C3532" s="3">
        <f>HYPERLINK("https://platform.v2.vetology.net/report/v/final/"&amp;2659884, 2659884)</f>
        <v>2659884</v>
      </c>
      <c r="D3532" s="3" t="s">
        <v>11656</v>
      </c>
      <c r="E3532" s="3" t="s">
        <v>11657</v>
      </c>
      <c r="F3532" s="3" t="s">
        <v>1668</v>
      </c>
      <c r="G3532" s="3" t="s">
        <v>122</v>
      </c>
      <c r="H3532" s="3" t="s">
        <v>11658</v>
      </c>
      <c r="I3532" s="3" t="s">
        <v>528</v>
      </c>
      <c r="J3532" s="3" t="s">
        <v>529</v>
      </c>
      <c r="K3532" s="3" t="s">
        <v>28</v>
      </c>
      <c r="L3532" s="3" t="s">
        <v>28</v>
      </c>
      <c r="M3532" s="3" t="s">
        <v>27</v>
      </c>
      <c r="N3532" s="3" t="s">
        <v>28</v>
      </c>
      <c r="O3532" s="3" t="s">
        <v>28</v>
      </c>
      <c r="P3532" s="3" t="s">
        <v>27</v>
      </c>
      <c r="Q3532" s="3" t="s">
        <v>27</v>
      </c>
      <c r="R3532" s="3" t="s">
        <v>28</v>
      </c>
      <c r="S3532" s="3" t="s">
        <v>28</v>
      </c>
      <c r="T3532" s="3" t="s">
        <v>27</v>
      </c>
    </row>
    <row r="3533" spans="1:20" ht="229.5">
      <c r="A3533" s="3">
        <v>2659863</v>
      </c>
      <c r="B3533" s="3">
        <f>HYPERLINK("https://platform.v2.vetology.net/cases/2659863/screening-report/6?type=pdf&amp;v=v6&amp;scorecard=1&amp;secret_key=BX%25IJ%24%2F65ieZ%29f6", 2659863)</f>
        <v>2659863</v>
      </c>
      <c r="C3533" s="3">
        <f>HYPERLINK("https://platform.v2.vetology.net/report/v/final/"&amp;2659863, 2659863)</f>
        <v>2659863</v>
      </c>
      <c r="D3533" s="3" t="s">
        <v>11659</v>
      </c>
      <c r="E3533" s="3" t="s">
        <v>11660</v>
      </c>
      <c r="F3533" s="3" t="s">
        <v>10924</v>
      </c>
      <c r="G3533" s="3" t="s">
        <v>186</v>
      </c>
      <c r="H3533" s="3" t="s">
        <v>31</v>
      </c>
      <c r="I3533" s="3" t="s">
        <v>32</v>
      </c>
      <c r="J3533" s="3" t="s">
        <v>387</v>
      </c>
      <c r="K3533" s="3" t="s">
        <v>28</v>
      </c>
      <c r="L3533" s="3" t="s">
        <v>28</v>
      </c>
      <c r="M3533" s="3" t="s">
        <v>28</v>
      </c>
      <c r="N3533" s="3" t="s">
        <v>28</v>
      </c>
      <c r="O3533" s="3" t="s">
        <v>27</v>
      </c>
      <c r="P3533" s="3" t="s">
        <v>27</v>
      </c>
      <c r="Q3533" s="3" t="s">
        <v>28</v>
      </c>
      <c r="R3533" s="3" t="s">
        <v>28</v>
      </c>
      <c r="S3533" s="3" t="s">
        <v>28</v>
      </c>
      <c r="T3533" s="3" t="s">
        <v>27</v>
      </c>
    </row>
    <row r="3534" spans="1:20" ht="259.5">
      <c r="A3534" s="3">
        <v>2659831</v>
      </c>
      <c r="B3534" s="3">
        <f>HYPERLINK("https://platform.v2.vetology.net/cases/2659831/screening-report/6?type=pdf&amp;v=v6&amp;scorecard=1&amp;secret_key=BX%25IJ%24%2F65ieZ%29f6", 2659831)</f>
        <v>2659831</v>
      </c>
      <c r="C3534" s="3">
        <f>HYPERLINK("https://platform.v2.vetology.net/report/v/final/"&amp;2659831, 2659831)</f>
        <v>2659831</v>
      </c>
      <c r="D3534" s="3" t="s">
        <v>11661</v>
      </c>
      <c r="E3534" s="3" t="s">
        <v>11662</v>
      </c>
      <c r="F3534" s="3" t="s">
        <v>11663</v>
      </c>
      <c r="G3534" s="3" t="s">
        <v>186</v>
      </c>
      <c r="H3534" s="3" t="s">
        <v>3343</v>
      </c>
      <c r="I3534" s="3" t="s">
        <v>136</v>
      </c>
      <c r="J3534" s="3" t="s">
        <v>424</v>
      </c>
      <c r="K3534" s="3" t="s">
        <v>28</v>
      </c>
      <c r="L3534" s="3" t="s">
        <v>28</v>
      </c>
      <c r="M3534" s="3" t="s">
        <v>28</v>
      </c>
      <c r="N3534" s="3" t="s">
        <v>28</v>
      </c>
      <c r="O3534" s="3" t="s">
        <v>27</v>
      </c>
      <c r="P3534" s="3" t="s">
        <v>28</v>
      </c>
      <c r="Q3534" s="3" t="s">
        <v>28</v>
      </c>
      <c r="R3534" s="3" t="s">
        <v>28</v>
      </c>
      <c r="S3534" s="3" t="s">
        <v>28</v>
      </c>
      <c r="T3534" s="3" t="s">
        <v>27</v>
      </c>
    </row>
    <row r="3535" spans="1:20" ht="336">
      <c r="A3535" s="3">
        <v>2659817</v>
      </c>
      <c r="B3535" s="3">
        <f>HYPERLINK("https://platform.v2.vetology.net/cases/2659817/screening-report/6?type=pdf&amp;v=v6&amp;scorecard=1&amp;secret_key=BX%25IJ%24%2F65ieZ%29f6", 2659817)</f>
        <v>2659817</v>
      </c>
      <c r="C3535" s="3">
        <f>HYPERLINK("https://platform.v2.vetology.net/report/v/final/"&amp;2659817, 2659817)</f>
        <v>2659817</v>
      </c>
      <c r="D3535" s="3" t="s">
        <v>11664</v>
      </c>
      <c r="E3535" s="3" t="s">
        <v>11665</v>
      </c>
      <c r="F3535" s="3"/>
      <c r="G3535" s="3" t="s">
        <v>122</v>
      </c>
      <c r="H3535" s="3" t="s">
        <v>11666</v>
      </c>
      <c r="I3535" s="3" t="s">
        <v>2078</v>
      </c>
      <c r="J3535" s="3" t="s">
        <v>2079</v>
      </c>
      <c r="K3535" s="3" t="s">
        <v>28</v>
      </c>
      <c r="L3535" s="3" t="s">
        <v>28</v>
      </c>
      <c r="M3535" s="3" t="s">
        <v>28</v>
      </c>
      <c r="N3535" s="3" t="s">
        <v>28</v>
      </c>
      <c r="O3535" s="3" t="s">
        <v>27</v>
      </c>
      <c r="P3535" s="3" t="s">
        <v>28</v>
      </c>
      <c r="Q3535" s="3" t="s">
        <v>28</v>
      </c>
      <c r="R3535" s="3" t="s">
        <v>28</v>
      </c>
      <c r="S3535" s="3" t="s">
        <v>27</v>
      </c>
      <c r="T3535" s="3" t="s">
        <v>27</v>
      </c>
    </row>
    <row r="3536" spans="1:20" ht="290.25">
      <c r="A3536" s="3">
        <v>2659733</v>
      </c>
      <c r="B3536" s="3">
        <f>HYPERLINK("https://platform.v2.vetology.net/cases/2659733/screening-report/6?type=pdf&amp;v=v6&amp;scorecard=1&amp;secret_key=BX%25IJ%24%2F65ieZ%29f6", 2659733)</f>
        <v>2659733</v>
      </c>
      <c r="C3536" s="3">
        <f>HYPERLINK("https://platform.v2.vetology.net/report/v/final/"&amp;2659733, 2659733)</f>
        <v>2659733</v>
      </c>
      <c r="D3536" s="3" t="s">
        <v>11667</v>
      </c>
      <c r="E3536" s="3" t="s">
        <v>11668</v>
      </c>
      <c r="F3536" s="3" t="s">
        <v>8361</v>
      </c>
      <c r="G3536" s="3" t="s">
        <v>100</v>
      </c>
      <c r="H3536" s="3" t="s">
        <v>1768</v>
      </c>
      <c r="I3536" s="3" t="s">
        <v>316</v>
      </c>
      <c r="J3536" s="3" t="s">
        <v>317</v>
      </c>
      <c r="K3536" s="3" t="s">
        <v>27</v>
      </c>
      <c r="L3536" s="3" t="s">
        <v>28</v>
      </c>
      <c r="M3536" s="3" t="s">
        <v>28</v>
      </c>
      <c r="N3536" s="3" t="s">
        <v>28</v>
      </c>
      <c r="O3536" s="3" t="s">
        <v>27</v>
      </c>
      <c r="P3536" s="3" t="s">
        <v>28</v>
      </c>
      <c r="Q3536" s="3" t="s">
        <v>28</v>
      </c>
      <c r="R3536" s="3" t="s">
        <v>28</v>
      </c>
      <c r="S3536" s="3" t="s">
        <v>28</v>
      </c>
      <c r="T3536" s="3" t="s">
        <v>28</v>
      </c>
    </row>
    <row r="3537" spans="1:20" ht="381.75">
      <c r="A3537" s="3">
        <v>2659717</v>
      </c>
      <c r="B3537" s="3">
        <f>HYPERLINK("https://platform.v2.vetology.net/cases/2659717/screening-report/6?type=pdf&amp;v=v6&amp;scorecard=1&amp;secret_key=BX%25IJ%24%2F65ieZ%29f6", 2659717)</f>
        <v>2659717</v>
      </c>
      <c r="C3537" s="3">
        <f>HYPERLINK("https://platform.v2.vetology.net/report/v/final/"&amp;2659717, 2659717)</f>
        <v>2659717</v>
      </c>
      <c r="D3537" s="3" t="s">
        <v>11669</v>
      </c>
      <c r="E3537" s="3" t="s">
        <v>11670</v>
      </c>
      <c r="F3537" s="3" t="s">
        <v>11671</v>
      </c>
      <c r="G3537" s="3" t="s">
        <v>179</v>
      </c>
      <c r="H3537" s="3" t="s">
        <v>11672</v>
      </c>
      <c r="I3537" s="3" t="s">
        <v>392</v>
      </c>
      <c r="J3537" s="3" t="s">
        <v>393</v>
      </c>
      <c r="K3537" s="3" t="s">
        <v>28</v>
      </c>
      <c r="L3537" s="3" t="s">
        <v>28</v>
      </c>
      <c r="M3537" s="3" t="s">
        <v>28</v>
      </c>
      <c r="N3537" s="3" t="s">
        <v>27</v>
      </c>
      <c r="O3537" s="3" t="s">
        <v>28</v>
      </c>
      <c r="P3537" s="3" t="s">
        <v>28</v>
      </c>
      <c r="Q3537" s="3" t="s">
        <v>28</v>
      </c>
      <c r="R3537" s="3" t="s">
        <v>28</v>
      </c>
      <c r="S3537" s="3" t="s">
        <v>28</v>
      </c>
      <c r="T3537" s="3" t="s">
        <v>28</v>
      </c>
    </row>
    <row r="3538" spans="1:20" ht="381.75">
      <c r="A3538" s="3">
        <v>2659704</v>
      </c>
      <c r="B3538" s="3">
        <f>HYPERLINK("https://platform.v2.vetology.net/cases/2659704/screening-report/6?type=pdf&amp;v=v6&amp;scorecard=1&amp;secret_key=BX%25IJ%24%2F65ieZ%29f6", 2659704)</f>
        <v>2659704</v>
      </c>
      <c r="C3538" s="3">
        <f>HYPERLINK("https://platform.v2.vetology.net/report/v/final/"&amp;2659704, 2659704)</f>
        <v>2659704</v>
      </c>
      <c r="D3538" s="3" t="s">
        <v>11673</v>
      </c>
      <c r="E3538" s="3" t="s">
        <v>11674</v>
      </c>
      <c r="F3538" s="3" t="s">
        <v>11675</v>
      </c>
      <c r="G3538" s="3" t="s">
        <v>1772</v>
      </c>
      <c r="H3538" s="3" t="s">
        <v>2222</v>
      </c>
      <c r="I3538" s="3" t="s">
        <v>380</v>
      </c>
      <c r="J3538" s="3" t="s">
        <v>297</v>
      </c>
      <c r="K3538" s="3" t="s">
        <v>28</v>
      </c>
      <c r="L3538" s="3" t="s">
        <v>28</v>
      </c>
      <c r="M3538" s="3" t="s">
        <v>28</v>
      </c>
      <c r="N3538" s="3" t="s">
        <v>27</v>
      </c>
      <c r="O3538" s="3" t="s">
        <v>27</v>
      </c>
      <c r="P3538" s="3" t="s">
        <v>28</v>
      </c>
      <c r="Q3538" s="3" t="s">
        <v>28</v>
      </c>
      <c r="R3538" s="3" t="s">
        <v>28</v>
      </c>
      <c r="S3538" s="3" t="s">
        <v>28</v>
      </c>
      <c r="T3538" s="3" t="s">
        <v>28</v>
      </c>
    </row>
    <row r="3539" spans="1:20" ht="409.6">
      <c r="A3539" s="3">
        <v>2659698</v>
      </c>
      <c r="B3539" s="3">
        <f>HYPERLINK("https://platform.v2.vetology.net/cases/2659698/screening-report/6?type=pdf&amp;v=v6&amp;scorecard=1&amp;secret_key=BX%25IJ%24%2F65ieZ%29f6", 2659698)</f>
        <v>2659698</v>
      </c>
      <c r="C3539" s="3">
        <f>HYPERLINK("https://platform.v2.vetology.net/report/v/final/"&amp;2659698, 2659698)</f>
        <v>2659698</v>
      </c>
      <c r="D3539" s="3" t="s">
        <v>11676</v>
      </c>
      <c r="E3539" s="3" t="s">
        <v>11677</v>
      </c>
      <c r="F3539" s="3" t="s">
        <v>22</v>
      </c>
      <c r="G3539" s="3" t="s">
        <v>100</v>
      </c>
      <c r="H3539" s="3" t="s">
        <v>5141</v>
      </c>
      <c r="I3539" s="3" t="s">
        <v>478</v>
      </c>
      <c r="J3539" s="3" t="s">
        <v>479</v>
      </c>
      <c r="K3539" s="3" t="s">
        <v>28</v>
      </c>
      <c r="L3539" s="3" t="s">
        <v>28</v>
      </c>
      <c r="M3539" s="3" t="s">
        <v>28</v>
      </c>
      <c r="N3539" s="3" t="s">
        <v>27</v>
      </c>
      <c r="O3539" s="3" t="s">
        <v>27</v>
      </c>
      <c r="P3539" s="3" t="s">
        <v>28</v>
      </c>
      <c r="Q3539" s="3" t="s">
        <v>27</v>
      </c>
      <c r="R3539" s="3" t="s">
        <v>27</v>
      </c>
      <c r="S3539" s="3" t="s">
        <v>27</v>
      </c>
      <c r="T3539" s="3" t="s">
        <v>27</v>
      </c>
    </row>
    <row r="3540" spans="1:20" ht="409.6">
      <c r="A3540" s="3">
        <v>2659694</v>
      </c>
      <c r="B3540" s="3">
        <f>HYPERLINK("https://platform.v2.vetology.net/cases/2659694/screening-report/6?type=pdf&amp;v=v6&amp;scorecard=1&amp;secret_key=BX%25IJ%24%2F65ieZ%29f6", 2659694)</f>
        <v>2659694</v>
      </c>
      <c r="C3540" s="3">
        <f>HYPERLINK("https://platform.v2.vetology.net/report/v/final/"&amp;2659694, 2659694)</f>
        <v>2659694</v>
      </c>
      <c r="D3540" s="3" t="s">
        <v>11678</v>
      </c>
      <c r="E3540" s="3" t="s">
        <v>11679</v>
      </c>
      <c r="F3540" s="3" t="s">
        <v>11680</v>
      </c>
      <c r="G3540" s="3" t="s">
        <v>1772</v>
      </c>
      <c r="H3540" s="3" t="s">
        <v>11681</v>
      </c>
      <c r="I3540" s="3" t="s">
        <v>1034</v>
      </c>
      <c r="J3540" s="3" t="s">
        <v>1035</v>
      </c>
      <c r="K3540" s="3" t="s">
        <v>28</v>
      </c>
      <c r="L3540" s="3" t="s">
        <v>28</v>
      </c>
      <c r="M3540" s="3" t="s">
        <v>28</v>
      </c>
      <c r="N3540" s="3" t="s">
        <v>28</v>
      </c>
      <c r="O3540" s="3" t="s">
        <v>28</v>
      </c>
      <c r="P3540" s="3" t="s">
        <v>28</v>
      </c>
      <c r="Q3540" s="3" t="s">
        <v>28</v>
      </c>
      <c r="R3540" s="3" t="s">
        <v>27</v>
      </c>
      <c r="S3540" s="3" t="s">
        <v>28</v>
      </c>
      <c r="T3540" s="3" t="s">
        <v>27</v>
      </c>
    </row>
    <row r="3541" spans="1:20" ht="409.6">
      <c r="A3541" s="3">
        <v>2659664</v>
      </c>
      <c r="B3541" s="3">
        <f>HYPERLINK("https://platform.v2.vetology.net/cases/2659664/screening-report/6?type=pdf&amp;v=v6&amp;scorecard=1&amp;secret_key=BX%25IJ%24%2F65ieZ%29f6", 2659664)</f>
        <v>2659664</v>
      </c>
      <c r="C3541" s="3">
        <f>HYPERLINK("https://platform.v2.vetology.net/report/v/final/"&amp;2659664, 2659664)</f>
        <v>2659664</v>
      </c>
      <c r="D3541" s="3" t="s">
        <v>11682</v>
      </c>
      <c r="E3541" s="3" t="s">
        <v>11683</v>
      </c>
      <c r="F3541" s="3" t="s">
        <v>1668</v>
      </c>
      <c r="G3541" s="3" t="s">
        <v>122</v>
      </c>
      <c r="H3541" s="3" t="s">
        <v>11684</v>
      </c>
      <c r="I3541" s="3" t="s">
        <v>11685</v>
      </c>
      <c r="J3541" s="3" t="s">
        <v>11686</v>
      </c>
      <c r="K3541" s="3" t="s">
        <v>27</v>
      </c>
      <c r="L3541" s="3" t="s">
        <v>27</v>
      </c>
      <c r="M3541" s="3" t="s">
        <v>27</v>
      </c>
      <c r="N3541" s="3" t="s">
        <v>27</v>
      </c>
      <c r="O3541" s="3" t="s">
        <v>27</v>
      </c>
      <c r="P3541" s="3" t="s">
        <v>28</v>
      </c>
      <c r="Q3541" s="3" t="s">
        <v>27</v>
      </c>
      <c r="R3541" s="3" t="s">
        <v>28</v>
      </c>
      <c r="S3541" s="3" t="s">
        <v>27</v>
      </c>
      <c r="T3541" s="3" t="s">
        <v>27</v>
      </c>
    </row>
    <row r="3542" spans="1:20" ht="305.25">
      <c r="A3542" s="3">
        <v>2659647</v>
      </c>
      <c r="B3542" s="3">
        <f>HYPERLINK("https://platform.v2.vetology.net/cases/2659647/screening-report/6?type=pdf&amp;v=v6&amp;scorecard=1&amp;secret_key=BX%25IJ%24%2F65ieZ%29f6", 2659647)</f>
        <v>2659647</v>
      </c>
      <c r="C3542" s="3">
        <f>HYPERLINK("https://platform.v2.vetology.net/report/v/final/"&amp;2659647, 2659647)</f>
        <v>2659647</v>
      </c>
      <c r="D3542" s="3" t="s">
        <v>11687</v>
      </c>
      <c r="E3542" s="3" t="s">
        <v>11688</v>
      </c>
      <c r="F3542" s="3" t="s">
        <v>11689</v>
      </c>
      <c r="G3542" s="3" t="s">
        <v>186</v>
      </c>
      <c r="H3542" s="3" t="s">
        <v>11690</v>
      </c>
      <c r="I3542" s="3" t="s">
        <v>8393</v>
      </c>
      <c r="J3542" s="3" t="s">
        <v>8394</v>
      </c>
      <c r="K3542" s="3" t="s">
        <v>28</v>
      </c>
      <c r="L3542" s="3" t="s">
        <v>28</v>
      </c>
      <c r="M3542" s="3" t="s">
        <v>28</v>
      </c>
      <c r="N3542" s="3" t="s">
        <v>28</v>
      </c>
      <c r="O3542" s="3" t="s">
        <v>27</v>
      </c>
      <c r="P3542" s="3" t="s">
        <v>28</v>
      </c>
      <c r="Q3542" s="3" t="s">
        <v>28</v>
      </c>
      <c r="R3542" s="3" t="s">
        <v>28</v>
      </c>
      <c r="S3542" s="3" t="s">
        <v>28</v>
      </c>
      <c r="T3542" s="3" t="s">
        <v>27</v>
      </c>
    </row>
    <row r="3543" spans="1:20" ht="366">
      <c r="A3543" s="3">
        <v>2659630</v>
      </c>
      <c r="B3543" s="3">
        <f>HYPERLINK("https://platform.v2.vetology.net/cases/2659630/screening-report/6?type=pdf&amp;v=v6&amp;scorecard=1&amp;secret_key=BX%25IJ%24%2F65ieZ%29f6", 2659630)</f>
        <v>2659630</v>
      </c>
      <c r="C3543" s="3">
        <f>HYPERLINK("https://platform.v2.vetology.net/report/v/final/"&amp;2659630, 2659630)</f>
        <v>2659630</v>
      </c>
      <c r="D3543" s="3" t="s">
        <v>11691</v>
      </c>
      <c r="E3543" s="3" t="s">
        <v>11692</v>
      </c>
      <c r="F3543" s="3" t="s">
        <v>11693</v>
      </c>
      <c r="G3543" s="3" t="s">
        <v>186</v>
      </c>
      <c r="H3543" s="3" t="s">
        <v>11694</v>
      </c>
      <c r="I3543" s="3" t="s">
        <v>2963</v>
      </c>
      <c r="J3543" s="3" t="s">
        <v>2964</v>
      </c>
      <c r="K3543" s="3" t="s">
        <v>28</v>
      </c>
      <c r="L3543" s="3" t="s">
        <v>28</v>
      </c>
      <c r="M3543" s="3" t="s">
        <v>28</v>
      </c>
      <c r="N3543" s="3" t="s">
        <v>28</v>
      </c>
      <c r="O3543" s="3" t="s">
        <v>27</v>
      </c>
      <c r="P3543" s="3" t="s">
        <v>28</v>
      </c>
      <c r="Q3543" s="3" t="s">
        <v>27</v>
      </c>
      <c r="R3543" s="3" t="s">
        <v>28</v>
      </c>
      <c r="S3543" s="3" t="s">
        <v>28</v>
      </c>
      <c r="T3543" s="3" t="s">
        <v>28</v>
      </c>
    </row>
    <row r="3544" spans="1:20" ht="409.6">
      <c r="A3544" s="3">
        <v>2659567</v>
      </c>
      <c r="B3544" s="3">
        <f>HYPERLINK("https://platform.v2.vetology.net/cases/2659567/screening-report/6?type=pdf&amp;v=v6&amp;scorecard=1&amp;secret_key=BX%25IJ%24%2F65ieZ%29f6", 2659567)</f>
        <v>2659567</v>
      </c>
      <c r="C3544" s="3">
        <f>HYPERLINK("https://platform.v2.vetology.net/report/v/final/"&amp;2659567, 2659567)</f>
        <v>2659567</v>
      </c>
      <c r="D3544" s="3" t="s">
        <v>11695</v>
      </c>
      <c r="E3544" s="3" t="s">
        <v>11696</v>
      </c>
      <c r="F3544" s="3" t="s">
        <v>11697</v>
      </c>
      <c r="G3544" s="3" t="s">
        <v>1772</v>
      </c>
      <c r="H3544" s="3" t="s">
        <v>2297</v>
      </c>
      <c r="I3544" s="3" t="s">
        <v>1169</v>
      </c>
      <c r="J3544" s="3" t="s">
        <v>1170</v>
      </c>
      <c r="K3544" s="3" t="s">
        <v>27</v>
      </c>
      <c r="L3544" s="3" t="s">
        <v>27</v>
      </c>
      <c r="M3544" s="3" t="s">
        <v>27</v>
      </c>
      <c r="N3544" s="3" t="s">
        <v>27</v>
      </c>
      <c r="O3544" s="3" t="s">
        <v>27</v>
      </c>
      <c r="P3544" s="3" t="s">
        <v>28</v>
      </c>
      <c r="Q3544" s="3" t="s">
        <v>27</v>
      </c>
      <c r="R3544" s="3" t="s">
        <v>28</v>
      </c>
      <c r="S3544" s="3" t="s">
        <v>27</v>
      </c>
      <c r="T3544" s="3" t="s">
        <v>27</v>
      </c>
    </row>
    <row r="3545" spans="1:20" ht="229.5">
      <c r="A3545" s="3">
        <v>2659502</v>
      </c>
      <c r="B3545" s="3">
        <f>HYPERLINK("https://platform.v2.vetology.net/cases/2659502/screening-report/6?type=pdf&amp;v=v6&amp;scorecard=1&amp;secret_key=BX%25IJ%24%2F65ieZ%29f6", 2659502)</f>
        <v>2659502</v>
      </c>
      <c r="C3545" s="3">
        <f>HYPERLINK("https://platform.v2.vetology.net/report/v/final/"&amp;2659502, 2659502)</f>
        <v>2659502</v>
      </c>
      <c r="D3545" s="3" t="s">
        <v>11698</v>
      </c>
      <c r="E3545" s="3" t="s">
        <v>11699</v>
      </c>
      <c r="F3545" s="3" t="s">
        <v>1090</v>
      </c>
      <c r="G3545" s="3" t="s">
        <v>100</v>
      </c>
      <c r="H3545" s="3" t="s">
        <v>31</v>
      </c>
      <c r="I3545" s="3" t="s">
        <v>32</v>
      </c>
      <c r="J3545" s="3" t="s">
        <v>119</v>
      </c>
      <c r="K3545" s="3" t="s">
        <v>28</v>
      </c>
      <c r="L3545" s="3" t="s">
        <v>28</v>
      </c>
      <c r="M3545" s="3" t="s">
        <v>28</v>
      </c>
      <c r="N3545" s="3" t="s">
        <v>28</v>
      </c>
      <c r="O3545" s="3" t="s">
        <v>28</v>
      </c>
      <c r="P3545" s="3" t="s">
        <v>28</v>
      </c>
      <c r="Q3545" s="3" t="s">
        <v>28</v>
      </c>
      <c r="R3545" s="3" t="s">
        <v>28</v>
      </c>
      <c r="S3545" s="3" t="s">
        <v>28</v>
      </c>
      <c r="T3545" s="3" t="s">
        <v>28</v>
      </c>
    </row>
    <row r="3546" spans="1:20" ht="351">
      <c r="A3546" s="3">
        <v>2659426</v>
      </c>
      <c r="B3546" s="3">
        <f>HYPERLINK("https://platform.v2.vetology.net/cases/2659426/screening-report/6?type=pdf&amp;v=v6&amp;scorecard=1&amp;secret_key=BX%25IJ%24%2F65ieZ%29f6", 2659426)</f>
        <v>2659426</v>
      </c>
      <c r="C3546" s="3">
        <f>HYPERLINK("https://platform.v2.vetology.net/report/v/final/"&amp;2659426, 2659426)</f>
        <v>2659426</v>
      </c>
      <c r="D3546" s="3" t="s">
        <v>11700</v>
      </c>
      <c r="E3546" s="3" t="s">
        <v>11701</v>
      </c>
      <c r="F3546" s="3" t="s">
        <v>22</v>
      </c>
      <c r="G3546" s="3" t="s">
        <v>372</v>
      </c>
      <c r="H3546" s="3" t="s">
        <v>31</v>
      </c>
      <c r="I3546" s="3" t="s">
        <v>32</v>
      </c>
      <c r="J3546" s="3" t="s">
        <v>847</v>
      </c>
      <c r="K3546" s="3" t="s">
        <v>28</v>
      </c>
      <c r="L3546" s="3" t="s">
        <v>28</v>
      </c>
      <c r="M3546" s="3" t="s">
        <v>28</v>
      </c>
      <c r="N3546" s="3" t="s">
        <v>28</v>
      </c>
      <c r="O3546" s="3" t="s">
        <v>27</v>
      </c>
      <c r="P3546" s="3" t="s">
        <v>28</v>
      </c>
      <c r="Q3546" s="3" t="s">
        <v>28</v>
      </c>
      <c r="R3546" s="3" t="s">
        <v>28</v>
      </c>
      <c r="S3546" s="3" t="s">
        <v>28</v>
      </c>
      <c r="T3546" s="3" t="s">
        <v>28</v>
      </c>
    </row>
    <row r="3547" spans="1:20" ht="409.6">
      <c r="A3547" s="3">
        <v>2659416</v>
      </c>
      <c r="B3547" s="3">
        <f>HYPERLINK("https://platform.v2.vetology.net/cases/2659416/screening-report/6?type=pdf&amp;v=v6&amp;scorecard=1&amp;secret_key=BX%25IJ%24%2F65ieZ%29f6", 2659416)</f>
        <v>2659416</v>
      </c>
      <c r="C3547" s="3">
        <f>HYPERLINK("https://platform.v2.vetology.net/report/v/final/"&amp;2659416, 2659416)</f>
        <v>2659416</v>
      </c>
      <c r="D3547" s="3" t="s">
        <v>11702</v>
      </c>
      <c r="E3547" s="3" t="s">
        <v>11703</v>
      </c>
      <c r="F3547" s="3" t="s">
        <v>22</v>
      </c>
      <c r="G3547" s="3" t="s">
        <v>100</v>
      </c>
      <c r="H3547" s="3" t="s">
        <v>1046</v>
      </c>
      <c r="I3547" s="3" t="s">
        <v>59</v>
      </c>
      <c r="J3547" s="3" t="s">
        <v>60</v>
      </c>
      <c r="K3547" s="3" t="s">
        <v>28</v>
      </c>
      <c r="L3547" s="3" t="s">
        <v>28</v>
      </c>
      <c r="M3547" s="3" t="s">
        <v>28</v>
      </c>
      <c r="N3547" s="3" t="s">
        <v>27</v>
      </c>
      <c r="O3547" s="3" t="s">
        <v>28</v>
      </c>
      <c r="P3547" s="3" t="s">
        <v>28</v>
      </c>
      <c r="Q3547" s="3" t="s">
        <v>28</v>
      </c>
      <c r="R3547" s="3" t="s">
        <v>28</v>
      </c>
      <c r="S3547" s="3" t="s">
        <v>28</v>
      </c>
      <c r="T3547" s="3" t="s">
        <v>27</v>
      </c>
    </row>
    <row r="3548" spans="1:20" ht="409.6">
      <c r="A3548" s="3">
        <v>2659405</v>
      </c>
      <c r="B3548" s="3">
        <f>HYPERLINK("https://platform.v2.vetology.net/cases/2659405/screening-report/6?type=pdf&amp;v=v6&amp;scorecard=1&amp;secret_key=BX%25IJ%24%2F65ieZ%29f6", 2659405)</f>
        <v>2659405</v>
      </c>
      <c r="C3548" s="3">
        <f>HYPERLINK("https://platform.v2.vetology.net/report/v/final/"&amp;2659405, 2659405)</f>
        <v>2659405</v>
      </c>
      <c r="D3548" s="3" t="s">
        <v>11704</v>
      </c>
      <c r="E3548" s="3" t="s">
        <v>11705</v>
      </c>
      <c r="F3548" s="3" t="s">
        <v>11706</v>
      </c>
      <c r="G3548" s="3" t="s">
        <v>1772</v>
      </c>
      <c r="H3548" s="3" t="s">
        <v>11707</v>
      </c>
      <c r="I3548" s="3" t="s">
        <v>520</v>
      </c>
      <c r="J3548" s="3" t="s">
        <v>335</v>
      </c>
      <c r="K3548" s="3" t="s">
        <v>28</v>
      </c>
      <c r="L3548" s="3" t="s">
        <v>28</v>
      </c>
      <c r="M3548" s="3" t="s">
        <v>28</v>
      </c>
      <c r="N3548" s="3" t="s">
        <v>28</v>
      </c>
      <c r="O3548" s="3" t="s">
        <v>27</v>
      </c>
      <c r="P3548" s="3" t="s">
        <v>28</v>
      </c>
      <c r="Q3548" s="3" t="s">
        <v>28</v>
      </c>
      <c r="R3548" s="3" t="s">
        <v>28</v>
      </c>
      <c r="S3548" s="3" t="s">
        <v>28</v>
      </c>
      <c r="T3548" s="3" t="s">
        <v>28</v>
      </c>
    </row>
    <row r="3549" spans="1:20" ht="409.6">
      <c r="A3549" s="3">
        <v>2659403</v>
      </c>
      <c r="B3549" s="3">
        <f>HYPERLINK("https://platform.v2.vetology.net/cases/2659403/screening-report/6?type=pdf&amp;v=v6&amp;scorecard=1&amp;secret_key=BX%25IJ%24%2F65ieZ%29f6", 2659403)</f>
        <v>2659403</v>
      </c>
      <c r="C3549" s="3">
        <f>HYPERLINK("https://platform.v2.vetology.net/report/v/final/"&amp;2659403, 2659403)</f>
        <v>2659403</v>
      </c>
      <c r="D3549" s="3" t="s">
        <v>11708</v>
      </c>
      <c r="E3549" s="3" t="s">
        <v>11709</v>
      </c>
      <c r="F3549" s="3" t="s">
        <v>11710</v>
      </c>
      <c r="G3549" s="3" t="s">
        <v>186</v>
      </c>
      <c r="H3549" s="3" t="s">
        <v>11711</v>
      </c>
      <c r="I3549" s="3" t="s">
        <v>368</v>
      </c>
      <c r="J3549" s="3" t="s">
        <v>369</v>
      </c>
      <c r="K3549" s="3" t="s">
        <v>27</v>
      </c>
      <c r="L3549" s="3" t="s">
        <v>28</v>
      </c>
      <c r="M3549" s="3" t="s">
        <v>27</v>
      </c>
      <c r="N3549" s="3" t="s">
        <v>28</v>
      </c>
      <c r="O3549" s="3" t="s">
        <v>27</v>
      </c>
      <c r="P3549" s="3" t="s">
        <v>28</v>
      </c>
      <c r="Q3549" s="3" t="s">
        <v>27</v>
      </c>
      <c r="R3549" s="3" t="s">
        <v>28</v>
      </c>
      <c r="S3549" s="3" t="s">
        <v>28</v>
      </c>
      <c r="T3549" s="3" t="s">
        <v>28</v>
      </c>
    </row>
    <row r="3550" spans="1:20" ht="409.6">
      <c r="A3550" s="3">
        <v>2659372</v>
      </c>
      <c r="B3550" s="3">
        <f>HYPERLINK("https://platform.v2.vetology.net/cases/2659372/screening-report/6?type=pdf&amp;v=v6&amp;scorecard=1&amp;secret_key=BX%25IJ%24%2F65ieZ%29f6", 2659372)</f>
        <v>2659372</v>
      </c>
      <c r="C3550" s="3">
        <f>HYPERLINK("https://platform.v2.vetology.net/report/v/final/"&amp;2659372, 2659372)</f>
        <v>2659372</v>
      </c>
      <c r="D3550" s="3" t="s">
        <v>11712</v>
      </c>
      <c r="E3550" s="3" t="s">
        <v>11713</v>
      </c>
      <c r="F3550" s="3" t="s">
        <v>11714</v>
      </c>
      <c r="G3550" s="3" t="s">
        <v>186</v>
      </c>
      <c r="H3550" s="3" t="s">
        <v>11715</v>
      </c>
      <c r="I3550" s="3" t="s">
        <v>2353</v>
      </c>
      <c r="J3550" s="3" t="s">
        <v>11716</v>
      </c>
      <c r="K3550" s="3" t="s">
        <v>28</v>
      </c>
      <c r="L3550" s="3" t="s">
        <v>27</v>
      </c>
      <c r="M3550" s="3" t="s">
        <v>28</v>
      </c>
      <c r="N3550" s="3" t="s">
        <v>27</v>
      </c>
      <c r="O3550" s="3" t="s">
        <v>27</v>
      </c>
      <c r="P3550" s="3" t="s">
        <v>27</v>
      </c>
      <c r="Q3550" s="3" t="s">
        <v>27</v>
      </c>
      <c r="R3550" s="3" t="s">
        <v>27</v>
      </c>
      <c r="S3550" s="3" t="s">
        <v>27</v>
      </c>
      <c r="T3550" s="3" t="s">
        <v>27</v>
      </c>
    </row>
    <row r="3551" spans="1:20" ht="336">
      <c r="A3551" s="3">
        <v>2659334</v>
      </c>
      <c r="B3551" s="3">
        <f>HYPERLINK("https://platform.v2.vetology.net/cases/2659334/screening-report/6?type=pdf&amp;v=v6&amp;scorecard=1&amp;secret_key=BX%25IJ%24%2F65ieZ%29f6", 2659334)</f>
        <v>2659334</v>
      </c>
      <c r="C3551" s="3">
        <f>HYPERLINK("https://platform.v2.vetology.net/report/v/final/"&amp;2659334, 2659334)</f>
        <v>2659334</v>
      </c>
      <c r="D3551" s="3" t="s">
        <v>11717</v>
      </c>
      <c r="E3551" s="3" t="s">
        <v>11718</v>
      </c>
      <c r="F3551" s="3" t="s">
        <v>11719</v>
      </c>
      <c r="G3551" s="3" t="s">
        <v>186</v>
      </c>
      <c r="H3551" s="3" t="s">
        <v>843</v>
      </c>
      <c r="I3551" s="3" t="s">
        <v>124</v>
      </c>
      <c r="J3551" s="3" t="s">
        <v>125</v>
      </c>
      <c r="K3551" s="3" t="s">
        <v>27</v>
      </c>
      <c r="L3551" s="3" t="s">
        <v>28</v>
      </c>
      <c r="M3551" s="3" t="s">
        <v>27</v>
      </c>
      <c r="N3551" s="3" t="s">
        <v>28</v>
      </c>
      <c r="O3551" s="3" t="s">
        <v>27</v>
      </c>
      <c r="P3551" s="3" t="s">
        <v>28</v>
      </c>
      <c r="Q3551" s="3" t="s">
        <v>27</v>
      </c>
      <c r="R3551" s="3" t="s">
        <v>28</v>
      </c>
      <c r="S3551" s="3" t="s">
        <v>28</v>
      </c>
      <c r="T3551" s="3" t="s">
        <v>28</v>
      </c>
    </row>
    <row r="3552" spans="1:20" ht="290.25">
      <c r="A3552" s="3">
        <v>2659325</v>
      </c>
      <c r="B3552" s="3">
        <f>HYPERLINK("https://platform.v2.vetology.net/cases/2659325/screening-report/6?type=pdf&amp;v=v6&amp;scorecard=1&amp;secret_key=BX%25IJ%24%2F65ieZ%29f6", 2659325)</f>
        <v>2659325</v>
      </c>
      <c r="C3552" s="3">
        <f>HYPERLINK("https://platform.v2.vetology.net/report/v/final/"&amp;2659325, 2659325)</f>
        <v>2659325</v>
      </c>
      <c r="D3552" s="3" t="s">
        <v>11720</v>
      </c>
      <c r="E3552" s="3" t="s">
        <v>11721</v>
      </c>
      <c r="F3552" s="3" t="s">
        <v>22</v>
      </c>
      <c r="G3552" s="3" t="s">
        <v>23</v>
      </c>
      <c r="H3552" s="3" t="s">
        <v>419</v>
      </c>
      <c r="I3552" s="3" t="s">
        <v>316</v>
      </c>
      <c r="J3552" s="3" t="s">
        <v>317</v>
      </c>
      <c r="K3552" s="3" t="s">
        <v>28</v>
      </c>
      <c r="L3552" s="3" t="s">
        <v>28</v>
      </c>
      <c r="M3552" s="3" t="s">
        <v>28</v>
      </c>
      <c r="N3552" s="3" t="s">
        <v>28</v>
      </c>
      <c r="O3552" s="3" t="s">
        <v>27</v>
      </c>
      <c r="P3552" s="3" t="s">
        <v>28</v>
      </c>
      <c r="Q3552" s="3" t="s">
        <v>28</v>
      </c>
      <c r="R3552" s="3" t="s">
        <v>28</v>
      </c>
      <c r="S3552" s="3" t="s">
        <v>28</v>
      </c>
      <c r="T3552" s="3" t="s">
        <v>28</v>
      </c>
    </row>
    <row r="3553" spans="1:20" ht="351">
      <c r="A3553" s="3">
        <v>2659300</v>
      </c>
      <c r="B3553" s="3">
        <f>HYPERLINK("https://platform.v2.vetology.net/cases/2659300/screening-report/6?type=pdf&amp;v=v6&amp;scorecard=1&amp;secret_key=BX%25IJ%24%2F65ieZ%29f6", 2659300)</f>
        <v>2659300</v>
      </c>
      <c r="C3553" s="3">
        <f>HYPERLINK("https://platform.v2.vetology.net/report/v/final/"&amp;2659300, 2659300)</f>
        <v>2659300</v>
      </c>
      <c r="D3553" s="3" t="s">
        <v>11722</v>
      </c>
      <c r="E3553" s="3" t="s">
        <v>11723</v>
      </c>
      <c r="F3553" s="3" t="s">
        <v>22</v>
      </c>
      <c r="G3553" s="3" t="s">
        <v>100</v>
      </c>
      <c r="H3553" s="3" t="s">
        <v>11724</v>
      </c>
      <c r="I3553" s="3" t="s">
        <v>8624</v>
      </c>
      <c r="J3553" s="3" t="s">
        <v>207</v>
      </c>
      <c r="K3553" s="3" t="s">
        <v>27</v>
      </c>
      <c r="L3553" s="3" t="s">
        <v>27</v>
      </c>
      <c r="M3553" s="3" t="s">
        <v>28</v>
      </c>
      <c r="N3553" s="3" t="s">
        <v>27</v>
      </c>
      <c r="O3553" s="3" t="s">
        <v>27</v>
      </c>
      <c r="P3553" s="3" t="s">
        <v>28</v>
      </c>
      <c r="Q3553" s="3" t="s">
        <v>28</v>
      </c>
      <c r="R3553" s="3" t="s">
        <v>28</v>
      </c>
      <c r="S3553" s="3" t="s">
        <v>28</v>
      </c>
      <c r="T3553" s="3" t="s">
        <v>27</v>
      </c>
    </row>
    <row r="3554" spans="1:20" ht="366">
      <c r="A3554" s="3">
        <v>2659293</v>
      </c>
      <c r="B3554" s="3">
        <f>HYPERLINK("https://platform.v2.vetology.net/cases/2659293/screening-report/6?type=pdf&amp;v=v6&amp;scorecard=1&amp;secret_key=BX%25IJ%24%2F65ieZ%29f6", 2659293)</f>
        <v>2659293</v>
      </c>
      <c r="C3554" s="3">
        <f>HYPERLINK("https://platform.v2.vetology.net/report/v/final/"&amp;2659293, 2659293)</f>
        <v>2659293</v>
      </c>
      <c r="D3554" s="3" t="s">
        <v>11725</v>
      </c>
      <c r="E3554" s="3" t="s">
        <v>11726</v>
      </c>
      <c r="F3554" s="3" t="s">
        <v>22</v>
      </c>
      <c r="G3554" s="3" t="s">
        <v>372</v>
      </c>
      <c r="H3554" s="3" t="s">
        <v>187</v>
      </c>
      <c r="I3554" s="3" t="s">
        <v>188</v>
      </c>
      <c r="J3554" s="3" t="s">
        <v>189</v>
      </c>
      <c r="K3554" s="3" t="s">
        <v>28</v>
      </c>
      <c r="L3554" s="3" t="s">
        <v>28</v>
      </c>
      <c r="M3554" s="3" t="s">
        <v>28</v>
      </c>
      <c r="N3554" s="3" t="s">
        <v>28</v>
      </c>
      <c r="O3554" s="3" t="s">
        <v>27</v>
      </c>
      <c r="P3554" s="3" t="s">
        <v>28</v>
      </c>
      <c r="Q3554" s="3" t="s">
        <v>28</v>
      </c>
      <c r="R3554" s="3" t="s">
        <v>28</v>
      </c>
      <c r="S3554" s="3" t="s">
        <v>28</v>
      </c>
      <c r="T3554" s="3" t="s">
        <v>28</v>
      </c>
    </row>
    <row r="3555" spans="1:20" ht="409.6">
      <c r="A3555" s="3">
        <v>2659292</v>
      </c>
      <c r="B3555" s="3">
        <f>HYPERLINK("https://platform.v2.vetology.net/cases/2659292/screening-report/6?type=pdf&amp;v=v6&amp;scorecard=1&amp;secret_key=BX%25IJ%24%2F65ieZ%29f6", 2659292)</f>
        <v>2659292</v>
      </c>
      <c r="C3555" s="3">
        <f>HYPERLINK("https://platform.v2.vetology.net/report/v/final/"&amp;2659292, 2659292)</f>
        <v>2659292</v>
      </c>
      <c r="D3555" s="3" t="s">
        <v>11727</v>
      </c>
      <c r="E3555" s="3" t="s">
        <v>11728</v>
      </c>
      <c r="F3555" s="3" t="s">
        <v>11729</v>
      </c>
      <c r="G3555" s="3" t="s">
        <v>186</v>
      </c>
      <c r="H3555" s="3" t="s">
        <v>11730</v>
      </c>
      <c r="I3555" s="3" t="s">
        <v>4591</v>
      </c>
      <c r="J3555" s="3" t="s">
        <v>4592</v>
      </c>
      <c r="K3555" s="3" t="s">
        <v>28</v>
      </c>
      <c r="L3555" s="3" t="s">
        <v>27</v>
      </c>
      <c r="M3555" s="3" t="s">
        <v>27</v>
      </c>
      <c r="N3555" s="3" t="s">
        <v>28</v>
      </c>
      <c r="O3555" s="3" t="s">
        <v>28</v>
      </c>
      <c r="P3555" s="3" t="s">
        <v>28</v>
      </c>
      <c r="Q3555" s="3" t="s">
        <v>28</v>
      </c>
      <c r="R3555" s="3" t="s">
        <v>28</v>
      </c>
      <c r="S3555" s="3" t="s">
        <v>27</v>
      </c>
      <c r="T3555" s="3" t="s">
        <v>28</v>
      </c>
    </row>
    <row r="3556" spans="1:20" ht="336">
      <c r="A3556" s="3">
        <v>2659290</v>
      </c>
      <c r="B3556" s="3">
        <f>HYPERLINK("https://platform.v2.vetology.net/cases/2659290/screening-report/6?type=pdf&amp;v=v6&amp;scorecard=1&amp;secret_key=BX%25IJ%24%2F65ieZ%29f6", 2659290)</f>
        <v>2659290</v>
      </c>
      <c r="C3556" s="3">
        <f>HYPERLINK("https://platform.v2.vetology.net/report/v/final/"&amp;2659290, 2659290)</f>
        <v>2659290</v>
      </c>
      <c r="D3556" s="3" t="s">
        <v>11731</v>
      </c>
      <c r="E3556" s="3" t="s">
        <v>11732</v>
      </c>
      <c r="F3556" s="3" t="s">
        <v>22</v>
      </c>
      <c r="G3556" s="3" t="s">
        <v>372</v>
      </c>
      <c r="H3556" s="3" t="s">
        <v>11733</v>
      </c>
      <c r="I3556" s="3" t="s">
        <v>2226</v>
      </c>
      <c r="J3556" s="3" t="s">
        <v>2227</v>
      </c>
      <c r="K3556" s="3" t="s">
        <v>27</v>
      </c>
      <c r="L3556" s="3" t="s">
        <v>28</v>
      </c>
      <c r="M3556" s="3" t="s">
        <v>27</v>
      </c>
      <c r="N3556" s="3" t="s">
        <v>28</v>
      </c>
      <c r="O3556" s="3" t="s">
        <v>27</v>
      </c>
      <c r="P3556" s="3" t="s">
        <v>28</v>
      </c>
      <c r="Q3556" s="3" t="s">
        <v>28</v>
      </c>
      <c r="R3556" s="3" t="s">
        <v>28</v>
      </c>
      <c r="S3556" s="3" t="s">
        <v>28</v>
      </c>
      <c r="T3556" s="3" t="s">
        <v>27</v>
      </c>
    </row>
    <row r="3557" spans="1:20" ht="409.6">
      <c r="A3557" s="3">
        <v>2659253</v>
      </c>
      <c r="B3557" s="3">
        <f>HYPERLINK("https://platform.v2.vetology.net/cases/2659253/screening-report/6?type=pdf&amp;v=v6&amp;scorecard=1&amp;secret_key=BX%25IJ%24%2F65ieZ%29f6", 2659253)</f>
        <v>2659253</v>
      </c>
      <c r="C3557" s="3">
        <f>HYPERLINK("https://platform.v2.vetology.net/report/v/final/"&amp;2659253, 2659253)</f>
        <v>2659253</v>
      </c>
      <c r="D3557" s="3" t="s">
        <v>11734</v>
      </c>
      <c r="E3557" s="3" t="s">
        <v>11735</v>
      </c>
      <c r="F3557" s="3" t="s">
        <v>11736</v>
      </c>
      <c r="G3557" s="3" t="s">
        <v>186</v>
      </c>
      <c r="H3557" s="3" t="s">
        <v>11737</v>
      </c>
      <c r="I3557" s="3" t="s">
        <v>2045</v>
      </c>
      <c r="J3557" s="3" t="s">
        <v>2046</v>
      </c>
      <c r="K3557" s="3" t="s">
        <v>27</v>
      </c>
      <c r="L3557" s="3" t="s">
        <v>28</v>
      </c>
      <c r="M3557" s="3" t="s">
        <v>28</v>
      </c>
      <c r="N3557" s="3" t="s">
        <v>28</v>
      </c>
      <c r="O3557" s="3" t="s">
        <v>27</v>
      </c>
      <c r="P3557" s="3" t="s">
        <v>28</v>
      </c>
      <c r="Q3557" s="3" t="s">
        <v>27</v>
      </c>
      <c r="R3557" s="3" t="s">
        <v>28</v>
      </c>
      <c r="S3557" s="3" t="s">
        <v>27</v>
      </c>
      <c r="T3557" s="3" t="s">
        <v>28</v>
      </c>
    </row>
    <row r="3558" spans="1:20" ht="409.6">
      <c r="A3558" s="3">
        <v>2659202</v>
      </c>
      <c r="B3558" s="3">
        <f>HYPERLINK("https://platform.v2.vetology.net/cases/2659202/screening-report/6?type=pdf&amp;v=v6&amp;scorecard=1&amp;secret_key=BX%25IJ%24%2F65ieZ%29f6", 2659202)</f>
        <v>2659202</v>
      </c>
      <c r="C3558" s="3">
        <f>HYPERLINK("https://platform.v2.vetology.net/report/v/final/"&amp;2659202, 2659202)</f>
        <v>2659202</v>
      </c>
      <c r="D3558" s="3" t="s">
        <v>11738</v>
      </c>
      <c r="E3558" s="3" t="s">
        <v>11739</v>
      </c>
      <c r="F3558" s="3" t="s">
        <v>22</v>
      </c>
      <c r="G3558" s="3" t="s">
        <v>100</v>
      </c>
      <c r="H3558" s="3" t="s">
        <v>1874</v>
      </c>
      <c r="I3558" s="3" t="s">
        <v>520</v>
      </c>
      <c r="J3558" s="3" t="s">
        <v>335</v>
      </c>
      <c r="K3558" s="3" t="s">
        <v>28</v>
      </c>
      <c r="L3558" s="3" t="s">
        <v>28</v>
      </c>
      <c r="M3558" s="3" t="s">
        <v>28</v>
      </c>
      <c r="N3558" s="3" t="s">
        <v>28</v>
      </c>
      <c r="O3558" s="3" t="s">
        <v>27</v>
      </c>
      <c r="P3558" s="3" t="s">
        <v>28</v>
      </c>
      <c r="Q3558" s="3" t="s">
        <v>28</v>
      </c>
      <c r="R3558" s="3" t="s">
        <v>28</v>
      </c>
      <c r="S3558" s="3" t="s">
        <v>28</v>
      </c>
      <c r="T3558" s="3" t="s">
        <v>28</v>
      </c>
    </row>
    <row r="3559" spans="1:20" ht="183">
      <c r="A3559" s="3">
        <v>2659073</v>
      </c>
      <c r="B3559" s="3">
        <f>HYPERLINK("https://platform.v2.vetology.net/cases/2659073/screening-report/6?type=pdf&amp;v=v6&amp;scorecard=1&amp;secret_key=BX%25IJ%24%2F65ieZ%29f6", 2659073)</f>
        <v>2659073</v>
      </c>
      <c r="C3559" s="3">
        <f>HYPERLINK("https://platform.v2.vetology.net/report/v/final/"&amp;2659073, 2659073)</f>
        <v>2659073</v>
      </c>
      <c r="D3559" s="3" t="s">
        <v>11740</v>
      </c>
      <c r="E3559" s="3" t="s">
        <v>11741</v>
      </c>
      <c r="F3559" s="3" t="s">
        <v>1587</v>
      </c>
      <c r="G3559" s="3" t="s">
        <v>100</v>
      </c>
      <c r="H3559" s="3" t="s">
        <v>8065</v>
      </c>
      <c r="I3559" s="3"/>
      <c r="J3559" s="3" t="s">
        <v>207</v>
      </c>
      <c r="K3559" s="3" t="s">
        <v>27</v>
      </c>
      <c r="L3559" s="3" t="s">
        <v>28</v>
      </c>
      <c r="M3559" s="3" t="s">
        <v>27</v>
      </c>
      <c r="N3559" s="3" t="s">
        <v>28</v>
      </c>
      <c r="O3559" s="3" t="s">
        <v>28</v>
      </c>
      <c r="P3559" s="3" t="s">
        <v>28</v>
      </c>
      <c r="Q3559" s="3" t="s">
        <v>28</v>
      </c>
      <c r="R3559" s="3" t="s">
        <v>28</v>
      </c>
      <c r="S3559" s="3" t="s">
        <v>28</v>
      </c>
      <c r="T3559" s="3" t="s">
        <v>27</v>
      </c>
    </row>
    <row r="3560" spans="1:20" ht="396.75">
      <c r="A3560" s="3">
        <v>2659064</v>
      </c>
      <c r="B3560" s="3">
        <f>HYPERLINK("https://platform.v2.vetology.net/cases/2659064/screening-report/6?type=pdf&amp;v=v6&amp;scorecard=1&amp;secret_key=BX%25IJ%24%2F65ieZ%29f6", 2659064)</f>
        <v>2659064</v>
      </c>
      <c r="C3560" s="3">
        <f>HYPERLINK("https://platform.v2.vetology.net/report/v/final/"&amp;2659064, 2659064)</f>
        <v>2659064</v>
      </c>
      <c r="D3560" s="3" t="s">
        <v>11742</v>
      </c>
      <c r="E3560" s="3" t="s">
        <v>11743</v>
      </c>
      <c r="F3560" s="3" t="s">
        <v>11744</v>
      </c>
      <c r="G3560" s="3" t="s">
        <v>211</v>
      </c>
      <c r="H3560" s="3" t="s">
        <v>11745</v>
      </c>
      <c r="I3560" s="3" t="s">
        <v>561</v>
      </c>
      <c r="J3560" s="3" t="s">
        <v>562</v>
      </c>
      <c r="K3560" s="3" t="s">
        <v>28</v>
      </c>
      <c r="L3560" s="3" t="s">
        <v>28</v>
      </c>
      <c r="M3560" s="3" t="s">
        <v>28</v>
      </c>
      <c r="N3560" s="3" t="s">
        <v>28</v>
      </c>
      <c r="O3560" s="3" t="s">
        <v>28</v>
      </c>
      <c r="P3560" s="3" t="s">
        <v>27</v>
      </c>
      <c r="Q3560" s="3" t="s">
        <v>28</v>
      </c>
      <c r="R3560" s="3" t="s">
        <v>28</v>
      </c>
      <c r="S3560" s="3" t="s">
        <v>28</v>
      </c>
      <c r="T3560" s="3" t="s">
        <v>27</v>
      </c>
    </row>
    <row r="3561" spans="1:20" ht="366">
      <c r="A3561" s="3">
        <v>2659047</v>
      </c>
      <c r="B3561" s="3">
        <f>HYPERLINK("https://platform.v2.vetology.net/cases/2659047/screening-report/6?type=pdf&amp;v=v6&amp;scorecard=1&amp;secret_key=BX%25IJ%24%2F65ieZ%29f6", 2659047)</f>
        <v>2659047</v>
      </c>
      <c r="C3561" s="3">
        <f>HYPERLINK("https://platform.v2.vetology.net/report/v/final/"&amp;2659047, 2659047)</f>
        <v>2659047</v>
      </c>
      <c r="D3561" s="3" t="s">
        <v>11746</v>
      </c>
      <c r="E3561" s="3" t="s">
        <v>11747</v>
      </c>
      <c r="F3561" s="3" t="s">
        <v>11748</v>
      </c>
      <c r="G3561" s="3" t="s">
        <v>211</v>
      </c>
      <c r="H3561" s="3" t="s">
        <v>11749</v>
      </c>
      <c r="I3561" s="3" t="s">
        <v>883</v>
      </c>
      <c r="J3561" s="3" t="s">
        <v>884</v>
      </c>
      <c r="K3561" s="3" t="s">
        <v>27</v>
      </c>
      <c r="L3561" s="3" t="s">
        <v>28</v>
      </c>
      <c r="M3561" s="3" t="s">
        <v>28</v>
      </c>
      <c r="N3561" s="3" t="s">
        <v>28</v>
      </c>
      <c r="O3561" s="3" t="s">
        <v>28</v>
      </c>
      <c r="P3561" s="3" t="s">
        <v>28</v>
      </c>
      <c r="Q3561" s="3" t="s">
        <v>28</v>
      </c>
      <c r="R3561" s="3" t="s">
        <v>28</v>
      </c>
      <c r="S3561" s="3" t="s">
        <v>28</v>
      </c>
      <c r="T3561" s="3" t="s">
        <v>28</v>
      </c>
    </row>
    <row r="3562" spans="1:20" ht="409.6">
      <c r="A3562" s="3">
        <v>2659032</v>
      </c>
      <c r="B3562" s="3">
        <f>HYPERLINK("https://platform.v2.vetology.net/cases/2659032/screening-report/6?type=pdf&amp;v=v6&amp;scorecard=1&amp;secret_key=BX%25IJ%24%2F65ieZ%29f6", 2659032)</f>
        <v>2659032</v>
      </c>
      <c r="C3562" s="3">
        <f>HYPERLINK("https://platform.v2.vetology.net/report/v/final/"&amp;2659032, 2659032)</f>
        <v>2659032</v>
      </c>
      <c r="D3562" s="3" t="s">
        <v>11750</v>
      </c>
      <c r="E3562" s="3" t="s">
        <v>11751</v>
      </c>
      <c r="F3562" s="3" t="s">
        <v>11752</v>
      </c>
      <c r="G3562" s="3" t="s">
        <v>211</v>
      </c>
      <c r="H3562" s="3" t="s">
        <v>11753</v>
      </c>
      <c r="I3562" s="3" t="s">
        <v>6582</v>
      </c>
      <c r="J3562" s="3" t="s">
        <v>6583</v>
      </c>
      <c r="K3562" s="3" t="s">
        <v>27</v>
      </c>
      <c r="L3562" s="3" t="s">
        <v>28</v>
      </c>
      <c r="M3562" s="3" t="s">
        <v>27</v>
      </c>
      <c r="N3562" s="3" t="s">
        <v>28</v>
      </c>
      <c r="O3562" s="3" t="s">
        <v>28</v>
      </c>
      <c r="P3562" s="3" t="s">
        <v>28</v>
      </c>
      <c r="Q3562" s="3" t="s">
        <v>27</v>
      </c>
      <c r="R3562" s="3" t="s">
        <v>28</v>
      </c>
      <c r="S3562" s="3" t="s">
        <v>28</v>
      </c>
      <c r="T3562" s="3" t="s">
        <v>28</v>
      </c>
    </row>
    <row r="3563" spans="1:20" ht="409.6">
      <c r="A3563" s="3">
        <v>2659030</v>
      </c>
      <c r="B3563" s="3">
        <f>HYPERLINK("https://platform.v2.vetology.net/cases/2659030/screening-report/6?type=pdf&amp;v=v6&amp;scorecard=1&amp;secret_key=BX%25IJ%24%2F65ieZ%29f6", 2659030)</f>
        <v>2659030</v>
      </c>
      <c r="C3563" s="3">
        <f>HYPERLINK("https://platform.v2.vetology.net/report/v/final/"&amp;2659030, 2659030)</f>
        <v>2659030</v>
      </c>
      <c r="D3563" s="3" t="s">
        <v>10405</v>
      </c>
      <c r="E3563" s="3" t="s">
        <v>1028</v>
      </c>
      <c r="F3563" s="3" t="s">
        <v>1090</v>
      </c>
      <c r="G3563" s="3" t="s">
        <v>100</v>
      </c>
      <c r="H3563" s="3" t="s">
        <v>11754</v>
      </c>
      <c r="I3563" s="3" t="s">
        <v>429</v>
      </c>
      <c r="J3563" s="3" t="s">
        <v>430</v>
      </c>
      <c r="K3563" s="3" t="s">
        <v>27</v>
      </c>
      <c r="L3563" s="3" t="s">
        <v>27</v>
      </c>
      <c r="M3563" s="3" t="s">
        <v>27</v>
      </c>
      <c r="N3563" s="3" t="s">
        <v>27</v>
      </c>
      <c r="O3563" s="3" t="s">
        <v>27</v>
      </c>
      <c r="P3563" s="3" t="s">
        <v>28</v>
      </c>
      <c r="Q3563" s="3" t="s">
        <v>28</v>
      </c>
      <c r="R3563" s="3" t="s">
        <v>27</v>
      </c>
      <c r="S3563" s="3" t="s">
        <v>28</v>
      </c>
      <c r="T3563" s="3" t="s">
        <v>27</v>
      </c>
    </row>
    <row r="3564" spans="1:20" ht="409.6">
      <c r="A3564" s="3">
        <v>2659002</v>
      </c>
      <c r="B3564" s="3">
        <f>HYPERLINK("https://platform.v2.vetology.net/cases/2659002/screening-report/6?type=pdf&amp;v=v6&amp;scorecard=1&amp;secret_key=BX%25IJ%24%2F65ieZ%29f6", 2659002)</f>
        <v>2659002</v>
      </c>
      <c r="C3564" s="3">
        <f>HYPERLINK("https://platform.v2.vetology.net/report/v/final/"&amp;2659002, 2659002)</f>
        <v>2659002</v>
      </c>
      <c r="D3564" s="3" t="s">
        <v>11755</v>
      </c>
      <c r="E3564" s="3" t="s">
        <v>11756</v>
      </c>
      <c r="F3564" s="3"/>
      <c r="G3564" s="3" t="s">
        <v>122</v>
      </c>
      <c r="H3564" s="3" t="s">
        <v>11757</v>
      </c>
      <c r="I3564" s="3" t="s">
        <v>829</v>
      </c>
      <c r="J3564" s="3" t="s">
        <v>830</v>
      </c>
      <c r="K3564" s="3" t="s">
        <v>28</v>
      </c>
      <c r="L3564" s="3" t="s">
        <v>27</v>
      </c>
      <c r="M3564" s="3" t="s">
        <v>27</v>
      </c>
      <c r="N3564" s="3" t="s">
        <v>27</v>
      </c>
      <c r="O3564" s="3" t="s">
        <v>27</v>
      </c>
      <c r="P3564" s="3" t="s">
        <v>28</v>
      </c>
      <c r="Q3564" s="3" t="s">
        <v>27</v>
      </c>
      <c r="R3564" s="3" t="s">
        <v>27</v>
      </c>
      <c r="S3564" s="3" t="s">
        <v>27</v>
      </c>
      <c r="T3564" s="3" t="s">
        <v>27</v>
      </c>
    </row>
    <row r="3565" spans="1:20" ht="409.6">
      <c r="A3565" s="3">
        <v>2658998</v>
      </c>
      <c r="B3565" s="3">
        <f>HYPERLINK("https://platform.v2.vetology.net/cases/2658998/screening-report/6?type=pdf&amp;v=v6&amp;scorecard=1&amp;secret_key=BX%25IJ%24%2F65ieZ%29f6", 2658998)</f>
        <v>2658998</v>
      </c>
      <c r="C3565" s="3">
        <f>HYPERLINK("https://platform.v2.vetology.net/report/v/final/"&amp;2658998, 2658998)</f>
        <v>2658998</v>
      </c>
      <c r="D3565" s="3" t="s">
        <v>11758</v>
      </c>
      <c r="E3565" s="3" t="s">
        <v>11759</v>
      </c>
      <c r="F3565" s="3" t="s">
        <v>11760</v>
      </c>
      <c r="G3565" s="3" t="s">
        <v>736</v>
      </c>
      <c r="H3565" s="3" t="s">
        <v>745</v>
      </c>
      <c r="I3565" s="3" t="s">
        <v>746</v>
      </c>
      <c r="J3565" s="3" t="s">
        <v>207</v>
      </c>
      <c r="K3565" s="3" t="s">
        <v>28</v>
      </c>
      <c r="L3565" s="3" t="s">
        <v>28</v>
      </c>
      <c r="M3565" s="3" t="s">
        <v>28</v>
      </c>
      <c r="N3565" s="3" t="s">
        <v>28</v>
      </c>
      <c r="O3565" s="3" t="s">
        <v>27</v>
      </c>
      <c r="P3565" s="3" t="s">
        <v>28</v>
      </c>
      <c r="Q3565" s="3" t="s">
        <v>27</v>
      </c>
      <c r="R3565" s="3" t="s">
        <v>28</v>
      </c>
      <c r="S3565" s="3" t="s">
        <v>27</v>
      </c>
      <c r="T3565" s="3" t="s">
        <v>28</v>
      </c>
    </row>
    <row r="3566" spans="1:20" ht="275.25">
      <c r="A3566" s="3">
        <v>2658988</v>
      </c>
      <c r="B3566" s="3">
        <f>HYPERLINK("https://platform.v2.vetology.net/cases/2658988/screening-report/6?type=pdf&amp;v=v6&amp;scorecard=1&amp;secret_key=BX%25IJ%24%2F65ieZ%29f6", 2658988)</f>
        <v>2658988</v>
      </c>
      <c r="C3566" s="3">
        <f>HYPERLINK("https://platform.v2.vetology.net/report/v/final/"&amp;2658988, 2658988)</f>
        <v>2658988</v>
      </c>
      <c r="D3566" s="3" t="s">
        <v>11761</v>
      </c>
      <c r="E3566" s="3" t="s">
        <v>11762</v>
      </c>
      <c r="F3566" s="3" t="s">
        <v>3298</v>
      </c>
      <c r="G3566" s="3" t="s">
        <v>100</v>
      </c>
      <c r="H3566" s="3" t="s">
        <v>11763</v>
      </c>
      <c r="I3566" s="3" t="s">
        <v>72</v>
      </c>
      <c r="J3566" s="3" t="s">
        <v>207</v>
      </c>
      <c r="K3566" s="3" t="s">
        <v>28</v>
      </c>
      <c r="L3566" s="3" t="s">
        <v>28</v>
      </c>
      <c r="M3566" s="3" t="s">
        <v>27</v>
      </c>
      <c r="N3566" s="3" t="s">
        <v>28</v>
      </c>
      <c r="O3566" s="3" t="s">
        <v>27</v>
      </c>
      <c r="P3566" s="3" t="s">
        <v>28</v>
      </c>
      <c r="Q3566" s="3" t="s">
        <v>28</v>
      </c>
      <c r="R3566" s="3" t="s">
        <v>28</v>
      </c>
      <c r="S3566" s="3" t="s">
        <v>28</v>
      </c>
      <c r="T3566" s="3" t="s">
        <v>28</v>
      </c>
    </row>
    <row r="3567" spans="1:20" ht="244.5">
      <c r="A3567" s="3">
        <v>2658948</v>
      </c>
      <c r="B3567" s="3">
        <f>HYPERLINK("https://platform.v2.vetology.net/cases/2658948/screening-report/6?type=pdf&amp;v=v6&amp;scorecard=1&amp;secret_key=BX%25IJ%24%2F65ieZ%29f6", 2658948)</f>
        <v>2658948</v>
      </c>
      <c r="C3567" s="3">
        <f>HYPERLINK("https://platform.v2.vetology.net/report/v/final/"&amp;2658948, 2658948)</f>
        <v>2658948</v>
      </c>
      <c r="D3567" s="3" t="s">
        <v>11764</v>
      </c>
      <c r="E3567" s="3" t="s">
        <v>11765</v>
      </c>
      <c r="F3567" s="3" t="s">
        <v>11766</v>
      </c>
      <c r="G3567" s="3" t="s">
        <v>186</v>
      </c>
      <c r="H3567" s="3" t="s">
        <v>2634</v>
      </c>
      <c r="I3567" s="3" t="s">
        <v>2024</v>
      </c>
      <c r="J3567" s="3" t="s">
        <v>207</v>
      </c>
      <c r="K3567" s="3" t="s">
        <v>28</v>
      </c>
      <c r="L3567" s="3" t="s">
        <v>28</v>
      </c>
      <c r="M3567" s="3" t="s">
        <v>28</v>
      </c>
      <c r="N3567" s="3" t="s">
        <v>28</v>
      </c>
      <c r="O3567" s="3" t="s">
        <v>27</v>
      </c>
      <c r="P3567" s="3" t="s">
        <v>28</v>
      </c>
      <c r="Q3567" s="3" t="s">
        <v>27</v>
      </c>
      <c r="R3567" s="3" t="s">
        <v>28</v>
      </c>
      <c r="S3567" s="3" t="s">
        <v>28</v>
      </c>
      <c r="T3567" s="3" t="s">
        <v>28</v>
      </c>
    </row>
    <row r="3568" spans="1:20" ht="409.6">
      <c r="A3568" s="3">
        <v>2658928</v>
      </c>
      <c r="B3568" s="3">
        <f>HYPERLINK("https://platform.v2.vetology.net/cases/2658928/screening-report/6?type=pdf&amp;v=v6&amp;scorecard=1&amp;secret_key=BX%25IJ%24%2F65ieZ%29f6", 2658928)</f>
        <v>2658928</v>
      </c>
      <c r="C3568" s="3">
        <f>HYPERLINK("https://platform.v2.vetology.net/report/v/final/"&amp;2658928, 2658928)</f>
        <v>2658928</v>
      </c>
      <c r="D3568" s="3" t="s">
        <v>11767</v>
      </c>
      <c r="E3568" s="3" t="s">
        <v>11768</v>
      </c>
      <c r="F3568" s="3" t="s">
        <v>11769</v>
      </c>
      <c r="G3568" s="3" t="s">
        <v>57</v>
      </c>
      <c r="H3568" s="3" t="s">
        <v>1421</v>
      </c>
      <c r="I3568" s="3" t="s">
        <v>1497</v>
      </c>
      <c r="J3568" s="3" t="s">
        <v>847</v>
      </c>
      <c r="K3568" s="3" t="s">
        <v>28</v>
      </c>
      <c r="L3568" s="3" t="s">
        <v>28</v>
      </c>
      <c r="M3568" s="3" t="s">
        <v>28</v>
      </c>
      <c r="N3568" s="3" t="s">
        <v>28</v>
      </c>
      <c r="O3568" s="3" t="s">
        <v>27</v>
      </c>
      <c r="P3568" s="3" t="s">
        <v>27</v>
      </c>
      <c r="Q3568" s="3" t="s">
        <v>28</v>
      </c>
      <c r="R3568" s="3" t="s">
        <v>28</v>
      </c>
      <c r="S3568" s="3" t="s">
        <v>28</v>
      </c>
      <c r="T3568" s="3" t="s">
        <v>28</v>
      </c>
    </row>
    <row r="3569" spans="1:20" ht="409.6">
      <c r="A3569" s="3">
        <v>2658883</v>
      </c>
      <c r="B3569" s="3">
        <f>HYPERLINK("https://platform.v2.vetology.net/cases/2658883/screening-report/6?type=pdf&amp;v=v6&amp;scorecard=1&amp;secret_key=BX%25IJ%24%2F65ieZ%29f6", 2658883)</f>
        <v>2658883</v>
      </c>
      <c r="C3569" s="3">
        <f>HYPERLINK("https://platform.v2.vetology.net/report/v/final/"&amp;2658883, 2658883)</f>
        <v>2658883</v>
      </c>
      <c r="D3569" s="3" t="s">
        <v>11770</v>
      </c>
      <c r="E3569" s="3" t="s">
        <v>11771</v>
      </c>
      <c r="F3569" s="3" t="s">
        <v>11772</v>
      </c>
      <c r="G3569" s="3" t="s">
        <v>211</v>
      </c>
      <c r="H3569" s="3" t="s">
        <v>11773</v>
      </c>
      <c r="I3569" s="3" t="s">
        <v>2686</v>
      </c>
      <c r="J3569" s="3" t="s">
        <v>2687</v>
      </c>
      <c r="K3569" s="3" t="s">
        <v>28</v>
      </c>
      <c r="L3569" s="3" t="s">
        <v>27</v>
      </c>
      <c r="M3569" s="3" t="s">
        <v>27</v>
      </c>
      <c r="N3569" s="3" t="s">
        <v>27</v>
      </c>
      <c r="O3569" s="3" t="s">
        <v>27</v>
      </c>
      <c r="P3569" s="3" t="s">
        <v>28</v>
      </c>
      <c r="Q3569" s="3" t="s">
        <v>27</v>
      </c>
      <c r="R3569" s="3" t="s">
        <v>27</v>
      </c>
      <c r="S3569" s="3" t="s">
        <v>27</v>
      </c>
      <c r="T3569" s="3" t="s">
        <v>27</v>
      </c>
    </row>
    <row r="3570" spans="1:20" ht="290.25">
      <c r="A3570" s="3">
        <v>2658870</v>
      </c>
      <c r="B3570" s="3">
        <f>HYPERLINK("https://platform.v2.vetology.net/cases/2658870/screening-report/6?type=pdf&amp;v=v6&amp;scorecard=1&amp;secret_key=BX%25IJ%24%2F65ieZ%29f6", 2658870)</f>
        <v>2658870</v>
      </c>
      <c r="C3570" s="3">
        <f>HYPERLINK("https://platform.v2.vetology.net/report/v/final/"&amp;2658870, 2658870)</f>
        <v>2658870</v>
      </c>
      <c r="D3570" s="3" t="s">
        <v>11774</v>
      </c>
      <c r="E3570" s="3" t="s">
        <v>11775</v>
      </c>
      <c r="F3570" s="3" t="s">
        <v>11776</v>
      </c>
      <c r="G3570" s="3" t="s">
        <v>186</v>
      </c>
      <c r="H3570" s="3" t="s">
        <v>135</v>
      </c>
      <c r="I3570" s="3" t="s">
        <v>136</v>
      </c>
      <c r="J3570" s="3" t="s">
        <v>424</v>
      </c>
      <c r="K3570" s="3" t="s">
        <v>28</v>
      </c>
      <c r="L3570" s="3" t="s">
        <v>27</v>
      </c>
      <c r="M3570" s="3" t="s">
        <v>28</v>
      </c>
      <c r="N3570" s="3" t="s">
        <v>28</v>
      </c>
      <c r="O3570" s="3" t="s">
        <v>27</v>
      </c>
      <c r="P3570" s="3" t="s">
        <v>28</v>
      </c>
      <c r="Q3570" s="3" t="s">
        <v>28</v>
      </c>
      <c r="R3570" s="3" t="s">
        <v>28</v>
      </c>
      <c r="S3570" s="3" t="s">
        <v>28</v>
      </c>
      <c r="T3570" s="3" t="s">
        <v>27</v>
      </c>
    </row>
    <row r="3571" spans="1:20" ht="409.6">
      <c r="A3571" s="3">
        <v>2658765</v>
      </c>
      <c r="B3571" s="3">
        <f>HYPERLINK("https://platform.v2.vetology.net/cases/2658765/screening-report/6?type=pdf&amp;v=v6&amp;scorecard=1&amp;secret_key=BX%25IJ%24%2F65ieZ%29f6", 2658765)</f>
        <v>2658765</v>
      </c>
      <c r="C3571" s="3">
        <f>HYPERLINK("https://platform.v2.vetology.net/report/v/final/"&amp;2658765, 2658765)</f>
        <v>2658765</v>
      </c>
      <c r="D3571" s="3" t="s">
        <v>11777</v>
      </c>
      <c r="E3571" s="3" t="s">
        <v>11778</v>
      </c>
      <c r="F3571" s="3" t="s">
        <v>11779</v>
      </c>
      <c r="G3571" s="3" t="s">
        <v>186</v>
      </c>
      <c r="H3571" s="3" t="s">
        <v>11780</v>
      </c>
      <c r="I3571" s="3" t="s">
        <v>993</v>
      </c>
      <c r="J3571" s="3" t="s">
        <v>994</v>
      </c>
      <c r="K3571" s="3" t="s">
        <v>28</v>
      </c>
      <c r="L3571" s="3" t="s">
        <v>28</v>
      </c>
      <c r="M3571" s="3" t="s">
        <v>28</v>
      </c>
      <c r="N3571" s="3" t="s">
        <v>28</v>
      </c>
      <c r="O3571" s="3" t="s">
        <v>27</v>
      </c>
      <c r="P3571" s="3" t="s">
        <v>28</v>
      </c>
      <c r="Q3571" s="3" t="s">
        <v>28</v>
      </c>
      <c r="R3571" s="3" t="s">
        <v>28</v>
      </c>
      <c r="S3571" s="3" t="s">
        <v>28</v>
      </c>
      <c r="T3571" s="3" t="s">
        <v>28</v>
      </c>
    </row>
    <row r="3572" spans="1:20" ht="409.6">
      <c r="A3572" s="3">
        <v>2658764</v>
      </c>
      <c r="B3572" s="3">
        <f>HYPERLINK("https://platform.v2.vetology.net/cases/2658764/screening-report/6?type=pdf&amp;v=v6&amp;scorecard=1&amp;secret_key=BX%25IJ%24%2F65ieZ%29f6", 2658764)</f>
        <v>2658764</v>
      </c>
      <c r="C3572" s="3">
        <f>HYPERLINK("https://platform.v2.vetology.net/report/v/final/"&amp;2658764, 2658764)</f>
        <v>2658764</v>
      </c>
      <c r="D3572" s="3" t="s">
        <v>11781</v>
      </c>
      <c r="E3572" s="3" t="s">
        <v>11782</v>
      </c>
      <c r="F3572" s="3" t="s">
        <v>11783</v>
      </c>
      <c r="G3572" s="3" t="s">
        <v>736</v>
      </c>
      <c r="H3572" s="3" t="s">
        <v>11784</v>
      </c>
      <c r="I3572" s="3" t="s">
        <v>8757</v>
      </c>
      <c r="J3572" s="3" t="s">
        <v>207</v>
      </c>
      <c r="K3572" s="3" t="s">
        <v>27</v>
      </c>
      <c r="L3572" s="3" t="s">
        <v>28</v>
      </c>
      <c r="M3572" s="3" t="s">
        <v>27</v>
      </c>
      <c r="N3572" s="3" t="s">
        <v>28</v>
      </c>
      <c r="O3572" s="3" t="s">
        <v>27</v>
      </c>
      <c r="P3572" s="3" t="s">
        <v>27</v>
      </c>
      <c r="Q3572" s="3" t="s">
        <v>28</v>
      </c>
      <c r="R3572" s="3" t="s">
        <v>28</v>
      </c>
      <c r="S3572" s="3" t="s">
        <v>28</v>
      </c>
      <c r="T3572" s="3" t="s">
        <v>28</v>
      </c>
    </row>
    <row r="3573" spans="1:20" ht="290.25">
      <c r="A3573" s="3">
        <v>2658736</v>
      </c>
      <c r="B3573" s="3">
        <f>HYPERLINK("https://platform.v2.vetology.net/cases/2658736/screening-report/6?type=pdf&amp;v=v6&amp;scorecard=1&amp;secret_key=BX%25IJ%24%2F65ieZ%29f6", 2658736)</f>
        <v>2658736</v>
      </c>
      <c r="C3573" s="3">
        <f>HYPERLINK("https://platform.v2.vetology.net/report/v/final/"&amp;2658736, 2658736)</f>
        <v>2658736</v>
      </c>
      <c r="D3573" s="3" t="s">
        <v>11785</v>
      </c>
      <c r="E3573" s="3" t="s">
        <v>11786</v>
      </c>
      <c r="F3573" s="3"/>
      <c r="G3573" s="3" t="s">
        <v>122</v>
      </c>
      <c r="H3573" s="3" t="s">
        <v>135</v>
      </c>
      <c r="I3573" s="3" t="s">
        <v>136</v>
      </c>
      <c r="J3573" s="3" t="s">
        <v>424</v>
      </c>
      <c r="K3573" s="3" t="s">
        <v>28</v>
      </c>
      <c r="L3573" s="3" t="s">
        <v>27</v>
      </c>
      <c r="M3573" s="3" t="s">
        <v>28</v>
      </c>
      <c r="N3573" s="3" t="s">
        <v>28</v>
      </c>
      <c r="O3573" s="3" t="s">
        <v>27</v>
      </c>
      <c r="P3573" s="3" t="s">
        <v>28</v>
      </c>
      <c r="Q3573" s="3" t="s">
        <v>28</v>
      </c>
      <c r="R3573" s="3" t="s">
        <v>28</v>
      </c>
      <c r="S3573" s="3" t="s">
        <v>28</v>
      </c>
      <c r="T3573" s="3" t="s">
        <v>27</v>
      </c>
    </row>
    <row r="3574" spans="1:20" ht="381.75">
      <c r="A3574" s="3">
        <v>2658712</v>
      </c>
      <c r="B3574" s="3">
        <f>HYPERLINK("https://platform.v2.vetology.net/cases/2658712/screening-report/6?type=pdf&amp;v=v6&amp;scorecard=1&amp;secret_key=BX%25IJ%24%2F65ieZ%29f6", 2658712)</f>
        <v>2658712</v>
      </c>
      <c r="C3574" s="3">
        <f>HYPERLINK("https://platform.v2.vetology.net/report/v/final/"&amp;2658712, 2658712)</f>
        <v>2658712</v>
      </c>
      <c r="D3574" s="3" t="s">
        <v>11787</v>
      </c>
      <c r="E3574" s="3" t="s">
        <v>11788</v>
      </c>
      <c r="F3574" s="3" t="s">
        <v>11789</v>
      </c>
      <c r="G3574" s="3" t="s">
        <v>186</v>
      </c>
      <c r="H3574" s="3" t="s">
        <v>11790</v>
      </c>
      <c r="I3574" s="3" t="s">
        <v>539</v>
      </c>
      <c r="J3574" s="3" t="s">
        <v>540</v>
      </c>
      <c r="K3574" s="3" t="s">
        <v>28</v>
      </c>
      <c r="L3574" s="3" t="s">
        <v>28</v>
      </c>
      <c r="M3574" s="3" t="s">
        <v>28</v>
      </c>
      <c r="N3574" s="3" t="s">
        <v>28</v>
      </c>
      <c r="O3574" s="3" t="s">
        <v>27</v>
      </c>
      <c r="P3574" s="3" t="s">
        <v>28</v>
      </c>
      <c r="Q3574" s="3" t="s">
        <v>28</v>
      </c>
      <c r="R3574" s="3" t="s">
        <v>28</v>
      </c>
      <c r="S3574" s="3" t="s">
        <v>28</v>
      </c>
      <c r="T3574" s="3" t="s">
        <v>28</v>
      </c>
    </row>
    <row r="3575" spans="1:20" ht="409.6">
      <c r="A3575" s="3">
        <v>2658698</v>
      </c>
      <c r="B3575" s="3">
        <f>HYPERLINK("https://platform.v2.vetology.net/cases/2658698/screening-report/6?type=pdf&amp;v=v6&amp;scorecard=1&amp;secret_key=BX%25IJ%24%2F65ieZ%29f6", 2658698)</f>
        <v>2658698</v>
      </c>
      <c r="C3575" s="3">
        <f>HYPERLINK("https://platform.v2.vetology.net/report/v/final/"&amp;2658698, 2658698)</f>
        <v>2658698</v>
      </c>
      <c r="D3575" s="3" t="s">
        <v>11791</v>
      </c>
      <c r="E3575" s="3" t="s">
        <v>11792</v>
      </c>
      <c r="F3575" s="3" t="s">
        <v>22</v>
      </c>
      <c r="G3575" s="3" t="s">
        <v>23</v>
      </c>
      <c r="H3575" s="3" t="s">
        <v>11793</v>
      </c>
      <c r="I3575" s="3" t="s">
        <v>1901</v>
      </c>
      <c r="J3575" s="3" t="s">
        <v>1902</v>
      </c>
      <c r="K3575" s="3" t="s">
        <v>27</v>
      </c>
      <c r="L3575" s="3" t="s">
        <v>27</v>
      </c>
      <c r="M3575" s="3" t="s">
        <v>27</v>
      </c>
      <c r="N3575" s="3" t="s">
        <v>28</v>
      </c>
      <c r="O3575" s="3" t="s">
        <v>27</v>
      </c>
      <c r="P3575" s="3" t="s">
        <v>27</v>
      </c>
      <c r="Q3575" s="3" t="s">
        <v>27</v>
      </c>
      <c r="R3575" s="3" t="s">
        <v>28</v>
      </c>
      <c r="S3575" s="3" t="s">
        <v>28</v>
      </c>
      <c r="T3575" s="3" t="s">
        <v>28</v>
      </c>
    </row>
    <row r="3576" spans="1:20" ht="290.25">
      <c r="A3576" s="3">
        <v>2658697</v>
      </c>
      <c r="B3576" s="3">
        <f>HYPERLINK("https://platform.v2.vetology.net/cases/2658697/screening-report/6?type=pdf&amp;v=v6&amp;scorecard=1&amp;secret_key=BX%25IJ%24%2F65ieZ%29f6", 2658697)</f>
        <v>2658697</v>
      </c>
      <c r="C3576" s="3">
        <f>HYPERLINK("https://platform.v2.vetology.net/report/v/final/"&amp;2658697, 2658697)</f>
        <v>2658697</v>
      </c>
      <c r="D3576" s="3" t="s">
        <v>11794</v>
      </c>
      <c r="E3576" s="3" t="s">
        <v>11795</v>
      </c>
      <c r="F3576" s="3" t="s">
        <v>11796</v>
      </c>
      <c r="G3576" s="3" t="s">
        <v>496</v>
      </c>
      <c r="H3576" s="3" t="s">
        <v>11797</v>
      </c>
      <c r="I3576" s="3" t="s">
        <v>316</v>
      </c>
      <c r="J3576" s="3" t="s">
        <v>317</v>
      </c>
      <c r="K3576" s="3" t="s">
        <v>28</v>
      </c>
      <c r="L3576" s="3" t="s">
        <v>28</v>
      </c>
      <c r="M3576" s="3" t="s">
        <v>28</v>
      </c>
      <c r="N3576" s="3" t="s">
        <v>28</v>
      </c>
      <c r="O3576" s="3" t="s">
        <v>27</v>
      </c>
      <c r="P3576" s="3" t="s">
        <v>28</v>
      </c>
      <c r="Q3576" s="3" t="s">
        <v>28</v>
      </c>
      <c r="R3576" s="3" t="s">
        <v>28</v>
      </c>
      <c r="S3576" s="3" t="s">
        <v>28</v>
      </c>
      <c r="T3576" s="3" t="s">
        <v>28</v>
      </c>
    </row>
    <row r="3577" spans="1:20" ht="409.6">
      <c r="A3577" s="3">
        <v>2658691</v>
      </c>
      <c r="B3577" s="3">
        <f>HYPERLINK("https://platform.v2.vetology.net/cases/2658691/screening-report/6?type=pdf&amp;v=v6&amp;scorecard=1&amp;secret_key=BX%25IJ%24%2F65ieZ%29f6", 2658691)</f>
        <v>2658691</v>
      </c>
      <c r="C3577" s="3">
        <f>HYPERLINK("https://platform.v2.vetology.net/report/v/final/"&amp;2658691, 2658691)</f>
        <v>2658691</v>
      </c>
      <c r="D3577" s="3" t="s">
        <v>11798</v>
      </c>
      <c r="E3577" s="3" t="s">
        <v>11799</v>
      </c>
      <c r="F3577" s="3" t="s">
        <v>11800</v>
      </c>
      <c r="G3577" s="3" t="s">
        <v>1772</v>
      </c>
      <c r="H3577" s="3" t="s">
        <v>5310</v>
      </c>
      <c r="I3577" s="3" t="s">
        <v>1227</v>
      </c>
      <c r="J3577" s="3" t="s">
        <v>1228</v>
      </c>
      <c r="K3577" s="3" t="s">
        <v>28</v>
      </c>
      <c r="L3577" s="3" t="s">
        <v>28</v>
      </c>
      <c r="M3577" s="3" t="s">
        <v>28</v>
      </c>
      <c r="N3577" s="3" t="s">
        <v>27</v>
      </c>
      <c r="O3577" s="3" t="s">
        <v>27</v>
      </c>
      <c r="P3577" s="3" t="s">
        <v>28</v>
      </c>
      <c r="Q3577" s="3" t="s">
        <v>28</v>
      </c>
      <c r="R3577" s="3" t="s">
        <v>27</v>
      </c>
      <c r="S3577" s="3" t="s">
        <v>28</v>
      </c>
      <c r="T3577" s="3" t="s">
        <v>27</v>
      </c>
    </row>
    <row r="3578" spans="1:20" ht="409.6">
      <c r="A3578" s="3">
        <v>2658646</v>
      </c>
      <c r="B3578" s="3">
        <f>HYPERLINK("https://platform.v2.vetology.net/cases/2658646/screening-report/6?type=pdf&amp;v=v6&amp;scorecard=1&amp;secret_key=BX%25IJ%24%2F65ieZ%29f6", 2658646)</f>
        <v>2658646</v>
      </c>
      <c r="C3578" s="3">
        <f>HYPERLINK("https://platform.v2.vetology.net/report/v/final/"&amp;2658646, 2658646)</f>
        <v>2658646</v>
      </c>
      <c r="D3578" s="3" t="s">
        <v>11801</v>
      </c>
      <c r="E3578" s="3" t="s">
        <v>11802</v>
      </c>
      <c r="F3578" s="3" t="s">
        <v>11803</v>
      </c>
      <c r="G3578" s="3" t="s">
        <v>1772</v>
      </c>
      <c r="H3578" s="3" t="s">
        <v>11804</v>
      </c>
      <c r="I3578" s="3" t="s">
        <v>334</v>
      </c>
      <c r="J3578" s="3" t="s">
        <v>335</v>
      </c>
      <c r="K3578" s="3" t="s">
        <v>28</v>
      </c>
      <c r="L3578" s="3" t="s">
        <v>28</v>
      </c>
      <c r="M3578" s="3" t="s">
        <v>27</v>
      </c>
      <c r="N3578" s="3" t="s">
        <v>28</v>
      </c>
      <c r="O3578" s="3" t="s">
        <v>27</v>
      </c>
      <c r="P3578" s="3" t="s">
        <v>28</v>
      </c>
      <c r="Q3578" s="3" t="s">
        <v>28</v>
      </c>
      <c r="R3578" s="3" t="s">
        <v>28</v>
      </c>
      <c r="S3578" s="3" t="s">
        <v>27</v>
      </c>
      <c r="T3578" s="3" t="s">
        <v>28</v>
      </c>
    </row>
    <row r="3579" spans="1:20" ht="381.75">
      <c r="A3579" s="3">
        <v>2658606</v>
      </c>
      <c r="B3579" s="3">
        <f>HYPERLINK("https://platform.v2.vetology.net/cases/2658606/screening-report/6?type=pdf&amp;v=v6&amp;scorecard=1&amp;secret_key=BX%25IJ%24%2F65ieZ%29f6", 2658606)</f>
        <v>2658606</v>
      </c>
      <c r="C3579" s="3">
        <f>HYPERLINK("https://platform.v2.vetology.net/report/v/final/"&amp;2658606, 2658606)</f>
        <v>2658606</v>
      </c>
      <c r="D3579" s="3" t="s">
        <v>1419</v>
      </c>
      <c r="E3579" s="3" t="s">
        <v>1089</v>
      </c>
      <c r="F3579" s="3" t="s">
        <v>1090</v>
      </c>
      <c r="G3579" s="3" t="s">
        <v>100</v>
      </c>
      <c r="H3579" s="3" t="s">
        <v>1714</v>
      </c>
      <c r="I3579" s="3" t="s">
        <v>392</v>
      </c>
      <c r="J3579" s="3" t="s">
        <v>393</v>
      </c>
      <c r="K3579" s="3" t="s">
        <v>28</v>
      </c>
      <c r="L3579" s="3" t="s">
        <v>28</v>
      </c>
      <c r="M3579" s="3" t="s">
        <v>28</v>
      </c>
      <c r="N3579" s="3" t="s">
        <v>28</v>
      </c>
      <c r="O3579" s="3" t="s">
        <v>28</v>
      </c>
      <c r="P3579" s="3" t="s">
        <v>28</v>
      </c>
      <c r="Q3579" s="3" t="s">
        <v>28</v>
      </c>
      <c r="R3579" s="3" t="s">
        <v>28</v>
      </c>
      <c r="S3579" s="3" t="s">
        <v>28</v>
      </c>
      <c r="T3579" s="3" t="s">
        <v>28</v>
      </c>
    </row>
    <row r="3580" spans="1:20" ht="396.75">
      <c r="A3580" s="3">
        <v>2658550</v>
      </c>
      <c r="B3580" s="3">
        <f>HYPERLINK("https://platform.v2.vetology.net/cases/2658550/screening-report/6?type=pdf&amp;v=v6&amp;scorecard=1&amp;secret_key=BX%25IJ%24%2F65ieZ%29f6", 2658550)</f>
        <v>2658550</v>
      </c>
      <c r="C3580" s="3">
        <f>HYPERLINK("https://platform.v2.vetology.net/report/v/final/"&amp;2658550, 2658550)</f>
        <v>2658550</v>
      </c>
      <c r="D3580" s="3" t="s">
        <v>11805</v>
      </c>
      <c r="E3580" s="3" t="s">
        <v>11806</v>
      </c>
      <c r="F3580" s="3" t="s">
        <v>2678</v>
      </c>
      <c r="G3580" s="3" t="s">
        <v>179</v>
      </c>
      <c r="H3580" s="3" t="s">
        <v>11807</v>
      </c>
      <c r="I3580" s="3" t="s">
        <v>2854</v>
      </c>
      <c r="J3580" s="3" t="s">
        <v>2855</v>
      </c>
      <c r="K3580" s="3" t="s">
        <v>27</v>
      </c>
      <c r="L3580" s="3" t="s">
        <v>28</v>
      </c>
      <c r="M3580" s="3" t="s">
        <v>28</v>
      </c>
      <c r="N3580" s="3" t="s">
        <v>28</v>
      </c>
      <c r="O3580" s="3" t="s">
        <v>27</v>
      </c>
      <c r="P3580" s="3" t="s">
        <v>28</v>
      </c>
      <c r="Q3580" s="3" t="s">
        <v>28</v>
      </c>
      <c r="R3580" s="3" t="s">
        <v>28</v>
      </c>
      <c r="S3580" s="3" t="s">
        <v>28</v>
      </c>
      <c r="T3580" s="3" t="s">
        <v>28</v>
      </c>
    </row>
    <row r="3581" spans="1:20" ht="409.6">
      <c r="A3581" s="3">
        <v>2658521</v>
      </c>
      <c r="B3581" s="3">
        <f>HYPERLINK("https://platform.v2.vetology.net/cases/2658521/screening-report/6?type=pdf&amp;v=v6&amp;scorecard=1&amp;secret_key=BX%25IJ%24%2F65ieZ%29f6", 2658521)</f>
        <v>2658521</v>
      </c>
      <c r="C3581" s="3">
        <f>HYPERLINK("https://platform.v2.vetology.net/report/v/final/"&amp;2658521, 2658521)</f>
        <v>2658521</v>
      </c>
      <c r="D3581" s="3" t="s">
        <v>11808</v>
      </c>
      <c r="E3581" s="3" t="s">
        <v>11809</v>
      </c>
      <c r="F3581" s="3" t="s">
        <v>11810</v>
      </c>
      <c r="G3581" s="3" t="s">
        <v>186</v>
      </c>
      <c r="H3581" s="3" t="s">
        <v>938</v>
      </c>
      <c r="I3581" s="3" t="s">
        <v>939</v>
      </c>
      <c r="J3581" s="3" t="s">
        <v>940</v>
      </c>
      <c r="K3581" s="3" t="s">
        <v>27</v>
      </c>
      <c r="L3581" s="3" t="s">
        <v>28</v>
      </c>
      <c r="M3581" s="3" t="s">
        <v>28</v>
      </c>
      <c r="N3581" s="3" t="s">
        <v>28</v>
      </c>
      <c r="O3581" s="3" t="s">
        <v>27</v>
      </c>
      <c r="P3581" s="3" t="s">
        <v>27</v>
      </c>
      <c r="Q3581" s="3" t="s">
        <v>27</v>
      </c>
      <c r="R3581" s="3" t="s">
        <v>28</v>
      </c>
      <c r="S3581" s="3" t="s">
        <v>28</v>
      </c>
      <c r="T3581" s="3" t="s">
        <v>28</v>
      </c>
    </row>
    <row r="3582" spans="1:20" ht="409.6">
      <c r="A3582" s="3">
        <v>2658520</v>
      </c>
      <c r="B3582" s="3">
        <f>HYPERLINK("https://platform.v2.vetology.net/cases/2658520/screening-report/6?type=pdf&amp;v=v6&amp;scorecard=1&amp;secret_key=BX%25IJ%24%2F65ieZ%29f6", 2658520)</f>
        <v>2658520</v>
      </c>
      <c r="C3582" s="3">
        <f>HYPERLINK("https://platform.v2.vetology.net/report/v/final/"&amp;2658520, 2658520)</f>
        <v>2658520</v>
      </c>
      <c r="D3582" s="3" t="s">
        <v>11811</v>
      </c>
      <c r="E3582" s="3" t="s">
        <v>11812</v>
      </c>
      <c r="F3582" s="3" t="s">
        <v>11813</v>
      </c>
      <c r="G3582" s="3" t="s">
        <v>1772</v>
      </c>
      <c r="H3582" s="3" t="s">
        <v>11814</v>
      </c>
      <c r="I3582" s="3" t="s">
        <v>52</v>
      </c>
      <c r="J3582" s="3" t="s">
        <v>154</v>
      </c>
      <c r="K3582" s="3" t="s">
        <v>27</v>
      </c>
      <c r="L3582" s="3" t="s">
        <v>28</v>
      </c>
      <c r="M3582" s="3" t="s">
        <v>28</v>
      </c>
      <c r="N3582" s="3" t="s">
        <v>28</v>
      </c>
      <c r="O3582" s="3" t="s">
        <v>27</v>
      </c>
      <c r="P3582" s="3" t="s">
        <v>27</v>
      </c>
      <c r="Q3582" s="3" t="s">
        <v>27</v>
      </c>
      <c r="R3582" s="3" t="s">
        <v>28</v>
      </c>
      <c r="S3582" s="3" t="s">
        <v>28</v>
      </c>
      <c r="T3582" s="3" t="s">
        <v>28</v>
      </c>
    </row>
    <row r="3583" spans="1:20" ht="396.75">
      <c r="A3583" s="3">
        <v>2658518</v>
      </c>
      <c r="B3583" s="3">
        <f>HYPERLINK("https://platform.v2.vetology.net/cases/2658518/screening-report/6?type=pdf&amp;v=v6&amp;scorecard=1&amp;secret_key=BX%25IJ%24%2F65ieZ%29f6", 2658518)</f>
        <v>2658518</v>
      </c>
      <c r="C3583" s="3">
        <f>HYPERLINK("https://platform.v2.vetology.net/report/v/final/"&amp;2658518, 2658518)</f>
        <v>2658518</v>
      </c>
      <c r="D3583" s="3" t="s">
        <v>11815</v>
      </c>
      <c r="E3583" s="3" t="s">
        <v>11816</v>
      </c>
      <c r="F3583" s="3" t="s">
        <v>99</v>
      </c>
      <c r="G3583" s="3" t="s">
        <v>100</v>
      </c>
      <c r="H3583" s="3" t="s">
        <v>11817</v>
      </c>
      <c r="I3583" s="3" t="s">
        <v>5710</v>
      </c>
      <c r="J3583" s="3" t="s">
        <v>5711</v>
      </c>
      <c r="K3583" s="3" t="s">
        <v>27</v>
      </c>
      <c r="L3583" s="3" t="s">
        <v>27</v>
      </c>
      <c r="M3583" s="3" t="s">
        <v>27</v>
      </c>
      <c r="N3583" s="3" t="s">
        <v>28</v>
      </c>
      <c r="O3583" s="3" t="s">
        <v>27</v>
      </c>
      <c r="P3583" s="3" t="s">
        <v>28</v>
      </c>
      <c r="Q3583" s="3" t="s">
        <v>27</v>
      </c>
      <c r="R3583" s="3" t="s">
        <v>28</v>
      </c>
      <c r="S3583" s="3" t="s">
        <v>27</v>
      </c>
      <c r="T3583" s="3" t="s">
        <v>28</v>
      </c>
    </row>
    <row r="3584" spans="1:20" ht="409.6">
      <c r="A3584" s="3">
        <v>2658484</v>
      </c>
      <c r="B3584" s="3">
        <f>HYPERLINK("https://platform.v2.vetology.net/cases/2658484/screening-report/6?type=pdf&amp;v=v6&amp;scorecard=1&amp;secret_key=BX%25IJ%24%2F65ieZ%29f6", 2658484)</f>
        <v>2658484</v>
      </c>
      <c r="C3584" s="3">
        <f>HYPERLINK("https://platform.v2.vetology.net/report/v/final/"&amp;2658484, 2658484)</f>
        <v>2658484</v>
      </c>
      <c r="D3584" s="3" t="s">
        <v>11818</v>
      </c>
      <c r="E3584" s="3" t="s">
        <v>11819</v>
      </c>
      <c r="F3584" s="3" t="s">
        <v>11820</v>
      </c>
      <c r="G3584" s="3" t="s">
        <v>1772</v>
      </c>
      <c r="H3584" s="3" t="s">
        <v>11821</v>
      </c>
      <c r="I3584" s="3" t="s">
        <v>1169</v>
      </c>
      <c r="J3584" s="3" t="s">
        <v>1170</v>
      </c>
      <c r="K3584" s="3" t="s">
        <v>28</v>
      </c>
      <c r="L3584" s="3" t="s">
        <v>27</v>
      </c>
      <c r="M3584" s="3" t="s">
        <v>27</v>
      </c>
      <c r="N3584" s="3" t="s">
        <v>27</v>
      </c>
      <c r="O3584" s="3" t="s">
        <v>27</v>
      </c>
      <c r="P3584" s="3" t="s">
        <v>28</v>
      </c>
      <c r="Q3584" s="3" t="s">
        <v>27</v>
      </c>
      <c r="R3584" s="3" t="s">
        <v>28</v>
      </c>
      <c r="S3584" s="3" t="s">
        <v>28</v>
      </c>
      <c r="T3584" s="3" t="s">
        <v>27</v>
      </c>
    </row>
    <row r="3585" spans="1:20" ht="409.6">
      <c r="A3585" s="3">
        <v>2658479</v>
      </c>
      <c r="B3585" s="3">
        <f>HYPERLINK("https://platform.v2.vetology.net/cases/2658479/screening-report/6?type=pdf&amp;v=v6&amp;scorecard=1&amp;secret_key=BX%25IJ%24%2F65ieZ%29f6", 2658479)</f>
        <v>2658479</v>
      </c>
      <c r="C3585" s="3">
        <f>HYPERLINK("https://platform.v2.vetology.net/report/v/final/"&amp;2658479, 2658479)</f>
        <v>2658479</v>
      </c>
      <c r="D3585" s="3" t="s">
        <v>11822</v>
      </c>
      <c r="E3585" s="3" t="s">
        <v>11823</v>
      </c>
      <c r="F3585" s="3" t="s">
        <v>4473</v>
      </c>
      <c r="G3585" s="3" t="s">
        <v>186</v>
      </c>
      <c r="H3585" s="3" t="s">
        <v>11824</v>
      </c>
      <c r="I3585" s="3" t="s">
        <v>4790</v>
      </c>
      <c r="J3585" s="3" t="s">
        <v>5412</v>
      </c>
      <c r="K3585" s="3" t="s">
        <v>28</v>
      </c>
      <c r="L3585" s="3" t="s">
        <v>28</v>
      </c>
      <c r="M3585" s="3" t="s">
        <v>28</v>
      </c>
      <c r="N3585" s="3" t="s">
        <v>28</v>
      </c>
      <c r="O3585" s="3" t="s">
        <v>27</v>
      </c>
      <c r="P3585" s="3" t="s">
        <v>28</v>
      </c>
      <c r="Q3585" s="3" t="s">
        <v>28</v>
      </c>
      <c r="R3585" s="3" t="s">
        <v>28</v>
      </c>
      <c r="S3585" s="3" t="s">
        <v>28</v>
      </c>
      <c r="T3585" s="3" t="s">
        <v>28</v>
      </c>
    </row>
    <row r="3586" spans="1:20" ht="409.6">
      <c r="A3586" s="3">
        <v>2658476</v>
      </c>
      <c r="B3586" s="3">
        <f>HYPERLINK("https://platform.v2.vetology.net/cases/2658476/screening-report/6?type=pdf&amp;v=v6&amp;scorecard=1&amp;secret_key=BX%25IJ%24%2F65ieZ%29f6", 2658476)</f>
        <v>2658476</v>
      </c>
      <c r="C3586" s="3">
        <f>HYPERLINK("https://platform.v2.vetology.net/report/v/final/"&amp;2658476, 2658476)</f>
        <v>2658476</v>
      </c>
      <c r="D3586" s="3" t="s">
        <v>11825</v>
      </c>
      <c r="E3586" s="3" t="s">
        <v>11826</v>
      </c>
      <c r="F3586" s="3" t="s">
        <v>11827</v>
      </c>
      <c r="G3586" s="3" t="s">
        <v>186</v>
      </c>
      <c r="H3586" s="3" t="s">
        <v>11828</v>
      </c>
      <c r="I3586" s="3" t="s">
        <v>3233</v>
      </c>
      <c r="J3586" s="3" t="s">
        <v>3234</v>
      </c>
      <c r="K3586" s="3" t="s">
        <v>28</v>
      </c>
      <c r="L3586" s="3" t="s">
        <v>27</v>
      </c>
      <c r="M3586" s="3" t="s">
        <v>28</v>
      </c>
      <c r="N3586" s="3" t="s">
        <v>27</v>
      </c>
      <c r="O3586" s="3" t="s">
        <v>27</v>
      </c>
      <c r="P3586" s="3" t="s">
        <v>27</v>
      </c>
      <c r="Q3586" s="3" t="s">
        <v>27</v>
      </c>
      <c r="R3586" s="3" t="s">
        <v>27</v>
      </c>
      <c r="S3586" s="3" t="s">
        <v>27</v>
      </c>
      <c r="T3586" s="3" t="s">
        <v>27</v>
      </c>
    </row>
    <row r="3587" spans="1:20" ht="409.6">
      <c r="A3587" s="3">
        <v>2658458</v>
      </c>
      <c r="B3587" s="3">
        <f>HYPERLINK("https://platform.v2.vetology.net/cases/2658458/screening-report/6?type=pdf&amp;v=v6&amp;scorecard=1&amp;secret_key=BX%25IJ%24%2F65ieZ%29f6", 2658458)</f>
        <v>2658458</v>
      </c>
      <c r="C3587" s="3">
        <f>HYPERLINK("https://platform.v2.vetology.net/report/v/final/"&amp;2658458, 2658458)</f>
        <v>2658458</v>
      </c>
      <c r="D3587" s="3" t="s">
        <v>11829</v>
      </c>
      <c r="E3587" s="3" t="s">
        <v>11830</v>
      </c>
      <c r="F3587" s="3" t="s">
        <v>11831</v>
      </c>
      <c r="G3587" s="3" t="s">
        <v>179</v>
      </c>
      <c r="H3587" s="3" t="s">
        <v>6386</v>
      </c>
      <c r="I3587" s="3" t="s">
        <v>3840</v>
      </c>
      <c r="J3587" s="3" t="s">
        <v>286</v>
      </c>
      <c r="K3587" s="3" t="s">
        <v>27</v>
      </c>
      <c r="L3587" s="3" t="s">
        <v>28</v>
      </c>
      <c r="M3587" s="3" t="s">
        <v>28</v>
      </c>
      <c r="N3587" s="3" t="s">
        <v>28</v>
      </c>
      <c r="O3587" s="3" t="s">
        <v>27</v>
      </c>
      <c r="P3587" s="3" t="s">
        <v>28</v>
      </c>
      <c r="Q3587" s="3" t="s">
        <v>28</v>
      </c>
      <c r="R3587" s="3" t="s">
        <v>28</v>
      </c>
      <c r="S3587" s="3" t="s">
        <v>27</v>
      </c>
      <c r="T3587" s="3" t="s">
        <v>28</v>
      </c>
    </row>
    <row r="3588" spans="1:20" ht="321">
      <c r="A3588" s="3">
        <v>2658443</v>
      </c>
      <c r="B3588" s="3">
        <f>HYPERLINK("https://platform.v2.vetology.net/cases/2658443/screening-report/6?type=pdf&amp;v=v6&amp;scorecard=1&amp;secret_key=BX%25IJ%24%2F65ieZ%29f6", 2658443)</f>
        <v>2658443</v>
      </c>
      <c r="C3588" s="3">
        <f>HYPERLINK("https://platform.v2.vetology.net/report/v/final/"&amp;2658443, 2658443)</f>
        <v>2658443</v>
      </c>
      <c r="D3588" s="3" t="s">
        <v>11832</v>
      </c>
      <c r="E3588" s="3" t="s">
        <v>11833</v>
      </c>
      <c r="F3588" s="3" t="s">
        <v>22</v>
      </c>
      <c r="G3588" s="3" t="s">
        <v>23</v>
      </c>
      <c r="H3588" s="3" t="s">
        <v>11834</v>
      </c>
      <c r="I3588" s="3" t="s">
        <v>643</v>
      </c>
      <c r="J3588" s="3" t="s">
        <v>143</v>
      </c>
      <c r="K3588" s="3" t="s">
        <v>27</v>
      </c>
      <c r="L3588" s="3" t="s">
        <v>28</v>
      </c>
      <c r="M3588" s="3" t="s">
        <v>28</v>
      </c>
      <c r="N3588" s="3" t="s">
        <v>28</v>
      </c>
      <c r="O3588" s="3" t="s">
        <v>28</v>
      </c>
      <c r="P3588" s="3" t="s">
        <v>28</v>
      </c>
      <c r="Q3588" s="3" t="s">
        <v>28</v>
      </c>
      <c r="R3588" s="3" t="s">
        <v>28</v>
      </c>
      <c r="S3588" s="3" t="s">
        <v>28</v>
      </c>
      <c r="T3588" s="3" t="s">
        <v>27</v>
      </c>
    </row>
    <row r="3589" spans="1:20" ht="396.75">
      <c r="A3589" s="3">
        <v>2658348</v>
      </c>
      <c r="B3589" s="3">
        <f>HYPERLINK("https://platform.v2.vetology.net/cases/2658348/screening-report/6?type=pdf&amp;v=v6&amp;scorecard=1&amp;secret_key=BX%25IJ%24%2F65ieZ%29f6", 2658348)</f>
        <v>2658348</v>
      </c>
      <c r="C3589" s="3">
        <f>HYPERLINK("https://platform.v2.vetology.net/report/v/final/"&amp;2658348, 2658348)</f>
        <v>2658348</v>
      </c>
      <c r="D3589" s="3" t="s">
        <v>11835</v>
      </c>
      <c r="E3589" s="3" t="s">
        <v>11836</v>
      </c>
      <c r="F3589" s="3" t="s">
        <v>11837</v>
      </c>
      <c r="G3589" s="3" t="s">
        <v>1772</v>
      </c>
      <c r="H3589" s="3" t="s">
        <v>11838</v>
      </c>
      <c r="I3589" s="3" t="s">
        <v>1034</v>
      </c>
      <c r="J3589" s="3" t="s">
        <v>1035</v>
      </c>
      <c r="K3589" s="3" t="s">
        <v>28</v>
      </c>
      <c r="L3589" s="3" t="s">
        <v>28</v>
      </c>
      <c r="M3589" s="3" t="s">
        <v>28</v>
      </c>
      <c r="N3589" s="3" t="s">
        <v>27</v>
      </c>
      <c r="O3589" s="3" t="s">
        <v>27</v>
      </c>
      <c r="P3589" s="3" t="s">
        <v>28</v>
      </c>
      <c r="Q3589" s="3" t="s">
        <v>28</v>
      </c>
      <c r="R3589" s="3" t="s">
        <v>27</v>
      </c>
      <c r="S3589" s="3" t="s">
        <v>28</v>
      </c>
      <c r="T3589" s="3" t="s">
        <v>27</v>
      </c>
    </row>
    <row r="3590" spans="1:20" ht="409.6">
      <c r="A3590" s="3">
        <v>2658313</v>
      </c>
      <c r="B3590" s="3">
        <f>HYPERLINK("https://platform.v2.vetology.net/cases/2658313/screening-report/6?type=pdf&amp;v=v6&amp;scorecard=1&amp;secret_key=BX%25IJ%24%2F65ieZ%29f6", 2658313)</f>
        <v>2658313</v>
      </c>
      <c r="C3590" s="3">
        <f>HYPERLINK("https://platform.v2.vetology.net/report/v/final/"&amp;2658313, 2658313)</f>
        <v>2658313</v>
      </c>
      <c r="D3590" s="3" t="s">
        <v>11839</v>
      </c>
      <c r="E3590" s="3" t="s">
        <v>11840</v>
      </c>
      <c r="F3590" s="3" t="s">
        <v>11841</v>
      </c>
      <c r="G3590" s="3" t="s">
        <v>179</v>
      </c>
      <c r="H3590" s="3" t="s">
        <v>11842</v>
      </c>
      <c r="I3590" s="3" t="s">
        <v>1396</v>
      </c>
      <c r="J3590" s="3" t="s">
        <v>1397</v>
      </c>
      <c r="K3590" s="3" t="s">
        <v>27</v>
      </c>
      <c r="L3590" s="3" t="s">
        <v>27</v>
      </c>
      <c r="M3590" s="3" t="s">
        <v>27</v>
      </c>
      <c r="N3590" s="3" t="s">
        <v>27</v>
      </c>
      <c r="O3590" s="3" t="s">
        <v>27</v>
      </c>
      <c r="P3590" s="3" t="s">
        <v>28</v>
      </c>
      <c r="Q3590" s="3" t="s">
        <v>27</v>
      </c>
      <c r="R3590" s="3" t="s">
        <v>27</v>
      </c>
      <c r="S3590" s="3" t="s">
        <v>27</v>
      </c>
      <c r="T3590" s="3" t="s">
        <v>27</v>
      </c>
    </row>
    <row r="3591" spans="1:20" ht="396.75">
      <c r="A3591" s="3">
        <v>2658303</v>
      </c>
      <c r="B3591" s="3">
        <f>HYPERLINK("https://platform.v2.vetology.net/cases/2658303/screening-report/6?type=pdf&amp;v=v6&amp;scorecard=1&amp;secret_key=BX%25IJ%24%2F65ieZ%29f6", 2658303)</f>
        <v>2658303</v>
      </c>
      <c r="C3591" s="3">
        <f>HYPERLINK("https://platform.v2.vetology.net/report/v/final/"&amp;2658303, 2658303)</f>
        <v>2658303</v>
      </c>
      <c r="D3591" s="3" t="s">
        <v>11843</v>
      </c>
      <c r="E3591" s="3" t="s">
        <v>11844</v>
      </c>
      <c r="F3591" s="3" t="s">
        <v>11845</v>
      </c>
      <c r="G3591" s="3" t="s">
        <v>186</v>
      </c>
      <c r="H3591" s="3" t="s">
        <v>11846</v>
      </c>
      <c r="I3591" s="3" t="s">
        <v>572</v>
      </c>
      <c r="J3591" s="3" t="s">
        <v>573</v>
      </c>
      <c r="K3591" s="3" t="s">
        <v>28</v>
      </c>
      <c r="L3591" s="3" t="s">
        <v>28</v>
      </c>
      <c r="M3591" s="3" t="s">
        <v>28</v>
      </c>
      <c r="N3591" s="3" t="s">
        <v>28</v>
      </c>
      <c r="O3591" s="3" t="s">
        <v>28</v>
      </c>
      <c r="P3591" s="3" t="s">
        <v>28</v>
      </c>
      <c r="Q3591" s="3" t="s">
        <v>27</v>
      </c>
      <c r="R3591" s="3" t="s">
        <v>28</v>
      </c>
      <c r="S3591" s="3" t="s">
        <v>28</v>
      </c>
      <c r="T3591" s="3" t="s">
        <v>28</v>
      </c>
    </row>
    <row r="3592" spans="1:20" ht="409.6">
      <c r="A3592" s="3">
        <v>2658197</v>
      </c>
      <c r="B3592" s="3">
        <f>HYPERLINK("https://platform.v2.vetology.net/cases/2658197/screening-report/6?type=pdf&amp;v=v6&amp;scorecard=1&amp;secret_key=BX%25IJ%24%2F65ieZ%29f6", 2658197)</f>
        <v>2658197</v>
      </c>
      <c r="C3592" s="3">
        <f>HYPERLINK("https://platform.v2.vetology.net/report/v/final/"&amp;2658197, 2658197)</f>
        <v>2658197</v>
      </c>
      <c r="D3592" s="3" t="s">
        <v>11847</v>
      </c>
      <c r="E3592" s="3" t="s">
        <v>11848</v>
      </c>
      <c r="F3592" s="3" t="s">
        <v>11849</v>
      </c>
      <c r="G3592" s="3" t="s">
        <v>1772</v>
      </c>
      <c r="H3592" s="3" t="s">
        <v>152</v>
      </c>
      <c r="I3592" s="3" t="s">
        <v>153</v>
      </c>
      <c r="J3592" s="3" t="s">
        <v>154</v>
      </c>
      <c r="K3592" s="3" t="s">
        <v>27</v>
      </c>
      <c r="L3592" s="3" t="s">
        <v>28</v>
      </c>
      <c r="M3592" s="3" t="s">
        <v>27</v>
      </c>
      <c r="N3592" s="3" t="s">
        <v>28</v>
      </c>
      <c r="O3592" s="3" t="s">
        <v>27</v>
      </c>
      <c r="P3592" s="3" t="s">
        <v>28</v>
      </c>
      <c r="Q3592" s="3" t="s">
        <v>27</v>
      </c>
      <c r="R3592" s="3" t="s">
        <v>28</v>
      </c>
      <c r="S3592" s="3" t="s">
        <v>28</v>
      </c>
      <c r="T3592" s="3" t="s">
        <v>28</v>
      </c>
    </row>
    <row r="3593" spans="1:20" ht="366">
      <c r="A3593" s="3">
        <v>2658184</v>
      </c>
      <c r="B3593" s="3">
        <f>HYPERLINK("https://platform.v2.vetology.net/cases/2658184/screening-report/6?type=pdf&amp;v=v6&amp;scorecard=1&amp;secret_key=BX%25IJ%24%2F65ieZ%29f6", 2658184)</f>
        <v>2658184</v>
      </c>
      <c r="C3593" s="3">
        <f>HYPERLINK("https://platform.v2.vetology.net/report/v/final/"&amp;2658184, 2658184)</f>
        <v>2658184</v>
      </c>
      <c r="D3593" s="3" t="s">
        <v>11850</v>
      </c>
      <c r="E3593" s="3" t="s">
        <v>1230</v>
      </c>
      <c r="F3593" s="3" t="s">
        <v>1049</v>
      </c>
      <c r="G3593" s="3" t="s">
        <v>100</v>
      </c>
      <c r="H3593" s="3" t="s">
        <v>11851</v>
      </c>
      <c r="I3593" s="3" t="s">
        <v>993</v>
      </c>
      <c r="J3593" s="3" t="s">
        <v>994</v>
      </c>
      <c r="K3593" s="3" t="s">
        <v>28</v>
      </c>
      <c r="L3593" s="3" t="s">
        <v>28</v>
      </c>
      <c r="M3593" s="3" t="s">
        <v>28</v>
      </c>
      <c r="N3593" s="3" t="s">
        <v>28</v>
      </c>
      <c r="O3593" s="3" t="s">
        <v>27</v>
      </c>
      <c r="P3593" s="3" t="s">
        <v>28</v>
      </c>
      <c r="Q3593" s="3" t="s">
        <v>28</v>
      </c>
      <c r="R3593" s="3" t="s">
        <v>28</v>
      </c>
      <c r="S3593" s="3" t="s">
        <v>28</v>
      </c>
      <c r="T3593" s="3" t="s">
        <v>28</v>
      </c>
    </row>
    <row r="3594" spans="1:20" ht="409.6">
      <c r="A3594" s="3">
        <v>2658151</v>
      </c>
      <c r="B3594" s="3">
        <f>HYPERLINK("https://platform.v2.vetology.net/cases/2658151/screening-report/6?type=pdf&amp;v=v6&amp;scorecard=1&amp;secret_key=BX%25IJ%24%2F65ieZ%29f6", 2658151)</f>
        <v>2658151</v>
      </c>
      <c r="C3594" s="3">
        <f>HYPERLINK("https://platform.v2.vetology.net/report/v/final/"&amp;2658151, 2658151)</f>
        <v>2658151</v>
      </c>
      <c r="D3594" s="3" t="s">
        <v>11852</v>
      </c>
      <c r="E3594" s="3" t="s">
        <v>11853</v>
      </c>
      <c r="F3594" s="3" t="s">
        <v>11854</v>
      </c>
      <c r="G3594" s="3" t="s">
        <v>211</v>
      </c>
      <c r="H3594" s="3" t="s">
        <v>1630</v>
      </c>
      <c r="I3594" s="3" t="s">
        <v>993</v>
      </c>
      <c r="J3594" s="3" t="s">
        <v>994</v>
      </c>
      <c r="K3594" s="3" t="s">
        <v>28</v>
      </c>
      <c r="L3594" s="3" t="s">
        <v>28</v>
      </c>
      <c r="M3594" s="3" t="s">
        <v>28</v>
      </c>
      <c r="N3594" s="3" t="s">
        <v>28</v>
      </c>
      <c r="O3594" s="3" t="s">
        <v>28</v>
      </c>
      <c r="P3594" s="3" t="s">
        <v>28</v>
      </c>
      <c r="Q3594" s="3" t="s">
        <v>28</v>
      </c>
      <c r="R3594" s="3" t="s">
        <v>28</v>
      </c>
      <c r="S3594" s="3" t="s">
        <v>28</v>
      </c>
      <c r="T3594" s="3" t="s">
        <v>28</v>
      </c>
    </row>
    <row r="3595" spans="1:20" ht="259.5">
      <c r="A3595" s="3">
        <v>2658141</v>
      </c>
      <c r="B3595" s="3">
        <f>HYPERLINK("https://platform.v2.vetology.net/cases/2658141/screening-report/6?type=pdf&amp;v=v6&amp;scorecard=1&amp;secret_key=BX%25IJ%24%2F65ieZ%29f6", 2658141)</f>
        <v>2658141</v>
      </c>
      <c r="C3595" s="3">
        <f>HYPERLINK("https://platform.v2.vetology.net/report/v/final/"&amp;2658141, 2658141)</f>
        <v>2658141</v>
      </c>
      <c r="D3595" s="3" t="s">
        <v>11855</v>
      </c>
      <c r="E3595" s="3" t="s">
        <v>11856</v>
      </c>
      <c r="F3595" s="3" t="s">
        <v>3751</v>
      </c>
      <c r="G3595" s="3" t="s">
        <v>186</v>
      </c>
      <c r="H3595" s="3" t="s">
        <v>7992</v>
      </c>
      <c r="I3595" s="3" t="s">
        <v>136</v>
      </c>
      <c r="J3595" s="3" t="s">
        <v>424</v>
      </c>
      <c r="K3595" s="3" t="s">
        <v>27</v>
      </c>
      <c r="L3595" s="3" t="s">
        <v>28</v>
      </c>
      <c r="M3595" s="3" t="s">
        <v>28</v>
      </c>
      <c r="N3595" s="3" t="s">
        <v>27</v>
      </c>
      <c r="O3595" s="3" t="s">
        <v>27</v>
      </c>
      <c r="P3595" s="3" t="s">
        <v>28</v>
      </c>
      <c r="Q3595" s="3" t="s">
        <v>28</v>
      </c>
      <c r="R3595" s="3" t="s">
        <v>28</v>
      </c>
      <c r="S3595" s="3" t="s">
        <v>28</v>
      </c>
      <c r="T3595" s="3" t="s">
        <v>27</v>
      </c>
    </row>
    <row r="3596" spans="1:20" ht="409.6">
      <c r="A3596" s="3">
        <v>2658079</v>
      </c>
      <c r="B3596" s="3">
        <f>HYPERLINK("https://platform.v2.vetology.net/cases/2658079/screening-report/6?type=pdf&amp;v=v6&amp;scorecard=1&amp;secret_key=BX%25IJ%24%2F65ieZ%29f6", 2658079)</f>
        <v>2658079</v>
      </c>
      <c r="C3596" s="3">
        <f>HYPERLINK("https://platform.v2.vetology.net/report/v/final/"&amp;2658079, 2658079)</f>
        <v>2658079</v>
      </c>
      <c r="D3596" s="3" t="s">
        <v>11857</v>
      </c>
      <c r="E3596" s="3" t="s">
        <v>11858</v>
      </c>
      <c r="F3596" s="3"/>
      <c r="G3596" s="3" t="s">
        <v>122</v>
      </c>
      <c r="H3596" s="3" t="s">
        <v>11859</v>
      </c>
      <c r="I3596" s="3" t="s">
        <v>10763</v>
      </c>
      <c r="J3596" s="3" t="s">
        <v>2398</v>
      </c>
      <c r="K3596" s="3" t="s">
        <v>27</v>
      </c>
      <c r="L3596" s="3" t="s">
        <v>27</v>
      </c>
      <c r="M3596" s="3" t="s">
        <v>27</v>
      </c>
      <c r="N3596" s="3" t="s">
        <v>27</v>
      </c>
      <c r="O3596" s="3" t="s">
        <v>27</v>
      </c>
      <c r="P3596" s="3" t="s">
        <v>28</v>
      </c>
      <c r="Q3596" s="3" t="s">
        <v>27</v>
      </c>
      <c r="R3596" s="3" t="s">
        <v>27</v>
      </c>
      <c r="S3596" s="3" t="s">
        <v>27</v>
      </c>
      <c r="T3596" s="3" t="s">
        <v>27</v>
      </c>
    </row>
    <row r="3597" spans="1:20" ht="305.25">
      <c r="A3597" s="3">
        <v>2658065</v>
      </c>
      <c r="B3597" s="3">
        <f>HYPERLINK("https://platform.v2.vetology.net/cases/2658065/screening-report/6?type=pdf&amp;v=v6&amp;scorecard=1&amp;secret_key=BX%25IJ%24%2F65ieZ%29f6", 2658065)</f>
        <v>2658065</v>
      </c>
      <c r="C3597" s="3">
        <f>HYPERLINK("https://platform.v2.vetology.net/report/v/final/"&amp;2658065, 2658065)</f>
        <v>2658065</v>
      </c>
      <c r="D3597" s="3" t="s">
        <v>11860</v>
      </c>
      <c r="E3597" s="3" t="s">
        <v>11861</v>
      </c>
      <c r="F3597" s="3" t="s">
        <v>797</v>
      </c>
      <c r="G3597" s="3" t="s">
        <v>122</v>
      </c>
      <c r="H3597" s="3" t="s">
        <v>11862</v>
      </c>
      <c r="I3597" s="3" t="s">
        <v>784</v>
      </c>
      <c r="J3597" s="3" t="s">
        <v>785</v>
      </c>
      <c r="K3597" s="3" t="s">
        <v>27</v>
      </c>
      <c r="L3597" s="3" t="s">
        <v>27</v>
      </c>
      <c r="M3597" s="3" t="s">
        <v>27</v>
      </c>
      <c r="N3597" s="3" t="s">
        <v>28</v>
      </c>
      <c r="O3597" s="3" t="s">
        <v>27</v>
      </c>
      <c r="P3597" s="3" t="s">
        <v>28</v>
      </c>
      <c r="Q3597" s="3" t="s">
        <v>27</v>
      </c>
      <c r="R3597" s="3" t="s">
        <v>28</v>
      </c>
      <c r="S3597" s="3" t="s">
        <v>28</v>
      </c>
      <c r="T3597" s="3" t="s">
        <v>27</v>
      </c>
    </row>
    <row r="3598" spans="1:20" ht="409.6">
      <c r="A3598" s="3">
        <v>2658027</v>
      </c>
      <c r="B3598" s="3">
        <f>HYPERLINK("https://platform.v2.vetology.net/cases/2658027/screening-report/6?type=pdf&amp;v=v6&amp;scorecard=1&amp;secret_key=BX%25IJ%24%2F65ieZ%29f6", 2658027)</f>
        <v>2658027</v>
      </c>
      <c r="C3598" s="3">
        <f>HYPERLINK("https://platform.v2.vetology.net/report/v/final/"&amp;2658027, 2658027)</f>
        <v>2658027</v>
      </c>
      <c r="D3598" s="3" t="s">
        <v>11863</v>
      </c>
      <c r="E3598" s="3" t="s">
        <v>11864</v>
      </c>
      <c r="F3598" s="3" t="s">
        <v>11865</v>
      </c>
      <c r="G3598" s="3" t="s">
        <v>57</v>
      </c>
      <c r="H3598" s="3" t="s">
        <v>11401</v>
      </c>
      <c r="I3598" s="3" t="s">
        <v>1034</v>
      </c>
      <c r="J3598" s="3" t="s">
        <v>1035</v>
      </c>
      <c r="K3598" s="3" t="s">
        <v>28</v>
      </c>
      <c r="L3598" s="3" t="s">
        <v>28</v>
      </c>
      <c r="M3598" s="3" t="s">
        <v>28</v>
      </c>
      <c r="N3598" s="3" t="s">
        <v>27</v>
      </c>
      <c r="O3598" s="3" t="s">
        <v>28</v>
      </c>
      <c r="P3598" s="3" t="s">
        <v>28</v>
      </c>
      <c r="Q3598" s="3" t="s">
        <v>28</v>
      </c>
      <c r="R3598" s="3" t="s">
        <v>28</v>
      </c>
      <c r="S3598" s="3" t="s">
        <v>28</v>
      </c>
      <c r="T3598" s="3" t="s">
        <v>27</v>
      </c>
    </row>
    <row r="3599" spans="1:20" ht="409.6">
      <c r="A3599" s="3">
        <v>2657983</v>
      </c>
      <c r="B3599" s="3">
        <f>HYPERLINK("https://platform.v2.vetology.net/cases/2657983/screening-report/6?type=pdf&amp;v=v6&amp;scorecard=1&amp;secret_key=BX%25IJ%24%2F65ieZ%29f6", 2657983)</f>
        <v>2657983</v>
      </c>
      <c r="C3599" s="3">
        <f>HYPERLINK("https://platform.v2.vetology.net/report/v/final/"&amp;2657983, 2657983)</f>
        <v>2657983</v>
      </c>
      <c r="D3599" s="3" t="s">
        <v>11866</v>
      </c>
      <c r="E3599" s="3" t="s">
        <v>11867</v>
      </c>
      <c r="F3599" s="3"/>
      <c r="G3599" s="3" t="s">
        <v>122</v>
      </c>
      <c r="H3599" s="3" t="s">
        <v>11868</v>
      </c>
      <c r="I3599" s="3" t="s">
        <v>1201</v>
      </c>
      <c r="J3599" s="3" t="s">
        <v>1202</v>
      </c>
      <c r="K3599" s="3" t="s">
        <v>27</v>
      </c>
      <c r="L3599" s="3" t="s">
        <v>28</v>
      </c>
      <c r="M3599" s="3" t="s">
        <v>28</v>
      </c>
      <c r="N3599" s="3" t="s">
        <v>28</v>
      </c>
      <c r="O3599" s="3" t="s">
        <v>27</v>
      </c>
      <c r="P3599" s="3" t="s">
        <v>28</v>
      </c>
      <c r="Q3599" s="3" t="s">
        <v>27</v>
      </c>
      <c r="R3599" s="3" t="s">
        <v>28</v>
      </c>
      <c r="S3599" s="3" t="s">
        <v>28</v>
      </c>
      <c r="T3599" s="3" t="s">
        <v>27</v>
      </c>
    </row>
    <row r="3600" spans="1:20" ht="409.6">
      <c r="A3600" s="3">
        <v>2657976</v>
      </c>
      <c r="B3600" s="3">
        <f>HYPERLINK("https://platform.v2.vetology.net/cases/2657976/screening-report/6?type=pdf&amp;v=v6&amp;scorecard=1&amp;secret_key=BX%25IJ%24%2F65ieZ%29f6", 2657976)</f>
        <v>2657976</v>
      </c>
      <c r="C3600" s="3">
        <f>HYPERLINK("https://platform.v2.vetology.net/report/v/final/"&amp;2657976, 2657976)</f>
        <v>2657976</v>
      </c>
      <c r="D3600" s="3" t="s">
        <v>11869</v>
      </c>
      <c r="E3600" s="3" t="s">
        <v>11870</v>
      </c>
      <c r="F3600" s="3" t="s">
        <v>11871</v>
      </c>
      <c r="G3600" s="3" t="s">
        <v>179</v>
      </c>
      <c r="H3600" s="3" t="s">
        <v>2193</v>
      </c>
      <c r="I3600" s="3" t="s">
        <v>78</v>
      </c>
      <c r="J3600" s="3" t="s">
        <v>79</v>
      </c>
      <c r="K3600" s="3" t="s">
        <v>27</v>
      </c>
      <c r="L3600" s="3" t="s">
        <v>28</v>
      </c>
      <c r="M3600" s="3" t="s">
        <v>28</v>
      </c>
      <c r="N3600" s="3" t="s">
        <v>28</v>
      </c>
      <c r="O3600" s="3" t="s">
        <v>27</v>
      </c>
      <c r="P3600" s="3" t="s">
        <v>27</v>
      </c>
      <c r="Q3600" s="3" t="s">
        <v>28</v>
      </c>
      <c r="R3600" s="3" t="s">
        <v>28</v>
      </c>
      <c r="S3600" s="3" t="s">
        <v>28</v>
      </c>
      <c r="T3600" s="3" t="s">
        <v>28</v>
      </c>
    </row>
    <row r="3601" spans="1:20" ht="244.5">
      <c r="A3601" s="3">
        <v>2657971</v>
      </c>
      <c r="B3601" s="3">
        <f>HYPERLINK("https://platform.v2.vetology.net/cases/2657971/screening-report/6?type=pdf&amp;v=v6&amp;scorecard=1&amp;secret_key=BX%25IJ%24%2F65ieZ%29f6", 2657971)</f>
        <v>2657971</v>
      </c>
      <c r="C3601" s="3">
        <f>HYPERLINK("https://platform.v2.vetology.net/report/v/final/"&amp;2657971, 2657971)</f>
        <v>2657971</v>
      </c>
      <c r="D3601" s="3" t="s">
        <v>11872</v>
      </c>
      <c r="E3601" s="3" t="s">
        <v>11873</v>
      </c>
      <c r="F3601" s="3" t="s">
        <v>5157</v>
      </c>
      <c r="G3601" s="3" t="s">
        <v>122</v>
      </c>
      <c r="H3601" s="3" t="s">
        <v>11874</v>
      </c>
      <c r="I3601" s="3" t="s">
        <v>606</v>
      </c>
      <c r="J3601" s="3" t="s">
        <v>207</v>
      </c>
      <c r="K3601" s="3" t="s">
        <v>28</v>
      </c>
      <c r="L3601" s="3" t="s">
        <v>27</v>
      </c>
      <c r="M3601" s="3" t="s">
        <v>28</v>
      </c>
      <c r="N3601" s="3" t="s">
        <v>27</v>
      </c>
      <c r="O3601" s="3" t="s">
        <v>27</v>
      </c>
      <c r="P3601" s="3" t="s">
        <v>28</v>
      </c>
      <c r="Q3601" s="3" t="s">
        <v>28</v>
      </c>
      <c r="R3601" s="3" t="s">
        <v>27</v>
      </c>
      <c r="S3601" s="3" t="s">
        <v>27</v>
      </c>
      <c r="T3601" s="3" t="s">
        <v>27</v>
      </c>
    </row>
    <row r="3602" spans="1:20" ht="409.6">
      <c r="A3602" s="3">
        <v>2657937</v>
      </c>
      <c r="B3602" s="3">
        <f>HYPERLINK("https://platform.v2.vetology.net/cases/2657937/screening-report/6?type=pdf&amp;v=v6&amp;scorecard=1&amp;secret_key=BX%25IJ%24%2F65ieZ%29f6", 2657937)</f>
        <v>2657937</v>
      </c>
      <c r="C3602" s="3">
        <f>HYPERLINK("https://platform.v2.vetology.net/report/v/final/"&amp;2657937, 2657937)</f>
        <v>2657937</v>
      </c>
      <c r="D3602" s="3" t="s">
        <v>11875</v>
      </c>
      <c r="E3602" s="3" t="s">
        <v>11876</v>
      </c>
      <c r="F3602" s="3" t="s">
        <v>11877</v>
      </c>
      <c r="G3602" s="3" t="s">
        <v>179</v>
      </c>
      <c r="H3602" s="3" t="s">
        <v>31</v>
      </c>
      <c r="I3602" s="3" t="s">
        <v>852</v>
      </c>
      <c r="J3602" s="3" t="s">
        <v>335</v>
      </c>
      <c r="K3602" s="3" t="s">
        <v>28</v>
      </c>
      <c r="L3602" s="3" t="s">
        <v>28</v>
      </c>
      <c r="M3602" s="3" t="s">
        <v>27</v>
      </c>
      <c r="N3602" s="3" t="s">
        <v>28</v>
      </c>
      <c r="O3602" s="3" t="s">
        <v>28</v>
      </c>
      <c r="P3602" s="3" t="s">
        <v>28</v>
      </c>
      <c r="Q3602" s="3" t="s">
        <v>28</v>
      </c>
      <c r="R3602" s="3" t="s">
        <v>28</v>
      </c>
      <c r="S3602" s="3" t="s">
        <v>28</v>
      </c>
      <c r="T3602" s="3" t="s">
        <v>28</v>
      </c>
    </row>
    <row r="3603" spans="1:20" ht="409.6">
      <c r="A3603" s="3">
        <v>2657847</v>
      </c>
      <c r="B3603" s="3">
        <f>HYPERLINK("https://platform.v2.vetology.net/cases/2657847/screening-report/6?type=pdf&amp;v=v6&amp;scorecard=1&amp;secret_key=BX%25IJ%24%2F65ieZ%29f6", 2657847)</f>
        <v>2657847</v>
      </c>
      <c r="C3603" s="3">
        <f>HYPERLINK("https://platform.v2.vetology.net/report/v/final/"&amp;2657847, 2657847)</f>
        <v>2657847</v>
      </c>
      <c r="D3603" s="3" t="s">
        <v>11878</v>
      </c>
      <c r="E3603" s="3" t="s">
        <v>11879</v>
      </c>
      <c r="F3603" s="3" t="s">
        <v>11880</v>
      </c>
      <c r="G3603" s="3" t="s">
        <v>186</v>
      </c>
      <c r="H3603" s="3" t="s">
        <v>11881</v>
      </c>
      <c r="I3603" s="3" t="s">
        <v>357</v>
      </c>
      <c r="J3603" s="3" t="s">
        <v>7497</v>
      </c>
      <c r="K3603" s="3" t="s">
        <v>28</v>
      </c>
      <c r="L3603" s="3" t="s">
        <v>28</v>
      </c>
      <c r="M3603" s="3" t="s">
        <v>28</v>
      </c>
      <c r="N3603" s="3" t="s">
        <v>28</v>
      </c>
      <c r="O3603" s="3" t="s">
        <v>28</v>
      </c>
      <c r="P3603" s="3" t="s">
        <v>28</v>
      </c>
      <c r="Q3603" s="3" t="s">
        <v>28</v>
      </c>
      <c r="R3603" s="3" t="s">
        <v>28</v>
      </c>
      <c r="S3603" s="3" t="s">
        <v>28</v>
      </c>
      <c r="T3603" s="3" t="s">
        <v>27</v>
      </c>
    </row>
    <row r="3604" spans="1:20" ht="396.75">
      <c r="A3604" s="3">
        <v>2657828</v>
      </c>
      <c r="B3604" s="3">
        <f>HYPERLINK("https://platform.v2.vetology.net/cases/2657828/screening-report/6?type=pdf&amp;v=v6&amp;scorecard=1&amp;secret_key=BX%25IJ%24%2F65ieZ%29f6", 2657828)</f>
        <v>2657828</v>
      </c>
      <c r="C3604" s="3">
        <f>HYPERLINK("https://platform.v2.vetology.net/report/v/final/"&amp;2657828, 2657828)</f>
        <v>2657828</v>
      </c>
      <c r="D3604" s="3" t="s">
        <v>11882</v>
      </c>
      <c r="E3604" s="3" t="s">
        <v>11883</v>
      </c>
      <c r="F3604" s="3" t="s">
        <v>11884</v>
      </c>
      <c r="G3604" s="3" t="s">
        <v>57</v>
      </c>
      <c r="H3604" s="3" t="s">
        <v>31</v>
      </c>
      <c r="I3604" s="3" t="s">
        <v>1497</v>
      </c>
      <c r="J3604" s="3" t="s">
        <v>847</v>
      </c>
      <c r="K3604" s="3" t="s">
        <v>28</v>
      </c>
      <c r="L3604" s="3" t="s">
        <v>28</v>
      </c>
      <c r="M3604" s="3" t="s">
        <v>28</v>
      </c>
      <c r="N3604" s="3" t="s">
        <v>28</v>
      </c>
      <c r="O3604" s="3" t="s">
        <v>27</v>
      </c>
      <c r="P3604" s="3" t="s">
        <v>28</v>
      </c>
      <c r="Q3604" s="3" t="s">
        <v>28</v>
      </c>
      <c r="R3604" s="3" t="s">
        <v>28</v>
      </c>
      <c r="S3604" s="3" t="s">
        <v>28</v>
      </c>
      <c r="T3604" s="3" t="s">
        <v>28</v>
      </c>
    </row>
    <row r="3605" spans="1:20" ht="366">
      <c r="A3605" s="3">
        <v>2657827</v>
      </c>
      <c r="B3605" s="3">
        <f>HYPERLINK("https://platform.v2.vetology.net/cases/2657827/screening-report/6?type=pdf&amp;v=v6&amp;scorecard=1&amp;secret_key=BX%25IJ%24%2F65ieZ%29f6", 2657827)</f>
        <v>2657827</v>
      </c>
      <c r="C3605" s="3">
        <f>HYPERLINK("https://platform.v2.vetology.net/report/v/final/"&amp;2657827, 2657827)</f>
        <v>2657827</v>
      </c>
      <c r="D3605" s="3" t="s">
        <v>11885</v>
      </c>
      <c r="E3605" s="3" t="s">
        <v>11886</v>
      </c>
      <c r="F3605" s="3" t="s">
        <v>8508</v>
      </c>
      <c r="G3605" s="3" t="s">
        <v>211</v>
      </c>
      <c r="H3605" s="3" t="s">
        <v>11887</v>
      </c>
      <c r="I3605" s="3" t="s">
        <v>2432</v>
      </c>
      <c r="J3605" s="3" t="s">
        <v>2433</v>
      </c>
      <c r="K3605" s="3" t="s">
        <v>27</v>
      </c>
      <c r="L3605" s="3" t="s">
        <v>27</v>
      </c>
      <c r="M3605" s="3" t="s">
        <v>28</v>
      </c>
      <c r="N3605" s="3" t="s">
        <v>28</v>
      </c>
      <c r="O3605" s="3" t="s">
        <v>28</v>
      </c>
      <c r="P3605" s="3" t="s">
        <v>28</v>
      </c>
      <c r="Q3605" s="3" t="s">
        <v>27</v>
      </c>
      <c r="R3605" s="3" t="s">
        <v>27</v>
      </c>
      <c r="S3605" s="3" t="s">
        <v>27</v>
      </c>
      <c r="T3605" s="3" t="s">
        <v>27</v>
      </c>
    </row>
    <row r="3606" spans="1:20" ht="381.75">
      <c r="A3606" s="3">
        <v>2657809</v>
      </c>
      <c r="B3606" s="3">
        <f>HYPERLINK("https://platform.v2.vetology.net/cases/2657809/screening-report/6?type=pdf&amp;v=v6&amp;scorecard=1&amp;secret_key=BX%25IJ%24%2F65ieZ%29f6", 2657809)</f>
        <v>2657809</v>
      </c>
      <c r="C3606" s="3">
        <f>HYPERLINK("https://platform.v2.vetology.net/report/v/final/"&amp;2657809, 2657809)</f>
        <v>2657809</v>
      </c>
      <c r="D3606" s="3" t="s">
        <v>11888</v>
      </c>
      <c r="E3606" s="3" t="s">
        <v>11889</v>
      </c>
      <c r="F3606" s="3" t="s">
        <v>11890</v>
      </c>
      <c r="G3606" s="3" t="s">
        <v>186</v>
      </c>
      <c r="H3606" s="3" t="s">
        <v>11891</v>
      </c>
      <c r="I3606" s="3" t="s">
        <v>279</v>
      </c>
      <c r="J3606" s="3" t="s">
        <v>280</v>
      </c>
      <c r="K3606" s="3" t="s">
        <v>28</v>
      </c>
      <c r="L3606" s="3" t="s">
        <v>28</v>
      </c>
      <c r="M3606" s="3" t="s">
        <v>28</v>
      </c>
      <c r="N3606" s="3" t="s">
        <v>28</v>
      </c>
      <c r="O3606" s="3" t="s">
        <v>28</v>
      </c>
      <c r="P3606" s="3" t="s">
        <v>28</v>
      </c>
      <c r="Q3606" s="3" t="s">
        <v>28</v>
      </c>
      <c r="R3606" s="3" t="s">
        <v>28</v>
      </c>
      <c r="S3606" s="3" t="s">
        <v>28</v>
      </c>
      <c r="T3606" s="3" t="s">
        <v>27</v>
      </c>
    </row>
    <row r="3607" spans="1:20" ht="366">
      <c r="A3607" s="3">
        <v>2657800</v>
      </c>
      <c r="B3607" s="3">
        <f>HYPERLINK("https://platform.v2.vetology.net/cases/2657800/screening-report/6?type=pdf&amp;v=v6&amp;scorecard=1&amp;secret_key=BX%25IJ%24%2F65ieZ%29f6", 2657800)</f>
        <v>2657800</v>
      </c>
      <c r="C3607" s="3">
        <f>HYPERLINK("https://platform.v2.vetology.net/report/v/final/"&amp;2657800, 2657800)</f>
        <v>2657800</v>
      </c>
      <c r="D3607" s="3" t="s">
        <v>11892</v>
      </c>
      <c r="E3607" s="3" t="s">
        <v>11893</v>
      </c>
      <c r="F3607" s="3" t="s">
        <v>11894</v>
      </c>
      <c r="G3607" s="3" t="s">
        <v>57</v>
      </c>
      <c r="H3607" s="3" t="s">
        <v>11895</v>
      </c>
      <c r="I3607" s="3" t="s">
        <v>865</v>
      </c>
      <c r="J3607" s="3" t="s">
        <v>866</v>
      </c>
      <c r="K3607" s="3" t="s">
        <v>28</v>
      </c>
      <c r="L3607" s="3" t="s">
        <v>28</v>
      </c>
      <c r="M3607" s="3" t="s">
        <v>28</v>
      </c>
      <c r="N3607" s="3" t="s">
        <v>27</v>
      </c>
      <c r="O3607" s="3" t="s">
        <v>27</v>
      </c>
      <c r="P3607" s="3" t="s">
        <v>28</v>
      </c>
      <c r="Q3607" s="3" t="s">
        <v>27</v>
      </c>
      <c r="R3607" s="3" t="s">
        <v>28</v>
      </c>
      <c r="S3607" s="3" t="s">
        <v>28</v>
      </c>
      <c r="T3607" s="3" t="s">
        <v>28</v>
      </c>
    </row>
    <row r="3608" spans="1:20" ht="366">
      <c r="A3608" s="3">
        <v>2657797</v>
      </c>
      <c r="B3608" s="3">
        <f>HYPERLINK("https://platform.v2.vetology.net/cases/2657797/screening-report/6?type=pdf&amp;v=v6&amp;scorecard=1&amp;secret_key=BX%25IJ%24%2F65ieZ%29f6", 2657797)</f>
        <v>2657797</v>
      </c>
      <c r="C3608" s="3">
        <f>HYPERLINK("https://platform.v2.vetology.net/report/v/final/"&amp;2657797, 2657797)</f>
        <v>2657797</v>
      </c>
      <c r="D3608" s="3" t="s">
        <v>11896</v>
      </c>
      <c r="E3608" s="3" t="s">
        <v>11897</v>
      </c>
      <c r="F3608" s="3" t="s">
        <v>3245</v>
      </c>
      <c r="G3608" s="3" t="s">
        <v>57</v>
      </c>
      <c r="H3608" s="3" t="s">
        <v>11898</v>
      </c>
      <c r="I3608" s="3" t="s">
        <v>1497</v>
      </c>
      <c r="J3608" s="3" t="s">
        <v>207</v>
      </c>
      <c r="K3608" s="3" t="s">
        <v>28</v>
      </c>
      <c r="L3608" s="3" t="s">
        <v>28</v>
      </c>
      <c r="M3608" s="3" t="s">
        <v>28</v>
      </c>
      <c r="N3608" s="3" t="s">
        <v>28</v>
      </c>
      <c r="O3608" s="3" t="s">
        <v>27</v>
      </c>
      <c r="P3608" s="3" t="s">
        <v>28</v>
      </c>
      <c r="Q3608" s="3" t="s">
        <v>28</v>
      </c>
      <c r="R3608" s="3" t="s">
        <v>28</v>
      </c>
      <c r="S3608" s="3" t="s">
        <v>28</v>
      </c>
      <c r="T3608" s="3" t="s">
        <v>28</v>
      </c>
    </row>
    <row r="3609" spans="1:20" ht="305.25">
      <c r="A3609" s="3">
        <v>2657752</v>
      </c>
      <c r="B3609" s="3">
        <f>HYPERLINK("https://platform.v2.vetology.net/cases/2657752/screening-report/6?type=pdf&amp;v=v6&amp;scorecard=1&amp;secret_key=BX%25IJ%24%2F65ieZ%29f6", 2657752)</f>
        <v>2657752</v>
      </c>
      <c r="C3609" s="3">
        <f>HYPERLINK("https://platform.v2.vetology.net/report/v/final/"&amp;2657752, 2657752)</f>
        <v>2657752</v>
      </c>
      <c r="D3609" s="3" t="s">
        <v>11899</v>
      </c>
      <c r="E3609" s="3" t="s">
        <v>11900</v>
      </c>
      <c r="F3609" s="3" t="s">
        <v>11901</v>
      </c>
      <c r="G3609" s="3" t="s">
        <v>186</v>
      </c>
      <c r="H3609" s="3" t="s">
        <v>118</v>
      </c>
      <c r="I3609" s="3" t="s">
        <v>32</v>
      </c>
      <c r="J3609" s="3" t="s">
        <v>33</v>
      </c>
      <c r="K3609" s="3" t="s">
        <v>28</v>
      </c>
      <c r="L3609" s="3" t="s">
        <v>28</v>
      </c>
      <c r="M3609" s="3" t="s">
        <v>28</v>
      </c>
      <c r="N3609" s="3" t="s">
        <v>28</v>
      </c>
      <c r="O3609" s="3" t="s">
        <v>27</v>
      </c>
      <c r="P3609" s="3" t="s">
        <v>28</v>
      </c>
      <c r="Q3609" s="3" t="s">
        <v>28</v>
      </c>
      <c r="R3609" s="3" t="s">
        <v>28</v>
      </c>
      <c r="S3609" s="3" t="s">
        <v>28</v>
      </c>
      <c r="T3609" s="3" t="s">
        <v>28</v>
      </c>
    </row>
    <row r="3610" spans="1:20" ht="409.6">
      <c r="A3610" s="3">
        <v>2657746</v>
      </c>
      <c r="B3610" s="3">
        <f>HYPERLINK("https://platform.v2.vetology.net/cases/2657746/screening-report/6?type=pdf&amp;v=v6&amp;scorecard=1&amp;secret_key=BX%25IJ%24%2F65ieZ%29f6", 2657746)</f>
        <v>2657746</v>
      </c>
      <c r="C3610" s="3">
        <f>HYPERLINK("https://platform.v2.vetology.net/report/v/final/"&amp;2657746, 2657746)</f>
        <v>2657746</v>
      </c>
      <c r="D3610" s="3" t="s">
        <v>11902</v>
      </c>
      <c r="E3610" s="3" t="s">
        <v>11903</v>
      </c>
      <c r="F3610" s="3" t="s">
        <v>11904</v>
      </c>
      <c r="G3610" s="3" t="s">
        <v>186</v>
      </c>
      <c r="H3610" s="3" t="s">
        <v>6386</v>
      </c>
      <c r="I3610" s="3" t="s">
        <v>3840</v>
      </c>
      <c r="J3610" s="3" t="s">
        <v>286</v>
      </c>
      <c r="K3610" s="3" t="s">
        <v>27</v>
      </c>
      <c r="L3610" s="3" t="s">
        <v>28</v>
      </c>
      <c r="M3610" s="3" t="s">
        <v>28</v>
      </c>
      <c r="N3610" s="3" t="s">
        <v>28</v>
      </c>
      <c r="O3610" s="3" t="s">
        <v>27</v>
      </c>
      <c r="P3610" s="3" t="s">
        <v>28</v>
      </c>
      <c r="Q3610" s="3" t="s">
        <v>28</v>
      </c>
      <c r="R3610" s="3" t="s">
        <v>28</v>
      </c>
      <c r="S3610" s="3" t="s">
        <v>27</v>
      </c>
      <c r="T3610" s="3" t="s">
        <v>28</v>
      </c>
    </row>
    <row r="3611" spans="1:20" ht="275.25">
      <c r="A3611" s="3">
        <v>2657715</v>
      </c>
      <c r="B3611" s="3">
        <f>HYPERLINK("https://platform.v2.vetology.net/cases/2657715/screening-report/6?type=pdf&amp;v=v6&amp;scorecard=1&amp;secret_key=BX%25IJ%24%2F65ieZ%29f6", 2657715)</f>
        <v>2657715</v>
      </c>
      <c r="C3611" s="3">
        <f>HYPERLINK("https://platform.v2.vetology.net/report/v/final/"&amp;2657715, 2657715)</f>
        <v>2657715</v>
      </c>
      <c r="D3611" s="3" t="s">
        <v>11905</v>
      </c>
      <c r="E3611" s="3" t="s">
        <v>11906</v>
      </c>
      <c r="F3611" s="3" t="s">
        <v>11907</v>
      </c>
      <c r="G3611" s="3" t="s">
        <v>186</v>
      </c>
      <c r="H3611" s="3" t="s">
        <v>11908</v>
      </c>
      <c r="I3611" s="3" t="s">
        <v>224</v>
      </c>
      <c r="J3611" s="3" t="s">
        <v>225</v>
      </c>
      <c r="K3611" s="3" t="s">
        <v>28</v>
      </c>
      <c r="L3611" s="3" t="s">
        <v>28</v>
      </c>
      <c r="M3611" s="3" t="s">
        <v>28</v>
      </c>
      <c r="N3611" s="3" t="s">
        <v>27</v>
      </c>
      <c r="O3611" s="3" t="s">
        <v>27</v>
      </c>
      <c r="P3611" s="3" t="s">
        <v>28</v>
      </c>
      <c r="Q3611" s="3" t="s">
        <v>27</v>
      </c>
      <c r="R3611" s="3" t="s">
        <v>27</v>
      </c>
      <c r="S3611" s="3" t="s">
        <v>27</v>
      </c>
      <c r="T3611" s="3" t="s">
        <v>27</v>
      </c>
    </row>
    <row r="3612" spans="1:20" ht="351">
      <c r="A3612" s="3">
        <v>2657701</v>
      </c>
      <c r="B3612" s="3">
        <f>HYPERLINK("https://platform.v2.vetology.net/cases/2657701/screening-report/6?type=pdf&amp;v=v6&amp;scorecard=1&amp;secret_key=BX%25IJ%24%2F65ieZ%29f6", 2657701)</f>
        <v>2657701</v>
      </c>
      <c r="C3612" s="3">
        <f>HYPERLINK("https://platform.v2.vetology.net/report/v/final/"&amp;2657701, 2657701)</f>
        <v>2657701</v>
      </c>
      <c r="D3612" s="3" t="s">
        <v>11909</v>
      </c>
      <c r="E3612" s="3" t="s">
        <v>11910</v>
      </c>
      <c r="F3612" s="3" t="s">
        <v>11911</v>
      </c>
      <c r="G3612" s="3" t="s">
        <v>1772</v>
      </c>
      <c r="H3612" s="3" t="s">
        <v>11912</v>
      </c>
      <c r="I3612" s="3" t="s">
        <v>1897</v>
      </c>
      <c r="J3612" s="3" t="s">
        <v>2930</v>
      </c>
      <c r="K3612" s="3" t="s">
        <v>28</v>
      </c>
      <c r="L3612" s="3" t="s">
        <v>27</v>
      </c>
      <c r="M3612" s="3" t="s">
        <v>28</v>
      </c>
      <c r="N3612" s="3" t="s">
        <v>28</v>
      </c>
      <c r="O3612" s="3" t="s">
        <v>27</v>
      </c>
      <c r="P3612" s="3" t="s">
        <v>28</v>
      </c>
      <c r="Q3612" s="3" t="s">
        <v>27</v>
      </c>
      <c r="R3612" s="3" t="s">
        <v>28</v>
      </c>
      <c r="S3612" s="3" t="s">
        <v>28</v>
      </c>
      <c r="T3612" s="3" t="s">
        <v>28</v>
      </c>
    </row>
    <row r="3613" spans="1:20" ht="381.75">
      <c r="A3613" s="3">
        <v>2657697</v>
      </c>
      <c r="B3613" s="3">
        <f>HYPERLINK("https://platform.v2.vetology.net/cases/2657697/screening-report/6?type=pdf&amp;v=v6&amp;scorecard=1&amp;secret_key=BX%25IJ%24%2F65ieZ%29f6", 2657697)</f>
        <v>2657697</v>
      </c>
      <c r="C3613" s="3">
        <f>HYPERLINK("https://platform.v2.vetology.net/report/v/final/"&amp;2657697, 2657697)</f>
        <v>2657697</v>
      </c>
      <c r="D3613" s="3" t="s">
        <v>11913</v>
      </c>
      <c r="E3613" s="3" t="s">
        <v>11914</v>
      </c>
      <c r="F3613" s="3" t="s">
        <v>11915</v>
      </c>
      <c r="G3613" s="3" t="s">
        <v>179</v>
      </c>
      <c r="H3613" s="3" t="s">
        <v>11916</v>
      </c>
      <c r="I3613" s="3"/>
      <c r="J3613" s="3" t="s">
        <v>207</v>
      </c>
      <c r="K3613" s="3" t="s">
        <v>28</v>
      </c>
      <c r="L3613" s="3" t="s">
        <v>28</v>
      </c>
      <c r="M3613" s="3" t="s">
        <v>28</v>
      </c>
      <c r="N3613" s="3" t="s">
        <v>28</v>
      </c>
      <c r="O3613" s="3" t="s">
        <v>27</v>
      </c>
      <c r="P3613" s="3" t="s">
        <v>28</v>
      </c>
      <c r="Q3613" s="3" t="s">
        <v>28</v>
      </c>
      <c r="R3613" s="3" t="s">
        <v>28</v>
      </c>
      <c r="S3613" s="3" t="s">
        <v>28</v>
      </c>
      <c r="T3613" s="3" t="s">
        <v>27</v>
      </c>
    </row>
    <row r="3614" spans="1:20" ht="244.5">
      <c r="A3614" s="3">
        <v>2657678</v>
      </c>
      <c r="B3614" s="3">
        <f>HYPERLINK("https://platform.v2.vetology.net/cases/2657678/screening-report/6?type=pdf&amp;v=v6&amp;scorecard=1&amp;secret_key=BX%25IJ%24%2F65ieZ%29f6", 2657678)</f>
        <v>2657678</v>
      </c>
      <c r="C3614" s="3">
        <f>HYPERLINK("https://platform.v2.vetology.net/report/v/final/"&amp;2657678, 2657678)</f>
        <v>2657678</v>
      </c>
      <c r="D3614" s="3" t="s">
        <v>11917</v>
      </c>
      <c r="E3614" s="3" t="s">
        <v>11918</v>
      </c>
      <c r="F3614" s="3" t="s">
        <v>8863</v>
      </c>
      <c r="G3614" s="3" t="s">
        <v>186</v>
      </c>
      <c r="H3614" s="3" t="s">
        <v>135</v>
      </c>
      <c r="I3614" s="3" t="s">
        <v>136</v>
      </c>
      <c r="J3614" s="3" t="s">
        <v>137</v>
      </c>
      <c r="K3614" s="3" t="s">
        <v>28</v>
      </c>
      <c r="L3614" s="3" t="s">
        <v>28</v>
      </c>
      <c r="M3614" s="3" t="s">
        <v>28</v>
      </c>
      <c r="N3614" s="3" t="s">
        <v>28</v>
      </c>
      <c r="O3614" s="3" t="s">
        <v>27</v>
      </c>
      <c r="P3614" s="3" t="s">
        <v>28</v>
      </c>
      <c r="Q3614" s="3" t="s">
        <v>28</v>
      </c>
      <c r="R3614" s="3" t="s">
        <v>28</v>
      </c>
      <c r="S3614" s="3" t="s">
        <v>27</v>
      </c>
      <c r="T3614" s="3" t="s">
        <v>27</v>
      </c>
    </row>
    <row r="3615" spans="1:20" ht="366">
      <c r="A3615" s="3">
        <v>2657671</v>
      </c>
      <c r="B3615" s="3">
        <f>HYPERLINK("https://platform.v2.vetology.net/cases/2657671/screening-report/6?type=pdf&amp;v=v6&amp;scorecard=1&amp;secret_key=BX%25IJ%24%2F65ieZ%29f6", 2657671)</f>
        <v>2657671</v>
      </c>
      <c r="C3615" s="3">
        <f>HYPERLINK("https://platform.v2.vetology.net/report/v/final/"&amp;2657671, 2657671)</f>
        <v>2657671</v>
      </c>
      <c r="D3615" s="3" t="s">
        <v>11919</v>
      </c>
      <c r="E3615" s="3" t="s">
        <v>11920</v>
      </c>
      <c r="F3615" s="3" t="s">
        <v>222</v>
      </c>
      <c r="G3615" s="3" t="s">
        <v>186</v>
      </c>
      <c r="H3615" s="3" t="s">
        <v>11921</v>
      </c>
      <c r="I3615" s="3" t="s">
        <v>11922</v>
      </c>
      <c r="J3615" s="3" t="s">
        <v>189</v>
      </c>
      <c r="K3615" s="3" t="s">
        <v>28</v>
      </c>
      <c r="L3615" s="3" t="s">
        <v>27</v>
      </c>
      <c r="M3615" s="3" t="s">
        <v>28</v>
      </c>
      <c r="N3615" s="3" t="s">
        <v>28</v>
      </c>
      <c r="O3615" s="3" t="s">
        <v>27</v>
      </c>
      <c r="P3615" s="3" t="s">
        <v>28</v>
      </c>
      <c r="Q3615" s="3" t="s">
        <v>27</v>
      </c>
      <c r="R3615" s="3" t="s">
        <v>28</v>
      </c>
      <c r="S3615" s="3" t="s">
        <v>28</v>
      </c>
      <c r="T3615" s="3" t="s">
        <v>28</v>
      </c>
    </row>
    <row r="3616" spans="1:20" ht="409.6">
      <c r="A3616" s="3">
        <v>2657648</v>
      </c>
      <c r="B3616" s="3">
        <f>HYPERLINK("https://platform.v2.vetology.net/cases/2657648/screening-report/6?type=pdf&amp;v=v6&amp;scorecard=1&amp;secret_key=BX%25IJ%24%2F65ieZ%29f6", 2657648)</f>
        <v>2657648</v>
      </c>
      <c r="C3616" s="3">
        <f>HYPERLINK("https://platform.v2.vetology.net/report/v/final/"&amp;2657648, 2657648)</f>
        <v>2657648</v>
      </c>
      <c r="D3616" s="3" t="s">
        <v>11923</v>
      </c>
      <c r="E3616" s="3" t="s">
        <v>11924</v>
      </c>
      <c r="F3616" s="3" t="s">
        <v>11925</v>
      </c>
      <c r="G3616" s="3" t="s">
        <v>1772</v>
      </c>
      <c r="H3616" s="3" t="s">
        <v>8964</v>
      </c>
      <c r="I3616" s="3" t="s">
        <v>8965</v>
      </c>
      <c r="J3616" s="3" t="s">
        <v>8966</v>
      </c>
      <c r="K3616" s="3" t="s">
        <v>27</v>
      </c>
      <c r="L3616" s="3" t="s">
        <v>27</v>
      </c>
      <c r="M3616" s="3" t="s">
        <v>27</v>
      </c>
      <c r="N3616" s="3" t="s">
        <v>28</v>
      </c>
      <c r="O3616" s="3" t="s">
        <v>27</v>
      </c>
      <c r="P3616" s="3" t="s">
        <v>27</v>
      </c>
      <c r="Q3616" s="3" t="s">
        <v>27</v>
      </c>
      <c r="R3616" s="3" t="s">
        <v>28</v>
      </c>
      <c r="S3616" s="3" t="s">
        <v>28</v>
      </c>
      <c r="T3616" s="3" t="s">
        <v>28</v>
      </c>
    </row>
    <row r="3617" spans="1:20" ht="381.75">
      <c r="A3617" s="3">
        <v>2657643</v>
      </c>
      <c r="B3617" s="3">
        <f>HYPERLINK("https://platform.v2.vetology.net/cases/2657643/screening-report/6?type=pdf&amp;v=v6&amp;scorecard=1&amp;secret_key=BX%25IJ%24%2F65ieZ%29f6", 2657643)</f>
        <v>2657643</v>
      </c>
      <c r="C3617" s="3">
        <f>HYPERLINK("https://platform.v2.vetology.net/report/v/final/"&amp;2657643, 2657643)</f>
        <v>2657643</v>
      </c>
      <c r="D3617" s="3" t="s">
        <v>11926</v>
      </c>
      <c r="E3617" s="3" t="s">
        <v>11927</v>
      </c>
      <c r="F3617" s="3" t="s">
        <v>11928</v>
      </c>
      <c r="G3617" s="3" t="s">
        <v>1772</v>
      </c>
      <c r="H3617" s="3" t="s">
        <v>11929</v>
      </c>
      <c r="I3617" s="3" t="s">
        <v>1897</v>
      </c>
      <c r="J3617" s="3" t="s">
        <v>325</v>
      </c>
      <c r="K3617" s="3" t="s">
        <v>27</v>
      </c>
      <c r="L3617" s="3" t="s">
        <v>27</v>
      </c>
      <c r="M3617" s="3" t="s">
        <v>28</v>
      </c>
      <c r="N3617" s="3" t="s">
        <v>28</v>
      </c>
      <c r="O3617" s="3" t="s">
        <v>27</v>
      </c>
      <c r="P3617" s="3" t="s">
        <v>28</v>
      </c>
      <c r="Q3617" s="3" t="s">
        <v>27</v>
      </c>
      <c r="R3617" s="3" t="s">
        <v>28</v>
      </c>
      <c r="S3617" s="3" t="s">
        <v>27</v>
      </c>
      <c r="T3617" s="3" t="s">
        <v>28</v>
      </c>
    </row>
    <row r="3618" spans="1:20" ht="409.6">
      <c r="A3618" s="3">
        <v>2657610</v>
      </c>
      <c r="B3618" s="3">
        <f>HYPERLINK("https://platform.v2.vetology.net/cases/2657610/screening-report/6?type=pdf&amp;v=v6&amp;scorecard=1&amp;secret_key=BX%25IJ%24%2F65ieZ%29f6", 2657610)</f>
        <v>2657610</v>
      </c>
      <c r="C3618" s="3">
        <f>HYPERLINK("https://platform.v2.vetology.net/report/v/final/"&amp;2657610, 2657610)</f>
        <v>2657610</v>
      </c>
      <c r="D3618" s="3" t="s">
        <v>11930</v>
      </c>
      <c r="E3618" s="3" t="s">
        <v>11931</v>
      </c>
      <c r="F3618" s="3" t="s">
        <v>11932</v>
      </c>
      <c r="G3618" s="3" t="s">
        <v>1772</v>
      </c>
      <c r="H3618" s="3" t="s">
        <v>3588</v>
      </c>
      <c r="I3618" s="3" t="s">
        <v>305</v>
      </c>
      <c r="J3618" s="3" t="s">
        <v>2419</v>
      </c>
      <c r="K3618" s="3" t="s">
        <v>27</v>
      </c>
      <c r="L3618" s="3" t="s">
        <v>27</v>
      </c>
      <c r="M3618" s="3" t="s">
        <v>28</v>
      </c>
      <c r="N3618" s="3" t="s">
        <v>27</v>
      </c>
      <c r="O3618" s="3" t="s">
        <v>27</v>
      </c>
      <c r="P3618" s="3" t="s">
        <v>27</v>
      </c>
      <c r="Q3618" s="3" t="s">
        <v>27</v>
      </c>
      <c r="R3618" s="3" t="s">
        <v>28</v>
      </c>
      <c r="S3618" s="3" t="s">
        <v>28</v>
      </c>
      <c r="T3618" s="3" t="s">
        <v>27</v>
      </c>
    </row>
    <row r="3619" spans="1:20" ht="409.6">
      <c r="A3619" s="3">
        <v>2657609</v>
      </c>
      <c r="B3619" s="3">
        <f>HYPERLINK("https://platform.v2.vetology.net/cases/2657609/screening-report/6?type=pdf&amp;v=v6&amp;scorecard=1&amp;secret_key=BX%25IJ%24%2F65ieZ%29f6", 2657609)</f>
        <v>2657609</v>
      </c>
      <c r="C3619" s="3">
        <f>HYPERLINK("https://platform.v2.vetology.net/report/v/final/"&amp;2657609, 2657609)</f>
        <v>2657609</v>
      </c>
      <c r="D3619" s="3" t="s">
        <v>11933</v>
      </c>
      <c r="E3619" s="3" t="s">
        <v>11934</v>
      </c>
      <c r="F3619" s="3" t="s">
        <v>11935</v>
      </c>
      <c r="G3619" s="3" t="s">
        <v>1772</v>
      </c>
      <c r="H3619" s="3" t="s">
        <v>11936</v>
      </c>
      <c r="I3619" s="3" t="s">
        <v>793</v>
      </c>
      <c r="J3619" s="3" t="s">
        <v>794</v>
      </c>
      <c r="K3619" s="3" t="s">
        <v>28</v>
      </c>
      <c r="L3619" s="3" t="s">
        <v>28</v>
      </c>
      <c r="M3619" s="3" t="s">
        <v>28</v>
      </c>
      <c r="N3619" s="3" t="s">
        <v>28</v>
      </c>
      <c r="O3619" s="3" t="s">
        <v>27</v>
      </c>
      <c r="P3619" s="3" t="s">
        <v>28</v>
      </c>
      <c r="Q3619" s="3" t="s">
        <v>28</v>
      </c>
      <c r="R3619" s="3" t="s">
        <v>28</v>
      </c>
      <c r="S3619" s="3" t="s">
        <v>28</v>
      </c>
      <c r="T3619" s="3" t="s">
        <v>28</v>
      </c>
    </row>
    <row r="3620" spans="1:20" ht="409.6">
      <c r="A3620" s="3">
        <v>2657532</v>
      </c>
      <c r="B3620" s="3">
        <f>HYPERLINK("https://platform.v2.vetology.net/cases/2657532/screening-report/6?type=pdf&amp;v=v6&amp;scorecard=1&amp;secret_key=BX%25IJ%24%2F65ieZ%29f6", 2657532)</f>
        <v>2657532</v>
      </c>
      <c r="C3620" s="3">
        <f>HYPERLINK("https://platform.v2.vetology.net/report/v/final/"&amp;2657532, 2657532)</f>
        <v>2657532</v>
      </c>
      <c r="D3620" s="3" t="s">
        <v>11937</v>
      </c>
      <c r="E3620" s="3" t="s">
        <v>11938</v>
      </c>
      <c r="F3620" s="3" t="s">
        <v>22</v>
      </c>
      <c r="G3620" s="3" t="s">
        <v>23</v>
      </c>
      <c r="H3620" s="3" t="s">
        <v>3186</v>
      </c>
      <c r="I3620" s="3" t="s">
        <v>3187</v>
      </c>
      <c r="J3620" s="3" t="s">
        <v>154</v>
      </c>
      <c r="K3620" s="3" t="s">
        <v>27</v>
      </c>
      <c r="L3620" s="3" t="s">
        <v>28</v>
      </c>
      <c r="M3620" s="3" t="s">
        <v>27</v>
      </c>
      <c r="N3620" s="3" t="s">
        <v>28</v>
      </c>
      <c r="O3620" s="3" t="s">
        <v>27</v>
      </c>
      <c r="P3620" s="3" t="s">
        <v>28</v>
      </c>
      <c r="Q3620" s="3" t="s">
        <v>27</v>
      </c>
      <c r="R3620" s="3" t="s">
        <v>28</v>
      </c>
      <c r="S3620" s="3" t="s">
        <v>28</v>
      </c>
      <c r="T3620" s="3" t="s">
        <v>28</v>
      </c>
    </row>
    <row r="3621" spans="1:20" ht="275.25">
      <c r="A3621" s="3">
        <v>2657511</v>
      </c>
      <c r="B3621" s="3">
        <f>HYPERLINK("https://platform.v2.vetology.net/cases/2657511/screening-report/6?type=pdf&amp;v=v6&amp;scorecard=1&amp;secret_key=BX%25IJ%24%2F65ieZ%29f6", 2657511)</f>
        <v>2657511</v>
      </c>
      <c r="C3621" s="3">
        <f>HYPERLINK("https://platform.v2.vetology.net/report/v/final/"&amp;2657511, 2657511)</f>
        <v>2657511</v>
      </c>
      <c r="D3621" s="3" t="s">
        <v>11939</v>
      </c>
      <c r="E3621" s="3" t="s">
        <v>11940</v>
      </c>
      <c r="F3621" s="3" t="s">
        <v>22</v>
      </c>
      <c r="G3621" s="3" t="s">
        <v>100</v>
      </c>
      <c r="H3621" s="3" t="s">
        <v>5287</v>
      </c>
      <c r="I3621" s="3" t="s">
        <v>224</v>
      </c>
      <c r="J3621" s="3" t="s">
        <v>225</v>
      </c>
      <c r="K3621" s="3" t="s">
        <v>28</v>
      </c>
      <c r="L3621" s="3" t="s">
        <v>28</v>
      </c>
      <c r="M3621" s="3" t="s">
        <v>28</v>
      </c>
      <c r="N3621" s="3" t="s">
        <v>28</v>
      </c>
      <c r="O3621" s="3" t="s">
        <v>27</v>
      </c>
      <c r="P3621" s="3" t="s">
        <v>28</v>
      </c>
      <c r="Q3621" s="3" t="s">
        <v>28</v>
      </c>
      <c r="R3621" s="3" t="s">
        <v>28</v>
      </c>
      <c r="S3621" s="3" t="s">
        <v>27</v>
      </c>
      <c r="T3621" s="3" t="s">
        <v>27</v>
      </c>
    </row>
    <row r="3622" spans="1:20" ht="381.75">
      <c r="A3622" s="3">
        <v>2657504</v>
      </c>
      <c r="B3622" s="3">
        <f>HYPERLINK("https://platform.v2.vetology.net/cases/2657504/screening-report/6?type=pdf&amp;v=v6&amp;scorecard=1&amp;secret_key=BX%25IJ%24%2F65ieZ%29f6", 2657504)</f>
        <v>2657504</v>
      </c>
      <c r="C3622" s="3">
        <f>HYPERLINK("https://platform.v2.vetology.net/report/v/final/"&amp;2657504, 2657504)</f>
        <v>2657504</v>
      </c>
      <c r="D3622" s="3" t="s">
        <v>11941</v>
      </c>
      <c r="E3622" s="3" t="s">
        <v>11942</v>
      </c>
      <c r="F3622" s="3" t="s">
        <v>22</v>
      </c>
      <c r="G3622" s="3" t="s">
        <v>23</v>
      </c>
      <c r="H3622" s="3" t="s">
        <v>31</v>
      </c>
      <c r="I3622" s="3" t="s">
        <v>2746</v>
      </c>
      <c r="J3622" s="3" t="s">
        <v>33</v>
      </c>
      <c r="K3622" s="3" t="s">
        <v>28</v>
      </c>
      <c r="L3622" s="3" t="s">
        <v>28</v>
      </c>
      <c r="M3622" s="3" t="s">
        <v>28</v>
      </c>
      <c r="N3622" s="3" t="s">
        <v>28</v>
      </c>
      <c r="O3622" s="3" t="s">
        <v>27</v>
      </c>
      <c r="P3622" s="3" t="s">
        <v>28</v>
      </c>
      <c r="Q3622" s="3" t="s">
        <v>28</v>
      </c>
      <c r="R3622" s="3" t="s">
        <v>28</v>
      </c>
      <c r="S3622" s="3" t="s">
        <v>28</v>
      </c>
      <c r="T3622" s="3" t="s">
        <v>27</v>
      </c>
    </row>
    <row r="3623" spans="1:20" ht="321">
      <c r="A3623" s="3">
        <v>2657497</v>
      </c>
      <c r="B3623" s="3">
        <f>HYPERLINK("https://platform.v2.vetology.net/cases/2657497/screening-report/6?type=pdf&amp;v=v6&amp;scorecard=1&amp;secret_key=BX%25IJ%24%2F65ieZ%29f6", 2657497)</f>
        <v>2657497</v>
      </c>
      <c r="C3623" s="3">
        <f>HYPERLINK("https://platform.v2.vetology.net/report/v/final/"&amp;2657497, 2657497)</f>
        <v>2657497</v>
      </c>
      <c r="D3623" s="3" t="s">
        <v>11943</v>
      </c>
      <c r="E3623" s="3" t="s">
        <v>11944</v>
      </c>
      <c r="F3623" s="3" t="s">
        <v>11945</v>
      </c>
      <c r="G3623" s="3" t="s">
        <v>186</v>
      </c>
      <c r="H3623" s="3" t="s">
        <v>11946</v>
      </c>
      <c r="I3623" s="3" t="s">
        <v>2524</v>
      </c>
      <c r="J3623" s="3" t="s">
        <v>1374</v>
      </c>
      <c r="K3623" s="3" t="s">
        <v>27</v>
      </c>
      <c r="L3623" s="3" t="s">
        <v>27</v>
      </c>
      <c r="M3623" s="3" t="s">
        <v>27</v>
      </c>
      <c r="N3623" s="3" t="s">
        <v>27</v>
      </c>
      <c r="O3623" s="3" t="s">
        <v>27</v>
      </c>
      <c r="P3623" s="3" t="s">
        <v>28</v>
      </c>
      <c r="Q3623" s="3" t="s">
        <v>27</v>
      </c>
      <c r="R3623" s="3" t="s">
        <v>27</v>
      </c>
      <c r="S3623" s="3" t="s">
        <v>27</v>
      </c>
      <c r="T3623" s="3" t="s">
        <v>27</v>
      </c>
    </row>
    <row r="3624" spans="1:20" ht="409.6">
      <c r="A3624" s="3">
        <v>2657489</v>
      </c>
      <c r="B3624" s="3">
        <f>HYPERLINK("https://platform.v2.vetology.net/cases/2657489/screening-report/6?type=pdf&amp;v=v6&amp;scorecard=1&amp;secret_key=BX%25IJ%24%2F65ieZ%29f6", 2657489)</f>
        <v>2657489</v>
      </c>
      <c r="C3624" s="3">
        <f>HYPERLINK("https://platform.v2.vetology.net/report/v/final/"&amp;2657489, 2657489)</f>
        <v>2657489</v>
      </c>
      <c r="D3624" s="3" t="s">
        <v>11947</v>
      </c>
      <c r="E3624" s="3" t="s">
        <v>11948</v>
      </c>
      <c r="F3624" s="3" t="s">
        <v>22</v>
      </c>
      <c r="G3624" s="3" t="s">
        <v>372</v>
      </c>
      <c r="H3624" s="3" t="s">
        <v>6195</v>
      </c>
      <c r="I3624" s="3" t="s">
        <v>784</v>
      </c>
      <c r="J3624" s="3" t="s">
        <v>785</v>
      </c>
      <c r="K3624" s="3" t="s">
        <v>28</v>
      </c>
      <c r="L3624" s="3" t="s">
        <v>27</v>
      </c>
      <c r="M3624" s="3" t="s">
        <v>27</v>
      </c>
      <c r="N3624" s="3" t="s">
        <v>27</v>
      </c>
      <c r="O3624" s="3" t="s">
        <v>27</v>
      </c>
      <c r="P3624" s="3" t="s">
        <v>28</v>
      </c>
      <c r="Q3624" s="3" t="s">
        <v>27</v>
      </c>
      <c r="R3624" s="3" t="s">
        <v>28</v>
      </c>
      <c r="S3624" s="3" t="s">
        <v>28</v>
      </c>
      <c r="T3624" s="3" t="s">
        <v>27</v>
      </c>
    </row>
    <row r="3625" spans="1:20" ht="321">
      <c r="A3625" s="3">
        <v>2657477</v>
      </c>
      <c r="B3625" s="3">
        <f>HYPERLINK("https://platform.v2.vetology.net/cases/2657477/screening-report/6?type=pdf&amp;v=v6&amp;scorecard=1&amp;secret_key=BX%25IJ%24%2F65ieZ%29f6", 2657477)</f>
        <v>2657477</v>
      </c>
      <c r="C3625" s="3">
        <f>HYPERLINK("https://platform.v2.vetology.net/report/v/final/"&amp;2657477, 2657477)</f>
        <v>2657477</v>
      </c>
      <c r="D3625" s="3" t="s">
        <v>11949</v>
      </c>
      <c r="E3625" s="3" t="s">
        <v>11950</v>
      </c>
      <c r="F3625" s="3" t="s">
        <v>11951</v>
      </c>
      <c r="G3625" s="3" t="s">
        <v>186</v>
      </c>
      <c r="H3625" s="3" t="s">
        <v>9158</v>
      </c>
      <c r="I3625" s="3" t="s">
        <v>6441</v>
      </c>
      <c r="J3625" s="3" t="s">
        <v>479</v>
      </c>
      <c r="K3625" s="3" t="s">
        <v>27</v>
      </c>
      <c r="L3625" s="3" t="s">
        <v>28</v>
      </c>
      <c r="M3625" s="3" t="s">
        <v>28</v>
      </c>
      <c r="N3625" s="3" t="s">
        <v>27</v>
      </c>
      <c r="O3625" s="3" t="s">
        <v>27</v>
      </c>
      <c r="P3625" s="3" t="s">
        <v>28</v>
      </c>
      <c r="Q3625" s="3" t="s">
        <v>28</v>
      </c>
      <c r="R3625" s="3" t="s">
        <v>27</v>
      </c>
      <c r="S3625" s="3" t="s">
        <v>28</v>
      </c>
      <c r="T3625" s="3" t="s">
        <v>27</v>
      </c>
    </row>
    <row r="3626" spans="1:20" ht="305.25">
      <c r="A3626" s="3">
        <v>2657454</v>
      </c>
      <c r="B3626" s="3">
        <f>HYPERLINK("https://platform.v2.vetology.net/cases/2657454/screening-report/6?type=pdf&amp;v=v6&amp;scorecard=1&amp;secret_key=BX%25IJ%24%2F65ieZ%29f6", 2657454)</f>
        <v>2657454</v>
      </c>
      <c r="C3626" s="3">
        <f>HYPERLINK("https://platform.v2.vetology.net/report/v/final/"&amp;2657454, 2657454)</f>
        <v>2657454</v>
      </c>
      <c r="D3626" s="3" t="s">
        <v>11952</v>
      </c>
      <c r="E3626" s="3" t="s">
        <v>11953</v>
      </c>
      <c r="F3626" s="3"/>
      <c r="G3626" s="3" t="s">
        <v>100</v>
      </c>
      <c r="H3626" s="3" t="s">
        <v>118</v>
      </c>
      <c r="I3626" s="3" t="s">
        <v>32</v>
      </c>
      <c r="J3626" s="3" t="s">
        <v>33</v>
      </c>
      <c r="K3626" s="3" t="s">
        <v>28</v>
      </c>
      <c r="L3626" s="3" t="s">
        <v>28</v>
      </c>
      <c r="M3626" s="3" t="s">
        <v>28</v>
      </c>
      <c r="N3626" s="3" t="s">
        <v>28</v>
      </c>
      <c r="O3626" s="3" t="s">
        <v>27</v>
      </c>
      <c r="P3626" s="3" t="s">
        <v>28</v>
      </c>
      <c r="Q3626" s="3" t="s">
        <v>28</v>
      </c>
      <c r="R3626" s="3" t="s">
        <v>28</v>
      </c>
      <c r="S3626" s="3" t="s">
        <v>28</v>
      </c>
      <c r="T3626" s="3" t="s">
        <v>28</v>
      </c>
    </row>
    <row r="3627" spans="1:20" ht="409.6">
      <c r="A3627" s="3">
        <v>2657452</v>
      </c>
      <c r="B3627" s="3">
        <f>HYPERLINK("https://platform.v2.vetology.net/cases/2657452/screening-report/6?type=pdf&amp;v=v6&amp;scorecard=1&amp;secret_key=BX%25IJ%24%2F65ieZ%29f6", 2657452)</f>
        <v>2657452</v>
      </c>
      <c r="C3627" s="3">
        <f>HYPERLINK("https://platform.v2.vetology.net/report/v/final/"&amp;2657452, 2657452)</f>
        <v>2657452</v>
      </c>
      <c r="D3627" s="3" t="s">
        <v>11954</v>
      </c>
      <c r="E3627" s="3" t="s">
        <v>11955</v>
      </c>
      <c r="F3627" s="3" t="s">
        <v>11956</v>
      </c>
      <c r="G3627" s="3" t="s">
        <v>57</v>
      </c>
      <c r="H3627" s="3" t="s">
        <v>11957</v>
      </c>
      <c r="I3627" s="3" t="s">
        <v>78</v>
      </c>
      <c r="J3627" s="3" t="s">
        <v>79</v>
      </c>
      <c r="K3627" s="3" t="s">
        <v>28</v>
      </c>
      <c r="L3627" s="3" t="s">
        <v>28</v>
      </c>
      <c r="M3627" s="3" t="s">
        <v>28</v>
      </c>
      <c r="N3627" s="3" t="s">
        <v>28</v>
      </c>
      <c r="O3627" s="3" t="s">
        <v>27</v>
      </c>
      <c r="P3627" s="3" t="s">
        <v>27</v>
      </c>
      <c r="Q3627" s="3" t="s">
        <v>28</v>
      </c>
      <c r="R3627" s="3" t="s">
        <v>28</v>
      </c>
      <c r="S3627" s="3" t="s">
        <v>28</v>
      </c>
      <c r="T3627" s="3" t="s">
        <v>28</v>
      </c>
    </row>
    <row r="3628" spans="1:20" ht="381.75">
      <c r="A3628" s="3">
        <v>2657363</v>
      </c>
      <c r="B3628" s="3">
        <f>HYPERLINK("https://platform.v2.vetology.net/cases/2657363/screening-report/6?type=pdf&amp;v=v6&amp;scorecard=1&amp;secret_key=BX%25IJ%24%2F65ieZ%29f6", 2657363)</f>
        <v>2657363</v>
      </c>
      <c r="C3628" s="3">
        <f>HYPERLINK("https://platform.v2.vetology.net/report/v/final/"&amp;2657363, 2657363)</f>
        <v>2657363</v>
      </c>
      <c r="D3628" s="3" t="s">
        <v>11958</v>
      </c>
      <c r="E3628" s="3" t="s">
        <v>11959</v>
      </c>
      <c r="F3628" s="3" t="s">
        <v>1090</v>
      </c>
      <c r="G3628" s="3" t="s">
        <v>100</v>
      </c>
      <c r="H3628" s="3" t="s">
        <v>7755</v>
      </c>
      <c r="I3628" s="3" t="s">
        <v>856</v>
      </c>
      <c r="J3628" s="3" t="s">
        <v>857</v>
      </c>
      <c r="K3628" s="3" t="s">
        <v>27</v>
      </c>
      <c r="L3628" s="3" t="s">
        <v>28</v>
      </c>
      <c r="M3628" s="3" t="s">
        <v>28</v>
      </c>
      <c r="N3628" s="3" t="s">
        <v>28</v>
      </c>
      <c r="O3628" s="3" t="s">
        <v>27</v>
      </c>
      <c r="P3628" s="3" t="s">
        <v>28</v>
      </c>
      <c r="Q3628" s="3" t="s">
        <v>28</v>
      </c>
      <c r="R3628" s="3" t="s">
        <v>28</v>
      </c>
      <c r="S3628" s="3" t="s">
        <v>28</v>
      </c>
      <c r="T3628" s="3" t="s">
        <v>28</v>
      </c>
    </row>
    <row r="3629" spans="1:20" ht="409.6">
      <c r="A3629" s="3">
        <v>2657270</v>
      </c>
      <c r="B3629" s="3">
        <f>HYPERLINK("https://platform.v2.vetology.net/cases/2657270/screening-report/6?type=pdf&amp;v=v6&amp;scorecard=1&amp;secret_key=BX%25IJ%24%2F65ieZ%29f6", 2657270)</f>
        <v>2657270</v>
      </c>
      <c r="C3629" s="3">
        <f>HYPERLINK("https://platform.v2.vetology.net/report/v/final/"&amp;2657270, 2657270)</f>
        <v>2657270</v>
      </c>
      <c r="D3629" s="3" t="s">
        <v>11960</v>
      </c>
      <c r="E3629" s="3" t="s">
        <v>11961</v>
      </c>
      <c r="F3629" s="3" t="s">
        <v>11962</v>
      </c>
      <c r="G3629" s="3" t="s">
        <v>57</v>
      </c>
      <c r="H3629" s="3" t="s">
        <v>11963</v>
      </c>
      <c r="I3629" s="3" t="s">
        <v>784</v>
      </c>
      <c r="J3629" s="3" t="s">
        <v>785</v>
      </c>
      <c r="K3629" s="3" t="s">
        <v>28</v>
      </c>
      <c r="L3629" s="3" t="s">
        <v>28</v>
      </c>
      <c r="M3629" s="3" t="s">
        <v>27</v>
      </c>
      <c r="N3629" s="3" t="s">
        <v>28</v>
      </c>
      <c r="O3629" s="3" t="s">
        <v>27</v>
      </c>
      <c r="P3629" s="3" t="s">
        <v>28</v>
      </c>
      <c r="Q3629" s="3" t="s">
        <v>27</v>
      </c>
      <c r="R3629" s="3" t="s">
        <v>28</v>
      </c>
      <c r="S3629" s="3" t="s">
        <v>28</v>
      </c>
      <c r="T3629" s="3" t="s">
        <v>27</v>
      </c>
    </row>
    <row r="3630" spans="1:20" ht="290.25">
      <c r="A3630" s="3">
        <v>2657219</v>
      </c>
      <c r="B3630" s="3">
        <f>HYPERLINK("https://platform.v2.vetology.net/cases/2657219/screening-report/6?type=pdf&amp;v=v6&amp;scorecard=1&amp;secret_key=BX%25IJ%24%2F65ieZ%29f6", 2657219)</f>
        <v>2657219</v>
      </c>
      <c r="C3630" s="3">
        <f>HYPERLINK("https://platform.v2.vetology.net/report/v/final/"&amp;2657219, 2657219)</f>
        <v>2657219</v>
      </c>
      <c r="D3630" s="3" t="s">
        <v>11964</v>
      </c>
      <c r="E3630" s="3" t="s">
        <v>11965</v>
      </c>
      <c r="F3630" s="3" t="s">
        <v>11966</v>
      </c>
      <c r="G3630" s="3" t="s">
        <v>57</v>
      </c>
      <c r="H3630" s="3" t="s">
        <v>4837</v>
      </c>
      <c r="I3630" s="3" t="s">
        <v>4838</v>
      </c>
      <c r="J3630" s="3" t="s">
        <v>4839</v>
      </c>
      <c r="K3630" s="3" t="s">
        <v>28</v>
      </c>
      <c r="L3630" s="3" t="s">
        <v>28</v>
      </c>
      <c r="M3630" s="3" t="s">
        <v>27</v>
      </c>
      <c r="N3630" s="3" t="s">
        <v>28</v>
      </c>
      <c r="O3630" s="3" t="s">
        <v>27</v>
      </c>
      <c r="P3630" s="3" t="s">
        <v>28</v>
      </c>
      <c r="Q3630" s="3" t="s">
        <v>27</v>
      </c>
      <c r="R3630" s="3" t="s">
        <v>28</v>
      </c>
      <c r="S3630" s="3" t="s">
        <v>28</v>
      </c>
      <c r="T3630" s="3" t="s">
        <v>28</v>
      </c>
    </row>
    <row r="3631" spans="1:20" ht="409.6">
      <c r="A3631" s="3">
        <v>2657157</v>
      </c>
      <c r="B3631" s="3">
        <f>HYPERLINK("https://platform.v2.vetology.net/cases/2657157/screening-report/6?type=pdf&amp;v=v6&amp;scorecard=1&amp;secret_key=BX%25IJ%24%2F65ieZ%29f6", 2657157)</f>
        <v>2657157</v>
      </c>
      <c r="C3631" s="3">
        <f>HYPERLINK("https://platform.v2.vetology.net/report/v/final/"&amp;2657157, 2657157)</f>
        <v>2657157</v>
      </c>
      <c r="D3631" s="3" t="s">
        <v>11967</v>
      </c>
      <c r="E3631" s="3" t="s">
        <v>11968</v>
      </c>
      <c r="F3631" s="3" t="s">
        <v>222</v>
      </c>
      <c r="G3631" s="3" t="s">
        <v>186</v>
      </c>
      <c r="H3631" s="3" t="s">
        <v>11969</v>
      </c>
      <c r="I3631" s="3" t="s">
        <v>59</v>
      </c>
      <c r="J3631" s="3" t="s">
        <v>60</v>
      </c>
      <c r="K3631" s="3" t="s">
        <v>28</v>
      </c>
      <c r="L3631" s="3" t="s">
        <v>28</v>
      </c>
      <c r="M3631" s="3" t="s">
        <v>28</v>
      </c>
      <c r="N3631" s="3" t="s">
        <v>28</v>
      </c>
      <c r="O3631" s="3" t="s">
        <v>28</v>
      </c>
      <c r="P3631" s="3" t="s">
        <v>28</v>
      </c>
      <c r="Q3631" s="3" t="s">
        <v>28</v>
      </c>
      <c r="R3631" s="3" t="s">
        <v>28</v>
      </c>
      <c r="S3631" s="3" t="s">
        <v>28</v>
      </c>
      <c r="T3631" s="3" t="s">
        <v>27</v>
      </c>
    </row>
    <row r="3632" spans="1:20" ht="409.6">
      <c r="A3632" s="3">
        <v>2657144</v>
      </c>
      <c r="B3632" s="3">
        <f>HYPERLINK("https://platform.v2.vetology.net/cases/2657144/screening-report/6?type=pdf&amp;v=v6&amp;scorecard=1&amp;secret_key=BX%25IJ%24%2F65ieZ%29f6", 2657144)</f>
        <v>2657144</v>
      </c>
      <c r="C3632" s="3">
        <f>HYPERLINK("https://platform.v2.vetology.net/report/v/final/"&amp;2657144, 2657144)</f>
        <v>2657144</v>
      </c>
      <c r="D3632" s="3" t="s">
        <v>11970</v>
      </c>
      <c r="E3632" s="3" t="s">
        <v>11971</v>
      </c>
      <c r="F3632" s="3" t="s">
        <v>11972</v>
      </c>
      <c r="G3632" s="3" t="s">
        <v>1772</v>
      </c>
      <c r="H3632" s="3" t="s">
        <v>11973</v>
      </c>
      <c r="I3632" s="3" t="s">
        <v>3391</v>
      </c>
      <c r="J3632" s="3" t="s">
        <v>3392</v>
      </c>
      <c r="K3632" s="3" t="s">
        <v>27</v>
      </c>
      <c r="L3632" s="3" t="s">
        <v>28</v>
      </c>
      <c r="M3632" s="3" t="s">
        <v>27</v>
      </c>
      <c r="N3632" s="3" t="s">
        <v>28</v>
      </c>
      <c r="O3632" s="3" t="s">
        <v>27</v>
      </c>
      <c r="P3632" s="3" t="s">
        <v>28</v>
      </c>
      <c r="Q3632" s="3" t="s">
        <v>27</v>
      </c>
      <c r="R3632" s="3" t="s">
        <v>28</v>
      </c>
      <c r="S3632" s="3" t="s">
        <v>28</v>
      </c>
      <c r="T3632" s="3" t="s">
        <v>28</v>
      </c>
    </row>
    <row r="3633" spans="1:20" ht="409.6">
      <c r="A3633" s="3">
        <v>2657120</v>
      </c>
      <c r="B3633" s="3">
        <f>HYPERLINK("https://platform.v2.vetology.net/cases/2657120/screening-report/6?type=pdf&amp;v=v6&amp;scorecard=1&amp;secret_key=BX%25IJ%24%2F65ieZ%29f6", 2657120)</f>
        <v>2657120</v>
      </c>
      <c r="C3633" s="3">
        <f>HYPERLINK("https://platform.v2.vetology.net/report/v/final/"&amp;2657120, 2657120)</f>
        <v>2657120</v>
      </c>
      <c r="D3633" s="3" t="s">
        <v>11974</v>
      </c>
      <c r="E3633" s="3" t="s">
        <v>11975</v>
      </c>
      <c r="F3633" s="3" t="s">
        <v>277</v>
      </c>
      <c r="G3633" s="3" t="s">
        <v>186</v>
      </c>
      <c r="H3633" s="3" t="s">
        <v>11976</v>
      </c>
      <c r="I3633" s="3" t="s">
        <v>59</v>
      </c>
      <c r="J3633" s="3" t="s">
        <v>60</v>
      </c>
      <c r="K3633" s="3" t="s">
        <v>28</v>
      </c>
      <c r="L3633" s="3" t="s">
        <v>28</v>
      </c>
      <c r="M3633" s="3" t="s">
        <v>28</v>
      </c>
      <c r="N3633" s="3" t="s">
        <v>28</v>
      </c>
      <c r="O3633" s="3" t="s">
        <v>27</v>
      </c>
      <c r="P3633" s="3" t="s">
        <v>28</v>
      </c>
      <c r="Q3633" s="3" t="s">
        <v>28</v>
      </c>
      <c r="R3633" s="3" t="s">
        <v>28</v>
      </c>
      <c r="S3633" s="3" t="s">
        <v>28</v>
      </c>
      <c r="T3633" s="3" t="s">
        <v>27</v>
      </c>
    </row>
    <row r="3634" spans="1:20" ht="229.5">
      <c r="A3634" s="3">
        <v>2656978</v>
      </c>
      <c r="B3634" s="3">
        <f>HYPERLINK("https://platform.v2.vetology.net/cases/2656978/screening-report/6?type=pdf&amp;v=v6&amp;scorecard=1&amp;secret_key=BX%25IJ%24%2F65ieZ%29f6", 2656978)</f>
        <v>2656978</v>
      </c>
      <c r="C3634" s="3">
        <f>HYPERLINK("https://platform.v2.vetology.net/report/v/final/"&amp;2656978, 2656978)</f>
        <v>2656978</v>
      </c>
      <c r="D3634" s="3" t="s">
        <v>11977</v>
      </c>
      <c r="E3634" s="3" t="s">
        <v>11978</v>
      </c>
      <c r="F3634" s="3" t="s">
        <v>11979</v>
      </c>
      <c r="G3634" s="3" t="s">
        <v>211</v>
      </c>
      <c r="H3634" s="3" t="s">
        <v>118</v>
      </c>
      <c r="I3634" s="3" t="s">
        <v>32</v>
      </c>
      <c r="J3634" s="3" t="s">
        <v>847</v>
      </c>
      <c r="K3634" s="3" t="s">
        <v>27</v>
      </c>
      <c r="L3634" s="3" t="s">
        <v>28</v>
      </c>
      <c r="M3634" s="3" t="s">
        <v>27</v>
      </c>
      <c r="N3634" s="3" t="s">
        <v>28</v>
      </c>
      <c r="O3634" s="3" t="s">
        <v>27</v>
      </c>
      <c r="P3634" s="3" t="s">
        <v>28</v>
      </c>
      <c r="Q3634" s="3" t="s">
        <v>27</v>
      </c>
      <c r="R3634" s="3" t="s">
        <v>28</v>
      </c>
      <c r="S3634" s="3" t="s">
        <v>28</v>
      </c>
      <c r="T3634" s="3" t="s">
        <v>28</v>
      </c>
    </row>
    <row r="3635" spans="1:20" ht="409.6">
      <c r="A3635" s="3">
        <v>2656903</v>
      </c>
      <c r="B3635" s="3">
        <f>HYPERLINK("https://platform.v2.vetology.net/cases/2656903/screening-report/6?type=pdf&amp;v=v6&amp;scorecard=1&amp;secret_key=BX%25IJ%24%2F65ieZ%29f6", 2656903)</f>
        <v>2656903</v>
      </c>
      <c r="C3635" s="3">
        <f>HYPERLINK("https://platform.v2.vetology.net/report/v/final/"&amp;2656903, 2656903)</f>
        <v>2656903</v>
      </c>
      <c r="D3635" s="3" t="s">
        <v>11980</v>
      </c>
      <c r="E3635" s="3" t="s">
        <v>11981</v>
      </c>
      <c r="F3635" s="3" t="s">
        <v>11982</v>
      </c>
      <c r="G3635" s="3" t="s">
        <v>1772</v>
      </c>
      <c r="H3635" s="3" t="s">
        <v>11983</v>
      </c>
      <c r="I3635" s="3" t="s">
        <v>5214</v>
      </c>
      <c r="J3635" s="3" t="s">
        <v>5215</v>
      </c>
      <c r="K3635" s="3" t="s">
        <v>27</v>
      </c>
      <c r="L3635" s="3" t="s">
        <v>27</v>
      </c>
      <c r="M3635" s="3" t="s">
        <v>27</v>
      </c>
      <c r="N3635" s="3" t="s">
        <v>27</v>
      </c>
      <c r="O3635" s="3" t="s">
        <v>27</v>
      </c>
      <c r="P3635" s="3" t="s">
        <v>28</v>
      </c>
      <c r="Q3635" s="3" t="s">
        <v>27</v>
      </c>
      <c r="R3635" s="3" t="s">
        <v>27</v>
      </c>
      <c r="S3635" s="3" t="s">
        <v>27</v>
      </c>
      <c r="T3635" s="3" t="s">
        <v>28</v>
      </c>
    </row>
    <row r="3636" spans="1:20" ht="409.6">
      <c r="A3636" s="3">
        <v>2656886</v>
      </c>
      <c r="B3636" s="3">
        <f>HYPERLINK("https://platform.v2.vetology.net/cases/2656886/screening-report/6?type=pdf&amp;v=v6&amp;scorecard=1&amp;secret_key=BX%25IJ%24%2F65ieZ%29f6", 2656886)</f>
        <v>2656886</v>
      </c>
      <c r="C3636" s="3">
        <f>HYPERLINK("https://platform.v2.vetology.net/report/v/final/"&amp;2656886, 2656886)</f>
        <v>2656886</v>
      </c>
      <c r="D3636" s="3" t="s">
        <v>11984</v>
      </c>
      <c r="E3636" s="3" t="s">
        <v>1362</v>
      </c>
      <c r="F3636" s="3" t="s">
        <v>11985</v>
      </c>
      <c r="G3636" s="3" t="s">
        <v>211</v>
      </c>
      <c r="H3636" s="3" t="s">
        <v>11986</v>
      </c>
      <c r="I3636" s="3" t="s">
        <v>4591</v>
      </c>
      <c r="J3636" s="3" t="s">
        <v>4592</v>
      </c>
      <c r="K3636" s="3" t="s">
        <v>27</v>
      </c>
      <c r="L3636" s="3" t="s">
        <v>27</v>
      </c>
      <c r="M3636" s="3" t="s">
        <v>27</v>
      </c>
      <c r="N3636" s="3" t="s">
        <v>28</v>
      </c>
      <c r="O3636" s="3" t="s">
        <v>28</v>
      </c>
      <c r="P3636" s="3" t="s">
        <v>28</v>
      </c>
      <c r="Q3636" s="3" t="s">
        <v>28</v>
      </c>
      <c r="R3636" s="3" t="s">
        <v>28</v>
      </c>
      <c r="S3636" s="3" t="s">
        <v>27</v>
      </c>
      <c r="T3636" s="3" t="s">
        <v>28</v>
      </c>
    </row>
    <row r="3637" spans="1:20" ht="409.6">
      <c r="A3637" s="3">
        <v>2656862</v>
      </c>
      <c r="B3637" s="3">
        <f>HYPERLINK("https://platform.v2.vetology.net/cases/2656862/screening-report/6?type=pdf&amp;v=v6&amp;scorecard=1&amp;secret_key=BX%25IJ%24%2F65ieZ%29f6", 2656862)</f>
        <v>2656862</v>
      </c>
      <c r="C3637" s="3">
        <f>HYPERLINK("https://platform.v2.vetology.net/report/v/final/"&amp;2656862, 2656862)</f>
        <v>2656862</v>
      </c>
      <c r="D3637" s="3" t="s">
        <v>7789</v>
      </c>
      <c r="E3637" s="3" t="s">
        <v>11987</v>
      </c>
      <c r="F3637" s="3" t="s">
        <v>11988</v>
      </c>
      <c r="G3637" s="3" t="s">
        <v>211</v>
      </c>
      <c r="H3637" s="3" t="s">
        <v>4215</v>
      </c>
      <c r="I3637" s="3" t="s">
        <v>1404</v>
      </c>
      <c r="J3637" s="3" t="s">
        <v>1405</v>
      </c>
      <c r="K3637" s="3" t="s">
        <v>27</v>
      </c>
      <c r="L3637" s="3" t="s">
        <v>28</v>
      </c>
      <c r="M3637" s="3" t="s">
        <v>27</v>
      </c>
      <c r="N3637" s="3" t="s">
        <v>28</v>
      </c>
      <c r="O3637" s="3" t="s">
        <v>27</v>
      </c>
      <c r="P3637" s="3" t="s">
        <v>28</v>
      </c>
      <c r="Q3637" s="3" t="s">
        <v>27</v>
      </c>
      <c r="R3637" s="3" t="s">
        <v>28</v>
      </c>
      <c r="S3637" s="3" t="s">
        <v>28</v>
      </c>
      <c r="T3637" s="3" t="s">
        <v>28</v>
      </c>
    </row>
    <row r="3638" spans="1:20" ht="366">
      <c r="A3638" s="3">
        <v>2656711</v>
      </c>
      <c r="B3638" s="3">
        <f>HYPERLINK("https://platform.v2.vetology.net/cases/2656711/screening-report/6?type=pdf&amp;v=v6&amp;scorecard=1&amp;secret_key=BX%25IJ%24%2F65ieZ%29f6", 2656711)</f>
        <v>2656711</v>
      </c>
      <c r="C3638" s="3">
        <f>HYPERLINK("https://platform.v2.vetology.net/report/v/final/"&amp;2656711, 2656711)</f>
        <v>2656711</v>
      </c>
      <c r="D3638" s="3" t="s">
        <v>11989</v>
      </c>
      <c r="E3638" s="3" t="s">
        <v>11990</v>
      </c>
      <c r="F3638" s="3" t="s">
        <v>11991</v>
      </c>
      <c r="G3638" s="3" t="s">
        <v>211</v>
      </c>
      <c r="H3638" s="3" t="s">
        <v>1271</v>
      </c>
      <c r="I3638" s="3" t="s">
        <v>883</v>
      </c>
      <c r="J3638" s="3" t="s">
        <v>884</v>
      </c>
      <c r="K3638" s="3" t="s">
        <v>28</v>
      </c>
      <c r="L3638" s="3" t="s">
        <v>28</v>
      </c>
      <c r="M3638" s="3" t="s">
        <v>28</v>
      </c>
      <c r="N3638" s="3" t="s">
        <v>28</v>
      </c>
      <c r="O3638" s="3" t="s">
        <v>28</v>
      </c>
      <c r="P3638" s="3" t="s">
        <v>28</v>
      </c>
      <c r="Q3638" s="3" t="s">
        <v>28</v>
      </c>
      <c r="R3638" s="3" t="s">
        <v>28</v>
      </c>
      <c r="S3638" s="3" t="s">
        <v>28</v>
      </c>
      <c r="T3638" s="3" t="s">
        <v>28</v>
      </c>
    </row>
    <row r="3639" spans="1:20" ht="259.5">
      <c r="A3639" s="3">
        <v>2656702</v>
      </c>
      <c r="B3639" s="3">
        <f>HYPERLINK("https://platform.v2.vetology.net/cases/2656702/screening-report/6?type=pdf&amp;v=v6&amp;scorecard=1&amp;secret_key=BX%25IJ%24%2F65ieZ%29f6", 2656702)</f>
        <v>2656702</v>
      </c>
      <c r="C3639" s="3">
        <f>HYPERLINK("https://platform.v2.vetology.net/report/v/final/"&amp;2656702, 2656702)</f>
        <v>2656702</v>
      </c>
      <c r="D3639" s="3" t="s">
        <v>11992</v>
      </c>
      <c r="E3639" s="3" t="s">
        <v>11993</v>
      </c>
      <c r="F3639" s="3" t="s">
        <v>22</v>
      </c>
      <c r="G3639" s="3" t="s">
        <v>372</v>
      </c>
      <c r="H3639" s="3" t="s">
        <v>31</v>
      </c>
      <c r="I3639" s="3" t="s">
        <v>32</v>
      </c>
      <c r="J3639" s="3" t="s">
        <v>119</v>
      </c>
      <c r="K3639" s="3" t="s">
        <v>27</v>
      </c>
      <c r="L3639" s="3" t="s">
        <v>28</v>
      </c>
      <c r="M3639" s="3" t="s">
        <v>28</v>
      </c>
      <c r="N3639" s="3" t="s">
        <v>28</v>
      </c>
      <c r="O3639" s="3" t="s">
        <v>28</v>
      </c>
      <c r="P3639" s="3" t="s">
        <v>28</v>
      </c>
      <c r="Q3639" s="3" t="s">
        <v>28</v>
      </c>
      <c r="R3639" s="3" t="s">
        <v>28</v>
      </c>
      <c r="S3639" s="3" t="s">
        <v>28</v>
      </c>
      <c r="T3639" s="3" t="s">
        <v>28</v>
      </c>
    </row>
    <row r="3640" spans="1:20" ht="321">
      <c r="A3640" s="3">
        <v>2656647</v>
      </c>
      <c r="B3640" s="3">
        <f>HYPERLINK("https://platform.v2.vetology.net/cases/2656647/screening-report/6?type=pdf&amp;v=v6&amp;scorecard=1&amp;secret_key=BX%25IJ%24%2F65ieZ%29f6", 2656647)</f>
        <v>2656647</v>
      </c>
      <c r="C3640" s="3">
        <f>HYPERLINK("https://platform.v2.vetology.net/report/v/final/"&amp;2656647, 2656647)</f>
        <v>2656647</v>
      </c>
      <c r="D3640" s="3" t="s">
        <v>11994</v>
      </c>
      <c r="E3640" s="3" t="s">
        <v>11995</v>
      </c>
      <c r="F3640" s="3" t="s">
        <v>11996</v>
      </c>
      <c r="G3640" s="3" t="s">
        <v>211</v>
      </c>
      <c r="H3640" s="3" t="s">
        <v>11997</v>
      </c>
      <c r="I3640" s="3" t="s">
        <v>163</v>
      </c>
      <c r="J3640" s="3" t="s">
        <v>164</v>
      </c>
      <c r="K3640" s="3" t="s">
        <v>28</v>
      </c>
      <c r="L3640" s="3" t="s">
        <v>28</v>
      </c>
      <c r="M3640" s="3" t="s">
        <v>28</v>
      </c>
      <c r="N3640" s="3" t="s">
        <v>28</v>
      </c>
      <c r="O3640" s="3" t="s">
        <v>27</v>
      </c>
      <c r="P3640" s="3" t="s">
        <v>28</v>
      </c>
      <c r="Q3640" s="3" t="s">
        <v>28</v>
      </c>
      <c r="R3640" s="3" t="s">
        <v>27</v>
      </c>
      <c r="S3640" s="3" t="s">
        <v>28</v>
      </c>
      <c r="T3640" s="3" t="s">
        <v>27</v>
      </c>
    </row>
    <row r="3641" spans="1:20" ht="409.6">
      <c r="A3641" s="3">
        <v>2656634</v>
      </c>
      <c r="B3641" s="3">
        <f>HYPERLINK("https://platform.v2.vetology.net/cases/2656634/screening-report/6?type=pdf&amp;v=v6&amp;scorecard=1&amp;secret_key=BX%25IJ%24%2F65ieZ%29f6", 2656634)</f>
        <v>2656634</v>
      </c>
      <c r="C3641" s="3">
        <f>HYPERLINK("https://platform.v2.vetology.net/report/v/final/"&amp;2656634, 2656634)</f>
        <v>2656634</v>
      </c>
      <c r="D3641" s="3" t="s">
        <v>11998</v>
      </c>
      <c r="E3641" s="3" t="s">
        <v>11999</v>
      </c>
      <c r="F3641" s="3" t="s">
        <v>260</v>
      </c>
      <c r="G3641" s="3" t="s">
        <v>186</v>
      </c>
      <c r="H3641" s="3" t="s">
        <v>12000</v>
      </c>
      <c r="I3641" s="3" t="s">
        <v>59</v>
      </c>
      <c r="J3641" s="3" t="s">
        <v>60</v>
      </c>
      <c r="K3641" s="3" t="s">
        <v>28</v>
      </c>
      <c r="L3641" s="3" t="s">
        <v>28</v>
      </c>
      <c r="M3641" s="3" t="s">
        <v>28</v>
      </c>
      <c r="N3641" s="3" t="s">
        <v>28</v>
      </c>
      <c r="O3641" s="3" t="s">
        <v>28</v>
      </c>
      <c r="P3641" s="3" t="s">
        <v>28</v>
      </c>
      <c r="Q3641" s="3" t="s">
        <v>28</v>
      </c>
      <c r="R3641" s="3" t="s">
        <v>28</v>
      </c>
      <c r="S3641" s="3" t="s">
        <v>28</v>
      </c>
      <c r="T3641" s="3" t="s">
        <v>27</v>
      </c>
    </row>
    <row r="3642" spans="1:20" ht="396.75">
      <c r="A3642" s="3">
        <v>2656537</v>
      </c>
      <c r="B3642" s="3">
        <f>HYPERLINK("https://platform.v2.vetology.net/cases/2656537/screening-report/6?type=pdf&amp;v=v6&amp;scorecard=1&amp;secret_key=BX%25IJ%24%2F65ieZ%29f6", 2656537)</f>
        <v>2656537</v>
      </c>
      <c r="C3642" s="3">
        <f>HYPERLINK("https://platform.v2.vetology.net/report/v/final/"&amp;2656537, 2656537)</f>
        <v>2656537</v>
      </c>
      <c r="D3642" s="3" t="s">
        <v>12001</v>
      </c>
      <c r="E3642" s="3" t="s">
        <v>12002</v>
      </c>
      <c r="F3642" s="3" t="s">
        <v>12003</v>
      </c>
      <c r="G3642" s="3" t="s">
        <v>211</v>
      </c>
      <c r="H3642" s="3" t="s">
        <v>12004</v>
      </c>
      <c r="I3642" s="3" t="s">
        <v>572</v>
      </c>
      <c r="J3642" s="3" t="s">
        <v>2392</v>
      </c>
      <c r="K3642" s="3" t="s">
        <v>27</v>
      </c>
      <c r="L3642" s="3" t="s">
        <v>28</v>
      </c>
      <c r="M3642" s="3" t="s">
        <v>27</v>
      </c>
      <c r="N3642" s="3" t="s">
        <v>28</v>
      </c>
      <c r="O3642" s="3" t="s">
        <v>27</v>
      </c>
      <c r="P3642" s="3" t="s">
        <v>28</v>
      </c>
      <c r="Q3642" s="3" t="s">
        <v>27</v>
      </c>
      <c r="R3642" s="3" t="s">
        <v>28</v>
      </c>
      <c r="S3642" s="3" t="s">
        <v>28</v>
      </c>
      <c r="T3642" s="3" t="s">
        <v>28</v>
      </c>
    </row>
    <row r="3643" spans="1:20" ht="305.25">
      <c r="A3643" s="3">
        <v>2656535</v>
      </c>
      <c r="B3643" s="3">
        <f>HYPERLINK("https://platform.v2.vetology.net/cases/2656535/screening-report/6?type=pdf&amp;v=v6&amp;scorecard=1&amp;secret_key=BX%25IJ%24%2F65ieZ%29f6", 2656535)</f>
        <v>2656535</v>
      </c>
      <c r="C3643" s="3">
        <f>HYPERLINK("https://platform.v2.vetology.net/report/v/final/"&amp;2656535, 2656535)</f>
        <v>2656535</v>
      </c>
      <c r="D3643" s="3" t="s">
        <v>12005</v>
      </c>
      <c r="E3643" s="3" t="s">
        <v>12006</v>
      </c>
      <c r="F3643" s="3" t="s">
        <v>22</v>
      </c>
      <c r="G3643" s="3" t="s">
        <v>372</v>
      </c>
      <c r="H3643" s="3" t="s">
        <v>31</v>
      </c>
      <c r="I3643" s="3" t="s">
        <v>32</v>
      </c>
      <c r="J3643" s="3" t="s">
        <v>33</v>
      </c>
      <c r="K3643" s="3" t="s">
        <v>28</v>
      </c>
      <c r="L3643" s="3" t="s">
        <v>28</v>
      </c>
      <c r="M3643" s="3" t="s">
        <v>28</v>
      </c>
      <c r="N3643" s="3" t="s">
        <v>28</v>
      </c>
      <c r="O3643" s="3" t="s">
        <v>28</v>
      </c>
      <c r="P3643" s="3" t="s">
        <v>27</v>
      </c>
      <c r="Q3643" s="3" t="s">
        <v>28</v>
      </c>
      <c r="R3643" s="3" t="s">
        <v>28</v>
      </c>
      <c r="S3643" s="3" t="s">
        <v>28</v>
      </c>
      <c r="T3643" s="3" t="s">
        <v>28</v>
      </c>
    </row>
    <row r="3644" spans="1:20" ht="409.6">
      <c r="A3644" s="3">
        <v>2656492</v>
      </c>
      <c r="B3644" s="3">
        <f>HYPERLINK("https://platform.v2.vetology.net/cases/2656492/screening-report/6?type=pdf&amp;v=v6&amp;scorecard=1&amp;secret_key=BX%25IJ%24%2F65ieZ%29f6", 2656492)</f>
        <v>2656492</v>
      </c>
      <c r="C3644" s="3">
        <f>HYPERLINK("https://platform.v2.vetology.net/report/v/final/"&amp;2656492, 2656492)</f>
        <v>2656492</v>
      </c>
      <c r="D3644" s="3" t="s">
        <v>12007</v>
      </c>
      <c r="E3644" s="3" t="s">
        <v>12008</v>
      </c>
      <c r="F3644" s="3" t="s">
        <v>22</v>
      </c>
      <c r="G3644" s="3" t="s">
        <v>23</v>
      </c>
      <c r="H3644" s="3" t="s">
        <v>519</v>
      </c>
      <c r="I3644" s="3" t="s">
        <v>520</v>
      </c>
      <c r="J3644" s="3" t="s">
        <v>335</v>
      </c>
      <c r="K3644" s="3" t="s">
        <v>28</v>
      </c>
      <c r="L3644" s="3" t="s">
        <v>28</v>
      </c>
      <c r="M3644" s="3" t="s">
        <v>28</v>
      </c>
      <c r="N3644" s="3" t="s">
        <v>28</v>
      </c>
      <c r="O3644" s="3" t="s">
        <v>27</v>
      </c>
      <c r="P3644" s="3" t="s">
        <v>28</v>
      </c>
      <c r="Q3644" s="3" t="s">
        <v>28</v>
      </c>
      <c r="R3644" s="3" t="s">
        <v>28</v>
      </c>
      <c r="S3644" s="3" t="s">
        <v>28</v>
      </c>
      <c r="T3644" s="3" t="s">
        <v>28</v>
      </c>
    </row>
    <row r="3645" spans="1:20" ht="275.25">
      <c r="A3645" s="3">
        <v>2656360</v>
      </c>
      <c r="B3645" s="3">
        <f>HYPERLINK("https://platform.v2.vetology.net/cases/2656360/screening-report/6?type=pdf&amp;v=v6&amp;scorecard=1&amp;secret_key=BX%25IJ%24%2F65ieZ%29f6", 2656360)</f>
        <v>2656360</v>
      </c>
      <c r="C3645" s="3">
        <f>HYPERLINK("https://platform.v2.vetology.net/report/v/final/"&amp;2656360, 2656360)</f>
        <v>2656360</v>
      </c>
      <c r="D3645" s="3" t="s">
        <v>12009</v>
      </c>
      <c r="E3645" s="3" t="s">
        <v>12010</v>
      </c>
      <c r="F3645" s="3" t="s">
        <v>1061</v>
      </c>
      <c r="G3645" s="3" t="s">
        <v>100</v>
      </c>
      <c r="H3645" s="3" t="s">
        <v>11404</v>
      </c>
      <c r="I3645" s="3" t="s">
        <v>224</v>
      </c>
      <c r="J3645" s="3" t="s">
        <v>225</v>
      </c>
      <c r="K3645" s="3" t="s">
        <v>28</v>
      </c>
      <c r="L3645" s="3" t="s">
        <v>28</v>
      </c>
      <c r="M3645" s="3" t="s">
        <v>28</v>
      </c>
      <c r="N3645" s="3" t="s">
        <v>28</v>
      </c>
      <c r="O3645" s="3" t="s">
        <v>28</v>
      </c>
      <c r="P3645" s="3" t="s">
        <v>28</v>
      </c>
      <c r="Q3645" s="3" t="s">
        <v>27</v>
      </c>
      <c r="R3645" s="3" t="s">
        <v>28</v>
      </c>
      <c r="S3645" s="3" t="s">
        <v>27</v>
      </c>
      <c r="T3645" s="3" t="s">
        <v>27</v>
      </c>
    </row>
    <row r="3646" spans="1:20" ht="409.6">
      <c r="A3646" s="3">
        <v>2656322</v>
      </c>
      <c r="B3646" s="3">
        <f>HYPERLINK("https://platform.v2.vetology.net/cases/2656322/screening-report/6?type=pdf&amp;v=v6&amp;scorecard=1&amp;secret_key=BX%25IJ%24%2F65ieZ%29f6", 2656322)</f>
        <v>2656322</v>
      </c>
      <c r="C3646" s="3">
        <f>HYPERLINK("https://platform.v2.vetology.net/report/v/final/"&amp;2656322, 2656322)</f>
        <v>2656322</v>
      </c>
      <c r="D3646" s="3" t="s">
        <v>12011</v>
      </c>
      <c r="E3646" s="3" t="s">
        <v>12012</v>
      </c>
      <c r="F3646" s="3" t="s">
        <v>12013</v>
      </c>
      <c r="G3646" s="3" t="s">
        <v>211</v>
      </c>
      <c r="H3646" s="3" t="s">
        <v>12014</v>
      </c>
      <c r="I3646" s="3" t="s">
        <v>1623</v>
      </c>
      <c r="J3646" s="3" t="s">
        <v>1624</v>
      </c>
      <c r="K3646" s="3" t="s">
        <v>27</v>
      </c>
      <c r="L3646" s="3" t="s">
        <v>28</v>
      </c>
      <c r="M3646" s="3" t="s">
        <v>27</v>
      </c>
      <c r="N3646" s="3" t="s">
        <v>28</v>
      </c>
      <c r="O3646" s="3" t="s">
        <v>27</v>
      </c>
      <c r="P3646" s="3" t="s">
        <v>28</v>
      </c>
      <c r="Q3646" s="3" t="s">
        <v>27</v>
      </c>
      <c r="R3646" s="3" t="s">
        <v>28</v>
      </c>
      <c r="S3646" s="3" t="s">
        <v>27</v>
      </c>
      <c r="T3646" s="3" t="s">
        <v>28</v>
      </c>
    </row>
    <row r="3647" spans="1:20" ht="409.6">
      <c r="A3647" s="3">
        <v>2656255</v>
      </c>
      <c r="B3647" s="3">
        <f>HYPERLINK("https://platform.v2.vetology.net/cases/2656255/screening-report/6?type=pdf&amp;v=v6&amp;scorecard=1&amp;secret_key=BX%25IJ%24%2F65ieZ%29f6", 2656255)</f>
        <v>2656255</v>
      </c>
      <c r="C3647" s="3">
        <f>HYPERLINK("https://platform.v2.vetology.net/report/v/final/"&amp;2656255, 2656255)</f>
        <v>2656255</v>
      </c>
      <c r="D3647" s="3" t="s">
        <v>12015</v>
      </c>
      <c r="E3647" s="3" t="s">
        <v>12016</v>
      </c>
      <c r="F3647" s="3" t="s">
        <v>12017</v>
      </c>
      <c r="G3647" s="3" t="s">
        <v>57</v>
      </c>
      <c r="H3647" s="3" t="s">
        <v>12018</v>
      </c>
      <c r="I3647" s="3" t="s">
        <v>1592</v>
      </c>
      <c r="J3647" s="3" t="s">
        <v>1593</v>
      </c>
      <c r="K3647" s="3" t="s">
        <v>28</v>
      </c>
      <c r="L3647" s="3" t="s">
        <v>28</v>
      </c>
      <c r="M3647" s="3" t="s">
        <v>27</v>
      </c>
      <c r="N3647" s="3" t="s">
        <v>28</v>
      </c>
      <c r="O3647" s="3" t="s">
        <v>27</v>
      </c>
      <c r="P3647" s="3" t="s">
        <v>28</v>
      </c>
      <c r="Q3647" s="3" t="s">
        <v>28</v>
      </c>
      <c r="R3647" s="3" t="s">
        <v>28</v>
      </c>
      <c r="S3647" s="3" t="s">
        <v>27</v>
      </c>
      <c r="T3647" s="3" t="s">
        <v>28</v>
      </c>
    </row>
    <row r="3648" spans="1:20" ht="409.6">
      <c r="A3648" s="3">
        <v>2656252</v>
      </c>
      <c r="B3648" s="3">
        <f>HYPERLINK("https://platform.v2.vetology.net/cases/2656252/screening-report/6?type=pdf&amp;v=v6&amp;scorecard=1&amp;secret_key=BX%25IJ%24%2F65ieZ%29f6", 2656252)</f>
        <v>2656252</v>
      </c>
      <c r="C3648" s="3">
        <f>HYPERLINK("https://platform.v2.vetology.net/report/v/final/"&amp;2656252, 2656252)</f>
        <v>2656252</v>
      </c>
      <c r="D3648" s="3" t="s">
        <v>12019</v>
      </c>
      <c r="E3648" s="3" t="s">
        <v>12020</v>
      </c>
      <c r="F3648" s="3" t="s">
        <v>12021</v>
      </c>
      <c r="G3648" s="3" t="s">
        <v>57</v>
      </c>
      <c r="H3648" s="3" t="s">
        <v>12022</v>
      </c>
      <c r="I3648" s="3" t="s">
        <v>1497</v>
      </c>
      <c r="J3648" s="3" t="s">
        <v>1340</v>
      </c>
      <c r="K3648" s="3" t="s">
        <v>28</v>
      </c>
      <c r="L3648" s="3" t="s">
        <v>28</v>
      </c>
      <c r="M3648" s="3" t="s">
        <v>28</v>
      </c>
      <c r="N3648" s="3" t="s">
        <v>28</v>
      </c>
      <c r="O3648" s="3" t="s">
        <v>27</v>
      </c>
      <c r="P3648" s="3" t="s">
        <v>28</v>
      </c>
      <c r="Q3648" s="3" t="s">
        <v>28</v>
      </c>
      <c r="R3648" s="3" t="s">
        <v>28</v>
      </c>
      <c r="S3648" s="3" t="s">
        <v>28</v>
      </c>
      <c r="T3648" s="3" t="s">
        <v>28</v>
      </c>
    </row>
    <row r="3649" spans="1:20" ht="336">
      <c r="A3649" s="3">
        <v>2656251</v>
      </c>
      <c r="B3649" s="3">
        <f>HYPERLINK("https://platform.v2.vetology.net/cases/2656251/screening-report/6?type=pdf&amp;v=v6&amp;scorecard=1&amp;secret_key=BX%25IJ%24%2F65ieZ%29f6", 2656251)</f>
        <v>2656251</v>
      </c>
      <c r="C3649" s="3">
        <f>HYPERLINK("https://platform.v2.vetology.net/report/v/final/"&amp;2656251, 2656251)</f>
        <v>2656251</v>
      </c>
      <c r="D3649" s="3" t="s">
        <v>12023</v>
      </c>
      <c r="E3649" s="3" t="s">
        <v>12024</v>
      </c>
      <c r="F3649" s="3" t="s">
        <v>12025</v>
      </c>
      <c r="G3649" s="3" t="s">
        <v>566</v>
      </c>
      <c r="H3649" s="3" t="s">
        <v>12026</v>
      </c>
      <c r="I3649" s="3" t="s">
        <v>718</v>
      </c>
      <c r="J3649" s="3" t="s">
        <v>719</v>
      </c>
      <c r="K3649" s="3" t="s">
        <v>28</v>
      </c>
      <c r="L3649" s="3" t="s">
        <v>28</v>
      </c>
      <c r="M3649" s="3" t="s">
        <v>28</v>
      </c>
      <c r="N3649" s="3" t="s">
        <v>28</v>
      </c>
      <c r="O3649" s="3" t="s">
        <v>27</v>
      </c>
      <c r="P3649" s="3" t="s">
        <v>28</v>
      </c>
      <c r="Q3649" s="3" t="s">
        <v>28</v>
      </c>
      <c r="R3649" s="3" t="s">
        <v>28</v>
      </c>
      <c r="S3649" s="3" t="s">
        <v>27</v>
      </c>
      <c r="T3649" s="3" t="s">
        <v>28</v>
      </c>
    </row>
    <row r="3650" spans="1:20" ht="396.75">
      <c r="A3650" s="3">
        <v>2656231</v>
      </c>
      <c r="B3650" s="3">
        <f>HYPERLINK("https://platform.v2.vetology.net/cases/2656231/screening-report/6?type=pdf&amp;v=v6&amp;scorecard=1&amp;secret_key=BX%25IJ%24%2F65ieZ%29f6", 2656231)</f>
        <v>2656231</v>
      </c>
      <c r="C3650" s="3">
        <f>HYPERLINK("https://platform.v2.vetology.net/report/v/final/"&amp;2656231, 2656231)</f>
        <v>2656231</v>
      </c>
      <c r="D3650" s="3" t="s">
        <v>12027</v>
      </c>
      <c r="E3650" s="3" t="s">
        <v>12028</v>
      </c>
      <c r="F3650" s="3" t="s">
        <v>12029</v>
      </c>
      <c r="G3650" s="3" t="s">
        <v>122</v>
      </c>
      <c r="H3650" s="3" t="s">
        <v>1326</v>
      </c>
      <c r="I3650" s="3" t="s">
        <v>351</v>
      </c>
      <c r="J3650" s="3" t="s">
        <v>352</v>
      </c>
      <c r="K3650" s="3" t="s">
        <v>28</v>
      </c>
      <c r="L3650" s="3" t="s">
        <v>28</v>
      </c>
      <c r="M3650" s="3" t="s">
        <v>28</v>
      </c>
      <c r="N3650" s="3" t="s">
        <v>28</v>
      </c>
      <c r="O3650" s="3" t="s">
        <v>28</v>
      </c>
      <c r="P3650" s="3" t="s">
        <v>28</v>
      </c>
      <c r="Q3650" s="3" t="s">
        <v>28</v>
      </c>
      <c r="R3650" s="3" t="s">
        <v>28</v>
      </c>
      <c r="S3650" s="3" t="s">
        <v>28</v>
      </c>
      <c r="T3650" s="3" t="s">
        <v>27</v>
      </c>
    </row>
    <row r="3651" spans="1:20" ht="305.25">
      <c r="A3651" s="3">
        <v>2656210</v>
      </c>
      <c r="B3651" s="3">
        <f>HYPERLINK("https://platform.v2.vetology.net/cases/2656210/screening-report/6?type=pdf&amp;v=v6&amp;scorecard=1&amp;secret_key=BX%25IJ%24%2F65ieZ%29f6", 2656210)</f>
        <v>2656210</v>
      </c>
      <c r="C3651" s="3">
        <f>HYPERLINK("https://platform.v2.vetology.net/report/v/final/"&amp;2656210, 2656210)</f>
        <v>2656210</v>
      </c>
      <c r="D3651" s="3" t="s">
        <v>12030</v>
      </c>
      <c r="E3651" s="3" t="s">
        <v>12031</v>
      </c>
      <c r="F3651" s="3" t="s">
        <v>12032</v>
      </c>
      <c r="G3651" s="3" t="s">
        <v>566</v>
      </c>
      <c r="H3651" s="3" t="s">
        <v>31</v>
      </c>
      <c r="I3651" s="3" t="s">
        <v>32</v>
      </c>
      <c r="J3651" s="3" t="s">
        <v>33</v>
      </c>
      <c r="K3651" s="3" t="s">
        <v>28</v>
      </c>
      <c r="L3651" s="3" t="s">
        <v>28</v>
      </c>
      <c r="M3651" s="3" t="s">
        <v>28</v>
      </c>
      <c r="N3651" s="3" t="s">
        <v>27</v>
      </c>
      <c r="O3651" s="3" t="s">
        <v>28</v>
      </c>
      <c r="P3651" s="3" t="s">
        <v>28</v>
      </c>
      <c r="Q3651" s="3" t="s">
        <v>28</v>
      </c>
      <c r="R3651" s="3" t="s">
        <v>28</v>
      </c>
      <c r="S3651" s="3" t="s">
        <v>27</v>
      </c>
      <c r="T3651" s="3" t="s">
        <v>28</v>
      </c>
    </row>
    <row r="3652" spans="1:20" ht="409.6">
      <c r="A3652" s="3">
        <v>2656166</v>
      </c>
      <c r="B3652" s="3">
        <f>HYPERLINK("https://platform.v2.vetology.net/cases/2656166/screening-report/6?type=pdf&amp;v=v6&amp;scorecard=1&amp;secret_key=BX%25IJ%24%2F65ieZ%29f6", 2656166)</f>
        <v>2656166</v>
      </c>
      <c r="C3652" s="3">
        <f>HYPERLINK("https://platform.v2.vetology.net/report/v/final/"&amp;2656166, 2656166)</f>
        <v>2656166</v>
      </c>
      <c r="D3652" s="3" t="s">
        <v>12033</v>
      </c>
      <c r="E3652" s="3" t="s">
        <v>12034</v>
      </c>
      <c r="F3652" s="3" t="s">
        <v>12035</v>
      </c>
      <c r="G3652" s="3" t="s">
        <v>23</v>
      </c>
      <c r="H3652" s="3" t="s">
        <v>12036</v>
      </c>
      <c r="I3652" s="3" t="s">
        <v>667</v>
      </c>
      <c r="J3652" s="3" t="s">
        <v>668</v>
      </c>
      <c r="K3652" s="3" t="s">
        <v>28</v>
      </c>
      <c r="L3652" s="3" t="s">
        <v>28</v>
      </c>
      <c r="M3652" s="3" t="s">
        <v>28</v>
      </c>
      <c r="N3652" s="3" t="s">
        <v>28</v>
      </c>
      <c r="O3652" s="3" t="s">
        <v>28</v>
      </c>
      <c r="P3652" s="3" t="s">
        <v>28</v>
      </c>
      <c r="Q3652" s="3" t="s">
        <v>28</v>
      </c>
      <c r="R3652" s="3" t="s">
        <v>27</v>
      </c>
      <c r="S3652" s="3" t="s">
        <v>27</v>
      </c>
      <c r="T3652" s="3" t="s">
        <v>27</v>
      </c>
    </row>
    <row r="3653" spans="1:20" ht="396.75">
      <c r="A3653" s="3">
        <v>2656084</v>
      </c>
      <c r="B3653" s="3">
        <f>HYPERLINK("https://platform.v2.vetology.net/cases/2656084/screening-report/6?type=pdf&amp;v=v6&amp;scorecard=1&amp;secret_key=BX%25IJ%24%2F65ieZ%29f6", 2656084)</f>
        <v>2656084</v>
      </c>
      <c r="C3653" s="3">
        <f>HYPERLINK("https://platform.v2.vetology.net/report/v/final/"&amp;2656084, 2656084)</f>
        <v>2656084</v>
      </c>
      <c r="D3653" s="3" t="s">
        <v>12037</v>
      </c>
      <c r="E3653" s="3" t="s">
        <v>12038</v>
      </c>
      <c r="F3653" s="3" t="s">
        <v>12039</v>
      </c>
      <c r="G3653" s="3" t="s">
        <v>179</v>
      </c>
      <c r="H3653" s="3" t="s">
        <v>10904</v>
      </c>
      <c r="I3653" s="3" t="s">
        <v>2524</v>
      </c>
      <c r="J3653" s="3" t="s">
        <v>1374</v>
      </c>
      <c r="K3653" s="3" t="s">
        <v>27</v>
      </c>
      <c r="L3653" s="3" t="s">
        <v>27</v>
      </c>
      <c r="M3653" s="3" t="s">
        <v>27</v>
      </c>
      <c r="N3653" s="3" t="s">
        <v>27</v>
      </c>
      <c r="O3653" s="3" t="s">
        <v>27</v>
      </c>
      <c r="P3653" s="3" t="s">
        <v>28</v>
      </c>
      <c r="Q3653" s="3" t="s">
        <v>27</v>
      </c>
      <c r="R3653" s="3" t="s">
        <v>27</v>
      </c>
      <c r="S3653" s="3" t="s">
        <v>27</v>
      </c>
      <c r="T3653" s="3" t="s">
        <v>27</v>
      </c>
    </row>
    <row r="3654" spans="1:20" ht="409.6">
      <c r="A3654" s="3">
        <v>2656029</v>
      </c>
      <c r="B3654" s="3">
        <f>HYPERLINK("https://platform.v2.vetology.net/cases/2656029/screening-report/6?type=pdf&amp;v=v6&amp;scorecard=1&amp;secret_key=BX%25IJ%24%2F65ieZ%29f6", 2656029)</f>
        <v>2656029</v>
      </c>
      <c r="C3654" s="3">
        <f>HYPERLINK("https://platform.v2.vetology.net/report/v/final/"&amp;2656029, 2656029)</f>
        <v>2656029</v>
      </c>
      <c r="D3654" s="3" t="s">
        <v>12040</v>
      </c>
      <c r="E3654" s="3" t="s">
        <v>12041</v>
      </c>
      <c r="F3654" s="3" t="s">
        <v>12042</v>
      </c>
      <c r="G3654" s="3" t="s">
        <v>179</v>
      </c>
      <c r="H3654" s="3" t="s">
        <v>12043</v>
      </c>
      <c r="I3654" s="3" t="s">
        <v>310</v>
      </c>
      <c r="J3654" s="3" t="s">
        <v>311</v>
      </c>
      <c r="K3654" s="3" t="s">
        <v>28</v>
      </c>
      <c r="L3654" s="3" t="s">
        <v>27</v>
      </c>
      <c r="M3654" s="3" t="s">
        <v>28</v>
      </c>
      <c r="N3654" s="3" t="s">
        <v>27</v>
      </c>
      <c r="O3654" s="3" t="s">
        <v>27</v>
      </c>
      <c r="P3654" s="3" t="s">
        <v>28</v>
      </c>
      <c r="Q3654" s="3" t="s">
        <v>27</v>
      </c>
      <c r="R3654" s="3" t="s">
        <v>27</v>
      </c>
      <c r="S3654" s="3" t="s">
        <v>27</v>
      </c>
      <c r="T3654" s="3" t="s">
        <v>27</v>
      </c>
    </row>
    <row r="3655" spans="1:20" ht="275.25">
      <c r="A3655" s="3">
        <v>2655966</v>
      </c>
      <c r="B3655" s="3">
        <f>HYPERLINK("https://platform.v2.vetology.net/cases/2655966/screening-report/6?type=pdf&amp;v=v6&amp;scorecard=1&amp;secret_key=BX%25IJ%24%2F65ieZ%29f6", 2655966)</f>
        <v>2655966</v>
      </c>
      <c r="C3655" s="3">
        <f>HYPERLINK("https://platform.v2.vetology.net/report/v/final/"&amp;2655966, 2655966)</f>
        <v>2655966</v>
      </c>
      <c r="D3655" s="3" t="s">
        <v>12044</v>
      </c>
      <c r="E3655" s="3" t="s">
        <v>12045</v>
      </c>
      <c r="F3655" s="3" t="s">
        <v>12046</v>
      </c>
      <c r="G3655" s="3" t="s">
        <v>179</v>
      </c>
      <c r="H3655" s="3" t="s">
        <v>8340</v>
      </c>
      <c r="I3655" s="3" t="s">
        <v>72</v>
      </c>
      <c r="J3655" s="3" t="s">
        <v>207</v>
      </c>
      <c r="K3655" s="3" t="s">
        <v>27</v>
      </c>
      <c r="L3655" s="3" t="s">
        <v>28</v>
      </c>
      <c r="M3655" s="3" t="s">
        <v>27</v>
      </c>
      <c r="N3655" s="3" t="s">
        <v>28</v>
      </c>
      <c r="O3655" s="3" t="s">
        <v>27</v>
      </c>
      <c r="P3655" s="3" t="s">
        <v>28</v>
      </c>
      <c r="Q3655" s="3" t="s">
        <v>28</v>
      </c>
      <c r="R3655" s="3" t="s">
        <v>28</v>
      </c>
      <c r="S3655" s="3" t="s">
        <v>28</v>
      </c>
      <c r="T3655" s="3" t="s">
        <v>28</v>
      </c>
    </row>
    <row r="3656" spans="1:20" ht="366">
      <c r="A3656" s="3">
        <v>2655951</v>
      </c>
      <c r="B3656" s="3">
        <f>HYPERLINK("https://platform.v2.vetology.net/cases/2655951/screening-report/6?type=pdf&amp;v=v6&amp;scorecard=1&amp;secret_key=BX%25IJ%24%2F65ieZ%29f6", 2655951)</f>
        <v>2655951</v>
      </c>
      <c r="C3656" s="3">
        <f>HYPERLINK("https://platform.v2.vetology.net/report/v/final/"&amp;2655951, 2655951)</f>
        <v>2655951</v>
      </c>
      <c r="D3656" s="3" t="s">
        <v>12047</v>
      </c>
      <c r="E3656" s="3" t="s">
        <v>12048</v>
      </c>
      <c r="F3656" s="3" t="s">
        <v>12049</v>
      </c>
      <c r="G3656" s="3" t="s">
        <v>186</v>
      </c>
      <c r="H3656" s="3" t="s">
        <v>12050</v>
      </c>
      <c r="I3656" s="3" t="s">
        <v>993</v>
      </c>
      <c r="J3656" s="3" t="s">
        <v>994</v>
      </c>
      <c r="K3656" s="3" t="s">
        <v>28</v>
      </c>
      <c r="L3656" s="3" t="s">
        <v>28</v>
      </c>
      <c r="M3656" s="3" t="s">
        <v>28</v>
      </c>
      <c r="N3656" s="3" t="s">
        <v>28</v>
      </c>
      <c r="O3656" s="3" t="s">
        <v>27</v>
      </c>
      <c r="P3656" s="3" t="s">
        <v>28</v>
      </c>
      <c r="Q3656" s="3" t="s">
        <v>28</v>
      </c>
      <c r="R3656" s="3" t="s">
        <v>28</v>
      </c>
      <c r="S3656" s="3" t="s">
        <v>28</v>
      </c>
      <c r="T3656" s="3" t="s">
        <v>28</v>
      </c>
    </row>
    <row r="3657" spans="1:20" ht="290.25">
      <c r="A3657" s="3">
        <v>2655855</v>
      </c>
      <c r="B3657" s="3">
        <f>HYPERLINK("https://platform.v2.vetology.net/cases/2655855/screening-report/6?type=pdf&amp;v=v6&amp;scorecard=1&amp;secret_key=BX%25IJ%24%2F65ieZ%29f6", 2655855)</f>
        <v>2655855</v>
      </c>
      <c r="C3657" s="3">
        <f>HYPERLINK("https://platform.v2.vetology.net/report/v/final/"&amp;2655855, 2655855)</f>
        <v>2655855</v>
      </c>
      <c r="D3657" s="3" t="s">
        <v>12051</v>
      </c>
      <c r="E3657" s="3" t="s">
        <v>12052</v>
      </c>
      <c r="F3657" s="3" t="s">
        <v>1762</v>
      </c>
      <c r="G3657" s="3" t="s">
        <v>100</v>
      </c>
      <c r="H3657" s="3" t="s">
        <v>419</v>
      </c>
      <c r="I3657" s="3" t="s">
        <v>316</v>
      </c>
      <c r="J3657" s="3" t="s">
        <v>317</v>
      </c>
      <c r="K3657" s="3" t="s">
        <v>28</v>
      </c>
      <c r="L3657" s="3" t="s">
        <v>28</v>
      </c>
      <c r="M3657" s="3" t="s">
        <v>28</v>
      </c>
      <c r="N3657" s="3" t="s">
        <v>28</v>
      </c>
      <c r="O3657" s="3" t="s">
        <v>27</v>
      </c>
      <c r="P3657" s="3" t="s">
        <v>28</v>
      </c>
      <c r="Q3657" s="3" t="s">
        <v>28</v>
      </c>
      <c r="R3657" s="3" t="s">
        <v>28</v>
      </c>
      <c r="S3657" s="3" t="s">
        <v>28</v>
      </c>
      <c r="T3657" s="3" t="s">
        <v>28</v>
      </c>
    </row>
    <row r="3658" spans="1:20" ht="275.25">
      <c r="A3658" s="3">
        <v>2655834</v>
      </c>
      <c r="B3658" s="3">
        <f>HYPERLINK("https://platform.v2.vetology.net/cases/2655834/screening-report/6?type=pdf&amp;v=v6&amp;scorecard=1&amp;secret_key=BX%25IJ%24%2F65ieZ%29f6", 2655834)</f>
        <v>2655834</v>
      </c>
      <c r="C3658" s="3">
        <f>HYPERLINK("https://platform.v2.vetology.net/report/v/final/"&amp;2655834, 2655834)</f>
        <v>2655834</v>
      </c>
      <c r="D3658" s="3" t="s">
        <v>12053</v>
      </c>
      <c r="E3658" s="3" t="s">
        <v>12054</v>
      </c>
      <c r="F3658" s="3" t="s">
        <v>12055</v>
      </c>
      <c r="G3658" s="3" t="s">
        <v>179</v>
      </c>
      <c r="H3658" s="3" t="s">
        <v>12056</v>
      </c>
      <c r="I3658" s="3" t="s">
        <v>72</v>
      </c>
      <c r="J3658" s="3" t="s">
        <v>207</v>
      </c>
      <c r="K3658" s="3" t="s">
        <v>27</v>
      </c>
      <c r="L3658" s="3" t="s">
        <v>28</v>
      </c>
      <c r="M3658" s="3" t="s">
        <v>28</v>
      </c>
      <c r="N3658" s="3" t="s">
        <v>28</v>
      </c>
      <c r="O3658" s="3" t="s">
        <v>27</v>
      </c>
      <c r="P3658" s="3" t="s">
        <v>28</v>
      </c>
      <c r="Q3658" s="3" t="s">
        <v>28</v>
      </c>
      <c r="R3658" s="3" t="s">
        <v>28</v>
      </c>
      <c r="S3658" s="3" t="s">
        <v>28</v>
      </c>
      <c r="T3658" s="3" t="s">
        <v>28</v>
      </c>
    </row>
    <row r="3659" spans="1:20" ht="409.6">
      <c r="A3659" s="3">
        <v>2655824</v>
      </c>
      <c r="B3659" s="3">
        <f>HYPERLINK("https://platform.v2.vetology.net/cases/2655824/screening-report/6?type=pdf&amp;v=v6&amp;scorecard=1&amp;secret_key=BX%25IJ%24%2F65ieZ%29f6", 2655824)</f>
        <v>2655824</v>
      </c>
      <c r="C3659" s="3">
        <f>HYPERLINK("https://platform.v2.vetology.net/report/v/final/"&amp;2655824, 2655824)</f>
        <v>2655824</v>
      </c>
      <c r="D3659" s="3" t="s">
        <v>12057</v>
      </c>
      <c r="E3659" s="3" t="s">
        <v>12058</v>
      </c>
      <c r="F3659" s="3" t="s">
        <v>12059</v>
      </c>
      <c r="G3659" s="3" t="s">
        <v>566</v>
      </c>
      <c r="H3659" s="3" t="s">
        <v>419</v>
      </c>
      <c r="I3659" s="3" t="s">
        <v>316</v>
      </c>
      <c r="J3659" s="3" t="s">
        <v>317</v>
      </c>
      <c r="K3659" s="3" t="s">
        <v>27</v>
      </c>
      <c r="L3659" s="3" t="s">
        <v>28</v>
      </c>
      <c r="M3659" s="3" t="s">
        <v>28</v>
      </c>
      <c r="N3659" s="3" t="s">
        <v>28</v>
      </c>
      <c r="O3659" s="3" t="s">
        <v>27</v>
      </c>
      <c r="P3659" s="3" t="s">
        <v>28</v>
      </c>
      <c r="Q3659" s="3" t="s">
        <v>28</v>
      </c>
      <c r="R3659" s="3" t="s">
        <v>28</v>
      </c>
      <c r="S3659" s="3" t="s">
        <v>28</v>
      </c>
      <c r="T3659" s="3" t="s">
        <v>28</v>
      </c>
    </row>
    <row r="3660" spans="1:20" ht="409.6">
      <c r="A3660" s="3">
        <v>2655811</v>
      </c>
      <c r="B3660" s="3">
        <f>HYPERLINK("https://platform.v2.vetology.net/cases/2655811/screening-report/6?type=pdf&amp;v=v6&amp;scorecard=1&amp;secret_key=BX%25IJ%24%2F65ieZ%29f6", 2655811)</f>
        <v>2655811</v>
      </c>
      <c r="C3660" s="3">
        <f>HYPERLINK("https://platform.v2.vetology.net/report/v/final/"&amp;2655811, 2655811)</f>
        <v>2655811</v>
      </c>
      <c r="D3660" s="3" t="s">
        <v>12060</v>
      </c>
      <c r="E3660" s="3" t="s">
        <v>12061</v>
      </c>
      <c r="F3660" s="3" t="s">
        <v>12062</v>
      </c>
      <c r="G3660" s="3" t="s">
        <v>1772</v>
      </c>
      <c r="H3660" s="3" t="s">
        <v>135</v>
      </c>
      <c r="I3660" s="3" t="s">
        <v>136</v>
      </c>
      <c r="J3660" s="3" t="s">
        <v>424</v>
      </c>
      <c r="K3660" s="3" t="s">
        <v>28</v>
      </c>
      <c r="L3660" s="3" t="s">
        <v>28</v>
      </c>
      <c r="M3660" s="3" t="s">
        <v>28</v>
      </c>
      <c r="N3660" s="3" t="s">
        <v>28</v>
      </c>
      <c r="O3660" s="3" t="s">
        <v>27</v>
      </c>
      <c r="P3660" s="3" t="s">
        <v>28</v>
      </c>
      <c r="Q3660" s="3" t="s">
        <v>28</v>
      </c>
      <c r="R3660" s="3" t="s">
        <v>28</v>
      </c>
      <c r="S3660" s="3" t="s">
        <v>28</v>
      </c>
      <c r="T3660" s="3" t="s">
        <v>27</v>
      </c>
    </row>
    <row r="3661" spans="1:20" ht="351">
      <c r="A3661" s="3">
        <v>2655802</v>
      </c>
      <c r="B3661" s="3">
        <f>HYPERLINK("https://platform.v2.vetology.net/cases/2655802/screening-report/6?type=pdf&amp;v=v6&amp;scorecard=1&amp;secret_key=BX%25IJ%24%2F65ieZ%29f6", 2655802)</f>
        <v>2655802</v>
      </c>
      <c r="C3661" s="3">
        <f>HYPERLINK("https://platform.v2.vetology.net/report/v/final/"&amp;2655802, 2655802)</f>
        <v>2655802</v>
      </c>
      <c r="D3661" s="3" t="s">
        <v>12063</v>
      </c>
      <c r="E3661" s="3" t="s">
        <v>12064</v>
      </c>
      <c r="F3661" s="3" t="s">
        <v>12065</v>
      </c>
      <c r="G3661" s="3" t="s">
        <v>186</v>
      </c>
      <c r="H3661" s="3" t="s">
        <v>4632</v>
      </c>
      <c r="I3661" s="3" t="s">
        <v>273</v>
      </c>
      <c r="J3661" s="3" t="s">
        <v>274</v>
      </c>
      <c r="K3661" s="3" t="s">
        <v>28</v>
      </c>
      <c r="L3661" s="3" t="s">
        <v>28</v>
      </c>
      <c r="M3661" s="3" t="s">
        <v>28</v>
      </c>
      <c r="N3661" s="3" t="s">
        <v>28</v>
      </c>
      <c r="O3661" s="3" t="s">
        <v>27</v>
      </c>
      <c r="P3661" s="3" t="s">
        <v>28</v>
      </c>
      <c r="Q3661" s="3" t="s">
        <v>28</v>
      </c>
      <c r="R3661" s="3" t="s">
        <v>28</v>
      </c>
      <c r="S3661" s="3" t="s">
        <v>28</v>
      </c>
      <c r="T3661" s="3" t="s">
        <v>27</v>
      </c>
    </row>
    <row r="3662" spans="1:20" ht="229.5">
      <c r="A3662" s="3">
        <v>2655788</v>
      </c>
      <c r="B3662" s="3">
        <f>HYPERLINK("https://platform.v2.vetology.net/cases/2655788/screening-report/6?type=pdf&amp;v=v6&amp;scorecard=1&amp;secret_key=BX%25IJ%24%2F65ieZ%29f6", 2655788)</f>
        <v>2655788</v>
      </c>
      <c r="C3662" s="3">
        <f>HYPERLINK("https://platform.v2.vetology.net/report/v/final/"&amp;2655788, 2655788)</f>
        <v>2655788</v>
      </c>
      <c r="D3662" s="3" t="s">
        <v>12066</v>
      </c>
      <c r="E3662" s="3" t="s">
        <v>12067</v>
      </c>
      <c r="F3662" s="3" t="s">
        <v>12068</v>
      </c>
      <c r="G3662" s="3" t="s">
        <v>186</v>
      </c>
      <c r="H3662" s="3" t="s">
        <v>12069</v>
      </c>
      <c r="I3662" s="3" t="s">
        <v>32</v>
      </c>
      <c r="J3662" s="3" t="s">
        <v>847</v>
      </c>
      <c r="K3662" s="3" t="s">
        <v>28</v>
      </c>
      <c r="L3662" s="3" t="s">
        <v>28</v>
      </c>
      <c r="M3662" s="3" t="s">
        <v>28</v>
      </c>
      <c r="N3662" s="3" t="s">
        <v>28</v>
      </c>
      <c r="O3662" s="3" t="s">
        <v>27</v>
      </c>
      <c r="P3662" s="3" t="s">
        <v>28</v>
      </c>
      <c r="Q3662" s="3" t="s">
        <v>28</v>
      </c>
      <c r="R3662" s="3" t="s">
        <v>28</v>
      </c>
      <c r="S3662" s="3" t="s">
        <v>28</v>
      </c>
      <c r="T3662" s="3" t="s">
        <v>28</v>
      </c>
    </row>
    <row r="3663" spans="1:20" ht="409.6">
      <c r="A3663" s="3">
        <v>2655774</v>
      </c>
      <c r="B3663" s="3">
        <f>HYPERLINK("https://platform.v2.vetology.net/cases/2655774/screening-report/6?type=pdf&amp;v=v6&amp;scorecard=1&amp;secret_key=BX%25IJ%24%2F65ieZ%29f6", 2655774)</f>
        <v>2655774</v>
      </c>
      <c r="C3663" s="3">
        <f>HYPERLINK("https://platform.v2.vetology.net/report/v/final/"&amp;2655774, 2655774)</f>
        <v>2655774</v>
      </c>
      <c r="D3663" s="3" t="s">
        <v>12070</v>
      </c>
      <c r="E3663" s="3" t="s">
        <v>12071</v>
      </c>
      <c r="F3663" s="3" t="s">
        <v>12072</v>
      </c>
      <c r="G3663" s="3" t="s">
        <v>186</v>
      </c>
      <c r="H3663" s="3" t="s">
        <v>12073</v>
      </c>
      <c r="I3663" s="3" t="s">
        <v>194</v>
      </c>
      <c r="J3663" s="3" t="s">
        <v>195</v>
      </c>
      <c r="K3663" s="3" t="s">
        <v>28</v>
      </c>
      <c r="L3663" s="3" t="s">
        <v>27</v>
      </c>
      <c r="M3663" s="3" t="s">
        <v>28</v>
      </c>
      <c r="N3663" s="3" t="s">
        <v>27</v>
      </c>
      <c r="O3663" s="3" t="s">
        <v>27</v>
      </c>
      <c r="P3663" s="3" t="s">
        <v>28</v>
      </c>
      <c r="Q3663" s="3" t="s">
        <v>28</v>
      </c>
      <c r="R3663" s="3" t="s">
        <v>27</v>
      </c>
      <c r="S3663" s="3" t="s">
        <v>27</v>
      </c>
      <c r="T3663" s="3" t="s">
        <v>27</v>
      </c>
    </row>
    <row r="3664" spans="1:20" ht="366">
      <c r="A3664" s="3">
        <v>2655760</v>
      </c>
      <c r="B3664" s="3">
        <f>HYPERLINK("https://platform.v2.vetology.net/cases/2655760/screening-report/6?type=pdf&amp;v=v6&amp;scorecard=1&amp;secret_key=BX%25IJ%24%2F65ieZ%29f6", 2655760)</f>
        <v>2655760</v>
      </c>
      <c r="C3664" s="3">
        <f>HYPERLINK("https://platform.v2.vetology.net/report/v/final/"&amp;2655760, 2655760)</f>
        <v>2655760</v>
      </c>
      <c r="D3664" s="3" t="s">
        <v>12074</v>
      </c>
      <c r="E3664" s="3" t="s">
        <v>12075</v>
      </c>
      <c r="F3664" s="3" t="s">
        <v>12076</v>
      </c>
      <c r="G3664" s="3" t="s">
        <v>186</v>
      </c>
      <c r="H3664" s="3" t="s">
        <v>1482</v>
      </c>
      <c r="I3664" s="3" t="s">
        <v>1483</v>
      </c>
      <c r="J3664" s="3" t="s">
        <v>5778</v>
      </c>
      <c r="K3664" s="3" t="s">
        <v>28</v>
      </c>
      <c r="L3664" s="3" t="s">
        <v>28</v>
      </c>
      <c r="M3664" s="3" t="s">
        <v>28</v>
      </c>
      <c r="N3664" s="3" t="s">
        <v>28</v>
      </c>
      <c r="O3664" s="3" t="s">
        <v>27</v>
      </c>
      <c r="P3664" s="3" t="s">
        <v>28</v>
      </c>
      <c r="Q3664" s="3" t="s">
        <v>28</v>
      </c>
      <c r="R3664" s="3" t="s">
        <v>28</v>
      </c>
      <c r="S3664" s="3" t="s">
        <v>28</v>
      </c>
      <c r="T3664" s="3" t="s">
        <v>27</v>
      </c>
    </row>
    <row r="3665" spans="1:20" ht="409.6">
      <c r="A3665" s="3">
        <v>2655746</v>
      </c>
      <c r="B3665" s="3">
        <f>HYPERLINK("https://platform.v2.vetology.net/cases/2655746/screening-report/6?type=pdf&amp;v=v6&amp;scorecard=1&amp;secret_key=BX%25IJ%24%2F65ieZ%29f6", 2655746)</f>
        <v>2655746</v>
      </c>
      <c r="C3665" s="3">
        <f>HYPERLINK("https://platform.v2.vetology.net/report/v/final/"&amp;2655746, 2655746)</f>
        <v>2655746</v>
      </c>
      <c r="D3665" s="3" t="s">
        <v>12077</v>
      </c>
      <c r="E3665" s="3" t="s">
        <v>12078</v>
      </c>
      <c r="F3665" s="3" t="s">
        <v>12079</v>
      </c>
      <c r="G3665" s="3" t="s">
        <v>186</v>
      </c>
      <c r="H3665" s="3" t="s">
        <v>12080</v>
      </c>
      <c r="I3665" s="3" t="s">
        <v>2170</v>
      </c>
      <c r="J3665" s="3" t="s">
        <v>2171</v>
      </c>
      <c r="K3665" s="3" t="s">
        <v>28</v>
      </c>
      <c r="L3665" s="3" t="s">
        <v>28</v>
      </c>
      <c r="M3665" s="3" t="s">
        <v>28</v>
      </c>
      <c r="N3665" s="3" t="s">
        <v>27</v>
      </c>
      <c r="O3665" s="3" t="s">
        <v>27</v>
      </c>
      <c r="P3665" s="3" t="s">
        <v>28</v>
      </c>
      <c r="Q3665" s="3" t="s">
        <v>27</v>
      </c>
      <c r="R3665" s="3" t="s">
        <v>28</v>
      </c>
      <c r="S3665" s="3" t="s">
        <v>28</v>
      </c>
      <c r="T3665" s="3" t="s">
        <v>27</v>
      </c>
    </row>
    <row r="3666" spans="1:20" ht="409.6">
      <c r="A3666" s="3">
        <v>2655745</v>
      </c>
      <c r="B3666" s="3">
        <f>HYPERLINK("https://platform.v2.vetology.net/cases/2655745/screening-report/6?type=pdf&amp;v=v6&amp;scorecard=1&amp;secret_key=BX%25IJ%24%2F65ieZ%29f6", 2655745)</f>
        <v>2655745</v>
      </c>
      <c r="C3666" s="3">
        <f>HYPERLINK("https://platform.v2.vetology.net/report/v/final/"&amp;2655745, 2655745)</f>
        <v>2655745</v>
      </c>
      <c r="D3666" s="3" t="s">
        <v>12081</v>
      </c>
      <c r="E3666" s="3" t="s">
        <v>12082</v>
      </c>
      <c r="F3666" s="3" t="s">
        <v>12083</v>
      </c>
      <c r="G3666" s="3" t="s">
        <v>736</v>
      </c>
      <c r="H3666" s="3" t="s">
        <v>8329</v>
      </c>
      <c r="I3666" s="3" t="s">
        <v>310</v>
      </c>
      <c r="J3666" s="3" t="s">
        <v>311</v>
      </c>
      <c r="K3666" s="3" t="s">
        <v>27</v>
      </c>
      <c r="L3666" s="3" t="s">
        <v>27</v>
      </c>
      <c r="M3666" s="3" t="s">
        <v>28</v>
      </c>
      <c r="N3666" s="3" t="s">
        <v>27</v>
      </c>
      <c r="O3666" s="3" t="s">
        <v>27</v>
      </c>
      <c r="P3666" s="3" t="s">
        <v>28</v>
      </c>
      <c r="Q3666" s="3" t="s">
        <v>27</v>
      </c>
      <c r="R3666" s="3" t="s">
        <v>27</v>
      </c>
      <c r="S3666" s="3" t="s">
        <v>27</v>
      </c>
      <c r="T3666" s="3" t="s">
        <v>27</v>
      </c>
    </row>
    <row r="3667" spans="1:20" ht="290.25">
      <c r="A3667" s="3">
        <v>2655744</v>
      </c>
      <c r="B3667" s="3">
        <f>HYPERLINK("https://platform.v2.vetology.net/cases/2655744/screening-report/6?type=pdf&amp;v=v6&amp;scorecard=1&amp;secret_key=BX%25IJ%24%2F65ieZ%29f6", 2655744)</f>
        <v>2655744</v>
      </c>
      <c r="C3667" s="3">
        <f>HYPERLINK("https://platform.v2.vetology.net/report/v/final/"&amp;2655744, 2655744)</f>
        <v>2655744</v>
      </c>
      <c r="D3667" s="3" t="s">
        <v>12084</v>
      </c>
      <c r="E3667" s="3" t="s">
        <v>1736</v>
      </c>
      <c r="F3667" s="3" t="s">
        <v>2049</v>
      </c>
      <c r="G3667" s="3" t="s">
        <v>100</v>
      </c>
      <c r="H3667" s="3" t="s">
        <v>8243</v>
      </c>
      <c r="I3667" s="3" t="s">
        <v>316</v>
      </c>
      <c r="J3667" s="3" t="s">
        <v>317</v>
      </c>
      <c r="K3667" s="3" t="s">
        <v>27</v>
      </c>
      <c r="L3667" s="3" t="s">
        <v>28</v>
      </c>
      <c r="M3667" s="3" t="s">
        <v>28</v>
      </c>
      <c r="N3667" s="3" t="s">
        <v>28</v>
      </c>
      <c r="O3667" s="3" t="s">
        <v>27</v>
      </c>
      <c r="P3667" s="3" t="s">
        <v>28</v>
      </c>
      <c r="Q3667" s="3" t="s">
        <v>28</v>
      </c>
      <c r="R3667" s="3" t="s">
        <v>28</v>
      </c>
      <c r="S3667" s="3" t="s">
        <v>27</v>
      </c>
      <c r="T3667" s="3" t="s">
        <v>28</v>
      </c>
    </row>
    <row r="3668" spans="1:20" ht="409.6">
      <c r="A3668" s="3">
        <v>2655723</v>
      </c>
      <c r="B3668" s="3">
        <f>HYPERLINK("https://platform.v2.vetology.net/cases/2655723/screening-report/6?type=pdf&amp;v=v6&amp;scorecard=1&amp;secret_key=BX%25IJ%24%2F65ieZ%29f6", 2655723)</f>
        <v>2655723</v>
      </c>
      <c r="C3668" s="3">
        <f>HYPERLINK("https://platform.v2.vetology.net/report/v/final/"&amp;2655723, 2655723)</f>
        <v>2655723</v>
      </c>
      <c r="D3668" s="3" t="s">
        <v>12085</v>
      </c>
      <c r="E3668" s="3" t="s">
        <v>12086</v>
      </c>
      <c r="F3668" s="3" t="s">
        <v>12087</v>
      </c>
      <c r="G3668" s="3" t="s">
        <v>566</v>
      </c>
      <c r="H3668" s="3" t="s">
        <v>135</v>
      </c>
      <c r="I3668" s="3" t="s">
        <v>136</v>
      </c>
      <c r="J3668" s="3" t="s">
        <v>424</v>
      </c>
      <c r="K3668" s="3" t="s">
        <v>28</v>
      </c>
      <c r="L3668" s="3" t="s">
        <v>28</v>
      </c>
      <c r="M3668" s="3" t="s">
        <v>28</v>
      </c>
      <c r="N3668" s="3" t="s">
        <v>27</v>
      </c>
      <c r="O3668" s="3" t="s">
        <v>27</v>
      </c>
      <c r="P3668" s="3" t="s">
        <v>28</v>
      </c>
      <c r="Q3668" s="3" t="s">
        <v>28</v>
      </c>
      <c r="R3668" s="3" t="s">
        <v>28</v>
      </c>
      <c r="S3668" s="3" t="s">
        <v>28</v>
      </c>
      <c r="T3668" s="3" t="s">
        <v>27</v>
      </c>
    </row>
    <row r="3669" spans="1:20" ht="409.6">
      <c r="A3669" s="3">
        <v>2655694</v>
      </c>
      <c r="B3669" s="3">
        <f>HYPERLINK("https://platform.v2.vetology.net/cases/2655694/screening-report/6?type=pdf&amp;v=v6&amp;scorecard=1&amp;secret_key=BX%25IJ%24%2F65ieZ%29f6", 2655694)</f>
        <v>2655694</v>
      </c>
      <c r="C3669" s="3">
        <f>HYPERLINK("https://platform.v2.vetology.net/report/v/final/"&amp;2655694, 2655694)</f>
        <v>2655694</v>
      </c>
      <c r="D3669" s="3" t="s">
        <v>12088</v>
      </c>
      <c r="E3669" s="3" t="s">
        <v>12089</v>
      </c>
      <c r="F3669" s="3" t="s">
        <v>12090</v>
      </c>
      <c r="G3669" s="3" t="s">
        <v>211</v>
      </c>
      <c r="H3669" s="3" t="s">
        <v>31</v>
      </c>
      <c r="I3669" s="3" t="s">
        <v>32</v>
      </c>
      <c r="J3669" s="3" t="s">
        <v>33</v>
      </c>
      <c r="K3669" s="3" t="s">
        <v>28</v>
      </c>
      <c r="L3669" s="3" t="s">
        <v>28</v>
      </c>
      <c r="M3669" s="3" t="s">
        <v>28</v>
      </c>
      <c r="N3669" s="3" t="s">
        <v>28</v>
      </c>
      <c r="O3669" s="3" t="s">
        <v>27</v>
      </c>
      <c r="P3669" s="3" t="s">
        <v>28</v>
      </c>
      <c r="Q3669" s="3" t="s">
        <v>28</v>
      </c>
      <c r="R3669" s="3" t="s">
        <v>28</v>
      </c>
      <c r="S3669" s="3" t="s">
        <v>28</v>
      </c>
      <c r="T3669" s="3" t="s">
        <v>28</v>
      </c>
    </row>
    <row r="3670" spans="1:20" ht="409.6">
      <c r="A3670" s="3">
        <v>2655684</v>
      </c>
      <c r="B3670" s="3">
        <f>HYPERLINK("https://platform.v2.vetology.net/cases/2655684/screening-report/6?type=pdf&amp;v=v6&amp;scorecard=1&amp;secret_key=BX%25IJ%24%2F65ieZ%29f6", 2655684)</f>
        <v>2655684</v>
      </c>
      <c r="C3670" s="3">
        <f>HYPERLINK("https://platform.v2.vetology.net/report/v/final/"&amp;2655684, 2655684)</f>
        <v>2655684</v>
      </c>
      <c r="D3670" s="3" t="s">
        <v>12091</v>
      </c>
      <c r="E3670" s="3" t="s">
        <v>12092</v>
      </c>
      <c r="F3670" s="3" t="s">
        <v>12093</v>
      </c>
      <c r="G3670" s="3" t="s">
        <v>57</v>
      </c>
      <c r="H3670" s="3" t="s">
        <v>7992</v>
      </c>
      <c r="I3670" s="3" t="s">
        <v>136</v>
      </c>
      <c r="J3670" s="3" t="s">
        <v>424</v>
      </c>
      <c r="K3670" s="3" t="s">
        <v>28</v>
      </c>
      <c r="L3670" s="3" t="s">
        <v>28</v>
      </c>
      <c r="M3670" s="3" t="s">
        <v>28</v>
      </c>
      <c r="N3670" s="3" t="s">
        <v>28</v>
      </c>
      <c r="O3670" s="3" t="s">
        <v>27</v>
      </c>
      <c r="P3670" s="3" t="s">
        <v>28</v>
      </c>
      <c r="Q3670" s="3" t="s">
        <v>28</v>
      </c>
      <c r="R3670" s="3" t="s">
        <v>28</v>
      </c>
      <c r="S3670" s="3" t="s">
        <v>28</v>
      </c>
      <c r="T3670" s="3" t="s">
        <v>27</v>
      </c>
    </row>
    <row r="3671" spans="1:20" ht="409.6">
      <c r="A3671" s="3">
        <v>2655627</v>
      </c>
      <c r="B3671" s="3">
        <f>HYPERLINK("https://platform.v2.vetology.net/cases/2655627/screening-report/6?type=pdf&amp;v=v6&amp;scorecard=1&amp;secret_key=BX%25IJ%24%2F65ieZ%29f6", 2655627)</f>
        <v>2655627</v>
      </c>
      <c r="C3671" s="3">
        <f>HYPERLINK("https://platform.v2.vetology.net/report/v/final/"&amp;2655627, 2655627)</f>
        <v>2655627</v>
      </c>
      <c r="D3671" s="3" t="s">
        <v>12094</v>
      </c>
      <c r="E3671" s="3" t="s">
        <v>12095</v>
      </c>
      <c r="F3671" s="3" t="s">
        <v>12096</v>
      </c>
      <c r="G3671" s="3" t="s">
        <v>57</v>
      </c>
      <c r="H3671" s="3" t="s">
        <v>10411</v>
      </c>
      <c r="I3671" s="3" t="s">
        <v>2625</v>
      </c>
      <c r="J3671" s="3" t="s">
        <v>2626</v>
      </c>
      <c r="K3671" s="3" t="s">
        <v>28</v>
      </c>
      <c r="L3671" s="3" t="s">
        <v>28</v>
      </c>
      <c r="M3671" s="3" t="s">
        <v>28</v>
      </c>
      <c r="N3671" s="3" t="s">
        <v>28</v>
      </c>
      <c r="O3671" s="3" t="s">
        <v>28</v>
      </c>
      <c r="P3671" s="3" t="s">
        <v>28</v>
      </c>
      <c r="Q3671" s="3" t="s">
        <v>28</v>
      </c>
      <c r="R3671" s="3" t="s">
        <v>28</v>
      </c>
      <c r="S3671" s="3" t="s">
        <v>28</v>
      </c>
      <c r="T3671" s="3" t="s">
        <v>27</v>
      </c>
    </row>
    <row r="3672" spans="1:20" ht="290.25">
      <c r="A3672" s="3">
        <v>2655594</v>
      </c>
      <c r="B3672" s="3">
        <f>HYPERLINK("https://platform.v2.vetology.net/cases/2655594/screening-report/6?type=pdf&amp;v=v6&amp;scorecard=1&amp;secret_key=BX%25IJ%24%2F65ieZ%29f6", 2655594)</f>
        <v>2655594</v>
      </c>
      <c r="C3672" s="3">
        <f>HYPERLINK("https://platform.v2.vetology.net/report/v/final/"&amp;2655594, 2655594)</f>
        <v>2655594</v>
      </c>
      <c r="D3672" s="3" t="s">
        <v>12097</v>
      </c>
      <c r="E3672" s="3" t="s">
        <v>12098</v>
      </c>
      <c r="F3672" s="3"/>
      <c r="G3672" s="3" t="s">
        <v>100</v>
      </c>
      <c r="H3672" s="3" t="s">
        <v>12099</v>
      </c>
      <c r="I3672" s="3" t="s">
        <v>1964</v>
      </c>
      <c r="J3672" s="3" t="s">
        <v>1965</v>
      </c>
      <c r="K3672" s="3" t="s">
        <v>28</v>
      </c>
      <c r="L3672" s="3" t="s">
        <v>28</v>
      </c>
      <c r="M3672" s="3" t="s">
        <v>28</v>
      </c>
      <c r="N3672" s="3" t="s">
        <v>27</v>
      </c>
      <c r="O3672" s="3" t="s">
        <v>28</v>
      </c>
      <c r="P3672" s="3" t="s">
        <v>28</v>
      </c>
      <c r="Q3672" s="3" t="s">
        <v>28</v>
      </c>
      <c r="R3672" s="3" t="s">
        <v>28</v>
      </c>
      <c r="S3672" s="3" t="s">
        <v>28</v>
      </c>
      <c r="T3672" s="3" t="s">
        <v>27</v>
      </c>
    </row>
    <row r="3673" spans="1:20" ht="366">
      <c r="A3673" s="3">
        <v>2655593</v>
      </c>
      <c r="B3673" s="3">
        <f>HYPERLINK("https://platform.v2.vetology.net/cases/2655593/screening-report/6?type=pdf&amp;v=v6&amp;scorecard=1&amp;secret_key=BX%25IJ%24%2F65ieZ%29f6", 2655593)</f>
        <v>2655593</v>
      </c>
      <c r="C3673" s="3">
        <f>HYPERLINK("https://platform.v2.vetology.net/report/v/final/"&amp;2655593, 2655593)</f>
        <v>2655593</v>
      </c>
      <c r="D3673" s="3" t="s">
        <v>12100</v>
      </c>
      <c r="E3673" s="3" t="s">
        <v>12101</v>
      </c>
      <c r="F3673" s="3" t="s">
        <v>12102</v>
      </c>
      <c r="G3673" s="3" t="s">
        <v>1772</v>
      </c>
      <c r="H3673" s="3" t="s">
        <v>8878</v>
      </c>
      <c r="I3673" s="3" t="s">
        <v>993</v>
      </c>
      <c r="J3673" s="3" t="s">
        <v>994</v>
      </c>
      <c r="K3673" s="3" t="s">
        <v>28</v>
      </c>
      <c r="L3673" s="3" t="s">
        <v>28</v>
      </c>
      <c r="M3673" s="3" t="s">
        <v>28</v>
      </c>
      <c r="N3673" s="3" t="s">
        <v>28</v>
      </c>
      <c r="O3673" s="3" t="s">
        <v>28</v>
      </c>
      <c r="P3673" s="3" t="s">
        <v>28</v>
      </c>
      <c r="Q3673" s="3" t="s">
        <v>28</v>
      </c>
      <c r="R3673" s="3" t="s">
        <v>28</v>
      </c>
      <c r="S3673" s="3" t="s">
        <v>28</v>
      </c>
      <c r="T3673" s="3" t="s">
        <v>28</v>
      </c>
    </row>
    <row r="3674" spans="1:20" ht="244.5">
      <c r="A3674" s="3">
        <v>2655475</v>
      </c>
      <c r="B3674" s="3">
        <f>HYPERLINK("https://platform.v2.vetology.net/cases/2655475/screening-report/6?type=pdf&amp;v=v6&amp;scorecard=1&amp;secret_key=BX%25IJ%24%2F65ieZ%29f6", 2655475)</f>
        <v>2655475</v>
      </c>
      <c r="C3674" s="3">
        <f>HYPERLINK("https://platform.v2.vetology.net/report/v/final/"&amp;2655475, 2655475)</f>
        <v>2655475</v>
      </c>
      <c r="D3674" s="3" t="s">
        <v>12103</v>
      </c>
      <c r="E3674" s="3" t="s">
        <v>12104</v>
      </c>
      <c r="F3674" s="3" t="s">
        <v>12105</v>
      </c>
      <c r="G3674" s="3" t="s">
        <v>186</v>
      </c>
      <c r="H3674" s="3" t="s">
        <v>31</v>
      </c>
      <c r="I3674" s="3" t="s">
        <v>32</v>
      </c>
      <c r="J3674" s="3" t="s">
        <v>119</v>
      </c>
      <c r="K3674" s="3" t="s">
        <v>28</v>
      </c>
      <c r="L3674" s="3" t="s">
        <v>28</v>
      </c>
      <c r="M3674" s="3" t="s">
        <v>28</v>
      </c>
      <c r="N3674" s="3" t="s">
        <v>28</v>
      </c>
      <c r="O3674" s="3" t="s">
        <v>27</v>
      </c>
      <c r="P3674" s="3" t="s">
        <v>28</v>
      </c>
      <c r="Q3674" s="3" t="s">
        <v>28</v>
      </c>
      <c r="R3674" s="3" t="s">
        <v>28</v>
      </c>
      <c r="S3674" s="3" t="s">
        <v>28</v>
      </c>
      <c r="T3674" s="3" t="s">
        <v>27</v>
      </c>
    </row>
    <row r="3675" spans="1:20" ht="305.25">
      <c r="A3675" s="3">
        <v>2655456</v>
      </c>
      <c r="B3675" s="3">
        <f>HYPERLINK("https://platform.v2.vetology.net/cases/2655456/screening-report/6?type=pdf&amp;v=v6&amp;scorecard=1&amp;secret_key=BX%25IJ%24%2F65ieZ%29f6", 2655456)</f>
        <v>2655456</v>
      </c>
      <c r="C3675" s="3">
        <f>HYPERLINK("https://platform.v2.vetology.net/report/v/final/"&amp;2655456, 2655456)</f>
        <v>2655456</v>
      </c>
      <c r="D3675" s="3" t="s">
        <v>12106</v>
      </c>
      <c r="E3675" s="3" t="s">
        <v>12107</v>
      </c>
      <c r="F3675" s="3" t="s">
        <v>10673</v>
      </c>
      <c r="G3675" s="3" t="s">
        <v>186</v>
      </c>
      <c r="H3675" s="3" t="s">
        <v>4748</v>
      </c>
      <c r="I3675" s="3" t="s">
        <v>2165</v>
      </c>
      <c r="J3675" s="3" t="s">
        <v>207</v>
      </c>
      <c r="K3675" s="3" t="s">
        <v>28</v>
      </c>
      <c r="L3675" s="3" t="s">
        <v>28</v>
      </c>
      <c r="M3675" s="3" t="s">
        <v>28</v>
      </c>
      <c r="N3675" s="3" t="s">
        <v>28</v>
      </c>
      <c r="O3675" s="3" t="s">
        <v>27</v>
      </c>
      <c r="P3675" s="3" t="s">
        <v>28</v>
      </c>
      <c r="Q3675" s="3" t="s">
        <v>28</v>
      </c>
      <c r="R3675" s="3" t="s">
        <v>28</v>
      </c>
      <c r="S3675" s="3" t="s">
        <v>28</v>
      </c>
      <c r="T3675" s="3" t="s">
        <v>28</v>
      </c>
    </row>
    <row r="3676" spans="1:20" ht="366">
      <c r="A3676" s="3">
        <v>2655452</v>
      </c>
      <c r="B3676" s="3">
        <f>HYPERLINK("https://platform.v2.vetology.net/cases/2655452/screening-report/6?type=pdf&amp;v=v6&amp;scorecard=1&amp;secret_key=BX%25IJ%24%2F65ieZ%29f6", 2655452)</f>
        <v>2655452</v>
      </c>
      <c r="C3676" s="3">
        <f>HYPERLINK("https://platform.v2.vetology.net/report/v/final/"&amp;2655452, 2655452)</f>
        <v>2655452</v>
      </c>
      <c r="D3676" s="3" t="s">
        <v>12108</v>
      </c>
      <c r="E3676" s="3" t="s">
        <v>12109</v>
      </c>
      <c r="F3676" s="3" t="s">
        <v>12110</v>
      </c>
      <c r="G3676" s="3" t="s">
        <v>186</v>
      </c>
      <c r="H3676" s="3" t="s">
        <v>9208</v>
      </c>
      <c r="I3676" s="3" t="s">
        <v>305</v>
      </c>
      <c r="J3676" s="3" t="s">
        <v>119</v>
      </c>
      <c r="K3676" s="3" t="s">
        <v>28</v>
      </c>
      <c r="L3676" s="3" t="s">
        <v>28</v>
      </c>
      <c r="M3676" s="3" t="s">
        <v>28</v>
      </c>
      <c r="N3676" s="3" t="s">
        <v>28</v>
      </c>
      <c r="O3676" s="3" t="s">
        <v>28</v>
      </c>
      <c r="P3676" s="3" t="s">
        <v>28</v>
      </c>
      <c r="Q3676" s="3" t="s">
        <v>28</v>
      </c>
      <c r="R3676" s="3" t="s">
        <v>28</v>
      </c>
      <c r="S3676" s="3" t="s">
        <v>28</v>
      </c>
      <c r="T3676" s="3" t="s">
        <v>28</v>
      </c>
    </row>
    <row r="3677" spans="1:20" ht="259.5">
      <c r="A3677" s="3">
        <v>2655437</v>
      </c>
      <c r="B3677" s="3">
        <f>HYPERLINK("https://platform.v2.vetology.net/cases/2655437/screening-report/6?type=pdf&amp;v=v6&amp;scorecard=1&amp;secret_key=BX%25IJ%24%2F65ieZ%29f6", 2655437)</f>
        <v>2655437</v>
      </c>
      <c r="C3677" s="3">
        <f>HYPERLINK("https://platform.v2.vetology.net/report/v/final/"&amp;2655437, 2655437)</f>
        <v>2655437</v>
      </c>
      <c r="D3677" s="3" t="s">
        <v>12111</v>
      </c>
      <c r="E3677" s="3" t="s">
        <v>12112</v>
      </c>
      <c r="F3677" s="3" t="s">
        <v>22</v>
      </c>
      <c r="G3677" s="3" t="s">
        <v>23</v>
      </c>
      <c r="H3677" s="3" t="s">
        <v>2629</v>
      </c>
      <c r="I3677" s="3" t="s">
        <v>32</v>
      </c>
      <c r="J3677" s="3" t="s">
        <v>119</v>
      </c>
      <c r="K3677" s="3" t="s">
        <v>28</v>
      </c>
      <c r="L3677" s="3" t="s">
        <v>28</v>
      </c>
      <c r="M3677" s="3" t="s">
        <v>28</v>
      </c>
      <c r="N3677" s="3" t="s">
        <v>28</v>
      </c>
      <c r="O3677" s="3" t="s">
        <v>27</v>
      </c>
      <c r="P3677" s="3" t="s">
        <v>28</v>
      </c>
      <c r="Q3677" s="3" t="s">
        <v>28</v>
      </c>
      <c r="R3677" s="3" t="s">
        <v>28</v>
      </c>
      <c r="S3677" s="3" t="s">
        <v>28</v>
      </c>
      <c r="T3677" s="3" t="s">
        <v>28</v>
      </c>
    </row>
    <row r="3678" spans="1:20" ht="409.6">
      <c r="A3678" s="3">
        <v>2655429</v>
      </c>
      <c r="B3678" s="3">
        <f>HYPERLINK("https://platform.v2.vetology.net/cases/2655429/screening-report/6?type=pdf&amp;v=v6&amp;scorecard=1&amp;secret_key=BX%25IJ%24%2F65ieZ%29f6", 2655429)</f>
        <v>2655429</v>
      </c>
      <c r="C3678" s="3">
        <f>HYPERLINK("https://platform.v2.vetology.net/report/v/final/"&amp;2655429, 2655429)</f>
        <v>2655429</v>
      </c>
      <c r="D3678" s="3" t="s">
        <v>12113</v>
      </c>
      <c r="E3678" s="3" t="s">
        <v>12114</v>
      </c>
      <c r="F3678" s="3" t="s">
        <v>12115</v>
      </c>
      <c r="G3678" s="3" t="s">
        <v>179</v>
      </c>
      <c r="H3678" s="3" t="s">
        <v>6895</v>
      </c>
      <c r="I3678" s="3" t="s">
        <v>291</v>
      </c>
      <c r="J3678" s="3" t="s">
        <v>225</v>
      </c>
      <c r="K3678" s="3" t="s">
        <v>28</v>
      </c>
      <c r="L3678" s="3" t="s">
        <v>28</v>
      </c>
      <c r="M3678" s="3" t="s">
        <v>28</v>
      </c>
      <c r="N3678" s="3" t="s">
        <v>27</v>
      </c>
      <c r="O3678" s="3" t="s">
        <v>27</v>
      </c>
      <c r="P3678" s="3" t="s">
        <v>28</v>
      </c>
      <c r="Q3678" s="3" t="s">
        <v>28</v>
      </c>
      <c r="R3678" s="3" t="s">
        <v>27</v>
      </c>
      <c r="S3678" s="3" t="s">
        <v>28</v>
      </c>
      <c r="T3678" s="3" t="s">
        <v>27</v>
      </c>
    </row>
    <row r="3679" spans="1:20" ht="396.75">
      <c r="A3679" s="3">
        <v>2655361</v>
      </c>
      <c r="B3679" s="3">
        <f>HYPERLINK("https://platform.v2.vetology.net/cases/2655361/screening-report/6?type=pdf&amp;v=v6&amp;scorecard=1&amp;secret_key=BX%25IJ%24%2F65ieZ%29f6", 2655361)</f>
        <v>2655361</v>
      </c>
      <c r="C3679" s="3">
        <f>HYPERLINK("https://platform.v2.vetology.net/report/v/final/"&amp;2655361, 2655361)</f>
        <v>2655361</v>
      </c>
      <c r="D3679" s="3" t="s">
        <v>12116</v>
      </c>
      <c r="E3679" s="3" t="s">
        <v>12117</v>
      </c>
      <c r="F3679" s="3" t="s">
        <v>9618</v>
      </c>
      <c r="G3679" s="3" t="s">
        <v>57</v>
      </c>
      <c r="H3679" s="3" t="s">
        <v>2643</v>
      </c>
      <c r="I3679" s="3" t="s">
        <v>952</v>
      </c>
      <c r="J3679" s="3" t="s">
        <v>953</v>
      </c>
      <c r="K3679" s="3" t="s">
        <v>28</v>
      </c>
      <c r="L3679" s="3" t="s">
        <v>28</v>
      </c>
      <c r="M3679" s="3" t="s">
        <v>28</v>
      </c>
      <c r="N3679" s="3" t="s">
        <v>28</v>
      </c>
      <c r="O3679" s="3" t="s">
        <v>27</v>
      </c>
      <c r="P3679" s="3" t="s">
        <v>28</v>
      </c>
      <c r="Q3679" s="3" t="s">
        <v>27</v>
      </c>
      <c r="R3679" s="3" t="s">
        <v>28</v>
      </c>
      <c r="S3679" s="3" t="s">
        <v>28</v>
      </c>
      <c r="T3679" s="3" t="s">
        <v>27</v>
      </c>
    </row>
    <row r="3680" spans="1:20" ht="409.6">
      <c r="A3680" s="3">
        <v>2655310</v>
      </c>
      <c r="B3680" s="3">
        <f>HYPERLINK("https://platform.v2.vetology.net/cases/2655310/screening-report/6?type=pdf&amp;v=v6&amp;scorecard=1&amp;secret_key=BX%25IJ%24%2F65ieZ%29f6", 2655310)</f>
        <v>2655310</v>
      </c>
      <c r="C3680" s="3">
        <f>HYPERLINK("https://platform.v2.vetology.net/report/v/final/"&amp;2655310, 2655310)</f>
        <v>2655310</v>
      </c>
      <c r="D3680" s="3" t="s">
        <v>12118</v>
      </c>
      <c r="E3680" s="3" t="s">
        <v>12119</v>
      </c>
      <c r="F3680" s="3" t="s">
        <v>56</v>
      </c>
      <c r="G3680" s="3" t="s">
        <v>57</v>
      </c>
      <c r="H3680" s="3" t="s">
        <v>12120</v>
      </c>
      <c r="I3680" s="3" t="s">
        <v>1404</v>
      </c>
      <c r="J3680" s="3" t="s">
        <v>1405</v>
      </c>
      <c r="K3680" s="3" t="s">
        <v>27</v>
      </c>
      <c r="L3680" s="3" t="s">
        <v>27</v>
      </c>
      <c r="M3680" s="3" t="s">
        <v>27</v>
      </c>
      <c r="N3680" s="3" t="s">
        <v>28</v>
      </c>
      <c r="O3680" s="3" t="s">
        <v>27</v>
      </c>
      <c r="P3680" s="3" t="s">
        <v>28</v>
      </c>
      <c r="Q3680" s="3" t="s">
        <v>27</v>
      </c>
      <c r="R3680" s="3" t="s">
        <v>28</v>
      </c>
      <c r="S3680" s="3" t="s">
        <v>28</v>
      </c>
      <c r="T3680" s="3" t="s">
        <v>28</v>
      </c>
    </row>
    <row r="3681" spans="1:20" ht="409.6">
      <c r="A3681" s="3">
        <v>2655203</v>
      </c>
      <c r="B3681" s="3">
        <f>HYPERLINK("https://platform.v2.vetology.net/cases/2655203/screening-report/6?type=pdf&amp;v=v6&amp;scorecard=1&amp;secret_key=BX%25IJ%24%2F65ieZ%29f6", 2655203)</f>
        <v>2655203</v>
      </c>
      <c r="C3681" s="3">
        <f>HYPERLINK("https://platform.v2.vetology.net/report/v/final/"&amp;2655203, 2655203)</f>
        <v>2655203</v>
      </c>
      <c r="D3681" s="3" t="s">
        <v>12121</v>
      </c>
      <c r="E3681" s="3" t="s">
        <v>12122</v>
      </c>
      <c r="F3681" s="3" t="s">
        <v>12123</v>
      </c>
      <c r="G3681" s="3" t="s">
        <v>566</v>
      </c>
      <c r="H3681" s="3" t="s">
        <v>12124</v>
      </c>
      <c r="I3681" s="3" t="s">
        <v>678</v>
      </c>
      <c r="J3681" s="3" t="s">
        <v>9492</v>
      </c>
      <c r="K3681" s="3" t="s">
        <v>28</v>
      </c>
      <c r="L3681" s="3" t="s">
        <v>27</v>
      </c>
      <c r="M3681" s="3" t="s">
        <v>28</v>
      </c>
      <c r="N3681" s="3" t="s">
        <v>27</v>
      </c>
      <c r="O3681" s="3" t="s">
        <v>27</v>
      </c>
      <c r="P3681" s="3" t="s">
        <v>27</v>
      </c>
      <c r="Q3681" s="3" t="s">
        <v>28</v>
      </c>
      <c r="R3681" s="3" t="s">
        <v>27</v>
      </c>
      <c r="S3681" s="3" t="s">
        <v>27</v>
      </c>
      <c r="T3681" s="3" t="s">
        <v>27</v>
      </c>
    </row>
    <row r="3682" spans="1:20" ht="409.6">
      <c r="A3682" s="3">
        <v>2655199</v>
      </c>
      <c r="B3682" s="3">
        <f>HYPERLINK("https://platform.v2.vetology.net/cases/2655199/screening-report/6?type=pdf&amp;v=v6&amp;scorecard=1&amp;secret_key=BX%25IJ%24%2F65ieZ%29f6", 2655199)</f>
        <v>2655199</v>
      </c>
      <c r="C3682" s="3">
        <f>HYPERLINK("https://platform.v2.vetology.net/report/v/final/"&amp;2655199, 2655199)</f>
        <v>2655199</v>
      </c>
      <c r="D3682" s="3" t="s">
        <v>12125</v>
      </c>
      <c r="E3682" s="3" t="s">
        <v>12126</v>
      </c>
      <c r="F3682" s="3" t="s">
        <v>12127</v>
      </c>
      <c r="G3682" s="3" t="s">
        <v>179</v>
      </c>
      <c r="H3682" s="3" t="s">
        <v>12128</v>
      </c>
      <c r="I3682" s="3" t="s">
        <v>124</v>
      </c>
      <c r="J3682" s="3" t="s">
        <v>125</v>
      </c>
      <c r="K3682" s="3" t="s">
        <v>27</v>
      </c>
      <c r="L3682" s="3" t="s">
        <v>28</v>
      </c>
      <c r="M3682" s="3" t="s">
        <v>27</v>
      </c>
      <c r="N3682" s="3" t="s">
        <v>28</v>
      </c>
      <c r="O3682" s="3" t="s">
        <v>27</v>
      </c>
      <c r="P3682" s="3" t="s">
        <v>28</v>
      </c>
      <c r="Q3682" s="3" t="s">
        <v>27</v>
      </c>
      <c r="R3682" s="3" t="s">
        <v>28</v>
      </c>
      <c r="S3682" s="3" t="s">
        <v>28</v>
      </c>
      <c r="T3682" s="3" t="s">
        <v>28</v>
      </c>
    </row>
    <row r="3683" spans="1:20" ht="366">
      <c r="A3683" s="3">
        <v>2655181</v>
      </c>
      <c r="B3683" s="3">
        <f>HYPERLINK("https://platform.v2.vetology.net/cases/2655181/screening-report/6?type=pdf&amp;v=v6&amp;scorecard=1&amp;secret_key=BX%25IJ%24%2F65ieZ%29f6", 2655181)</f>
        <v>2655181</v>
      </c>
      <c r="C3683" s="3">
        <f>HYPERLINK("https://platform.v2.vetology.net/report/v/final/"&amp;2655181, 2655181)</f>
        <v>2655181</v>
      </c>
      <c r="D3683" s="3" t="s">
        <v>12129</v>
      </c>
      <c r="E3683" s="3" t="s">
        <v>12130</v>
      </c>
      <c r="F3683" s="3" t="s">
        <v>10532</v>
      </c>
      <c r="G3683" s="3" t="s">
        <v>186</v>
      </c>
      <c r="H3683" s="3" t="s">
        <v>12131</v>
      </c>
      <c r="I3683" s="3" t="s">
        <v>2432</v>
      </c>
      <c r="J3683" s="3" t="s">
        <v>2433</v>
      </c>
      <c r="K3683" s="3" t="s">
        <v>27</v>
      </c>
      <c r="L3683" s="3" t="s">
        <v>28</v>
      </c>
      <c r="M3683" s="3" t="s">
        <v>28</v>
      </c>
      <c r="N3683" s="3" t="s">
        <v>27</v>
      </c>
      <c r="O3683" s="3" t="s">
        <v>28</v>
      </c>
      <c r="P3683" s="3" t="s">
        <v>28</v>
      </c>
      <c r="Q3683" s="3" t="s">
        <v>27</v>
      </c>
      <c r="R3683" s="3" t="s">
        <v>28</v>
      </c>
      <c r="S3683" s="3" t="s">
        <v>27</v>
      </c>
      <c r="T3683" s="3" t="s">
        <v>27</v>
      </c>
    </row>
    <row r="3684" spans="1:20" ht="396.75">
      <c r="A3684" s="3">
        <v>2655137</v>
      </c>
      <c r="B3684" s="3">
        <f>HYPERLINK("https://platform.v2.vetology.net/cases/2655137/screening-report/6?type=pdf&amp;v=v6&amp;scorecard=1&amp;secret_key=BX%25IJ%24%2F65ieZ%29f6", 2655137)</f>
        <v>2655137</v>
      </c>
      <c r="C3684" s="3">
        <f>HYPERLINK("https://platform.v2.vetology.net/report/v/final/"&amp;2655137, 2655137)</f>
        <v>2655137</v>
      </c>
      <c r="D3684" s="3" t="s">
        <v>12132</v>
      </c>
      <c r="E3684" s="3" t="s">
        <v>12133</v>
      </c>
      <c r="F3684" s="3" t="s">
        <v>12134</v>
      </c>
      <c r="G3684" s="3" t="s">
        <v>57</v>
      </c>
      <c r="H3684" s="3" t="s">
        <v>2833</v>
      </c>
      <c r="I3684" s="3" t="s">
        <v>856</v>
      </c>
      <c r="J3684" s="3" t="s">
        <v>857</v>
      </c>
      <c r="K3684" s="3" t="s">
        <v>27</v>
      </c>
      <c r="L3684" s="3" t="s">
        <v>28</v>
      </c>
      <c r="M3684" s="3" t="s">
        <v>28</v>
      </c>
      <c r="N3684" s="3" t="s">
        <v>28</v>
      </c>
      <c r="O3684" s="3" t="s">
        <v>27</v>
      </c>
      <c r="P3684" s="3" t="s">
        <v>28</v>
      </c>
      <c r="Q3684" s="3" t="s">
        <v>28</v>
      </c>
      <c r="R3684" s="3" t="s">
        <v>28</v>
      </c>
      <c r="S3684" s="3" t="s">
        <v>28</v>
      </c>
      <c r="T3684" s="3" t="s">
        <v>28</v>
      </c>
    </row>
    <row r="3685" spans="1:20" ht="409.6">
      <c r="A3685" s="3">
        <v>2655053</v>
      </c>
      <c r="B3685" s="3">
        <f>HYPERLINK("https://platform.v2.vetology.net/cases/2655053/screening-report/6?type=pdf&amp;v=v6&amp;scorecard=1&amp;secret_key=BX%25IJ%24%2F65ieZ%29f6", 2655053)</f>
        <v>2655053</v>
      </c>
      <c r="C3685" s="3">
        <f>HYPERLINK("https://platform.v2.vetology.net/report/v/final/"&amp;2655053, 2655053)</f>
        <v>2655053</v>
      </c>
      <c r="D3685" s="3" t="s">
        <v>12135</v>
      </c>
      <c r="E3685" s="3" t="s">
        <v>12136</v>
      </c>
      <c r="F3685" s="3" t="s">
        <v>12137</v>
      </c>
      <c r="G3685" s="3" t="s">
        <v>57</v>
      </c>
      <c r="H3685" s="3" t="s">
        <v>1508</v>
      </c>
      <c r="I3685" s="3" t="s">
        <v>351</v>
      </c>
      <c r="J3685" s="3" t="s">
        <v>352</v>
      </c>
      <c r="K3685" s="3" t="s">
        <v>28</v>
      </c>
      <c r="L3685" s="3" t="s">
        <v>28</v>
      </c>
      <c r="M3685" s="3" t="s">
        <v>28</v>
      </c>
      <c r="N3685" s="3" t="s">
        <v>28</v>
      </c>
      <c r="O3685" s="3" t="s">
        <v>28</v>
      </c>
      <c r="P3685" s="3" t="s">
        <v>28</v>
      </c>
      <c r="Q3685" s="3" t="s">
        <v>28</v>
      </c>
      <c r="R3685" s="3" t="s">
        <v>28</v>
      </c>
      <c r="S3685" s="3" t="s">
        <v>28</v>
      </c>
      <c r="T3685" s="3" t="s">
        <v>27</v>
      </c>
    </row>
    <row r="3686" spans="1:20" ht="381.75">
      <c r="A3686" s="3">
        <v>2655049</v>
      </c>
      <c r="B3686" s="3">
        <f>HYPERLINK("https://platform.v2.vetology.net/cases/2655049/screening-report/6?type=pdf&amp;v=v6&amp;scorecard=1&amp;secret_key=BX%25IJ%24%2F65ieZ%29f6", 2655049)</f>
        <v>2655049</v>
      </c>
      <c r="C3686" s="3">
        <f>HYPERLINK("https://platform.v2.vetology.net/report/v/final/"&amp;2655049, 2655049)</f>
        <v>2655049</v>
      </c>
      <c r="D3686" s="3" t="s">
        <v>12138</v>
      </c>
      <c r="E3686" s="3" t="s">
        <v>12139</v>
      </c>
      <c r="F3686" s="3" t="s">
        <v>956</v>
      </c>
      <c r="G3686" s="3" t="s">
        <v>100</v>
      </c>
      <c r="H3686" s="3" t="s">
        <v>855</v>
      </c>
      <c r="I3686" s="3" t="s">
        <v>856</v>
      </c>
      <c r="J3686" s="3" t="s">
        <v>857</v>
      </c>
      <c r="K3686" s="3" t="s">
        <v>28</v>
      </c>
      <c r="L3686" s="3" t="s">
        <v>28</v>
      </c>
      <c r="M3686" s="3" t="s">
        <v>28</v>
      </c>
      <c r="N3686" s="3" t="s">
        <v>28</v>
      </c>
      <c r="O3686" s="3" t="s">
        <v>27</v>
      </c>
      <c r="P3686" s="3" t="s">
        <v>28</v>
      </c>
      <c r="Q3686" s="3" t="s">
        <v>28</v>
      </c>
      <c r="R3686" s="3" t="s">
        <v>28</v>
      </c>
      <c r="S3686" s="3" t="s">
        <v>28</v>
      </c>
      <c r="T3686" s="3" t="s">
        <v>28</v>
      </c>
    </row>
    <row r="3687" spans="1:20" ht="409.6">
      <c r="A3687" s="3">
        <v>2655039</v>
      </c>
      <c r="B3687" s="3">
        <f>HYPERLINK("https://platform.v2.vetology.net/cases/2655039/screening-report/6?type=pdf&amp;v=v6&amp;scorecard=1&amp;secret_key=BX%25IJ%24%2F65ieZ%29f6", 2655039)</f>
        <v>2655039</v>
      </c>
      <c r="C3687" s="3">
        <f>HYPERLINK("https://platform.v2.vetology.net/report/v/final/"&amp;2655039, 2655039)</f>
        <v>2655039</v>
      </c>
      <c r="D3687" s="3" t="s">
        <v>12140</v>
      </c>
      <c r="E3687" s="3" t="s">
        <v>12141</v>
      </c>
      <c r="F3687" s="3" t="s">
        <v>12142</v>
      </c>
      <c r="G3687" s="3" t="s">
        <v>179</v>
      </c>
      <c r="H3687" s="3" t="s">
        <v>1139</v>
      </c>
      <c r="I3687" s="3" t="s">
        <v>72</v>
      </c>
      <c r="J3687" s="3" t="s">
        <v>207</v>
      </c>
      <c r="K3687" s="3" t="s">
        <v>27</v>
      </c>
      <c r="L3687" s="3" t="s">
        <v>27</v>
      </c>
      <c r="M3687" s="3" t="s">
        <v>27</v>
      </c>
      <c r="N3687" s="3" t="s">
        <v>28</v>
      </c>
      <c r="O3687" s="3" t="s">
        <v>27</v>
      </c>
      <c r="P3687" s="3" t="s">
        <v>28</v>
      </c>
      <c r="Q3687" s="3" t="s">
        <v>28</v>
      </c>
      <c r="R3687" s="3" t="s">
        <v>28</v>
      </c>
      <c r="S3687" s="3" t="s">
        <v>27</v>
      </c>
      <c r="T3687" s="3" t="s">
        <v>28</v>
      </c>
    </row>
    <row r="3688" spans="1:20" ht="366">
      <c r="A3688" s="3">
        <v>2655008</v>
      </c>
      <c r="B3688" s="3">
        <f>HYPERLINK("https://platform.v2.vetology.net/cases/2655008/screening-report/6?type=pdf&amp;v=v6&amp;scorecard=1&amp;secret_key=BX%25IJ%24%2F65ieZ%29f6", 2655008)</f>
        <v>2655008</v>
      </c>
      <c r="C3688" s="3">
        <f>HYPERLINK("https://platform.v2.vetology.net/report/v/final/"&amp;2655008, 2655008)</f>
        <v>2655008</v>
      </c>
      <c r="D3688" s="3" t="s">
        <v>12143</v>
      </c>
      <c r="E3688" s="3" t="s">
        <v>12144</v>
      </c>
      <c r="F3688" s="3" t="s">
        <v>12145</v>
      </c>
      <c r="G3688" s="3" t="s">
        <v>186</v>
      </c>
      <c r="H3688" s="3" t="s">
        <v>12146</v>
      </c>
      <c r="I3688" s="3"/>
      <c r="J3688" s="3" t="s">
        <v>207</v>
      </c>
      <c r="K3688" s="3" t="s">
        <v>28</v>
      </c>
      <c r="L3688" s="3" t="s">
        <v>28</v>
      </c>
      <c r="M3688" s="3" t="s">
        <v>28</v>
      </c>
      <c r="N3688" s="3" t="s">
        <v>28</v>
      </c>
      <c r="O3688" s="3" t="s">
        <v>27</v>
      </c>
      <c r="P3688" s="3" t="s">
        <v>28</v>
      </c>
      <c r="Q3688" s="3" t="s">
        <v>28</v>
      </c>
      <c r="R3688" s="3" t="s">
        <v>28</v>
      </c>
      <c r="S3688" s="3" t="s">
        <v>28</v>
      </c>
      <c r="T3688" s="3" t="s">
        <v>27</v>
      </c>
    </row>
    <row r="3689" spans="1:20" ht="259.5">
      <c r="A3689" s="3">
        <v>2654997</v>
      </c>
      <c r="B3689" s="3">
        <f>HYPERLINK("https://platform.v2.vetology.net/cases/2654997/screening-report/6?type=pdf&amp;v=v6&amp;scorecard=1&amp;secret_key=BX%25IJ%24%2F65ieZ%29f6", 2654997)</f>
        <v>2654997</v>
      </c>
      <c r="C3689" s="3">
        <f>HYPERLINK("https://platform.v2.vetology.net/report/v/final/"&amp;2654997, 2654997)</f>
        <v>2654997</v>
      </c>
      <c r="D3689" s="3" t="s">
        <v>12147</v>
      </c>
      <c r="E3689" s="3" t="s">
        <v>12148</v>
      </c>
      <c r="F3689" s="3" t="s">
        <v>12149</v>
      </c>
      <c r="G3689" s="3" t="s">
        <v>179</v>
      </c>
      <c r="H3689" s="3" t="s">
        <v>12150</v>
      </c>
      <c r="I3689" s="3" t="s">
        <v>2875</v>
      </c>
      <c r="J3689" s="3" t="s">
        <v>207</v>
      </c>
      <c r="K3689" s="3" t="s">
        <v>27</v>
      </c>
      <c r="L3689" s="3" t="s">
        <v>28</v>
      </c>
      <c r="M3689" s="3" t="s">
        <v>28</v>
      </c>
      <c r="N3689" s="3" t="s">
        <v>28</v>
      </c>
      <c r="O3689" s="3" t="s">
        <v>27</v>
      </c>
      <c r="P3689" s="3" t="s">
        <v>27</v>
      </c>
      <c r="Q3689" s="3" t="s">
        <v>28</v>
      </c>
      <c r="R3689" s="3" t="s">
        <v>28</v>
      </c>
      <c r="S3689" s="3" t="s">
        <v>28</v>
      </c>
      <c r="T3689" s="3" t="s">
        <v>28</v>
      </c>
    </row>
    <row r="3690" spans="1:20" ht="381.75">
      <c r="A3690" s="3">
        <v>2654975</v>
      </c>
      <c r="B3690" s="3">
        <f>HYPERLINK("https://platform.v2.vetology.net/cases/2654975/screening-report/6?type=pdf&amp;v=v6&amp;scorecard=1&amp;secret_key=BX%25IJ%24%2F65ieZ%29f6", 2654975)</f>
        <v>2654975</v>
      </c>
      <c r="C3690" s="3">
        <f>HYPERLINK("https://platform.v2.vetology.net/report/v/final/"&amp;2654975, 2654975)</f>
        <v>2654975</v>
      </c>
      <c r="D3690" s="3" t="s">
        <v>12151</v>
      </c>
      <c r="E3690" s="3" t="s">
        <v>12152</v>
      </c>
      <c r="F3690" s="3" t="s">
        <v>12153</v>
      </c>
      <c r="G3690" s="3" t="s">
        <v>186</v>
      </c>
      <c r="H3690" s="3" t="s">
        <v>1905</v>
      </c>
      <c r="I3690" s="3" t="s">
        <v>37</v>
      </c>
      <c r="J3690" s="3" t="s">
        <v>38</v>
      </c>
      <c r="K3690" s="3" t="s">
        <v>28</v>
      </c>
      <c r="L3690" s="3" t="s">
        <v>28</v>
      </c>
      <c r="M3690" s="3" t="s">
        <v>28</v>
      </c>
      <c r="N3690" s="3" t="s">
        <v>28</v>
      </c>
      <c r="O3690" s="3" t="s">
        <v>27</v>
      </c>
      <c r="P3690" s="3" t="s">
        <v>28</v>
      </c>
      <c r="Q3690" s="3" t="s">
        <v>28</v>
      </c>
      <c r="R3690" s="3" t="s">
        <v>28</v>
      </c>
      <c r="S3690" s="3" t="s">
        <v>28</v>
      </c>
      <c r="T3690" s="3" t="s">
        <v>28</v>
      </c>
    </row>
    <row r="3691" spans="1:20" ht="409.6">
      <c r="A3691" s="3">
        <v>2654943</v>
      </c>
      <c r="B3691" s="3">
        <f>HYPERLINK("https://platform.v2.vetology.net/cases/2654943/screening-report/6?type=pdf&amp;v=v6&amp;scorecard=1&amp;secret_key=BX%25IJ%24%2F65ieZ%29f6", 2654943)</f>
        <v>2654943</v>
      </c>
      <c r="C3691" s="3">
        <f>HYPERLINK("https://platform.v2.vetology.net/report/v/final/"&amp;2654943, 2654943)</f>
        <v>2654943</v>
      </c>
      <c r="D3691" s="3" t="s">
        <v>12154</v>
      </c>
      <c r="E3691" s="3" t="s">
        <v>12155</v>
      </c>
      <c r="F3691" s="3" t="s">
        <v>22</v>
      </c>
      <c r="G3691" s="3" t="s">
        <v>23</v>
      </c>
      <c r="H3691" s="3" t="s">
        <v>2667</v>
      </c>
      <c r="I3691" s="3" t="s">
        <v>2668</v>
      </c>
      <c r="J3691" s="3" t="s">
        <v>2669</v>
      </c>
      <c r="K3691" s="3" t="s">
        <v>27</v>
      </c>
      <c r="L3691" s="3" t="s">
        <v>27</v>
      </c>
      <c r="M3691" s="3" t="s">
        <v>28</v>
      </c>
      <c r="N3691" s="3" t="s">
        <v>27</v>
      </c>
      <c r="O3691" s="3" t="s">
        <v>27</v>
      </c>
      <c r="P3691" s="3" t="s">
        <v>28</v>
      </c>
      <c r="Q3691" s="3" t="s">
        <v>27</v>
      </c>
      <c r="R3691" s="3" t="s">
        <v>28</v>
      </c>
      <c r="S3691" s="3" t="s">
        <v>27</v>
      </c>
      <c r="T3691" s="3" t="s">
        <v>27</v>
      </c>
    </row>
    <row r="3692" spans="1:20" ht="229.5">
      <c r="A3692" s="3">
        <v>2654940</v>
      </c>
      <c r="B3692" s="3">
        <f>HYPERLINK("https://platform.v2.vetology.net/cases/2654940/screening-report/6?type=pdf&amp;v=v6&amp;scorecard=1&amp;secret_key=BX%25IJ%24%2F65ieZ%29f6", 2654940)</f>
        <v>2654940</v>
      </c>
      <c r="C3692" s="3">
        <f>HYPERLINK("https://platform.v2.vetology.net/report/v/final/"&amp;2654940, 2654940)</f>
        <v>2654940</v>
      </c>
      <c r="D3692" s="3" t="s">
        <v>12156</v>
      </c>
      <c r="E3692" s="3" t="s">
        <v>12157</v>
      </c>
      <c r="F3692" s="3" t="s">
        <v>12158</v>
      </c>
      <c r="G3692" s="3" t="s">
        <v>186</v>
      </c>
      <c r="H3692" s="3" t="s">
        <v>31</v>
      </c>
      <c r="I3692" s="3" t="s">
        <v>32</v>
      </c>
      <c r="J3692" s="3" t="s">
        <v>119</v>
      </c>
      <c r="K3692" s="3" t="s">
        <v>28</v>
      </c>
      <c r="L3692" s="3" t="s">
        <v>28</v>
      </c>
      <c r="M3692" s="3" t="s">
        <v>28</v>
      </c>
      <c r="N3692" s="3" t="s">
        <v>28</v>
      </c>
      <c r="O3692" s="3" t="s">
        <v>28</v>
      </c>
      <c r="P3692" s="3" t="s">
        <v>28</v>
      </c>
      <c r="Q3692" s="3" t="s">
        <v>28</v>
      </c>
      <c r="R3692" s="3" t="s">
        <v>28</v>
      </c>
      <c r="S3692" s="3" t="s">
        <v>28</v>
      </c>
      <c r="T3692" s="3" t="s">
        <v>28</v>
      </c>
    </row>
    <row r="3693" spans="1:20" ht="336">
      <c r="A3693" s="3">
        <v>2654863</v>
      </c>
      <c r="B3693" s="3">
        <f>HYPERLINK("https://platform.v2.vetology.net/cases/2654863/screening-report/6?type=pdf&amp;v=v6&amp;scorecard=1&amp;secret_key=BX%25IJ%24%2F65ieZ%29f6", 2654863)</f>
        <v>2654863</v>
      </c>
      <c r="C3693" s="3">
        <f>HYPERLINK("https://platform.v2.vetology.net/report/v/final/"&amp;2654863, 2654863)</f>
        <v>2654863</v>
      </c>
      <c r="D3693" s="3" t="s">
        <v>12159</v>
      </c>
      <c r="E3693" s="3" t="s">
        <v>12160</v>
      </c>
      <c r="F3693" s="3" t="s">
        <v>12161</v>
      </c>
      <c r="G3693" s="3" t="s">
        <v>179</v>
      </c>
      <c r="H3693" s="3" t="s">
        <v>12162</v>
      </c>
      <c r="I3693" s="3" t="s">
        <v>66</v>
      </c>
      <c r="J3693" s="3" t="s">
        <v>67</v>
      </c>
      <c r="K3693" s="3" t="s">
        <v>27</v>
      </c>
      <c r="L3693" s="3" t="s">
        <v>28</v>
      </c>
      <c r="M3693" s="3" t="s">
        <v>28</v>
      </c>
      <c r="N3693" s="3" t="s">
        <v>28</v>
      </c>
      <c r="O3693" s="3" t="s">
        <v>28</v>
      </c>
      <c r="P3693" s="3" t="s">
        <v>28</v>
      </c>
      <c r="Q3693" s="3" t="s">
        <v>28</v>
      </c>
      <c r="R3693" s="3" t="s">
        <v>28</v>
      </c>
      <c r="S3693" s="3" t="s">
        <v>28</v>
      </c>
      <c r="T3693" s="3" t="s">
        <v>27</v>
      </c>
    </row>
    <row r="3694" spans="1:20" ht="409.6">
      <c r="A3694" s="3">
        <v>2654834</v>
      </c>
      <c r="B3694" s="3">
        <f>HYPERLINK("https://platform.v2.vetology.net/cases/2654834/screening-report/6?type=pdf&amp;v=v6&amp;scorecard=1&amp;secret_key=BX%25IJ%24%2F65ieZ%29f6", 2654834)</f>
        <v>2654834</v>
      </c>
      <c r="C3694" s="3">
        <f>HYPERLINK("https://platform.v2.vetology.net/report/v/final/"&amp;2654834, 2654834)</f>
        <v>2654834</v>
      </c>
      <c r="D3694" s="3" t="s">
        <v>12163</v>
      </c>
      <c r="E3694" s="3" t="s">
        <v>12164</v>
      </c>
      <c r="F3694" s="3" t="s">
        <v>12165</v>
      </c>
      <c r="G3694" s="3" t="s">
        <v>736</v>
      </c>
      <c r="H3694" s="3" t="s">
        <v>4184</v>
      </c>
      <c r="I3694" s="3" t="s">
        <v>136</v>
      </c>
      <c r="J3694" s="3" t="s">
        <v>137</v>
      </c>
      <c r="K3694" s="3" t="s">
        <v>28</v>
      </c>
      <c r="L3694" s="3" t="s">
        <v>27</v>
      </c>
      <c r="M3694" s="3" t="s">
        <v>28</v>
      </c>
      <c r="N3694" s="3" t="s">
        <v>27</v>
      </c>
      <c r="O3694" s="3" t="s">
        <v>27</v>
      </c>
      <c r="P3694" s="3" t="s">
        <v>28</v>
      </c>
      <c r="Q3694" s="3" t="s">
        <v>27</v>
      </c>
      <c r="R3694" s="3" t="s">
        <v>28</v>
      </c>
      <c r="S3694" s="3" t="s">
        <v>28</v>
      </c>
      <c r="T3694" s="3" t="s">
        <v>27</v>
      </c>
    </row>
    <row r="3695" spans="1:20" ht="305.25">
      <c r="A3695" s="3">
        <v>2654828</v>
      </c>
      <c r="B3695" s="3">
        <f>HYPERLINK("https://platform.v2.vetology.net/cases/2654828/screening-report/6?type=pdf&amp;v=v6&amp;scorecard=1&amp;secret_key=BX%25IJ%24%2F65ieZ%29f6", 2654828)</f>
        <v>2654828</v>
      </c>
      <c r="C3695" s="3">
        <f>HYPERLINK("https://platform.v2.vetology.net/report/v/final/"&amp;2654828, 2654828)</f>
        <v>2654828</v>
      </c>
      <c r="D3695" s="3" t="s">
        <v>12166</v>
      </c>
      <c r="E3695" s="3" t="s">
        <v>12167</v>
      </c>
      <c r="F3695" s="3" t="s">
        <v>12168</v>
      </c>
      <c r="G3695" s="3" t="s">
        <v>179</v>
      </c>
      <c r="H3695" s="3" t="s">
        <v>31</v>
      </c>
      <c r="I3695" s="3" t="s">
        <v>32</v>
      </c>
      <c r="J3695" s="3" t="s">
        <v>33</v>
      </c>
      <c r="K3695" s="3" t="s">
        <v>28</v>
      </c>
      <c r="L3695" s="3" t="s">
        <v>28</v>
      </c>
      <c r="M3695" s="3" t="s">
        <v>28</v>
      </c>
      <c r="N3695" s="3" t="s">
        <v>28</v>
      </c>
      <c r="O3695" s="3" t="s">
        <v>28</v>
      </c>
      <c r="P3695" s="3" t="s">
        <v>28</v>
      </c>
      <c r="Q3695" s="3" t="s">
        <v>28</v>
      </c>
      <c r="R3695" s="3" t="s">
        <v>28</v>
      </c>
      <c r="S3695" s="3" t="s">
        <v>28</v>
      </c>
      <c r="T3695" s="3" t="s">
        <v>28</v>
      </c>
    </row>
    <row r="3696" spans="1:20" ht="409.6">
      <c r="A3696" s="3">
        <v>2654797</v>
      </c>
      <c r="B3696" s="3">
        <f>HYPERLINK("https://platform.v2.vetology.net/cases/2654797/screening-report/6?type=pdf&amp;v=v6&amp;scorecard=1&amp;secret_key=BX%25IJ%24%2F65ieZ%29f6", 2654797)</f>
        <v>2654797</v>
      </c>
      <c r="C3696" s="3">
        <f>HYPERLINK("https://platform.v2.vetology.net/report/v/final/"&amp;2654797, 2654797)</f>
        <v>2654797</v>
      </c>
      <c r="D3696" s="3" t="s">
        <v>12169</v>
      </c>
      <c r="E3696" s="3" t="s">
        <v>12170</v>
      </c>
      <c r="F3696" s="3" t="s">
        <v>12171</v>
      </c>
      <c r="G3696" s="3" t="s">
        <v>57</v>
      </c>
      <c r="H3696" s="3" t="s">
        <v>12172</v>
      </c>
      <c r="I3696" s="3" t="s">
        <v>291</v>
      </c>
      <c r="J3696" s="3" t="s">
        <v>363</v>
      </c>
      <c r="K3696" s="3" t="s">
        <v>28</v>
      </c>
      <c r="L3696" s="3" t="s">
        <v>27</v>
      </c>
      <c r="M3696" s="3" t="s">
        <v>28</v>
      </c>
      <c r="N3696" s="3" t="s">
        <v>28</v>
      </c>
      <c r="O3696" s="3" t="s">
        <v>27</v>
      </c>
      <c r="P3696" s="3" t="s">
        <v>28</v>
      </c>
      <c r="Q3696" s="3" t="s">
        <v>28</v>
      </c>
      <c r="R3696" s="3" t="s">
        <v>27</v>
      </c>
      <c r="S3696" s="3" t="s">
        <v>28</v>
      </c>
      <c r="T3696" s="3" t="s">
        <v>27</v>
      </c>
    </row>
    <row r="3697" spans="1:20" ht="351">
      <c r="A3697" s="3">
        <v>2654774</v>
      </c>
      <c r="B3697" s="3">
        <f>HYPERLINK("https://platform.v2.vetology.net/cases/2654774/screening-report/6?type=pdf&amp;v=v6&amp;scorecard=1&amp;secret_key=BX%25IJ%24%2F65ieZ%29f6", 2654774)</f>
        <v>2654774</v>
      </c>
      <c r="C3697" s="3">
        <f>HYPERLINK("https://platform.v2.vetology.net/report/v/final/"&amp;2654774, 2654774)</f>
        <v>2654774</v>
      </c>
      <c r="D3697" s="3" t="s">
        <v>12173</v>
      </c>
      <c r="E3697" s="3" t="s">
        <v>12174</v>
      </c>
      <c r="F3697" s="3"/>
      <c r="G3697" s="3" t="s">
        <v>100</v>
      </c>
      <c r="H3697" s="3" t="s">
        <v>1471</v>
      </c>
      <c r="I3697" s="3" t="s">
        <v>1472</v>
      </c>
      <c r="J3697" s="3" t="s">
        <v>1374</v>
      </c>
      <c r="K3697" s="3" t="s">
        <v>27</v>
      </c>
      <c r="L3697" s="3" t="s">
        <v>28</v>
      </c>
      <c r="M3697" s="3" t="s">
        <v>27</v>
      </c>
      <c r="N3697" s="3" t="s">
        <v>28</v>
      </c>
      <c r="O3697" s="3" t="s">
        <v>28</v>
      </c>
      <c r="P3697" s="3" t="s">
        <v>28</v>
      </c>
      <c r="Q3697" s="3" t="s">
        <v>28</v>
      </c>
      <c r="R3697" s="3" t="s">
        <v>28</v>
      </c>
      <c r="S3697" s="3" t="s">
        <v>28</v>
      </c>
      <c r="T3697" s="3" t="s">
        <v>28</v>
      </c>
    </row>
    <row r="3698" spans="1:20" ht="336">
      <c r="A3698" s="3">
        <v>2654760</v>
      </c>
      <c r="B3698" s="3">
        <f>HYPERLINK("https://platform.v2.vetology.net/cases/2654760/screening-report/6?type=pdf&amp;v=v6&amp;scorecard=1&amp;secret_key=BX%25IJ%24%2F65ieZ%29f6", 2654760)</f>
        <v>2654760</v>
      </c>
      <c r="C3698" s="3">
        <f>HYPERLINK("https://platform.v2.vetology.net/report/v/final/"&amp;2654760, 2654760)</f>
        <v>2654760</v>
      </c>
      <c r="D3698" s="3" t="s">
        <v>12175</v>
      </c>
      <c r="E3698" s="3" t="s">
        <v>12176</v>
      </c>
      <c r="F3698" s="3" t="s">
        <v>12177</v>
      </c>
      <c r="G3698" s="3" t="s">
        <v>736</v>
      </c>
      <c r="H3698" s="3" t="s">
        <v>6763</v>
      </c>
      <c r="I3698" s="3" t="s">
        <v>1004</v>
      </c>
      <c r="J3698" s="3" t="s">
        <v>297</v>
      </c>
      <c r="K3698" s="3" t="s">
        <v>28</v>
      </c>
      <c r="L3698" s="3" t="s">
        <v>28</v>
      </c>
      <c r="M3698" s="3" t="s">
        <v>28</v>
      </c>
      <c r="N3698" s="3" t="s">
        <v>28</v>
      </c>
      <c r="O3698" s="3" t="s">
        <v>28</v>
      </c>
      <c r="P3698" s="3" t="s">
        <v>28</v>
      </c>
      <c r="Q3698" s="3" t="s">
        <v>28</v>
      </c>
      <c r="R3698" s="3" t="s">
        <v>28</v>
      </c>
      <c r="S3698" s="3" t="s">
        <v>28</v>
      </c>
      <c r="T3698" s="3" t="s">
        <v>28</v>
      </c>
    </row>
    <row r="3699" spans="1:20" ht="409.6">
      <c r="A3699" s="3">
        <v>2654757</v>
      </c>
      <c r="B3699" s="3">
        <f>HYPERLINK("https://platform.v2.vetology.net/cases/2654757/screening-report/6?type=pdf&amp;v=v6&amp;scorecard=1&amp;secret_key=BX%25IJ%24%2F65ieZ%29f6", 2654757)</f>
        <v>2654757</v>
      </c>
      <c r="C3699" s="3">
        <f>HYPERLINK("https://platform.v2.vetology.net/report/v/final/"&amp;2654757, 2654757)</f>
        <v>2654757</v>
      </c>
      <c r="D3699" s="3" t="s">
        <v>12178</v>
      </c>
      <c r="E3699" s="3" t="s">
        <v>12179</v>
      </c>
      <c r="F3699" s="3" t="s">
        <v>12180</v>
      </c>
      <c r="G3699" s="3" t="s">
        <v>179</v>
      </c>
      <c r="H3699" s="3" t="s">
        <v>152</v>
      </c>
      <c r="I3699" s="3" t="s">
        <v>153</v>
      </c>
      <c r="J3699" s="3" t="s">
        <v>154</v>
      </c>
      <c r="K3699" s="3" t="s">
        <v>27</v>
      </c>
      <c r="L3699" s="3" t="s">
        <v>28</v>
      </c>
      <c r="M3699" s="3" t="s">
        <v>28</v>
      </c>
      <c r="N3699" s="3" t="s">
        <v>28</v>
      </c>
      <c r="O3699" s="3" t="s">
        <v>27</v>
      </c>
      <c r="P3699" s="3" t="s">
        <v>28</v>
      </c>
      <c r="Q3699" s="3" t="s">
        <v>27</v>
      </c>
      <c r="R3699" s="3" t="s">
        <v>28</v>
      </c>
      <c r="S3699" s="3" t="s">
        <v>28</v>
      </c>
      <c r="T3699" s="3" t="s">
        <v>28</v>
      </c>
    </row>
    <row r="3700" spans="1:20" ht="351">
      <c r="A3700" s="3">
        <v>2654747</v>
      </c>
      <c r="B3700" s="3">
        <f>HYPERLINK("https://platform.v2.vetology.net/cases/2654747/screening-report/6?type=pdf&amp;v=v6&amp;scorecard=1&amp;secret_key=BX%25IJ%24%2F65ieZ%29f6", 2654747)</f>
        <v>2654747</v>
      </c>
      <c r="C3700" s="3">
        <f>HYPERLINK("https://platform.v2.vetology.net/report/v/final/"&amp;2654747, 2654747)</f>
        <v>2654747</v>
      </c>
      <c r="D3700" s="3" t="s">
        <v>12181</v>
      </c>
      <c r="E3700" s="3" t="s">
        <v>12182</v>
      </c>
      <c r="F3700" s="3" t="s">
        <v>12183</v>
      </c>
      <c r="G3700" s="3" t="s">
        <v>179</v>
      </c>
      <c r="H3700" s="3" t="s">
        <v>31</v>
      </c>
      <c r="I3700" s="3" t="s">
        <v>32</v>
      </c>
      <c r="J3700" s="3" t="s">
        <v>847</v>
      </c>
      <c r="K3700" s="3" t="s">
        <v>27</v>
      </c>
      <c r="L3700" s="3" t="s">
        <v>28</v>
      </c>
      <c r="M3700" s="3" t="s">
        <v>28</v>
      </c>
      <c r="N3700" s="3" t="s">
        <v>28</v>
      </c>
      <c r="O3700" s="3" t="s">
        <v>27</v>
      </c>
      <c r="P3700" s="3" t="s">
        <v>27</v>
      </c>
      <c r="Q3700" s="3" t="s">
        <v>28</v>
      </c>
      <c r="R3700" s="3" t="s">
        <v>28</v>
      </c>
      <c r="S3700" s="3" t="s">
        <v>28</v>
      </c>
      <c r="T3700" s="3" t="s">
        <v>27</v>
      </c>
    </row>
    <row r="3701" spans="1:20" ht="336">
      <c r="A3701" s="3">
        <v>2654619</v>
      </c>
      <c r="B3701" s="3">
        <f>HYPERLINK("https://platform.v2.vetology.net/cases/2654619/screening-report/6?type=pdf&amp;v=v6&amp;scorecard=1&amp;secret_key=BX%25IJ%24%2F65ieZ%29f6", 2654619)</f>
        <v>2654619</v>
      </c>
      <c r="C3701" s="3">
        <f>HYPERLINK("https://platform.v2.vetology.net/report/v/final/"&amp;2654619, 2654619)</f>
        <v>2654619</v>
      </c>
      <c r="D3701" s="3" t="s">
        <v>12184</v>
      </c>
      <c r="E3701" s="3" t="s">
        <v>12185</v>
      </c>
      <c r="F3701" s="3" t="s">
        <v>10532</v>
      </c>
      <c r="G3701" s="3" t="s">
        <v>186</v>
      </c>
      <c r="H3701" s="3" t="s">
        <v>12186</v>
      </c>
      <c r="I3701" s="3" t="s">
        <v>706</v>
      </c>
      <c r="J3701" s="3" t="s">
        <v>707</v>
      </c>
      <c r="K3701" s="3" t="s">
        <v>28</v>
      </c>
      <c r="L3701" s="3" t="s">
        <v>28</v>
      </c>
      <c r="M3701" s="3" t="s">
        <v>28</v>
      </c>
      <c r="N3701" s="3" t="s">
        <v>28</v>
      </c>
      <c r="O3701" s="3" t="s">
        <v>27</v>
      </c>
      <c r="P3701" s="3" t="s">
        <v>28</v>
      </c>
      <c r="Q3701" s="3" t="s">
        <v>28</v>
      </c>
      <c r="R3701" s="3" t="s">
        <v>28</v>
      </c>
      <c r="S3701" s="3" t="s">
        <v>28</v>
      </c>
      <c r="T3701" s="3" t="s">
        <v>27</v>
      </c>
    </row>
    <row r="3702" spans="1:20" ht="229.5">
      <c r="A3702" s="3">
        <v>2654583</v>
      </c>
      <c r="B3702" s="3">
        <f>HYPERLINK("https://platform.v2.vetology.net/cases/2654583/screening-report/6?type=pdf&amp;v=v6&amp;scorecard=1&amp;secret_key=BX%25IJ%24%2F65ieZ%29f6", 2654583)</f>
        <v>2654583</v>
      </c>
      <c r="C3702" s="3">
        <f>HYPERLINK("https://platform.v2.vetology.net/report/v/final/"&amp;2654583, 2654583)</f>
        <v>2654583</v>
      </c>
      <c r="D3702" s="3" t="s">
        <v>12187</v>
      </c>
      <c r="E3702" s="3" t="s">
        <v>12188</v>
      </c>
      <c r="F3702" s="3" t="s">
        <v>12189</v>
      </c>
      <c r="G3702" s="3" t="s">
        <v>100</v>
      </c>
      <c r="H3702" s="3" t="s">
        <v>238</v>
      </c>
      <c r="I3702" s="3"/>
      <c r="J3702" s="3" t="s">
        <v>207</v>
      </c>
      <c r="K3702" s="3" t="s">
        <v>28</v>
      </c>
      <c r="L3702" s="3" t="s">
        <v>28</v>
      </c>
      <c r="M3702" s="3" t="s">
        <v>28</v>
      </c>
      <c r="N3702" s="3" t="s">
        <v>28</v>
      </c>
      <c r="O3702" s="3" t="s">
        <v>28</v>
      </c>
      <c r="P3702" s="3" t="s">
        <v>28</v>
      </c>
      <c r="Q3702" s="3" t="s">
        <v>28</v>
      </c>
      <c r="R3702" s="3" t="s">
        <v>28</v>
      </c>
      <c r="S3702" s="3" t="s">
        <v>28</v>
      </c>
      <c r="T3702" s="3" t="s">
        <v>27</v>
      </c>
    </row>
    <row r="3703" spans="1:20" ht="381.75">
      <c r="A3703" s="3">
        <v>2654572</v>
      </c>
      <c r="B3703" s="3">
        <f>HYPERLINK("https://platform.v2.vetology.net/cases/2654572/screening-report/6?type=pdf&amp;v=v6&amp;scorecard=1&amp;secret_key=BX%25IJ%24%2F65ieZ%29f6", 2654572)</f>
        <v>2654572</v>
      </c>
      <c r="C3703" s="3">
        <f>HYPERLINK("https://platform.v2.vetology.net/report/v/final/"&amp;2654572, 2654572)</f>
        <v>2654572</v>
      </c>
      <c r="D3703" s="3" t="s">
        <v>12190</v>
      </c>
      <c r="E3703" s="3" t="s">
        <v>12191</v>
      </c>
      <c r="F3703" s="3" t="s">
        <v>7109</v>
      </c>
      <c r="G3703" s="3" t="s">
        <v>211</v>
      </c>
      <c r="H3703" s="3" t="s">
        <v>193</v>
      </c>
      <c r="I3703" s="3" t="s">
        <v>194</v>
      </c>
      <c r="J3703" s="3" t="s">
        <v>195</v>
      </c>
      <c r="K3703" s="3" t="s">
        <v>28</v>
      </c>
      <c r="L3703" s="3" t="s">
        <v>28</v>
      </c>
      <c r="M3703" s="3" t="s">
        <v>28</v>
      </c>
      <c r="N3703" s="3" t="s">
        <v>27</v>
      </c>
      <c r="O3703" s="3" t="s">
        <v>27</v>
      </c>
      <c r="P3703" s="3" t="s">
        <v>28</v>
      </c>
      <c r="Q3703" s="3" t="s">
        <v>28</v>
      </c>
      <c r="R3703" s="3" t="s">
        <v>27</v>
      </c>
      <c r="S3703" s="3" t="s">
        <v>27</v>
      </c>
      <c r="T3703" s="3" t="s">
        <v>27</v>
      </c>
    </row>
    <row r="3704" spans="1:20" ht="290.25">
      <c r="A3704" s="3">
        <v>2654550</v>
      </c>
      <c r="B3704" s="3">
        <f>HYPERLINK("https://platform.v2.vetology.net/cases/2654550/screening-report/6?type=pdf&amp;v=v6&amp;scorecard=1&amp;secret_key=BX%25IJ%24%2F65ieZ%29f6", 2654550)</f>
        <v>2654550</v>
      </c>
      <c r="C3704" s="3">
        <f>HYPERLINK("https://platform.v2.vetology.net/report/v/final/"&amp;2654550, 2654550)</f>
        <v>2654550</v>
      </c>
      <c r="D3704" s="3" t="s">
        <v>12192</v>
      </c>
      <c r="E3704" s="3" t="s">
        <v>12193</v>
      </c>
      <c r="F3704" s="3" t="s">
        <v>260</v>
      </c>
      <c r="G3704" s="3" t="s">
        <v>186</v>
      </c>
      <c r="H3704" s="3" t="s">
        <v>12194</v>
      </c>
      <c r="I3704" s="3" t="s">
        <v>3718</v>
      </c>
      <c r="J3704" s="3" t="s">
        <v>3719</v>
      </c>
      <c r="K3704" s="3" t="s">
        <v>28</v>
      </c>
      <c r="L3704" s="3" t="s">
        <v>28</v>
      </c>
      <c r="M3704" s="3" t="s">
        <v>28</v>
      </c>
      <c r="N3704" s="3" t="s">
        <v>28</v>
      </c>
      <c r="O3704" s="3" t="s">
        <v>27</v>
      </c>
      <c r="P3704" s="3" t="s">
        <v>27</v>
      </c>
      <c r="Q3704" s="3" t="s">
        <v>28</v>
      </c>
      <c r="R3704" s="3" t="s">
        <v>28</v>
      </c>
      <c r="S3704" s="3" t="s">
        <v>28</v>
      </c>
      <c r="T3704" s="3" t="s">
        <v>28</v>
      </c>
    </row>
    <row r="3705" spans="1:20" ht="336">
      <c r="A3705" s="3">
        <v>2654514</v>
      </c>
      <c r="B3705" s="3">
        <f>HYPERLINK("https://platform.v2.vetology.net/cases/2654514/screening-report/6?type=pdf&amp;v=v6&amp;scorecard=1&amp;secret_key=BX%25IJ%24%2F65ieZ%29f6", 2654514)</f>
        <v>2654514</v>
      </c>
      <c r="C3705" s="3">
        <f>HYPERLINK("https://platform.v2.vetology.net/report/v/final/"&amp;2654514, 2654514)</f>
        <v>2654514</v>
      </c>
      <c r="D3705" s="3" t="s">
        <v>12195</v>
      </c>
      <c r="E3705" s="3" t="s">
        <v>12196</v>
      </c>
      <c r="F3705" s="3" t="s">
        <v>22</v>
      </c>
      <c r="G3705" s="3" t="s">
        <v>23</v>
      </c>
      <c r="H3705" s="3" t="s">
        <v>123</v>
      </c>
      <c r="I3705" s="3" t="s">
        <v>124</v>
      </c>
      <c r="J3705" s="3" t="s">
        <v>125</v>
      </c>
      <c r="K3705" s="3" t="s">
        <v>27</v>
      </c>
      <c r="L3705" s="3" t="s">
        <v>28</v>
      </c>
      <c r="M3705" s="3" t="s">
        <v>27</v>
      </c>
      <c r="N3705" s="3" t="s">
        <v>28</v>
      </c>
      <c r="O3705" s="3" t="s">
        <v>27</v>
      </c>
      <c r="P3705" s="3" t="s">
        <v>28</v>
      </c>
      <c r="Q3705" s="3" t="s">
        <v>28</v>
      </c>
      <c r="R3705" s="3" t="s">
        <v>28</v>
      </c>
      <c r="S3705" s="3" t="s">
        <v>28</v>
      </c>
      <c r="T3705" s="3" t="s">
        <v>28</v>
      </c>
    </row>
    <row r="3706" spans="1:20" ht="290.25">
      <c r="A3706" s="3">
        <v>2654491</v>
      </c>
      <c r="B3706" s="3">
        <f>HYPERLINK("https://platform.v2.vetology.net/cases/2654491/screening-report/6?type=pdf&amp;v=v6&amp;scorecard=1&amp;secret_key=BX%25IJ%24%2F65ieZ%29f6", 2654491)</f>
        <v>2654491</v>
      </c>
      <c r="C3706" s="3">
        <f>HYPERLINK("https://platform.v2.vetology.net/report/v/final/"&amp;2654491, 2654491)</f>
        <v>2654491</v>
      </c>
      <c r="D3706" s="3" t="s">
        <v>12197</v>
      </c>
      <c r="E3706" s="3" t="s">
        <v>12198</v>
      </c>
      <c r="F3706" s="3" t="s">
        <v>12199</v>
      </c>
      <c r="G3706" s="3" t="s">
        <v>57</v>
      </c>
      <c r="H3706" s="3" t="s">
        <v>12200</v>
      </c>
      <c r="I3706" s="3" t="s">
        <v>865</v>
      </c>
      <c r="J3706" s="3" t="s">
        <v>866</v>
      </c>
      <c r="K3706" s="3" t="s">
        <v>28</v>
      </c>
      <c r="L3706" s="3" t="s">
        <v>28</v>
      </c>
      <c r="M3706" s="3" t="s">
        <v>28</v>
      </c>
      <c r="N3706" s="3" t="s">
        <v>28</v>
      </c>
      <c r="O3706" s="3" t="s">
        <v>27</v>
      </c>
      <c r="P3706" s="3" t="s">
        <v>28</v>
      </c>
      <c r="Q3706" s="3" t="s">
        <v>28</v>
      </c>
      <c r="R3706" s="3" t="s">
        <v>28</v>
      </c>
      <c r="S3706" s="3" t="s">
        <v>28</v>
      </c>
      <c r="T3706" s="3" t="s">
        <v>28</v>
      </c>
    </row>
    <row r="3707" spans="1:20" ht="290.25">
      <c r="A3707" s="3">
        <v>2654452</v>
      </c>
      <c r="B3707" s="3">
        <f>HYPERLINK("https://platform.v2.vetology.net/cases/2654452/screening-report/6?type=pdf&amp;v=v6&amp;scorecard=1&amp;secret_key=BX%25IJ%24%2F65ieZ%29f6", 2654452)</f>
        <v>2654452</v>
      </c>
      <c r="C3707" s="3">
        <f>HYPERLINK("https://platform.v2.vetology.net/report/v/final/"&amp;2654452, 2654452)</f>
        <v>2654452</v>
      </c>
      <c r="D3707" s="3" t="s">
        <v>12201</v>
      </c>
      <c r="E3707" s="3" t="s">
        <v>12202</v>
      </c>
      <c r="F3707" s="3" t="s">
        <v>12203</v>
      </c>
      <c r="G3707" s="3" t="s">
        <v>186</v>
      </c>
      <c r="H3707" s="3" t="s">
        <v>135</v>
      </c>
      <c r="I3707" s="3" t="s">
        <v>136</v>
      </c>
      <c r="J3707" s="3" t="s">
        <v>424</v>
      </c>
      <c r="K3707" s="3" t="s">
        <v>27</v>
      </c>
      <c r="L3707" s="3" t="s">
        <v>28</v>
      </c>
      <c r="M3707" s="3" t="s">
        <v>28</v>
      </c>
      <c r="N3707" s="3" t="s">
        <v>28</v>
      </c>
      <c r="O3707" s="3" t="s">
        <v>28</v>
      </c>
      <c r="P3707" s="3" t="s">
        <v>28</v>
      </c>
      <c r="Q3707" s="3" t="s">
        <v>28</v>
      </c>
      <c r="R3707" s="3" t="s">
        <v>28</v>
      </c>
      <c r="S3707" s="3" t="s">
        <v>28</v>
      </c>
      <c r="T3707" s="3" t="s">
        <v>27</v>
      </c>
    </row>
    <row r="3708" spans="1:20" ht="275.25">
      <c r="A3708" s="3">
        <v>2654394</v>
      </c>
      <c r="B3708" s="3">
        <f>HYPERLINK("https://platform.v2.vetology.net/cases/2654394/screening-report/6?type=pdf&amp;v=v6&amp;scorecard=1&amp;secret_key=BX%25IJ%24%2F65ieZ%29f6", 2654394)</f>
        <v>2654394</v>
      </c>
      <c r="C3708" s="3">
        <f>HYPERLINK("https://platform.v2.vetology.net/report/v/final/"&amp;2654394, 2654394)</f>
        <v>2654394</v>
      </c>
      <c r="D3708" s="3" t="s">
        <v>12204</v>
      </c>
      <c r="E3708" s="3" t="s">
        <v>12205</v>
      </c>
      <c r="F3708" s="3"/>
      <c r="G3708" s="3" t="s">
        <v>122</v>
      </c>
      <c r="H3708" s="3" t="s">
        <v>12206</v>
      </c>
      <c r="I3708" s="3" t="s">
        <v>3465</v>
      </c>
      <c r="J3708" s="3" t="s">
        <v>387</v>
      </c>
      <c r="K3708" s="3" t="s">
        <v>28</v>
      </c>
      <c r="L3708" s="3" t="s">
        <v>28</v>
      </c>
      <c r="M3708" s="3" t="s">
        <v>28</v>
      </c>
      <c r="N3708" s="3" t="s">
        <v>28</v>
      </c>
      <c r="O3708" s="3" t="s">
        <v>27</v>
      </c>
      <c r="P3708" s="3" t="s">
        <v>28</v>
      </c>
      <c r="Q3708" s="3" t="s">
        <v>28</v>
      </c>
      <c r="R3708" s="3" t="s">
        <v>28</v>
      </c>
      <c r="S3708" s="3" t="s">
        <v>28</v>
      </c>
      <c r="T3708" s="3" t="s">
        <v>28</v>
      </c>
    </row>
    <row r="3709" spans="1:20" ht="396.75">
      <c r="A3709" s="3">
        <v>2654366</v>
      </c>
      <c r="B3709" s="3">
        <f>HYPERLINK("https://platform.v2.vetology.net/cases/2654366/screening-report/6?type=pdf&amp;v=v6&amp;scorecard=1&amp;secret_key=BX%25IJ%24%2F65ieZ%29f6", 2654366)</f>
        <v>2654366</v>
      </c>
      <c r="C3709" s="3">
        <f>HYPERLINK("https://platform.v2.vetology.net/report/v/final/"&amp;2654366, 2654366)</f>
        <v>2654366</v>
      </c>
      <c r="D3709" s="3" t="s">
        <v>12207</v>
      </c>
      <c r="E3709" s="3" t="s">
        <v>12208</v>
      </c>
      <c r="F3709" s="3"/>
      <c r="G3709" s="3" t="s">
        <v>100</v>
      </c>
      <c r="H3709" s="3" t="s">
        <v>11067</v>
      </c>
      <c r="I3709" s="3" t="s">
        <v>351</v>
      </c>
      <c r="J3709" s="3" t="s">
        <v>352</v>
      </c>
      <c r="K3709" s="3" t="s">
        <v>28</v>
      </c>
      <c r="L3709" s="3" t="s">
        <v>28</v>
      </c>
      <c r="M3709" s="3" t="s">
        <v>28</v>
      </c>
      <c r="N3709" s="3" t="s">
        <v>28</v>
      </c>
      <c r="O3709" s="3" t="s">
        <v>28</v>
      </c>
      <c r="P3709" s="3" t="s">
        <v>28</v>
      </c>
      <c r="Q3709" s="3" t="s">
        <v>28</v>
      </c>
      <c r="R3709" s="3" t="s">
        <v>28</v>
      </c>
      <c r="S3709" s="3" t="s">
        <v>28</v>
      </c>
      <c r="T3709" s="3" t="s">
        <v>27</v>
      </c>
    </row>
    <row r="3710" spans="1:20" ht="381.75">
      <c r="A3710" s="3">
        <v>2654312</v>
      </c>
      <c r="B3710" s="3">
        <f>HYPERLINK("https://platform.v2.vetology.net/cases/2654312/screening-report/6?type=pdf&amp;v=v6&amp;scorecard=1&amp;secret_key=BX%25IJ%24%2F65ieZ%29f6", 2654312)</f>
        <v>2654312</v>
      </c>
      <c r="C3710" s="3">
        <f>HYPERLINK("https://platform.v2.vetology.net/report/v/final/"&amp;2654312, 2654312)</f>
        <v>2654312</v>
      </c>
      <c r="D3710" s="3" t="s">
        <v>12209</v>
      </c>
      <c r="E3710" s="3" t="s">
        <v>12210</v>
      </c>
      <c r="F3710" s="3" t="s">
        <v>12211</v>
      </c>
      <c r="G3710" s="3" t="s">
        <v>211</v>
      </c>
      <c r="H3710" s="3" t="s">
        <v>1905</v>
      </c>
      <c r="I3710" s="3" t="s">
        <v>37</v>
      </c>
      <c r="J3710" s="3" t="s">
        <v>38</v>
      </c>
      <c r="K3710" s="3" t="s">
        <v>28</v>
      </c>
      <c r="L3710" s="3" t="s">
        <v>28</v>
      </c>
      <c r="M3710" s="3" t="s">
        <v>27</v>
      </c>
      <c r="N3710" s="3" t="s">
        <v>28</v>
      </c>
      <c r="O3710" s="3" t="s">
        <v>27</v>
      </c>
      <c r="P3710" s="3" t="s">
        <v>28</v>
      </c>
      <c r="Q3710" s="3" t="s">
        <v>28</v>
      </c>
      <c r="R3710" s="3" t="s">
        <v>28</v>
      </c>
      <c r="S3710" s="3" t="s">
        <v>28</v>
      </c>
      <c r="T3710" s="3" t="s">
        <v>28</v>
      </c>
    </row>
    <row r="3711" spans="1:20" ht="396.75">
      <c r="A3711" s="3">
        <v>2654270</v>
      </c>
      <c r="B3711" s="3">
        <f>HYPERLINK("https://platform.v2.vetology.net/cases/2654270/screening-report/6?type=pdf&amp;v=v6&amp;scorecard=1&amp;secret_key=BX%25IJ%24%2F65ieZ%29f6", 2654270)</f>
        <v>2654270</v>
      </c>
      <c r="C3711" s="3">
        <f>HYPERLINK("https://platform.v2.vetology.net/report/v/final/"&amp;2654270, 2654270)</f>
        <v>2654270</v>
      </c>
      <c r="D3711" s="3" t="s">
        <v>12212</v>
      </c>
      <c r="E3711" s="3" t="s">
        <v>12213</v>
      </c>
      <c r="F3711" s="3" t="s">
        <v>4317</v>
      </c>
      <c r="G3711" s="3" t="s">
        <v>57</v>
      </c>
      <c r="H3711" s="3" t="s">
        <v>2892</v>
      </c>
      <c r="I3711" s="3" t="s">
        <v>2108</v>
      </c>
      <c r="J3711" s="3" t="s">
        <v>679</v>
      </c>
      <c r="K3711" s="3" t="s">
        <v>27</v>
      </c>
      <c r="L3711" s="3" t="s">
        <v>27</v>
      </c>
      <c r="M3711" s="3" t="s">
        <v>28</v>
      </c>
      <c r="N3711" s="3" t="s">
        <v>27</v>
      </c>
      <c r="O3711" s="3" t="s">
        <v>27</v>
      </c>
      <c r="P3711" s="3" t="s">
        <v>27</v>
      </c>
      <c r="Q3711" s="3" t="s">
        <v>27</v>
      </c>
      <c r="R3711" s="3" t="s">
        <v>27</v>
      </c>
      <c r="S3711" s="3" t="s">
        <v>27</v>
      </c>
      <c r="T3711" s="3" t="s">
        <v>27</v>
      </c>
    </row>
    <row r="3712" spans="1:20" ht="409.6">
      <c r="A3712" s="3">
        <v>2654255</v>
      </c>
      <c r="B3712" s="3">
        <f>HYPERLINK("https://platform.v2.vetology.net/cases/2654255/screening-report/6?type=pdf&amp;v=v6&amp;scorecard=1&amp;secret_key=BX%25IJ%24%2F65ieZ%29f6", 2654255)</f>
        <v>2654255</v>
      </c>
      <c r="C3712" s="3">
        <f>HYPERLINK("https://platform.v2.vetology.net/report/v/final/"&amp;2654255, 2654255)</f>
        <v>2654255</v>
      </c>
      <c r="D3712" s="3" t="s">
        <v>12214</v>
      </c>
      <c r="E3712" s="3" t="s">
        <v>12215</v>
      </c>
      <c r="F3712" s="3" t="s">
        <v>12216</v>
      </c>
      <c r="G3712" s="3" t="s">
        <v>211</v>
      </c>
      <c r="H3712" s="3" t="s">
        <v>12217</v>
      </c>
      <c r="I3712" s="3" t="s">
        <v>1623</v>
      </c>
      <c r="J3712" s="3" t="s">
        <v>1624</v>
      </c>
      <c r="K3712" s="3" t="s">
        <v>27</v>
      </c>
      <c r="L3712" s="3" t="s">
        <v>27</v>
      </c>
      <c r="M3712" s="3" t="s">
        <v>27</v>
      </c>
      <c r="N3712" s="3" t="s">
        <v>28</v>
      </c>
      <c r="O3712" s="3" t="s">
        <v>27</v>
      </c>
      <c r="P3712" s="3" t="s">
        <v>28</v>
      </c>
      <c r="Q3712" s="3" t="s">
        <v>28</v>
      </c>
      <c r="R3712" s="3" t="s">
        <v>28</v>
      </c>
      <c r="S3712" s="3" t="s">
        <v>28</v>
      </c>
      <c r="T3712" s="3" t="s">
        <v>28</v>
      </c>
    </row>
    <row r="3713" spans="1:20" ht="305.25">
      <c r="A3713" s="3">
        <v>2654222</v>
      </c>
      <c r="B3713" s="3">
        <f>HYPERLINK("https://platform.v2.vetology.net/cases/2654222/screening-report/6?type=pdf&amp;v=v6&amp;scorecard=1&amp;secret_key=BX%25IJ%24%2F65ieZ%29f6", 2654222)</f>
        <v>2654222</v>
      </c>
      <c r="C3713" s="3">
        <f>HYPERLINK("https://platform.v2.vetology.net/report/v/final/"&amp;2654222, 2654222)</f>
        <v>2654222</v>
      </c>
      <c r="D3713" s="3" t="s">
        <v>12218</v>
      </c>
      <c r="E3713" s="3" t="s">
        <v>12219</v>
      </c>
      <c r="F3713" s="3" t="s">
        <v>4347</v>
      </c>
      <c r="G3713" s="3" t="s">
        <v>23</v>
      </c>
      <c r="H3713" s="3" t="s">
        <v>908</v>
      </c>
      <c r="I3713" s="3" t="s">
        <v>32</v>
      </c>
      <c r="J3713" s="3" t="s">
        <v>33</v>
      </c>
      <c r="K3713" s="3" t="s">
        <v>28</v>
      </c>
      <c r="L3713" s="3" t="s">
        <v>28</v>
      </c>
      <c r="M3713" s="3" t="s">
        <v>28</v>
      </c>
      <c r="N3713" s="3" t="s">
        <v>28</v>
      </c>
      <c r="O3713" s="3" t="s">
        <v>28</v>
      </c>
      <c r="P3713" s="3" t="s">
        <v>28</v>
      </c>
      <c r="Q3713" s="3" t="s">
        <v>28</v>
      </c>
      <c r="R3713" s="3" t="s">
        <v>28</v>
      </c>
      <c r="S3713" s="3" t="s">
        <v>28</v>
      </c>
      <c r="T3713" s="3" t="s">
        <v>28</v>
      </c>
    </row>
    <row r="3714" spans="1:20" ht="396.75">
      <c r="A3714" s="3">
        <v>2654217</v>
      </c>
      <c r="B3714" s="3">
        <f>HYPERLINK("https://platform.v2.vetology.net/cases/2654217/screening-report/6?type=pdf&amp;v=v6&amp;scorecard=1&amp;secret_key=BX%25IJ%24%2F65ieZ%29f6", 2654217)</f>
        <v>2654217</v>
      </c>
      <c r="C3714" s="3">
        <f>HYPERLINK("https://platform.v2.vetology.net/report/v/final/"&amp;2654217, 2654217)</f>
        <v>2654217</v>
      </c>
      <c r="D3714" s="3" t="s">
        <v>12220</v>
      </c>
      <c r="E3714" s="3" t="s">
        <v>12221</v>
      </c>
      <c r="F3714" s="3" t="s">
        <v>12222</v>
      </c>
      <c r="G3714" s="3" t="s">
        <v>186</v>
      </c>
      <c r="H3714" s="3" t="s">
        <v>135</v>
      </c>
      <c r="I3714" s="3" t="s">
        <v>136</v>
      </c>
      <c r="J3714" s="3" t="s">
        <v>137</v>
      </c>
      <c r="K3714" s="3" t="s">
        <v>27</v>
      </c>
      <c r="L3714" s="3" t="s">
        <v>27</v>
      </c>
      <c r="M3714" s="3" t="s">
        <v>28</v>
      </c>
      <c r="N3714" s="3" t="s">
        <v>27</v>
      </c>
      <c r="O3714" s="3" t="s">
        <v>27</v>
      </c>
      <c r="P3714" s="3" t="s">
        <v>28</v>
      </c>
      <c r="Q3714" s="3" t="s">
        <v>28</v>
      </c>
      <c r="R3714" s="3" t="s">
        <v>28</v>
      </c>
      <c r="S3714" s="3" t="s">
        <v>28</v>
      </c>
      <c r="T3714" s="3" t="s">
        <v>27</v>
      </c>
    </row>
    <row r="3715" spans="1:20" ht="351">
      <c r="A3715" s="3">
        <v>2654163</v>
      </c>
      <c r="B3715" s="3">
        <f>HYPERLINK("https://platform.v2.vetology.net/cases/2654163/screening-report/6?type=pdf&amp;v=v6&amp;scorecard=1&amp;secret_key=BX%25IJ%24%2F65ieZ%29f6", 2654163)</f>
        <v>2654163</v>
      </c>
      <c r="C3715" s="3">
        <f>HYPERLINK("https://platform.v2.vetology.net/report/v/final/"&amp;2654163, 2654163)</f>
        <v>2654163</v>
      </c>
      <c r="D3715" s="3" t="s">
        <v>954</v>
      </c>
      <c r="E3715" s="3" t="s">
        <v>9053</v>
      </c>
      <c r="F3715" s="3" t="s">
        <v>1049</v>
      </c>
      <c r="G3715" s="3" t="s">
        <v>100</v>
      </c>
      <c r="H3715" s="3" t="s">
        <v>12223</v>
      </c>
      <c r="I3715" s="3" t="s">
        <v>4796</v>
      </c>
      <c r="J3715" s="3" t="s">
        <v>148</v>
      </c>
      <c r="K3715" s="3" t="s">
        <v>27</v>
      </c>
      <c r="L3715" s="3" t="s">
        <v>27</v>
      </c>
      <c r="M3715" s="3" t="s">
        <v>27</v>
      </c>
      <c r="N3715" s="3" t="s">
        <v>28</v>
      </c>
      <c r="O3715" s="3" t="s">
        <v>27</v>
      </c>
      <c r="P3715" s="3" t="s">
        <v>28</v>
      </c>
      <c r="Q3715" s="3" t="s">
        <v>27</v>
      </c>
      <c r="R3715" s="3" t="s">
        <v>28</v>
      </c>
      <c r="S3715" s="3" t="s">
        <v>28</v>
      </c>
      <c r="T3715" s="3" t="s">
        <v>28</v>
      </c>
    </row>
    <row r="3716" spans="1:20" ht="366">
      <c r="A3716" s="3">
        <v>2654101</v>
      </c>
      <c r="B3716" s="3">
        <f>HYPERLINK("https://platform.v2.vetology.net/cases/2654101/screening-report/6?type=pdf&amp;v=v6&amp;scorecard=1&amp;secret_key=BX%25IJ%24%2F65ieZ%29f6", 2654101)</f>
        <v>2654101</v>
      </c>
      <c r="C3716" s="3">
        <f>HYPERLINK("https://platform.v2.vetology.net/report/v/final/"&amp;2654101, 2654101)</f>
        <v>2654101</v>
      </c>
      <c r="D3716" s="3" t="s">
        <v>12224</v>
      </c>
      <c r="E3716" s="3" t="s">
        <v>12225</v>
      </c>
      <c r="F3716" s="3" t="s">
        <v>12226</v>
      </c>
      <c r="G3716" s="3" t="s">
        <v>186</v>
      </c>
      <c r="H3716" s="3" t="s">
        <v>31</v>
      </c>
      <c r="I3716" s="3" t="s">
        <v>32</v>
      </c>
      <c r="J3716" s="3" t="s">
        <v>33</v>
      </c>
      <c r="K3716" s="3" t="s">
        <v>28</v>
      </c>
      <c r="L3716" s="3" t="s">
        <v>28</v>
      </c>
      <c r="M3716" s="3" t="s">
        <v>28</v>
      </c>
      <c r="N3716" s="3" t="s">
        <v>28</v>
      </c>
      <c r="O3716" s="3" t="s">
        <v>27</v>
      </c>
      <c r="P3716" s="3" t="s">
        <v>28</v>
      </c>
      <c r="Q3716" s="3" t="s">
        <v>28</v>
      </c>
      <c r="R3716" s="3" t="s">
        <v>28</v>
      </c>
      <c r="S3716" s="3" t="s">
        <v>28</v>
      </c>
      <c r="T3716" s="3" t="s">
        <v>28</v>
      </c>
    </row>
    <row r="3717" spans="1:20" ht="409.6">
      <c r="A3717" s="3">
        <v>2654098</v>
      </c>
      <c r="B3717" s="3">
        <f>HYPERLINK("https://platform.v2.vetology.net/cases/2654098/screening-report/6?type=pdf&amp;v=v6&amp;scorecard=1&amp;secret_key=BX%25IJ%24%2F65ieZ%29f6", 2654098)</f>
        <v>2654098</v>
      </c>
      <c r="C3717" s="3">
        <f>HYPERLINK("https://platform.v2.vetology.net/report/v/final/"&amp;2654098, 2654098)</f>
        <v>2654098</v>
      </c>
      <c r="D3717" s="3" t="s">
        <v>12227</v>
      </c>
      <c r="E3717" s="3" t="s">
        <v>12228</v>
      </c>
      <c r="F3717" s="3" t="s">
        <v>12229</v>
      </c>
      <c r="G3717" s="3" t="s">
        <v>179</v>
      </c>
      <c r="H3717" s="3" t="s">
        <v>10330</v>
      </c>
      <c r="I3717" s="3" t="s">
        <v>7317</v>
      </c>
      <c r="J3717" s="3" t="s">
        <v>7318</v>
      </c>
      <c r="K3717" s="3" t="s">
        <v>28</v>
      </c>
      <c r="L3717" s="3" t="s">
        <v>27</v>
      </c>
      <c r="M3717" s="3" t="s">
        <v>27</v>
      </c>
      <c r="N3717" s="3" t="s">
        <v>27</v>
      </c>
      <c r="O3717" s="3" t="s">
        <v>27</v>
      </c>
      <c r="P3717" s="3" t="s">
        <v>28</v>
      </c>
      <c r="Q3717" s="3" t="s">
        <v>27</v>
      </c>
      <c r="R3717" s="3" t="s">
        <v>28</v>
      </c>
      <c r="S3717" s="3" t="s">
        <v>28</v>
      </c>
      <c r="T3717" s="3" t="s">
        <v>27</v>
      </c>
    </row>
    <row r="3718" spans="1:20" ht="290.25">
      <c r="A3718" s="3">
        <v>2654082</v>
      </c>
      <c r="B3718" s="3">
        <f>HYPERLINK("https://platform.v2.vetology.net/cases/2654082/screening-report/6?type=pdf&amp;v=v6&amp;scorecard=1&amp;secret_key=BX%25IJ%24%2F65ieZ%29f6", 2654082)</f>
        <v>2654082</v>
      </c>
      <c r="C3718" s="3">
        <f>HYPERLINK("https://platform.v2.vetology.net/report/v/final/"&amp;2654082, 2654082)</f>
        <v>2654082</v>
      </c>
      <c r="D3718" s="3" t="s">
        <v>12230</v>
      </c>
      <c r="E3718" s="3" t="s">
        <v>12231</v>
      </c>
      <c r="F3718" s="3" t="s">
        <v>12232</v>
      </c>
      <c r="G3718" s="3" t="s">
        <v>186</v>
      </c>
      <c r="H3718" s="3" t="s">
        <v>1180</v>
      </c>
      <c r="I3718" s="3" t="s">
        <v>305</v>
      </c>
      <c r="J3718" s="3" t="s">
        <v>119</v>
      </c>
      <c r="K3718" s="3" t="s">
        <v>28</v>
      </c>
      <c r="L3718" s="3" t="s">
        <v>28</v>
      </c>
      <c r="M3718" s="3" t="s">
        <v>28</v>
      </c>
      <c r="N3718" s="3" t="s">
        <v>28</v>
      </c>
      <c r="O3718" s="3" t="s">
        <v>28</v>
      </c>
      <c r="P3718" s="3" t="s">
        <v>28</v>
      </c>
      <c r="Q3718" s="3" t="s">
        <v>28</v>
      </c>
      <c r="R3718" s="3" t="s">
        <v>28</v>
      </c>
      <c r="S3718" s="3" t="s">
        <v>28</v>
      </c>
      <c r="T3718" s="3" t="s">
        <v>28</v>
      </c>
    </row>
    <row r="3719" spans="1:20" ht="275.25">
      <c r="A3719" s="3">
        <v>2654076</v>
      </c>
      <c r="B3719" s="3">
        <f>HYPERLINK("https://platform.v2.vetology.net/cases/2654076/screening-report/6?type=pdf&amp;v=v6&amp;scorecard=1&amp;secret_key=BX%25IJ%24%2F65ieZ%29f6", 2654076)</f>
        <v>2654076</v>
      </c>
      <c r="C3719" s="3">
        <f>HYPERLINK("https://platform.v2.vetology.net/report/v/final/"&amp;2654076, 2654076)</f>
        <v>2654076</v>
      </c>
      <c r="D3719" s="3" t="s">
        <v>12233</v>
      </c>
      <c r="E3719" s="3" t="s">
        <v>12234</v>
      </c>
      <c r="F3719" s="3" t="s">
        <v>22</v>
      </c>
      <c r="G3719" s="3" t="s">
        <v>23</v>
      </c>
      <c r="H3719" s="3" t="s">
        <v>31</v>
      </c>
      <c r="I3719" s="3" t="s">
        <v>32</v>
      </c>
      <c r="J3719" s="3" t="s">
        <v>847</v>
      </c>
      <c r="K3719" s="3" t="s">
        <v>27</v>
      </c>
      <c r="L3719" s="3" t="s">
        <v>27</v>
      </c>
      <c r="M3719" s="3" t="s">
        <v>28</v>
      </c>
      <c r="N3719" s="3" t="s">
        <v>28</v>
      </c>
      <c r="O3719" s="3" t="s">
        <v>27</v>
      </c>
      <c r="P3719" s="3" t="s">
        <v>28</v>
      </c>
      <c r="Q3719" s="3" t="s">
        <v>28</v>
      </c>
      <c r="R3719" s="3" t="s">
        <v>28</v>
      </c>
      <c r="S3719" s="3" t="s">
        <v>27</v>
      </c>
      <c r="T3719" s="3" t="s">
        <v>28</v>
      </c>
    </row>
    <row r="3720" spans="1:20" ht="409.6">
      <c r="A3720" s="3">
        <v>2654072</v>
      </c>
      <c r="B3720" s="3">
        <f>HYPERLINK("https://platform.v2.vetology.net/cases/2654072/screening-report/6?type=pdf&amp;v=v6&amp;scorecard=1&amp;secret_key=BX%25IJ%24%2F65ieZ%29f6", 2654072)</f>
        <v>2654072</v>
      </c>
      <c r="C3720" s="3">
        <f>HYPERLINK("https://platform.v2.vetology.net/report/v/final/"&amp;2654072, 2654072)</f>
        <v>2654072</v>
      </c>
      <c r="D3720" s="3" t="s">
        <v>12235</v>
      </c>
      <c r="E3720" s="3" t="s">
        <v>12236</v>
      </c>
      <c r="F3720" s="3" t="s">
        <v>12237</v>
      </c>
      <c r="G3720" s="3" t="s">
        <v>186</v>
      </c>
      <c r="H3720" s="3" t="s">
        <v>12238</v>
      </c>
      <c r="I3720" s="3" t="s">
        <v>659</v>
      </c>
      <c r="J3720" s="3" t="s">
        <v>660</v>
      </c>
      <c r="K3720" s="3" t="s">
        <v>28</v>
      </c>
      <c r="L3720" s="3" t="s">
        <v>28</v>
      </c>
      <c r="M3720" s="3" t="s">
        <v>28</v>
      </c>
      <c r="N3720" s="3" t="s">
        <v>28</v>
      </c>
      <c r="O3720" s="3" t="s">
        <v>27</v>
      </c>
      <c r="P3720" s="3" t="s">
        <v>28</v>
      </c>
      <c r="Q3720" s="3" t="s">
        <v>27</v>
      </c>
      <c r="R3720" s="3" t="s">
        <v>28</v>
      </c>
      <c r="S3720" s="3" t="s">
        <v>28</v>
      </c>
      <c r="T3720" s="3" t="s">
        <v>28</v>
      </c>
    </row>
    <row r="3721" spans="1:20" ht="366">
      <c r="A3721" s="3">
        <v>2654030</v>
      </c>
      <c r="B3721" s="3">
        <f>HYPERLINK("https://platform.v2.vetology.net/cases/2654030/screening-report/6?type=pdf&amp;v=v6&amp;scorecard=1&amp;secret_key=BX%25IJ%24%2F65ieZ%29f6", 2654030)</f>
        <v>2654030</v>
      </c>
      <c r="C3721" s="3">
        <f>HYPERLINK("https://platform.v2.vetology.net/report/v/final/"&amp;2654030, 2654030)</f>
        <v>2654030</v>
      </c>
      <c r="D3721" s="3" t="s">
        <v>12239</v>
      </c>
      <c r="E3721" s="3" t="s">
        <v>322</v>
      </c>
      <c r="F3721" s="3" t="s">
        <v>22</v>
      </c>
      <c r="G3721" s="3" t="s">
        <v>23</v>
      </c>
      <c r="H3721" s="3" t="s">
        <v>3221</v>
      </c>
      <c r="I3721" s="3" t="s">
        <v>2963</v>
      </c>
      <c r="J3721" s="3" t="s">
        <v>2964</v>
      </c>
      <c r="K3721" s="3" t="s">
        <v>27</v>
      </c>
      <c r="L3721" s="3" t="s">
        <v>28</v>
      </c>
      <c r="M3721" s="3" t="s">
        <v>28</v>
      </c>
      <c r="N3721" s="3" t="s">
        <v>28</v>
      </c>
      <c r="O3721" s="3" t="s">
        <v>27</v>
      </c>
      <c r="P3721" s="3" t="s">
        <v>28</v>
      </c>
      <c r="Q3721" s="3" t="s">
        <v>27</v>
      </c>
      <c r="R3721" s="3" t="s">
        <v>28</v>
      </c>
      <c r="S3721" s="3" t="s">
        <v>28</v>
      </c>
      <c r="T3721" s="3" t="s">
        <v>28</v>
      </c>
    </row>
    <row r="3722" spans="1:20" ht="366">
      <c r="A3722" s="3">
        <v>2654021</v>
      </c>
      <c r="B3722" s="3">
        <f>HYPERLINK("https://platform.v2.vetology.net/cases/2654021/screening-report/6?type=pdf&amp;v=v6&amp;scorecard=1&amp;secret_key=BX%25IJ%24%2F65ieZ%29f6", 2654021)</f>
        <v>2654021</v>
      </c>
      <c r="C3722" s="3">
        <f>HYPERLINK("https://platform.v2.vetology.net/report/v/final/"&amp;2654021, 2654021)</f>
        <v>2654021</v>
      </c>
      <c r="D3722" s="3" t="s">
        <v>12240</v>
      </c>
      <c r="E3722" s="3" t="s">
        <v>12241</v>
      </c>
      <c r="F3722" s="3" t="s">
        <v>12242</v>
      </c>
      <c r="G3722" s="3" t="s">
        <v>179</v>
      </c>
      <c r="H3722" s="3" t="s">
        <v>2564</v>
      </c>
      <c r="I3722" s="3" t="s">
        <v>2565</v>
      </c>
      <c r="J3722" s="3" t="s">
        <v>2566</v>
      </c>
      <c r="K3722" s="3" t="s">
        <v>27</v>
      </c>
      <c r="L3722" s="3" t="s">
        <v>27</v>
      </c>
      <c r="M3722" s="3" t="s">
        <v>28</v>
      </c>
      <c r="N3722" s="3" t="s">
        <v>27</v>
      </c>
      <c r="O3722" s="3" t="s">
        <v>27</v>
      </c>
      <c r="P3722" s="3" t="s">
        <v>28</v>
      </c>
      <c r="Q3722" s="3" t="s">
        <v>27</v>
      </c>
      <c r="R3722" s="3" t="s">
        <v>27</v>
      </c>
      <c r="S3722" s="3" t="s">
        <v>27</v>
      </c>
      <c r="T3722" s="3" t="s">
        <v>27</v>
      </c>
    </row>
    <row r="3723" spans="1:20" ht="409.6">
      <c r="A3723" s="3">
        <v>2653982</v>
      </c>
      <c r="B3723" s="3">
        <f>HYPERLINK("https://platform.v2.vetology.net/cases/2653982/screening-report/6?type=pdf&amp;v=v6&amp;scorecard=1&amp;secret_key=BX%25IJ%24%2F65ieZ%29f6", 2653982)</f>
        <v>2653982</v>
      </c>
      <c r="C3723" s="3">
        <f>HYPERLINK("https://platform.v2.vetology.net/report/v/final/"&amp;2653982, 2653982)</f>
        <v>2653982</v>
      </c>
      <c r="D3723" s="3" t="s">
        <v>12243</v>
      </c>
      <c r="E3723" s="3" t="s">
        <v>12244</v>
      </c>
      <c r="F3723" s="3" t="s">
        <v>12245</v>
      </c>
      <c r="G3723" s="3" t="s">
        <v>1772</v>
      </c>
      <c r="H3723" s="3" t="s">
        <v>2847</v>
      </c>
      <c r="I3723" s="3" t="s">
        <v>291</v>
      </c>
      <c r="J3723" s="3" t="s">
        <v>225</v>
      </c>
      <c r="K3723" s="3" t="s">
        <v>27</v>
      </c>
      <c r="L3723" s="3" t="s">
        <v>28</v>
      </c>
      <c r="M3723" s="3" t="s">
        <v>28</v>
      </c>
      <c r="N3723" s="3" t="s">
        <v>27</v>
      </c>
      <c r="O3723" s="3" t="s">
        <v>27</v>
      </c>
      <c r="P3723" s="3" t="s">
        <v>28</v>
      </c>
      <c r="Q3723" s="3" t="s">
        <v>27</v>
      </c>
      <c r="R3723" s="3" t="s">
        <v>27</v>
      </c>
      <c r="S3723" s="3" t="s">
        <v>27</v>
      </c>
      <c r="T3723" s="3" t="s">
        <v>27</v>
      </c>
    </row>
    <row r="3724" spans="1:20" ht="409.6">
      <c r="A3724" s="3">
        <v>2653956</v>
      </c>
      <c r="B3724" s="3">
        <f>HYPERLINK("https://platform.v2.vetology.net/cases/2653956/screening-report/6?type=pdf&amp;v=v6&amp;scorecard=1&amp;secret_key=BX%25IJ%24%2F65ieZ%29f6", 2653956)</f>
        <v>2653956</v>
      </c>
      <c r="C3724" s="3">
        <f>HYPERLINK("https://platform.v2.vetology.net/report/v/final/"&amp;2653956, 2653956)</f>
        <v>2653956</v>
      </c>
      <c r="D3724" s="3" t="s">
        <v>12246</v>
      </c>
      <c r="E3724" s="3" t="s">
        <v>12247</v>
      </c>
      <c r="F3724" s="3" t="s">
        <v>12248</v>
      </c>
      <c r="G3724" s="3" t="s">
        <v>496</v>
      </c>
      <c r="H3724" s="3" t="s">
        <v>12249</v>
      </c>
      <c r="I3724" s="3" t="s">
        <v>2302</v>
      </c>
      <c r="J3724" s="3" t="s">
        <v>1058</v>
      </c>
      <c r="K3724" s="3" t="s">
        <v>28</v>
      </c>
      <c r="L3724" s="3" t="s">
        <v>28</v>
      </c>
      <c r="M3724" s="3" t="s">
        <v>28</v>
      </c>
      <c r="N3724" s="3" t="s">
        <v>28</v>
      </c>
      <c r="O3724" s="3" t="s">
        <v>27</v>
      </c>
      <c r="P3724" s="3" t="s">
        <v>28</v>
      </c>
      <c r="Q3724" s="3" t="s">
        <v>28</v>
      </c>
      <c r="R3724" s="3" t="s">
        <v>28</v>
      </c>
      <c r="S3724" s="3" t="s">
        <v>28</v>
      </c>
      <c r="T3724" s="3" t="s">
        <v>27</v>
      </c>
    </row>
    <row r="3725" spans="1:20" ht="321">
      <c r="A3725" s="3">
        <v>2653937</v>
      </c>
      <c r="B3725" s="3">
        <f>HYPERLINK("https://platform.v2.vetology.net/cases/2653937/screening-report/6?type=pdf&amp;v=v6&amp;scorecard=1&amp;secret_key=BX%25IJ%24%2F65ieZ%29f6", 2653937)</f>
        <v>2653937</v>
      </c>
      <c r="C3725" s="3">
        <f>HYPERLINK("https://platform.v2.vetology.net/report/v/final/"&amp;2653937, 2653937)</f>
        <v>2653937</v>
      </c>
      <c r="D3725" s="3" t="s">
        <v>12250</v>
      </c>
      <c r="E3725" s="3" t="s">
        <v>12251</v>
      </c>
      <c r="F3725" s="3" t="s">
        <v>12252</v>
      </c>
      <c r="G3725" s="3" t="s">
        <v>186</v>
      </c>
      <c r="H3725" s="3" t="s">
        <v>12253</v>
      </c>
      <c r="I3725" s="3" t="s">
        <v>706</v>
      </c>
      <c r="J3725" s="3" t="s">
        <v>707</v>
      </c>
      <c r="K3725" s="3" t="s">
        <v>28</v>
      </c>
      <c r="L3725" s="3" t="s">
        <v>28</v>
      </c>
      <c r="M3725" s="3" t="s">
        <v>28</v>
      </c>
      <c r="N3725" s="3" t="s">
        <v>28</v>
      </c>
      <c r="O3725" s="3" t="s">
        <v>27</v>
      </c>
      <c r="P3725" s="3" t="s">
        <v>28</v>
      </c>
      <c r="Q3725" s="3" t="s">
        <v>28</v>
      </c>
      <c r="R3725" s="3" t="s">
        <v>28</v>
      </c>
      <c r="S3725" s="3" t="s">
        <v>28</v>
      </c>
      <c r="T3725" s="3" t="s">
        <v>27</v>
      </c>
    </row>
    <row r="3726" spans="1:20" ht="366">
      <c r="A3726" s="3">
        <v>2653936</v>
      </c>
      <c r="B3726" s="3">
        <f>HYPERLINK("https://platform.v2.vetology.net/cases/2653936/screening-report/6?type=pdf&amp;v=v6&amp;scorecard=1&amp;secret_key=BX%25IJ%24%2F65ieZ%29f6", 2653936)</f>
        <v>2653936</v>
      </c>
      <c r="C3726" s="3">
        <f>HYPERLINK("https://platform.v2.vetology.net/report/v/final/"&amp;2653936, 2653936)</f>
        <v>2653936</v>
      </c>
      <c r="D3726" s="3" t="s">
        <v>12254</v>
      </c>
      <c r="E3726" s="3" t="s">
        <v>12255</v>
      </c>
      <c r="F3726" s="3" t="s">
        <v>12256</v>
      </c>
      <c r="G3726" s="3" t="s">
        <v>64</v>
      </c>
      <c r="H3726" s="3" t="s">
        <v>31</v>
      </c>
      <c r="I3726" s="3" t="s">
        <v>32</v>
      </c>
      <c r="J3726" s="3" t="s">
        <v>119</v>
      </c>
      <c r="K3726" s="3" t="s">
        <v>28</v>
      </c>
      <c r="L3726" s="3" t="s">
        <v>28</v>
      </c>
      <c r="M3726" s="3" t="s">
        <v>28</v>
      </c>
      <c r="N3726" s="3" t="s">
        <v>28</v>
      </c>
      <c r="O3726" s="3" t="s">
        <v>28</v>
      </c>
      <c r="P3726" s="3" t="s">
        <v>28</v>
      </c>
      <c r="Q3726" s="3" t="s">
        <v>28</v>
      </c>
      <c r="R3726" s="3" t="s">
        <v>28</v>
      </c>
      <c r="S3726" s="3" t="s">
        <v>28</v>
      </c>
      <c r="T3726" s="3" t="s">
        <v>28</v>
      </c>
    </row>
    <row r="3727" spans="1:20" ht="409.6">
      <c r="A3727" s="3">
        <v>2653903</v>
      </c>
      <c r="B3727" s="3">
        <f>HYPERLINK("https://platform.v2.vetology.net/cases/2653903/screening-report/6?type=pdf&amp;v=v6&amp;scorecard=1&amp;secret_key=BX%25IJ%24%2F65ieZ%29f6", 2653903)</f>
        <v>2653903</v>
      </c>
      <c r="C3727" s="3">
        <f>HYPERLINK("https://platform.v2.vetology.net/report/v/final/"&amp;2653903, 2653903)</f>
        <v>2653903</v>
      </c>
      <c r="D3727" s="3" t="s">
        <v>12257</v>
      </c>
      <c r="E3727" s="3" t="s">
        <v>12258</v>
      </c>
      <c r="F3727" s="3" t="s">
        <v>22</v>
      </c>
      <c r="G3727" s="3" t="s">
        <v>23</v>
      </c>
      <c r="H3727" s="3" t="s">
        <v>12259</v>
      </c>
      <c r="I3727" s="3" t="s">
        <v>3733</v>
      </c>
      <c r="J3727" s="3" t="s">
        <v>3734</v>
      </c>
      <c r="K3727" s="3" t="s">
        <v>28</v>
      </c>
      <c r="L3727" s="3" t="s">
        <v>27</v>
      </c>
      <c r="M3727" s="3" t="s">
        <v>27</v>
      </c>
      <c r="N3727" s="3" t="s">
        <v>27</v>
      </c>
      <c r="O3727" s="3" t="s">
        <v>27</v>
      </c>
      <c r="P3727" s="3" t="s">
        <v>28</v>
      </c>
      <c r="Q3727" s="3" t="s">
        <v>28</v>
      </c>
      <c r="R3727" s="3" t="s">
        <v>28</v>
      </c>
      <c r="S3727" s="3" t="s">
        <v>28</v>
      </c>
      <c r="T3727" s="3" t="s">
        <v>28</v>
      </c>
    </row>
    <row r="3728" spans="1:20" ht="321">
      <c r="A3728" s="3">
        <v>2653865</v>
      </c>
      <c r="B3728" s="3">
        <f>HYPERLINK("https://platform.v2.vetology.net/cases/2653865/screening-report/6?type=pdf&amp;v=v6&amp;scorecard=1&amp;secret_key=BX%25IJ%24%2F65ieZ%29f6", 2653865)</f>
        <v>2653865</v>
      </c>
      <c r="C3728" s="3">
        <f>HYPERLINK("https://platform.v2.vetology.net/report/v/final/"&amp;2653865, 2653865)</f>
        <v>2653865</v>
      </c>
      <c r="D3728" s="3" t="s">
        <v>12260</v>
      </c>
      <c r="E3728" s="3" t="s">
        <v>12261</v>
      </c>
      <c r="F3728" s="3" t="s">
        <v>3379</v>
      </c>
      <c r="G3728" s="3" t="s">
        <v>496</v>
      </c>
      <c r="H3728" s="3" t="s">
        <v>2523</v>
      </c>
      <c r="I3728" s="3" t="s">
        <v>2524</v>
      </c>
      <c r="J3728" s="3" t="s">
        <v>1374</v>
      </c>
      <c r="K3728" s="3" t="s">
        <v>27</v>
      </c>
      <c r="L3728" s="3" t="s">
        <v>27</v>
      </c>
      <c r="M3728" s="3" t="s">
        <v>27</v>
      </c>
      <c r="N3728" s="3" t="s">
        <v>28</v>
      </c>
      <c r="O3728" s="3" t="s">
        <v>27</v>
      </c>
      <c r="P3728" s="3" t="s">
        <v>28</v>
      </c>
      <c r="Q3728" s="3" t="s">
        <v>27</v>
      </c>
      <c r="R3728" s="3" t="s">
        <v>27</v>
      </c>
      <c r="S3728" s="3" t="s">
        <v>27</v>
      </c>
      <c r="T3728" s="3" t="s">
        <v>27</v>
      </c>
    </row>
    <row r="3729" spans="1:20" ht="409.6">
      <c r="A3729" s="3">
        <v>2653854</v>
      </c>
      <c r="B3729" s="3">
        <f>HYPERLINK("https://platform.v2.vetology.net/cases/2653854/screening-report/6?type=pdf&amp;v=v6&amp;scorecard=1&amp;secret_key=BX%25IJ%24%2F65ieZ%29f6", 2653854)</f>
        <v>2653854</v>
      </c>
      <c r="C3729" s="3">
        <f>HYPERLINK("https://platform.v2.vetology.net/report/v/final/"&amp;2653854, 2653854)</f>
        <v>2653854</v>
      </c>
      <c r="D3729" s="3" t="s">
        <v>12262</v>
      </c>
      <c r="E3729" s="3" t="s">
        <v>12263</v>
      </c>
      <c r="F3729" s="3" t="s">
        <v>10673</v>
      </c>
      <c r="G3729" s="3" t="s">
        <v>100</v>
      </c>
      <c r="H3729" s="3" t="s">
        <v>7269</v>
      </c>
      <c r="I3729" s="3" t="s">
        <v>7270</v>
      </c>
      <c r="J3729" s="3" t="s">
        <v>2046</v>
      </c>
      <c r="K3729" s="3" t="s">
        <v>27</v>
      </c>
      <c r="L3729" s="3" t="s">
        <v>27</v>
      </c>
      <c r="M3729" s="3" t="s">
        <v>27</v>
      </c>
      <c r="N3729" s="3" t="s">
        <v>28</v>
      </c>
      <c r="O3729" s="3" t="s">
        <v>27</v>
      </c>
      <c r="P3729" s="3" t="s">
        <v>27</v>
      </c>
      <c r="Q3729" s="3" t="s">
        <v>27</v>
      </c>
      <c r="R3729" s="3" t="s">
        <v>28</v>
      </c>
      <c r="S3729" s="3" t="s">
        <v>28</v>
      </c>
      <c r="T3729" s="3" t="s">
        <v>28</v>
      </c>
    </row>
    <row r="3730" spans="1:20" ht="336">
      <c r="A3730" s="3">
        <v>2653833</v>
      </c>
      <c r="B3730" s="3">
        <f>HYPERLINK("https://platform.v2.vetology.net/cases/2653833/screening-report/6?type=pdf&amp;v=v6&amp;scorecard=1&amp;secret_key=BX%25IJ%24%2F65ieZ%29f6", 2653833)</f>
        <v>2653833</v>
      </c>
      <c r="C3730" s="3">
        <f>HYPERLINK("https://platform.v2.vetology.net/report/v/final/"&amp;2653833, 2653833)</f>
        <v>2653833</v>
      </c>
      <c r="D3730" s="3" t="s">
        <v>12264</v>
      </c>
      <c r="E3730" s="3" t="s">
        <v>12265</v>
      </c>
      <c r="F3730" s="3" t="s">
        <v>22</v>
      </c>
      <c r="G3730" s="3" t="s">
        <v>23</v>
      </c>
      <c r="H3730" s="3" t="s">
        <v>864</v>
      </c>
      <c r="I3730" s="3" t="s">
        <v>865</v>
      </c>
      <c r="J3730" s="3" t="s">
        <v>866</v>
      </c>
      <c r="K3730" s="3" t="s">
        <v>28</v>
      </c>
      <c r="L3730" s="3" t="s">
        <v>28</v>
      </c>
      <c r="M3730" s="3" t="s">
        <v>28</v>
      </c>
      <c r="N3730" s="3" t="s">
        <v>28</v>
      </c>
      <c r="O3730" s="3" t="s">
        <v>27</v>
      </c>
      <c r="P3730" s="3" t="s">
        <v>28</v>
      </c>
      <c r="Q3730" s="3" t="s">
        <v>28</v>
      </c>
      <c r="R3730" s="3" t="s">
        <v>28</v>
      </c>
      <c r="S3730" s="3" t="s">
        <v>28</v>
      </c>
      <c r="T3730" s="3" t="s">
        <v>28</v>
      </c>
    </row>
    <row r="3731" spans="1:20" ht="366">
      <c r="A3731" s="3">
        <v>2653816</v>
      </c>
      <c r="B3731" s="3">
        <f>HYPERLINK("https://platform.v2.vetology.net/cases/2653816/screening-report/6?type=pdf&amp;v=v6&amp;scorecard=1&amp;secret_key=BX%25IJ%24%2F65ieZ%29f6", 2653816)</f>
        <v>2653816</v>
      </c>
      <c r="C3731" s="3">
        <f>HYPERLINK("https://platform.v2.vetology.net/report/v/final/"&amp;2653816, 2653816)</f>
        <v>2653816</v>
      </c>
      <c r="D3731" s="3" t="s">
        <v>12266</v>
      </c>
      <c r="E3731" s="3" t="s">
        <v>12267</v>
      </c>
      <c r="F3731" s="3" t="s">
        <v>12268</v>
      </c>
      <c r="G3731" s="3" t="s">
        <v>57</v>
      </c>
      <c r="H3731" s="3" t="s">
        <v>187</v>
      </c>
      <c r="I3731" s="3" t="s">
        <v>188</v>
      </c>
      <c r="J3731" s="3" t="s">
        <v>189</v>
      </c>
      <c r="K3731" s="3" t="s">
        <v>28</v>
      </c>
      <c r="L3731" s="3" t="s">
        <v>28</v>
      </c>
      <c r="M3731" s="3" t="s">
        <v>28</v>
      </c>
      <c r="N3731" s="3" t="s">
        <v>28</v>
      </c>
      <c r="O3731" s="3" t="s">
        <v>27</v>
      </c>
      <c r="P3731" s="3" t="s">
        <v>28</v>
      </c>
      <c r="Q3731" s="3" t="s">
        <v>27</v>
      </c>
      <c r="R3731" s="3" t="s">
        <v>28</v>
      </c>
      <c r="S3731" s="3" t="s">
        <v>28</v>
      </c>
      <c r="T3731" s="3" t="s">
        <v>28</v>
      </c>
    </row>
    <row r="3732" spans="1:20" ht="409.6">
      <c r="A3732" s="3">
        <v>2653810</v>
      </c>
      <c r="B3732" s="3">
        <f>HYPERLINK("https://platform.v2.vetology.net/cases/2653810/screening-report/6?type=pdf&amp;v=v6&amp;scorecard=1&amp;secret_key=BX%25IJ%24%2F65ieZ%29f6", 2653810)</f>
        <v>2653810</v>
      </c>
      <c r="C3732" s="3">
        <f>HYPERLINK("https://platform.v2.vetology.net/report/v/final/"&amp;2653810, 2653810)</f>
        <v>2653810</v>
      </c>
      <c r="D3732" s="3" t="s">
        <v>12269</v>
      </c>
      <c r="E3732" s="3" t="s">
        <v>12270</v>
      </c>
      <c r="F3732" s="3" t="s">
        <v>12271</v>
      </c>
      <c r="G3732" s="3" t="s">
        <v>1772</v>
      </c>
      <c r="H3732" s="3" t="s">
        <v>12272</v>
      </c>
      <c r="I3732" s="3" t="s">
        <v>3270</v>
      </c>
      <c r="J3732" s="3" t="s">
        <v>1021</v>
      </c>
      <c r="K3732" s="3" t="s">
        <v>28</v>
      </c>
      <c r="L3732" s="3" t="s">
        <v>28</v>
      </c>
      <c r="M3732" s="3" t="s">
        <v>27</v>
      </c>
      <c r="N3732" s="3" t="s">
        <v>28</v>
      </c>
      <c r="O3732" s="3" t="s">
        <v>27</v>
      </c>
      <c r="P3732" s="3" t="s">
        <v>28</v>
      </c>
      <c r="Q3732" s="3" t="s">
        <v>27</v>
      </c>
      <c r="R3732" s="3" t="s">
        <v>28</v>
      </c>
      <c r="S3732" s="3" t="s">
        <v>28</v>
      </c>
      <c r="T3732" s="3" t="s">
        <v>28</v>
      </c>
    </row>
    <row r="3733" spans="1:20" ht="409.6">
      <c r="A3733" s="3">
        <v>2653695</v>
      </c>
      <c r="B3733" s="3">
        <f>HYPERLINK("https://platform.v2.vetology.net/cases/2653695/screening-report/6?type=pdf&amp;v=v6&amp;scorecard=1&amp;secret_key=BX%25IJ%24%2F65ieZ%29f6", 2653695)</f>
        <v>2653695</v>
      </c>
      <c r="C3733" s="3">
        <f>HYPERLINK("https://platform.v2.vetology.net/report/v/final/"&amp;2653695, 2653695)</f>
        <v>2653695</v>
      </c>
      <c r="D3733" s="3" t="s">
        <v>12273</v>
      </c>
      <c r="E3733" s="3" t="s">
        <v>12274</v>
      </c>
      <c r="F3733" s="3" t="s">
        <v>12275</v>
      </c>
      <c r="G3733" s="3" t="s">
        <v>1772</v>
      </c>
      <c r="H3733" s="3" t="s">
        <v>12276</v>
      </c>
      <c r="I3733" s="3" t="s">
        <v>596</v>
      </c>
      <c r="J3733" s="3" t="s">
        <v>597</v>
      </c>
      <c r="K3733" s="3" t="s">
        <v>28</v>
      </c>
      <c r="L3733" s="3" t="s">
        <v>28</v>
      </c>
      <c r="M3733" s="3" t="s">
        <v>28</v>
      </c>
      <c r="N3733" s="3" t="s">
        <v>27</v>
      </c>
      <c r="O3733" s="3" t="s">
        <v>27</v>
      </c>
      <c r="P3733" s="3" t="s">
        <v>28</v>
      </c>
      <c r="Q3733" s="3" t="s">
        <v>28</v>
      </c>
      <c r="R3733" s="3" t="s">
        <v>27</v>
      </c>
      <c r="S3733" s="3" t="s">
        <v>28</v>
      </c>
      <c r="T3733" s="3" t="s">
        <v>27</v>
      </c>
    </row>
    <row r="3734" spans="1:20" ht="336">
      <c r="A3734" s="3">
        <v>2653689</v>
      </c>
      <c r="B3734" s="3">
        <f>HYPERLINK("https://platform.v2.vetology.net/cases/2653689/screening-report/6?type=pdf&amp;v=v6&amp;scorecard=1&amp;secret_key=BX%25IJ%24%2F65ieZ%29f6", 2653689)</f>
        <v>2653689</v>
      </c>
      <c r="C3734" s="3">
        <f>HYPERLINK("https://platform.v2.vetology.net/report/v/final/"&amp;2653689, 2653689)</f>
        <v>2653689</v>
      </c>
      <c r="D3734" s="3" t="s">
        <v>12277</v>
      </c>
      <c r="E3734" s="3" t="s">
        <v>12278</v>
      </c>
      <c r="F3734" s="3" t="s">
        <v>8508</v>
      </c>
      <c r="G3734" s="3" t="s">
        <v>211</v>
      </c>
      <c r="H3734" s="3" t="s">
        <v>223</v>
      </c>
      <c r="I3734" s="3" t="s">
        <v>224</v>
      </c>
      <c r="J3734" s="3" t="s">
        <v>225</v>
      </c>
      <c r="K3734" s="3" t="s">
        <v>28</v>
      </c>
      <c r="L3734" s="3" t="s">
        <v>28</v>
      </c>
      <c r="M3734" s="3" t="s">
        <v>28</v>
      </c>
      <c r="N3734" s="3" t="s">
        <v>28</v>
      </c>
      <c r="O3734" s="3" t="s">
        <v>27</v>
      </c>
      <c r="P3734" s="3" t="s">
        <v>28</v>
      </c>
      <c r="Q3734" s="3" t="s">
        <v>28</v>
      </c>
      <c r="R3734" s="3" t="s">
        <v>28</v>
      </c>
      <c r="S3734" s="3" t="s">
        <v>27</v>
      </c>
      <c r="T3734" s="3" t="s">
        <v>27</v>
      </c>
    </row>
    <row r="3735" spans="1:20" ht="381.75">
      <c r="A3735" s="3">
        <v>2653667</v>
      </c>
      <c r="B3735" s="3">
        <f>HYPERLINK("https://platform.v2.vetology.net/cases/2653667/screening-report/6?type=pdf&amp;v=v6&amp;scorecard=1&amp;secret_key=BX%25IJ%24%2F65ieZ%29f6", 2653667)</f>
        <v>2653667</v>
      </c>
      <c r="C3735" s="3">
        <f>HYPERLINK("https://platform.v2.vetology.net/report/v/final/"&amp;2653667, 2653667)</f>
        <v>2653667</v>
      </c>
      <c r="D3735" s="3" t="s">
        <v>12279</v>
      </c>
      <c r="E3735" s="3" t="s">
        <v>12280</v>
      </c>
      <c r="F3735" s="3" t="s">
        <v>12281</v>
      </c>
      <c r="G3735" s="3" t="s">
        <v>57</v>
      </c>
      <c r="H3735" s="3" t="s">
        <v>419</v>
      </c>
      <c r="I3735" s="3" t="s">
        <v>316</v>
      </c>
      <c r="J3735" s="3" t="s">
        <v>317</v>
      </c>
      <c r="K3735" s="3" t="s">
        <v>27</v>
      </c>
      <c r="L3735" s="3" t="s">
        <v>28</v>
      </c>
      <c r="M3735" s="3" t="s">
        <v>28</v>
      </c>
      <c r="N3735" s="3" t="s">
        <v>28</v>
      </c>
      <c r="O3735" s="3" t="s">
        <v>27</v>
      </c>
      <c r="P3735" s="3" t="s">
        <v>28</v>
      </c>
      <c r="Q3735" s="3" t="s">
        <v>28</v>
      </c>
      <c r="R3735" s="3" t="s">
        <v>28</v>
      </c>
      <c r="S3735" s="3" t="s">
        <v>28</v>
      </c>
      <c r="T3735" s="3" t="s">
        <v>28</v>
      </c>
    </row>
    <row r="3736" spans="1:20" ht="381.75">
      <c r="A3736" s="3">
        <v>2653610</v>
      </c>
      <c r="B3736" s="3">
        <f>HYPERLINK("https://platform.v2.vetology.net/cases/2653610/screening-report/6?type=pdf&amp;v=v6&amp;scorecard=1&amp;secret_key=BX%25IJ%24%2F65ieZ%29f6", 2653610)</f>
        <v>2653610</v>
      </c>
      <c r="C3736" s="3">
        <f>HYPERLINK("https://platform.v2.vetology.net/report/v/final/"&amp;2653610, 2653610)</f>
        <v>2653610</v>
      </c>
      <c r="D3736" s="3" t="s">
        <v>12282</v>
      </c>
      <c r="E3736" s="3" t="s">
        <v>12283</v>
      </c>
      <c r="F3736" s="3" t="s">
        <v>1765</v>
      </c>
      <c r="G3736" s="3" t="s">
        <v>57</v>
      </c>
      <c r="H3736" s="3" t="s">
        <v>12284</v>
      </c>
      <c r="I3736" s="3" t="s">
        <v>2821</v>
      </c>
      <c r="J3736" s="3" t="s">
        <v>2822</v>
      </c>
      <c r="K3736" s="3" t="s">
        <v>28</v>
      </c>
      <c r="L3736" s="3" t="s">
        <v>28</v>
      </c>
      <c r="M3736" s="3" t="s">
        <v>28</v>
      </c>
      <c r="N3736" s="3" t="s">
        <v>28</v>
      </c>
      <c r="O3736" s="3" t="s">
        <v>28</v>
      </c>
      <c r="P3736" s="3" t="s">
        <v>28</v>
      </c>
      <c r="Q3736" s="3" t="s">
        <v>28</v>
      </c>
      <c r="R3736" s="3" t="s">
        <v>28</v>
      </c>
      <c r="S3736" s="3" t="s">
        <v>28</v>
      </c>
      <c r="T3736" s="3" t="s">
        <v>27</v>
      </c>
    </row>
    <row r="3737" spans="1:20" ht="409.6">
      <c r="A3737" s="3">
        <v>2653593</v>
      </c>
      <c r="B3737" s="3">
        <f>HYPERLINK("https://platform.v2.vetology.net/cases/2653593/screening-report/6?type=pdf&amp;v=v6&amp;scorecard=1&amp;secret_key=BX%25IJ%24%2F65ieZ%29f6", 2653593)</f>
        <v>2653593</v>
      </c>
      <c r="C3737" s="3">
        <f>HYPERLINK("https://platform.v2.vetology.net/report/v/final/"&amp;2653593, 2653593)</f>
        <v>2653593</v>
      </c>
      <c r="D3737" s="3" t="s">
        <v>12285</v>
      </c>
      <c r="E3737" s="3" t="s">
        <v>12286</v>
      </c>
      <c r="F3737" s="3" t="s">
        <v>12287</v>
      </c>
      <c r="G3737" s="3" t="s">
        <v>736</v>
      </c>
      <c r="H3737" s="3" t="s">
        <v>12288</v>
      </c>
      <c r="I3737" s="3" t="s">
        <v>32</v>
      </c>
      <c r="J3737" s="3" t="s">
        <v>578</v>
      </c>
      <c r="K3737" s="3" t="s">
        <v>28</v>
      </c>
      <c r="L3737" s="3" t="s">
        <v>28</v>
      </c>
      <c r="M3737" s="3" t="s">
        <v>28</v>
      </c>
      <c r="N3737" s="3" t="s">
        <v>28</v>
      </c>
      <c r="O3737" s="3" t="s">
        <v>27</v>
      </c>
      <c r="P3737" s="3" t="s">
        <v>28</v>
      </c>
      <c r="Q3737" s="3" t="s">
        <v>27</v>
      </c>
      <c r="R3737" s="3" t="s">
        <v>28</v>
      </c>
      <c r="S3737" s="3" t="s">
        <v>28</v>
      </c>
      <c r="T3737" s="3" t="s">
        <v>28</v>
      </c>
    </row>
    <row r="3738" spans="1:20" ht="366">
      <c r="A3738" s="3">
        <v>2653592</v>
      </c>
      <c r="B3738" s="3">
        <f>HYPERLINK("https://platform.v2.vetology.net/cases/2653592/screening-report/6?type=pdf&amp;v=v6&amp;scorecard=1&amp;secret_key=BX%25IJ%24%2F65ieZ%29f6", 2653592)</f>
        <v>2653592</v>
      </c>
      <c r="C3738" s="3">
        <f>HYPERLINK("https://platform.v2.vetology.net/report/v/final/"&amp;2653592, 2653592)</f>
        <v>2653592</v>
      </c>
      <c r="D3738" s="3" t="s">
        <v>12289</v>
      </c>
      <c r="E3738" s="3" t="s">
        <v>12290</v>
      </c>
      <c r="F3738" s="3" t="s">
        <v>22</v>
      </c>
      <c r="G3738" s="3" t="s">
        <v>23</v>
      </c>
      <c r="H3738" s="3" t="s">
        <v>12291</v>
      </c>
      <c r="I3738" s="3" t="s">
        <v>200</v>
      </c>
      <c r="J3738" s="3" t="s">
        <v>219</v>
      </c>
      <c r="K3738" s="3" t="s">
        <v>27</v>
      </c>
      <c r="L3738" s="3" t="s">
        <v>28</v>
      </c>
      <c r="M3738" s="3" t="s">
        <v>28</v>
      </c>
      <c r="N3738" s="3" t="s">
        <v>28</v>
      </c>
      <c r="O3738" s="3" t="s">
        <v>27</v>
      </c>
      <c r="P3738" s="3" t="s">
        <v>28</v>
      </c>
      <c r="Q3738" s="3" t="s">
        <v>28</v>
      </c>
      <c r="R3738" s="3" t="s">
        <v>28</v>
      </c>
      <c r="S3738" s="3" t="s">
        <v>28</v>
      </c>
      <c r="T3738" s="3" t="s">
        <v>28</v>
      </c>
    </row>
    <row r="3739" spans="1:20" ht="366">
      <c r="A3739" s="3">
        <v>2653589</v>
      </c>
      <c r="B3739" s="3">
        <f>HYPERLINK("https://platform.v2.vetology.net/cases/2653589/screening-report/6?type=pdf&amp;v=v6&amp;scorecard=1&amp;secret_key=BX%25IJ%24%2F65ieZ%29f6", 2653589)</f>
        <v>2653589</v>
      </c>
      <c r="C3739" s="3">
        <f>HYPERLINK("https://platform.v2.vetology.net/report/v/final/"&amp;2653589, 2653589)</f>
        <v>2653589</v>
      </c>
      <c r="D3739" s="3" t="s">
        <v>12292</v>
      </c>
      <c r="E3739" s="3" t="s">
        <v>12293</v>
      </c>
      <c r="F3739" s="3" t="s">
        <v>22</v>
      </c>
      <c r="G3739" s="3" t="s">
        <v>100</v>
      </c>
      <c r="H3739" s="3" t="s">
        <v>12294</v>
      </c>
      <c r="I3739" s="3" t="s">
        <v>9798</v>
      </c>
      <c r="J3739" s="3" t="s">
        <v>9799</v>
      </c>
      <c r="K3739" s="3" t="s">
        <v>28</v>
      </c>
      <c r="L3739" s="3" t="s">
        <v>27</v>
      </c>
      <c r="M3739" s="3" t="s">
        <v>28</v>
      </c>
      <c r="N3739" s="3" t="s">
        <v>27</v>
      </c>
      <c r="O3739" s="3" t="s">
        <v>27</v>
      </c>
      <c r="P3739" s="3" t="s">
        <v>28</v>
      </c>
      <c r="Q3739" s="3" t="s">
        <v>28</v>
      </c>
      <c r="R3739" s="3" t="s">
        <v>27</v>
      </c>
      <c r="S3739" s="3" t="s">
        <v>27</v>
      </c>
      <c r="T3739" s="3" t="s">
        <v>27</v>
      </c>
    </row>
    <row r="3740" spans="1:20" ht="305.25">
      <c r="A3740" s="3">
        <v>2653564</v>
      </c>
      <c r="B3740" s="3">
        <f>HYPERLINK("https://platform.v2.vetology.net/cases/2653564/screening-report/6?type=pdf&amp;v=v6&amp;scorecard=1&amp;secret_key=BX%25IJ%24%2F65ieZ%29f6", 2653564)</f>
        <v>2653564</v>
      </c>
      <c r="C3740" s="3">
        <f>HYPERLINK("https://platform.v2.vetology.net/report/v/final/"&amp;2653564, 2653564)</f>
        <v>2653564</v>
      </c>
      <c r="D3740" s="3" t="s">
        <v>12295</v>
      </c>
      <c r="E3740" s="3" t="s">
        <v>12296</v>
      </c>
      <c r="F3740" s="3" t="s">
        <v>12297</v>
      </c>
      <c r="G3740" s="3" t="s">
        <v>186</v>
      </c>
      <c r="H3740" s="3" t="s">
        <v>12298</v>
      </c>
      <c r="I3740" s="3" t="s">
        <v>793</v>
      </c>
      <c r="J3740" s="3" t="s">
        <v>794</v>
      </c>
      <c r="K3740" s="3" t="s">
        <v>28</v>
      </c>
      <c r="L3740" s="3" t="s">
        <v>28</v>
      </c>
      <c r="M3740" s="3" t="s">
        <v>28</v>
      </c>
      <c r="N3740" s="3" t="s">
        <v>28</v>
      </c>
      <c r="O3740" s="3" t="s">
        <v>28</v>
      </c>
      <c r="P3740" s="3" t="s">
        <v>28</v>
      </c>
      <c r="Q3740" s="3" t="s">
        <v>28</v>
      </c>
      <c r="R3740" s="3" t="s">
        <v>28</v>
      </c>
      <c r="S3740" s="3" t="s">
        <v>28</v>
      </c>
      <c r="T3740" s="3" t="s">
        <v>28</v>
      </c>
    </row>
    <row r="3741" spans="1:20" ht="351">
      <c r="A3741" s="3">
        <v>2653563</v>
      </c>
      <c r="B3741" s="3">
        <f>HYPERLINK("https://platform.v2.vetology.net/cases/2653563/screening-report/6?type=pdf&amp;v=v6&amp;scorecard=1&amp;secret_key=BX%25IJ%24%2F65ieZ%29f6", 2653563)</f>
        <v>2653563</v>
      </c>
      <c r="C3741" s="3">
        <f>HYPERLINK("https://platform.v2.vetology.net/report/v/final/"&amp;2653563, 2653563)</f>
        <v>2653563</v>
      </c>
      <c r="D3741" s="3" t="s">
        <v>12299</v>
      </c>
      <c r="E3741" s="3" t="s">
        <v>12300</v>
      </c>
      <c r="F3741" s="3" t="s">
        <v>12301</v>
      </c>
      <c r="G3741" s="3" t="s">
        <v>186</v>
      </c>
      <c r="H3741" s="3" t="s">
        <v>7553</v>
      </c>
      <c r="I3741" s="3" t="s">
        <v>2011</v>
      </c>
      <c r="J3741" s="3" t="s">
        <v>225</v>
      </c>
      <c r="K3741" s="3" t="s">
        <v>28</v>
      </c>
      <c r="L3741" s="3" t="s">
        <v>28</v>
      </c>
      <c r="M3741" s="3" t="s">
        <v>28</v>
      </c>
      <c r="N3741" s="3" t="s">
        <v>27</v>
      </c>
      <c r="O3741" s="3" t="s">
        <v>27</v>
      </c>
      <c r="P3741" s="3" t="s">
        <v>28</v>
      </c>
      <c r="Q3741" s="3" t="s">
        <v>27</v>
      </c>
      <c r="R3741" s="3" t="s">
        <v>27</v>
      </c>
      <c r="S3741" s="3" t="s">
        <v>27</v>
      </c>
      <c r="T3741" s="3" t="s">
        <v>27</v>
      </c>
    </row>
    <row r="3742" spans="1:20" ht="259.5">
      <c r="A3742" s="3">
        <v>2653548</v>
      </c>
      <c r="B3742" s="3">
        <f>HYPERLINK("https://platform.v2.vetology.net/cases/2653548/screening-report/6?type=pdf&amp;v=v6&amp;scorecard=1&amp;secret_key=BX%25IJ%24%2F65ieZ%29f6", 2653548)</f>
        <v>2653548</v>
      </c>
      <c r="C3742" s="3">
        <f>HYPERLINK("https://platform.v2.vetology.net/report/v/final/"&amp;2653548, 2653548)</f>
        <v>2653548</v>
      </c>
      <c r="D3742" s="3" t="s">
        <v>12302</v>
      </c>
      <c r="E3742" s="3" t="s">
        <v>12303</v>
      </c>
      <c r="F3742" s="3" t="s">
        <v>5418</v>
      </c>
      <c r="G3742" s="3" t="s">
        <v>186</v>
      </c>
      <c r="H3742" s="3" t="s">
        <v>2267</v>
      </c>
      <c r="I3742" s="3" t="s">
        <v>305</v>
      </c>
      <c r="J3742" s="3" t="s">
        <v>119</v>
      </c>
      <c r="K3742" s="3" t="s">
        <v>28</v>
      </c>
      <c r="L3742" s="3" t="s">
        <v>28</v>
      </c>
      <c r="M3742" s="3" t="s">
        <v>28</v>
      </c>
      <c r="N3742" s="3" t="s">
        <v>28</v>
      </c>
      <c r="O3742" s="3" t="s">
        <v>28</v>
      </c>
      <c r="P3742" s="3" t="s">
        <v>28</v>
      </c>
      <c r="Q3742" s="3" t="s">
        <v>28</v>
      </c>
      <c r="R3742" s="3" t="s">
        <v>28</v>
      </c>
      <c r="S3742" s="3" t="s">
        <v>28</v>
      </c>
      <c r="T3742" s="3" t="s">
        <v>28</v>
      </c>
    </row>
    <row r="3743" spans="1:20" ht="366">
      <c r="A3743" s="3">
        <v>2653498</v>
      </c>
      <c r="B3743" s="3">
        <f>HYPERLINK("https://platform.v2.vetology.net/cases/2653498/screening-report/6?type=pdf&amp;v=v6&amp;scorecard=1&amp;secret_key=BX%25IJ%24%2F65ieZ%29f6", 2653498)</f>
        <v>2653498</v>
      </c>
      <c r="C3743" s="3">
        <f>HYPERLINK("https://platform.v2.vetology.net/report/v/final/"&amp;2653498, 2653498)</f>
        <v>2653498</v>
      </c>
      <c r="D3743" s="3" t="s">
        <v>12304</v>
      </c>
      <c r="E3743" s="3" t="s">
        <v>12305</v>
      </c>
      <c r="F3743" s="3" t="s">
        <v>12306</v>
      </c>
      <c r="G3743" s="3" t="s">
        <v>186</v>
      </c>
      <c r="H3743" s="3" t="s">
        <v>7426</v>
      </c>
      <c r="I3743" s="3" t="s">
        <v>2565</v>
      </c>
      <c r="J3743" s="3" t="s">
        <v>2566</v>
      </c>
      <c r="K3743" s="3" t="s">
        <v>28</v>
      </c>
      <c r="L3743" s="3" t="s">
        <v>27</v>
      </c>
      <c r="M3743" s="3" t="s">
        <v>28</v>
      </c>
      <c r="N3743" s="3" t="s">
        <v>27</v>
      </c>
      <c r="O3743" s="3" t="s">
        <v>27</v>
      </c>
      <c r="P3743" s="3" t="s">
        <v>28</v>
      </c>
      <c r="Q3743" s="3" t="s">
        <v>27</v>
      </c>
      <c r="R3743" s="3" t="s">
        <v>27</v>
      </c>
      <c r="S3743" s="3" t="s">
        <v>27</v>
      </c>
      <c r="T3743" s="3" t="s">
        <v>27</v>
      </c>
    </row>
    <row r="3744" spans="1:20" ht="409.6">
      <c r="A3744" s="3">
        <v>2653425</v>
      </c>
      <c r="B3744" s="3">
        <f>HYPERLINK("https://platform.v2.vetology.net/cases/2653425/screening-report/6?type=pdf&amp;v=v6&amp;scorecard=1&amp;secret_key=BX%25IJ%24%2F65ieZ%29f6", 2653425)</f>
        <v>2653425</v>
      </c>
      <c r="C3744" s="3">
        <f>HYPERLINK("https://platform.v2.vetology.net/report/v/final/"&amp;2653425, 2653425)</f>
        <v>2653425</v>
      </c>
      <c r="D3744" s="3" t="s">
        <v>12307</v>
      </c>
      <c r="E3744" s="3" t="s">
        <v>12308</v>
      </c>
      <c r="F3744" s="3" t="s">
        <v>12309</v>
      </c>
      <c r="G3744" s="3" t="s">
        <v>179</v>
      </c>
      <c r="H3744" s="3" t="s">
        <v>12310</v>
      </c>
      <c r="I3744" s="3" t="s">
        <v>108</v>
      </c>
      <c r="J3744" s="3" t="s">
        <v>109</v>
      </c>
      <c r="K3744" s="3" t="s">
        <v>28</v>
      </c>
      <c r="L3744" s="3" t="s">
        <v>28</v>
      </c>
      <c r="M3744" s="3" t="s">
        <v>28</v>
      </c>
      <c r="N3744" s="3" t="s">
        <v>27</v>
      </c>
      <c r="O3744" s="3" t="s">
        <v>27</v>
      </c>
      <c r="P3744" s="3" t="s">
        <v>28</v>
      </c>
      <c r="Q3744" s="3" t="s">
        <v>28</v>
      </c>
      <c r="R3744" s="3" t="s">
        <v>27</v>
      </c>
      <c r="S3744" s="3" t="s">
        <v>27</v>
      </c>
      <c r="T3744" s="3" t="s">
        <v>27</v>
      </c>
    </row>
    <row r="3745" spans="1:20" ht="409.6">
      <c r="A3745" s="3">
        <v>2653418</v>
      </c>
      <c r="B3745" s="3">
        <f>HYPERLINK("https://platform.v2.vetology.net/cases/2653418/screening-report/6?type=pdf&amp;v=v6&amp;scorecard=1&amp;secret_key=BX%25IJ%24%2F65ieZ%29f6", 2653418)</f>
        <v>2653418</v>
      </c>
      <c r="C3745" s="3">
        <f>HYPERLINK("https://platform.v2.vetology.net/report/v/final/"&amp;2653418, 2653418)</f>
        <v>2653418</v>
      </c>
      <c r="D3745" s="3" t="s">
        <v>12311</v>
      </c>
      <c r="E3745" s="3" t="s">
        <v>12312</v>
      </c>
      <c r="F3745" s="3" t="s">
        <v>12313</v>
      </c>
      <c r="G3745" s="3" t="s">
        <v>566</v>
      </c>
      <c r="H3745" s="3" t="s">
        <v>12314</v>
      </c>
      <c r="I3745" s="3" t="s">
        <v>224</v>
      </c>
      <c r="J3745" s="3" t="s">
        <v>225</v>
      </c>
      <c r="K3745" s="3" t="s">
        <v>28</v>
      </c>
      <c r="L3745" s="3" t="s">
        <v>27</v>
      </c>
      <c r="M3745" s="3" t="s">
        <v>28</v>
      </c>
      <c r="N3745" s="3" t="s">
        <v>28</v>
      </c>
      <c r="O3745" s="3" t="s">
        <v>27</v>
      </c>
      <c r="P3745" s="3" t="s">
        <v>28</v>
      </c>
      <c r="Q3745" s="3" t="s">
        <v>28</v>
      </c>
      <c r="R3745" s="3" t="s">
        <v>28</v>
      </c>
      <c r="S3745" s="3" t="s">
        <v>27</v>
      </c>
      <c r="T3745" s="3" t="s">
        <v>27</v>
      </c>
    </row>
    <row r="3746" spans="1:20" ht="409.6">
      <c r="A3746" s="3">
        <v>2653406</v>
      </c>
      <c r="B3746" s="3">
        <f>HYPERLINK("https://platform.v2.vetology.net/cases/2653406/screening-report/6?type=pdf&amp;v=v6&amp;scorecard=1&amp;secret_key=BX%25IJ%24%2F65ieZ%29f6", 2653406)</f>
        <v>2653406</v>
      </c>
      <c r="C3746" s="3">
        <f>HYPERLINK("https://platform.v2.vetology.net/report/v/final/"&amp;2653406, 2653406)</f>
        <v>2653406</v>
      </c>
      <c r="D3746" s="3" t="s">
        <v>12315</v>
      </c>
      <c r="E3746" s="3" t="s">
        <v>12316</v>
      </c>
      <c r="F3746" s="3" t="s">
        <v>12317</v>
      </c>
      <c r="G3746" s="3" t="s">
        <v>566</v>
      </c>
      <c r="H3746" s="3" t="s">
        <v>31</v>
      </c>
      <c r="I3746" s="3" t="s">
        <v>32</v>
      </c>
      <c r="J3746" s="3" t="s">
        <v>33</v>
      </c>
      <c r="K3746" s="3" t="s">
        <v>28</v>
      </c>
      <c r="L3746" s="3" t="s">
        <v>27</v>
      </c>
      <c r="M3746" s="3" t="s">
        <v>28</v>
      </c>
      <c r="N3746" s="3" t="s">
        <v>28</v>
      </c>
      <c r="O3746" s="3" t="s">
        <v>28</v>
      </c>
      <c r="P3746" s="3" t="s">
        <v>28</v>
      </c>
      <c r="Q3746" s="3" t="s">
        <v>28</v>
      </c>
      <c r="R3746" s="3" t="s">
        <v>28</v>
      </c>
      <c r="S3746" s="3" t="s">
        <v>28</v>
      </c>
      <c r="T3746" s="3" t="s">
        <v>28</v>
      </c>
    </row>
    <row r="3747" spans="1:20" ht="409.6">
      <c r="A3747" s="3">
        <v>2653396</v>
      </c>
      <c r="B3747" s="3">
        <f>HYPERLINK("https://platform.v2.vetology.net/cases/2653396/screening-report/6?type=pdf&amp;v=v6&amp;scorecard=1&amp;secret_key=BX%25IJ%24%2F65ieZ%29f6", 2653396)</f>
        <v>2653396</v>
      </c>
      <c r="C3747" s="3">
        <f>HYPERLINK("https://platform.v2.vetology.net/report/v/final/"&amp;2653396, 2653396)</f>
        <v>2653396</v>
      </c>
      <c r="D3747" s="3" t="s">
        <v>12318</v>
      </c>
      <c r="E3747" s="3" t="s">
        <v>12319</v>
      </c>
      <c r="F3747" s="3"/>
      <c r="G3747" s="3" t="s">
        <v>122</v>
      </c>
      <c r="H3747" s="3" t="s">
        <v>1046</v>
      </c>
      <c r="I3747" s="3" t="s">
        <v>59</v>
      </c>
      <c r="J3747" s="3" t="s">
        <v>60</v>
      </c>
      <c r="K3747" s="3" t="s">
        <v>28</v>
      </c>
      <c r="L3747" s="3" t="s">
        <v>28</v>
      </c>
      <c r="M3747" s="3" t="s">
        <v>28</v>
      </c>
      <c r="N3747" s="3" t="s">
        <v>28</v>
      </c>
      <c r="O3747" s="3" t="s">
        <v>27</v>
      </c>
      <c r="P3747" s="3" t="s">
        <v>28</v>
      </c>
      <c r="Q3747" s="3" t="s">
        <v>28</v>
      </c>
      <c r="R3747" s="3" t="s">
        <v>28</v>
      </c>
      <c r="S3747" s="3" t="s">
        <v>28</v>
      </c>
      <c r="T3747" s="3" t="s">
        <v>27</v>
      </c>
    </row>
    <row r="3748" spans="1:20" ht="381.75">
      <c r="A3748" s="3">
        <v>2653350</v>
      </c>
      <c r="B3748" s="3">
        <f>HYPERLINK("https://platform.v2.vetology.net/cases/2653350/screening-report/6?type=pdf&amp;v=v6&amp;scorecard=1&amp;secret_key=BX%25IJ%24%2F65ieZ%29f6", 2653350)</f>
        <v>2653350</v>
      </c>
      <c r="C3748" s="3">
        <f>HYPERLINK("https://platform.v2.vetology.net/report/v/final/"&amp;2653350, 2653350)</f>
        <v>2653350</v>
      </c>
      <c r="D3748" s="3" t="s">
        <v>12320</v>
      </c>
      <c r="E3748" s="3" t="s">
        <v>12321</v>
      </c>
      <c r="F3748" s="3" t="s">
        <v>22</v>
      </c>
      <c r="G3748" s="3" t="s">
        <v>23</v>
      </c>
      <c r="H3748" s="3" t="s">
        <v>9763</v>
      </c>
      <c r="I3748" s="3" t="s">
        <v>124</v>
      </c>
      <c r="J3748" s="3" t="s">
        <v>125</v>
      </c>
      <c r="K3748" s="3" t="s">
        <v>27</v>
      </c>
      <c r="L3748" s="3" t="s">
        <v>28</v>
      </c>
      <c r="M3748" s="3" t="s">
        <v>28</v>
      </c>
      <c r="N3748" s="3" t="s">
        <v>28</v>
      </c>
      <c r="O3748" s="3" t="s">
        <v>27</v>
      </c>
      <c r="P3748" s="3" t="s">
        <v>28</v>
      </c>
      <c r="Q3748" s="3" t="s">
        <v>27</v>
      </c>
      <c r="R3748" s="3" t="s">
        <v>28</v>
      </c>
      <c r="S3748" s="3" t="s">
        <v>28</v>
      </c>
      <c r="T3748" s="3" t="s">
        <v>28</v>
      </c>
    </row>
    <row r="3749" spans="1:20" ht="396.75">
      <c r="A3749" s="3">
        <v>2653334</v>
      </c>
      <c r="B3749" s="3">
        <f>HYPERLINK("https://platform.v2.vetology.net/cases/2653334/screening-report/6?type=pdf&amp;v=v6&amp;scorecard=1&amp;secret_key=BX%25IJ%24%2F65ieZ%29f6", 2653334)</f>
        <v>2653334</v>
      </c>
      <c r="C3749" s="3">
        <f>HYPERLINK("https://platform.v2.vetology.net/report/v/final/"&amp;2653334, 2653334)</f>
        <v>2653334</v>
      </c>
      <c r="D3749" s="3" t="s">
        <v>12322</v>
      </c>
      <c r="E3749" s="3" t="s">
        <v>12323</v>
      </c>
      <c r="F3749" s="3" t="s">
        <v>7197</v>
      </c>
      <c r="G3749" s="3" t="s">
        <v>496</v>
      </c>
      <c r="H3749" s="3" t="s">
        <v>2629</v>
      </c>
      <c r="I3749" s="3" t="s">
        <v>32</v>
      </c>
      <c r="J3749" s="3" t="s">
        <v>33</v>
      </c>
      <c r="K3749" s="3" t="s">
        <v>28</v>
      </c>
      <c r="L3749" s="3" t="s">
        <v>28</v>
      </c>
      <c r="M3749" s="3" t="s">
        <v>28</v>
      </c>
      <c r="N3749" s="3" t="s">
        <v>28</v>
      </c>
      <c r="O3749" s="3" t="s">
        <v>28</v>
      </c>
      <c r="P3749" s="3" t="s">
        <v>28</v>
      </c>
      <c r="Q3749" s="3" t="s">
        <v>28</v>
      </c>
      <c r="R3749" s="3" t="s">
        <v>28</v>
      </c>
      <c r="S3749" s="3" t="s">
        <v>28</v>
      </c>
      <c r="T3749" s="3" t="s">
        <v>28</v>
      </c>
    </row>
    <row r="3750" spans="1:20" ht="381.75">
      <c r="A3750" s="3">
        <v>2653294</v>
      </c>
      <c r="B3750" s="3">
        <f>HYPERLINK("https://platform.v2.vetology.net/cases/2653294/screening-report/6?type=pdf&amp;v=v6&amp;scorecard=1&amp;secret_key=BX%25IJ%24%2F65ieZ%29f6", 2653294)</f>
        <v>2653294</v>
      </c>
      <c r="C3750" s="3">
        <f>HYPERLINK("https://platform.v2.vetology.net/report/v/final/"&amp;2653294, 2653294)</f>
        <v>2653294</v>
      </c>
      <c r="D3750" s="3" t="s">
        <v>12324</v>
      </c>
      <c r="E3750" s="3" t="s">
        <v>12325</v>
      </c>
      <c r="F3750" s="3" t="s">
        <v>3245</v>
      </c>
      <c r="G3750" s="3" t="s">
        <v>57</v>
      </c>
      <c r="H3750" s="3" t="s">
        <v>12326</v>
      </c>
      <c r="I3750" s="3" t="s">
        <v>12327</v>
      </c>
      <c r="J3750" s="3" t="s">
        <v>12328</v>
      </c>
      <c r="K3750" s="3" t="s">
        <v>28</v>
      </c>
      <c r="L3750" s="3" t="s">
        <v>28</v>
      </c>
      <c r="M3750" s="3" t="s">
        <v>27</v>
      </c>
      <c r="N3750" s="3" t="s">
        <v>28</v>
      </c>
      <c r="O3750" s="3" t="s">
        <v>27</v>
      </c>
      <c r="P3750" s="3" t="s">
        <v>27</v>
      </c>
      <c r="Q3750" s="3" t="s">
        <v>28</v>
      </c>
      <c r="R3750" s="3" t="s">
        <v>28</v>
      </c>
      <c r="S3750" s="3" t="s">
        <v>28</v>
      </c>
      <c r="T3750" s="3" t="s">
        <v>27</v>
      </c>
    </row>
    <row r="3751" spans="1:20" ht="409.6">
      <c r="A3751" s="3">
        <v>2653291</v>
      </c>
      <c r="B3751" s="3">
        <f>HYPERLINK("https://platform.v2.vetology.net/cases/2653291/screening-report/6?type=pdf&amp;v=v6&amp;scorecard=1&amp;secret_key=BX%25IJ%24%2F65ieZ%29f6", 2653291)</f>
        <v>2653291</v>
      </c>
      <c r="C3751" s="3">
        <f>HYPERLINK("https://platform.v2.vetology.net/report/v/final/"&amp;2653291, 2653291)</f>
        <v>2653291</v>
      </c>
      <c r="D3751" s="3" t="s">
        <v>12329</v>
      </c>
      <c r="E3751" s="3" t="s">
        <v>12330</v>
      </c>
      <c r="F3751" s="3"/>
      <c r="G3751" s="3" t="s">
        <v>122</v>
      </c>
      <c r="H3751" s="3" t="s">
        <v>8292</v>
      </c>
      <c r="I3751" s="3" t="s">
        <v>678</v>
      </c>
      <c r="J3751" s="3" t="s">
        <v>1264</v>
      </c>
      <c r="K3751" s="3" t="s">
        <v>28</v>
      </c>
      <c r="L3751" s="3" t="s">
        <v>27</v>
      </c>
      <c r="M3751" s="3" t="s">
        <v>28</v>
      </c>
      <c r="N3751" s="3" t="s">
        <v>27</v>
      </c>
      <c r="O3751" s="3" t="s">
        <v>28</v>
      </c>
      <c r="P3751" s="3" t="s">
        <v>28</v>
      </c>
      <c r="Q3751" s="3" t="s">
        <v>27</v>
      </c>
      <c r="R3751" s="3" t="s">
        <v>27</v>
      </c>
      <c r="S3751" s="3" t="s">
        <v>27</v>
      </c>
      <c r="T3751" s="3" t="s">
        <v>27</v>
      </c>
    </row>
    <row r="3752" spans="1:20" ht="381.75">
      <c r="A3752" s="3">
        <v>2653243</v>
      </c>
      <c r="B3752" s="3">
        <f>HYPERLINK("https://platform.v2.vetology.net/cases/2653243/screening-report/6?type=pdf&amp;v=v6&amp;scorecard=1&amp;secret_key=BX%25IJ%24%2F65ieZ%29f6", 2653243)</f>
        <v>2653243</v>
      </c>
      <c r="C3752" s="3">
        <f>HYPERLINK("https://platform.v2.vetology.net/report/v/final/"&amp;2653243, 2653243)</f>
        <v>2653243</v>
      </c>
      <c r="D3752" s="3" t="s">
        <v>2158</v>
      </c>
      <c r="E3752" s="3" t="s">
        <v>1230</v>
      </c>
      <c r="F3752" s="3" t="s">
        <v>1049</v>
      </c>
      <c r="G3752" s="3" t="s">
        <v>100</v>
      </c>
      <c r="H3752" s="3" t="s">
        <v>2100</v>
      </c>
      <c r="I3752" s="3" t="s">
        <v>539</v>
      </c>
      <c r="J3752" s="3" t="s">
        <v>540</v>
      </c>
      <c r="K3752" s="3" t="s">
        <v>28</v>
      </c>
      <c r="L3752" s="3" t="s">
        <v>28</v>
      </c>
      <c r="M3752" s="3" t="s">
        <v>28</v>
      </c>
      <c r="N3752" s="3" t="s">
        <v>28</v>
      </c>
      <c r="O3752" s="3" t="s">
        <v>27</v>
      </c>
      <c r="P3752" s="3" t="s">
        <v>28</v>
      </c>
      <c r="Q3752" s="3" t="s">
        <v>28</v>
      </c>
      <c r="R3752" s="3" t="s">
        <v>28</v>
      </c>
      <c r="S3752" s="3" t="s">
        <v>28</v>
      </c>
      <c r="T3752" s="3" t="s">
        <v>28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6ddc56d-8647-4bd5-b039-5bab4a319508">
      <Terms xmlns="http://schemas.microsoft.com/office/infopath/2007/PartnerControls"/>
    </lcf76f155ced4ddcb4097134ff3c332f>
    <TaxCatchAll xmlns="480086f8-18f9-454d-8ff1-ce1e60c2bb3a" xsi:nil="true"/>
    <Reviewnotes xmlns="66ddc56d-8647-4bd5-b039-5bab4a319508" xsi:nil="true"/>
    <Goodvs_x002e_bad xmlns="66ddc56d-8647-4bd5-b039-5bab4a319508">Bad</Goodvs_x002e_ba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933ED124681D44E8FC9B06419689125" ma:contentTypeVersion="19" ma:contentTypeDescription="Create a new document." ma:contentTypeScope="" ma:versionID="c3007ab365fabc0b1471bb732f05af86">
  <xsd:schema xmlns:xsd="http://www.w3.org/2001/XMLSchema" xmlns:xs="http://www.w3.org/2001/XMLSchema" xmlns:p="http://schemas.microsoft.com/office/2006/metadata/properties" xmlns:ns2="66ddc56d-8647-4bd5-b039-5bab4a319508" xmlns:ns3="480086f8-18f9-454d-8ff1-ce1e60c2bb3a" targetNamespace="http://schemas.microsoft.com/office/2006/metadata/properties" ma:root="true" ma:fieldsID="d7fd789494cf24d7d25e8db34c91a72a" ns2:_="" ns3:_="">
    <xsd:import namespace="66ddc56d-8647-4bd5-b039-5bab4a319508"/>
    <xsd:import namespace="480086f8-18f9-454d-8ff1-ce1e60c2bb3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2:Goodvs_x002e_bad" minOccurs="0"/>
                <xsd:element ref="ns2:lcf76f155ced4ddcb4097134ff3c332f" minOccurs="0"/>
                <xsd:element ref="ns3:TaxCatchAll" minOccurs="0"/>
                <xsd:element ref="ns2:MediaServiceObjectDetectorVersions" minOccurs="0"/>
                <xsd:element ref="ns2:MediaServiceSearchProperties" minOccurs="0"/>
                <xsd:element ref="ns2:Review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ddc56d-8647-4bd5-b039-5bab4a3195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Goodvs_x002e_bad" ma:index="20" nillable="true" ma:displayName="Good vs. bad" ma:default="Bad" ma:format="Dropdown" ma:internalName="Goodvs_x002e_bad">
      <xsd:simpleType>
        <xsd:restriction base="dms:Text">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0248a33-a687-407a-8077-21a4843fa0c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Reviewnotes" ma:index="26" nillable="true" ma:displayName="Review notes" ma:format="Dropdown" ma:internalName="Review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0086f8-18f9-454d-8ff1-ce1e60c2bb3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1ff0b46-341f-4251-bd95-ee68e1e7bd84}" ma:internalName="TaxCatchAll" ma:showField="CatchAllData" ma:web="480086f8-18f9-454d-8ff1-ce1e60c2bb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DBE155-79BF-4924-A32C-69DF2FE2696C}"/>
</file>

<file path=customXml/itemProps2.xml><?xml version="1.0" encoding="utf-8"?>
<ds:datastoreItem xmlns:ds="http://schemas.openxmlformats.org/officeDocument/2006/customXml" ds:itemID="{AC1D99CA-1695-4072-8767-D8A7E08405F9}"/>
</file>

<file path=customXml/itemProps3.xml><?xml version="1.0" encoding="utf-8"?>
<ds:datastoreItem xmlns:ds="http://schemas.openxmlformats.org/officeDocument/2006/customXml" ds:itemID="{5FF61618-5A8E-4B52-8B1A-7E208297DA7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i:0#.f|membership|sushank.shetty@vetology.net</cp:lastModifiedBy>
  <cp:revision/>
  <dcterms:created xsi:type="dcterms:W3CDTF">2024-09-30T12:15:58Z</dcterms:created>
  <dcterms:modified xsi:type="dcterms:W3CDTF">2024-12-18T05:35:36Z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0x0101000933ED124681D44E8FC9B06419689125</vt:lpwstr>
  </property>
  <property fmtid="{D5CDD505-2E9C-101B-9397-08002B2CF9AE}" pid="3" name="MediaServiceImageTags">
    <vt:lpwstr/>
  </property>
</Properties>
</file>